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This Report" sheetId="1" r:id="rId4"/>
    <sheet state="visible" name="Overall Scores" sheetId="2" r:id="rId5"/>
    <sheet state="visible" name="Category Scores" sheetId="3" r:id="rId6"/>
    <sheet state="visible" name="Subcategory Scores" sheetId="4" r:id="rId7"/>
    <sheet state="visible" name="Signal Scores" sheetId="5" r:id="rId8"/>
  </sheets>
  <definedNames/>
  <calcPr/>
</workbook>
</file>

<file path=xl/sharedStrings.xml><?xml version="1.0" encoding="utf-8"?>
<sst xmlns="http://schemas.openxmlformats.org/spreadsheetml/2006/main" count="104611" uniqueCount="2769">
  <si>
    <t>About this Report</t>
  </si>
  <si>
    <t>Description</t>
  </si>
  <si>
    <r>
      <rPr>
        <rFont val="Arial"/>
        <color theme="1"/>
      </rPr>
      <t xml:space="preserve">This report contains Customer Success Scores and Signals for </t>
    </r>
    <r>
      <rPr>
        <rFont val="Arial"/>
        <b/>
        <color theme="1"/>
      </rPr>
      <t>all Orgs under a Company</t>
    </r>
    <r>
      <rPr>
        <rFont val="Arial"/>
        <color theme="1"/>
      </rPr>
      <t xml:space="preserve">. In each Tab, you wiill find scores broken down by Overall Scores, Category Scores, Subcategory Scores, and Signals for each Org. </t>
    </r>
  </si>
  <si>
    <t>How to Use</t>
  </si>
  <si>
    <t xml:space="preserve">This report may be used to compare and contrast Customer Success Scores and Signal Values for all Orgs under a Company. The data is broken down and can be filtered by Company Name or ID, Account Name or ID, Account Local Name, Org ID, and Success Plan. </t>
  </si>
  <si>
    <t xml:space="preserve">Filtering </t>
  </si>
  <si>
    <r>
      <rPr>
        <rFont val="Arial"/>
        <color theme="1"/>
      </rPr>
      <t xml:space="preserve">This report is downloaded as </t>
    </r>
    <r>
      <rPr>
        <rFont val="Arial"/>
        <b/>
        <color theme="1"/>
      </rPr>
      <t>View Only</t>
    </r>
    <r>
      <rPr>
        <rFont val="Arial"/>
        <color theme="1"/>
      </rPr>
      <t xml:space="preserve">. If you would like to edit or filter the report, please </t>
    </r>
    <r>
      <rPr>
        <rFont val="Arial"/>
        <b/>
        <color theme="1"/>
      </rPr>
      <t>clone</t>
    </r>
    <r>
      <rPr>
        <rFont val="Arial"/>
        <color theme="1"/>
      </rPr>
      <t xml:space="preserve"> the Gsheet and apply any changes to the new link.</t>
    </r>
  </si>
  <si>
    <t>Sharing</t>
  </si>
  <si>
    <r>
      <rPr>
        <rFont val="Arial"/>
        <color theme="1"/>
      </rPr>
      <t xml:space="preserve">Please note that this report is intended to be shared externally with </t>
    </r>
    <r>
      <rPr>
        <rFont val="Arial"/>
        <b/>
        <color theme="1"/>
      </rPr>
      <t>Signature 2.0 customers only</t>
    </r>
    <r>
      <rPr>
        <rFont val="Arial"/>
        <color theme="1"/>
      </rPr>
      <t xml:space="preserve">. Reports for non-Signature 2.0 customers may be shared internally.
If you are sending this report to a customer, first </t>
    </r>
    <r>
      <rPr>
        <rFont val="Arial"/>
        <b/>
        <color theme="1"/>
      </rPr>
      <t>filter out scores from orgs other than the specific org the you are sharing the report with</t>
    </r>
    <r>
      <rPr>
        <rFont val="Arial"/>
        <color theme="1"/>
      </rPr>
      <t>, and it</t>
    </r>
    <r>
      <rPr>
        <rFont val="Arial"/>
        <b/>
        <color theme="1"/>
      </rPr>
      <t xml:space="preserve"> may only be shared with the Designated Contact from that org</t>
    </r>
    <r>
      <rPr>
        <rFont val="Arial"/>
        <color theme="1"/>
      </rPr>
      <t xml:space="preserve">. </t>
    </r>
  </si>
  <si>
    <t xml:space="preserve">Glossary </t>
  </si>
  <si>
    <t>Snapshot Date</t>
  </si>
  <si>
    <t xml:space="preserve">Date the Scores were last refreshed. </t>
  </si>
  <si>
    <t>Company Name</t>
  </si>
  <si>
    <t>Refers to the Company Name field on the Company object or the Global Company field on the Account object in Org62</t>
  </si>
  <si>
    <t>Company ID</t>
  </si>
  <si>
    <t>Refers to the Company ID found in the Company object URL in Org62. Always starts with 'aBR' and can be 15 or 18 characters long.</t>
  </si>
  <si>
    <t>Account Name</t>
  </si>
  <si>
    <t>Refers to the Account Name field on the Account object in Org62. Can be associated with multiple Account IDs.</t>
  </si>
  <si>
    <t>Account ID</t>
  </si>
  <si>
    <t>Refers to the Account ID found in the Account object URL in Org62. Always starts with '001', and can be 15 or 18 characters long.</t>
  </si>
  <si>
    <t>Tenant Type</t>
  </si>
  <si>
    <r>
      <rPr>
        <rFont val="Arial"/>
      </rPr>
      <t xml:space="preserve">Refers to the product a given tenant is associated with, such as </t>
    </r>
    <r>
      <rPr>
        <rFont val="Arial"/>
        <color rgb="FF1155CC"/>
        <u/>
      </rPr>
      <t>force.com</t>
    </r>
    <r>
      <rPr>
        <rFont val="Arial"/>
      </rPr>
      <t xml:space="preserve"> (core), exacttarget (marketing cloud), mulesoft, and commerce</t>
    </r>
  </si>
  <si>
    <t>Tenant ID</t>
  </si>
  <si>
    <t>Refers to the ID of the specific tenant within a product for that account. Format of the ID will vary between different types. Some accounts may have multiple tenants under a given tenant type.</t>
  </si>
  <si>
    <t>Success Plan</t>
  </si>
  <si>
    <t>Package of support and success resources customers purchase.</t>
  </si>
  <si>
    <t>Category Name</t>
  </si>
  <si>
    <t>Grouping of metrics under a Tenant Type. Can be Product Adoption, Customer Expertise, or Technical Health.</t>
  </si>
  <si>
    <t>Subcategory Name</t>
  </si>
  <si>
    <t xml:space="preserve">Grouping of metrics under a Category. Can be a product, type of engagement, or performance indicator. </t>
  </si>
  <si>
    <t>Capability Name</t>
  </si>
  <si>
    <t xml:space="preserve">Grouping of metrics under a Subcategory. Provides additional detail on the metric. </t>
  </si>
  <si>
    <t>Score Name</t>
  </si>
  <si>
    <t>Name of the Score.</t>
  </si>
  <si>
    <t>Definition</t>
  </si>
  <si>
    <t xml:space="preserve">Applies only to Signals. Description of where the Signal Value comes from.  </t>
  </si>
  <si>
    <t>Score</t>
  </si>
  <si>
    <t>The Customer Success Score for Overall, Category, Subcategory, or Signal. Ranges from 0-100. 0-30 = Fair, 40-60 = Good, 70-100 = Excellent</t>
  </si>
  <si>
    <t>Value</t>
  </si>
  <si>
    <t xml:space="preserve">Applies only to Signals. The numerical value of the metric. </t>
  </si>
  <si>
    <t>MoM Change</t>
  </si>
  <si>
    <t>A measure of how much the Score or Value has changed in the 30 days prior to the Snapshot Date.</t>
  </si>
  <si>
    <t>QoQ Change</t>
  </si>
  <si>
    <t>A measure of how much the Score or Value has changed in the 3 months prior to the Snapshot Date.</t>
  </si>
  <si>
    <t>Benchmark</t>
  </si>
  <si>
    <t>Applies only to Signals. The target Signal Value to reach the Excellent Score range on that Signal.</t>
  </si>
  <si>
    <t>Account Local Name</t>
  </si>
  <si>
    <t>ENEL SPA</t>
  </si>
  <si>
    <t>aBR0M000000Cdnq</t>
  </si>
  <si>
    <t>Endesa Medios y Sistemas SL (Endesa Distribucion)</t>
  </si>
  <si>
    <t>0013000001Jy2r3</t>
  </si>
  <si>
    <t>force.com</t>
  </si>
  <si>
    <t>00D24000000fNRm</t>
  </si>
  <si>
    <t>Endesa Distribucion</t>
  </si>
  <si>
    <t>Signature</t>
  </si>
  <si>
    <t>Overall</t>
  </si>
  <si>
    <t>Enel Green Power 3Sun</t>
  </si>
  <si>
    <t>0013y00001ertAP</t>
  </si>
  <si>
    <t>00D0900000DXQwt</t>
  </si>
  <si>
    <t>Premier</t>
  </si>
  <si>
    <t>GRIDSPERTISE</t>
  </si>
  <si>
    <t>0013y00001cs8BO</t>
  </si>
  <si>
    <t>00D7Q000001Nq2X</t>
  </si>
  <si>
    <t>Enel Global Services S.r.l. (ENEL Italy Free Market)</t>
  </si>
  <si>
    <t>00130000002xI63</t>
  </si>
  <si>
    <t>00D24000000pTCu</t>
  </si>
  <si>
    <t>Enel X Customer US</t>
  </si>
  <si>
    <t>0013y00001cQ6Rl</t>
  </si>
  <si>
    <t>00D4x0000069mlL</t>
  </si>
  <si>
    <t>Endesa B2C Cosmos - SP Endesa Medios y Sistemas</t>
  </si>
  <si>
    <t>0010M00001UERlI</t>
  </si>
  <si>
    <t>exacttarget</t>
  </si>
  <si>
    <t>Canales Digitales</t>
  </si>
  <si>
    <t>ENEL IT Governance</t>
  </si>
  <si>
    <t>00130000002xI2r</t>
  </si>
  <si>
    <t>00D24000000fnQ7</t>
  </si>
  <si>
    <t>ORG Transformation Factory</t>
  </si>
  <si>
    <t>PLUZ Energia Peru SAA</t>
  </si>
  <si>
    <t>0013y00001f9DzM</t>
  </si>
  <si>
    <t>mulesoft</t>
  </si>
  <si>
    <t>US-4fbd1f7b-36ca-4bd2-8871-00293bf53179</t>
  </si>
  <si>
    <t>PLUZ ENERGIA DEL PERU SAA</t>
  </si>
  <si>
    <t>GI&amp;N Network Services</t>
  </si>
  <si>
    <t>0013y00001cFj1S</t>
  </si>
  <si>
    <t>00D09000007Ugt6</t>
  </si>
  <si>
    <t>Enel X North America, Inc.</t>
  </si>
  <si>
    <t>00130000001MOXd</t>
  </si>
  <si>
    <t>Enel Green Power Cachoeira Dourada</t>
  </si>
  <si>
    <t>0013000000rqul8</t>
  </si>
  <si>
    <t>00D4P0000010ynP</t>
  </si>
  <si>
    <t>Grupo Endesa, Enel</t>
  </si>
  <si>
    <t>Enel Global Services S.r.l.</t>
  </si>
  <si>
    <t>00130000008ea6d</t>
  </si>
  <si>
    <t>Endesa Medios y Sistemas S.L.</t>
  </si>
  <si>
    <t>0013y00001d77GY</t>
  </si>
  <si>
    <t>ENDESA ENERGIA SAU - Endesa CDP Test Instance</t>
  </si>
  <si>
    <t>Enel Mexico</t>
  </si>
  <si>
    <t>0010M00001QmiX1</t>
  </si>
  <si>
    <t>00D41000001N9DO</t>
  </si>
  <si>
    <t>Enel Foundation</t>
  </si>
  <si>
    <t>0013000001MspOU</t>
  </si>
  <si>
    <t>00D58000000YXxO</t>
  </si>
  <si>
    <t>Enel DH Market Italy</t>
  </si>
  <si>
    <t>Entelios AG</t>
  </si>
  <si>
    <t>0013000000RaEI9</t>
  </si>
  <si>
    <t>00D0Y000000siYq</t>
  </si>
  <si>
    <t>c/o General Capital Group</t>
  </si>
  <si>
    <t>Standard</t>
  </si>
  <si>
    <t>LENE Srl</t>
  </si>
  <si>
    <t>001ed00000VdmUL</t>
  </si>
  <si>
    <t>00Dbl00000391CS</t>
  </si>
  <si>
    <t>heroku</t>
  </si>
  <si>
    <t>Enel GTG Digital Evolution</t>
  </si>
  <si>
    <t>0010M00001WYLr7</t>
  </si>
  <si>
    <t>00D2p000000OzEV</t>
  </si>
  <si>
    <t>00D1r000001ptcf</t>
  </si>
  <si>
    <t>Endesa B2B</t>
  </si>
  <si>
    <t>0013000001Mj2Ul</t>
  </si>
  <si>
    <t>Enel Market IT</t>
  </si>
  <si>
    <t>0010M00001SIkDJ</t>
  </si>
  <si>
    <t>00D1r000000plzM</t>
  </si>
  <si>
    <t>Enel Green Power Digital Hub</t>
  </si>
  <si>
    <t>0010M00001WYXmR</t>
  </si>
  <si>
    <t>00D3X000001trZT</t>
  </si>
  <si>
    <t>EGP DH</t>
  </si>
  <si>
    <t>Enel CostForce</t>
  </si>
  <si>
    <t>0013000001GUpXG</t>
  </si>
  <si>
    <t>00D58000000Ih4f</t>
  </si>
  <si>
    <t>00DHr000002jGD2</t>
  </si>
  <si>
    <t>Enel MLM</t>
  </si>
  <si>
    <t>0010M00001SIPp6</t>
  </si>
  <si>
    <t>00D0O000000r76o</t>
  </si>
  <si>
    <t>Enel Italia</t>
  </si>
  <si>
    <t>0010M00001QmZzl</t>
  </si>
  <si>
    <t>00D0Y000000abh9</t>
  </si>
  <si>
    <t>Enel - Portale Conciliatori</t>
  </si>
  <si>
    <t>Endesa B2C Portugal</t>
  </si>
  <si>
    <t>00130000002xIy0</t>
  </si>
  <si>
    <t>00D24000000pMSC</t>
  </si>
  <si>
    <t>ENDESA B2C PORTUGAL ¿ENEL IBEROAMERICA S.L.?</t>
  </si>
  <si>
    <t>Enel GTG</t>
  </si>
  <si>
    <t>0010M00001SIclZ</t>
  </si>
  <si>
    <t>00D0N000000gGNt</t>
  </si>
  <si>
    <t>Enel Global Trading</t>
  </si>
  <si>
    <t>0010M00001WYcyO</t>
  </si>
  <si>
    <t>00D3X000005CdfX</t>
  </si>
  <si>
    <t>tableau</t>
  </si>
  <si>
    <t>a646Q000001N8hgQAC</t>
  </si>
  <si>
    <t>00D3000000060Cr</t>
  </si>
  <si>
    <t>Enel Global Services - Enel Chile</t>
  </si>
  <si>
    <t>0013000000hLy9g</t>
  </si>
  <si>
    <t>00D36000001Gau6</t>
  </si>
  <si>
    <t>Enel Americas - Enel Chile (HQ)</t>
  </si>
  <si>
    <t>EU-b0d340ae-9b55-46c2-809d-c67fd03ccfaf</t>
  </si>
  <si>
    <t>MuleSoft Titanium</t>
  </si>
  <si>
    <t>NA B2B Energy</t>
  </si>
  <si>
    <t>0013y00001esS3o</t>
  </si>
  <si>
    <t>00DDm000000HYAS</t>
  </si>
  <si>
    <t>Enel Dashboard Audit</t>
  </si>
  <si>
    <t>0010M00001QaqpT</t>
  </si>
  <si>
    <t>00D0Y000001ejbC</t>
  </si>
  <si>
    <t>00D58000000KLAD</t>
  </si>
  <si>
    <t>a640d000000lptMAAQ</t>
  </si>
  <si>
    <t>00DD0000000rgSz</t>
  </si>
  <si>
    <t>EU-dae03366-c1a8-48f1-94c3-51f8e93f7660</t>
  </si>
  <si>
    <t>Enel Distribuzione SpA</t>
  </si>
  <si>
    <t>00130000002xK5S</t>
  </si>
  <si>
    <t>00D24000000Jg8c</t>
  </si>
  <si>
    <t>Enel Sole Srl</t>
  </si>
  <si>
    <t>0013000001NX8fw</t>
  </si>
  <si>
    <t>00D24000000iZKM</t>
  </si>
  <si>
    <t>ENDESA - Andromeda</t>
  </si>
  <si>
    <t>0013000001L5ySY</t>
  </si>
  <si>
    <t>00D24000000Z8gt</t>
  </si>
  <si>
    <t>I&amp;N eCO</t>
  </si>
  <si>
    <t>0013y00001c6FGR</t>
  </si>
  <si>
    <t>00D09000001K03D</t>
  </si>
  <si>
    <t>Enel X Taiwan</t>
  </si>
  <si>
    <t>0013y00001cgbj9</t>
  </si>
  <si>
    <t>a646Q000001poKVQAY</t>
  </si>
  <si>
    <t>a64QK0000007OOzYAM</t>
  </si>
  <si>
    <t>Enel Green Power Land Management</t>
  </si>
  <si>
    <t>0013y00001f7vs0</t>
  </si>
  <si>
    <t>00D68000003lVZn</t>
  </si>
  <si>
    <t>Enel Sostenibilità</t>
  </si>
  <si>
    <t>0010M00001UEU4x</t>
  </si>
  <si>
    <t>00D1r000002BEhv</t>
  </si>
  <si>
    <t>Enel DH AFC</t>
  </si>
  <si>
    <t>Enel X Customer</t>
  </si>
  <si>
    <t>0010M00001UVXvs</t>
  </si>
  <si>
    <t>00D1t000000paXf</t>
  </si>
  <si>
    <t>00D7Q000005YsM6</t>
  </si>
  <si>
    <t>Enel X - B2C</t>
  </si>
  <si>
    <t>0010M00001U3piC</t>
  </si>
  <si>
    <t>00D1i0000008oPj</t>
  </si>
  <si>
    <t>Endesa Canales Digitales</t>
  </si>
  <si>
    <t>0013000001MjUT6</t>
  </si>
  <si>
    <t>Antigua Endesa Energía B2C</t>
  </si>
  <si>
    <t>Technical Health</t>
  </si>
  <si>
    <t>Customer Expertise</t>
  </si>
  <si>
    <t>Product Adoption</t>
  </si>
  <si>
    <t>Connect, API, Events</t>
  </si>
  <si>
    <t>AppExchange</t>
  </si>
  <si>
    <t>Expert-Led Learning and Guidance</t>
  </si>
  <si>
    <t>Mobile, Identity</t>
  </si>
  <si>
    <t>Customization</t>
  </si>
  <si>
    <t>Self-Paced Learning</t>
  </si>
  <si>
    <t>Observability</t>
  </si>
  <si>
    <t>Certifications</t>
  </si>
  <si>
    <t>Storage</t>
  </si>
  <si>
    <t>Efficiency</t>
  </si>
  <si>
    <t>Digital Engagement</t>
  </si>
  <si>
    <t>Operational Excellence</t>
  </si>
  <si>
    <t>Service Cloud</t>
  </si>
  <si>
    <t>Partner Relationship Management</t>
  </si>
  <si>
    <t>Data Cloud</t>
  </si>
  <si>
    <t>CME Cloud</t>
  </si>
  <si>
    <t>B2C Order Management - Industries</t>
  </si>
  <si>
    <t>Engagement &amp; Journeys</t>
  </si>
  <si>
    <t>Privacy and Data Governance</t>
  </si>
  <si>
    <t>Personalization</t>
  </si>
  <si>
    <t>Heroku</t>
  </si>
  <si>
    <t>Shield</t>
  </si>
  <si>
    <t>Sales and Service Cloud</t>
  </si>
  <si>
    <t>CRMA Platform</t>
  </si>
  <si>
    <t>Account Engagement</t>
  </si>
  <si>
    <t>Tableau Cloud Analytics</t>
  </si>
  <si>
    <t>Sandbox</t>
  </si>
  <si>
    <t>Self Service</t>
  </si>
  <si>
    <t>Platform User Licenses</t>
  </si>
  <si>
    <t>WhatsApp Business Messaging</t>
  </si>
  <si>
    <t>Field Service</t>
  </si>
  <si>
    <t>Sales Cloud</t>
  </si>
  <si>
    <t>Agentforce</t>
  </si>
  <si>
    <t>CPQ</t>
  </si>
  <si>
    <t>Industries Field Service</t>
  </si>
  <si>
    <t>Feedback Management</t>
  </si>
  <si>
    <t>MuleSoft Integration</t>
  </si>
  <si>
    <t>MuleSoft API Management</t>
  </si>
  <si>
    <t>Loyalty Management</t>
  </si>
  <si>
    <t>Tableau Server Analytics</t>
  </si>
  <si>
    <t>Service Cloud Voice</t>
  </si>
  <si>
    <t>Automation</t>
  </si>
  <si>
    <t>Revenue Cloud</t>
  </si>
  <si>
    <t>Sales Engagement</t>
  </si>
  <si>
    <t>Einstein AI</t>
  </si>
  <si>
    <t>B2B Commerce</t>
  </si>
  <si>
    <t>B2B Order Management - Industries</t>
  </si>
  <si>
    <t>Signal Name</t>
  </si>
  <si>
    <t>Technical Debt</t>
  </si>
  <si>
    <t>Process Builder Workflows</t>
  </si>
  <si>
    <t>A high ratio of active Process Builder workflows to total automations indicates a reliance on the legacy tool. We recommend Flow Builder for your automation needs.</t>
  </si>
  <si>
    <t>&lt;=66,554,006</t>
  </si>
  <si>
    <t>Consumption</t>
  </si>
  <si>
    <t>Entitlement Utilization (Developer)</t>
  </si>
  <si>
    <t>Percentage of Developer Sandboxes used to date.</t>
  </si>
  <si>
    <t>&gt;=4.87%</t>
  </si>
  <si>
    <t>Case Management</t>
  </si>
  <si>
    <t>Case Record Types</t>
  </si>
  <si>
    <t>Org has Case Record Types enabled.</t>
  </si>
  <si>
    <t>&gt;=1</t>
  </si>
  <si>
    <t>Activity Management</t>
  </si>
  <si>
    <t>Accessed Cadences Tab Indicator</t>
  </si>
  <si>
    <t>Users engaging with Accessed Cadences Tab within previous month.</t>
  </si>
  <si>
    <t>Transaction Efficiency</t>
  </si>
  <si>
    <t>Throughput Efficiency</t>
  </si>
  <si>
    <t>Gauges how effectively transactions are processed relative to power utilization (transactions per unit of DB CPU consumed). A high value may lead to slowness or throttling as resources become strained.</t>
  </si>
  <si>
    <t>&lt;=86</t>
  </si>
  <si>
    <t>Agentblazer Status</t>
  </si>
  <si>
    <t>Agentblazers status achieved to date.</t>
  </si>
  <si>
    <t>Develop</t>
  </si>
  <si>
    <t>Number of Flows Created or Updated</t>
  </si>
  <si>
    <t>Percentage change in volume of number of flows created or updated compared to a trailing 12 month period.</t>
  </si>
  <si>
    <t>&gt;=14.82%</t>
  </si>
  <si>
    <t>Org Security</t>
  </si>
  <si>
    <t>Enable Set Password in API</t>
  </si>
  <si>
    <t>The "setPassword() application programming interface (API)" setting allows users to change their passwords without verifying their identity. This is not recommended for secure environments.</t>
  </si>
  <si>
    <t>&lt;=1</t>
  </si>
  <si>
    <t>User Experience Efficiency</t>
  </si>
  <si>
    <t>Concurrent UI Errors</t>
  </si>
  <si>
    <t>Ratio of UI errors that occur simultaneously to the total number of UI transactions. Errors happen if the ongoing UI requests exceed the limit of 25 per 10 seconds, causing new requests to fail.</t>
  </si>
  <si>
    <t>&gt;=0</t>
  </si>
  <si>
    <t>Forecast Management and Sales Metrics</t>
  </si>
  <si>
    <t>Forecasts</t>
  </si>
  <si>
    <t>Org has Forecasts enabled and used monthly.</t>
  </si>
  <si>
    <t>&gt;=0.00%</t>
  </si>
  <si>
    <t>Account and Contact Management</t>
  </si>
  <si>
    <t>Account Merge</t>
  </si>
  <si>
    <t>Org has Account Merge enabled and used monthly.</t>
  </si>
  <si>
    <t>Agent Experience</t>
  </si>
  <si>
    <t>Console Actions</t>
  </si>
  <si>
    <t>Org has Console Actions enabled and used monthly.</t>
  </si>
  <si>
    <t>Setup</t>
  </si>
  <si>
    <t>Price Adjustment Schedule</t>
  </si>
  <si>
    <t>Org has Price Adjustment Schedule enabled.</t>
  </si>
  <si>
    <t>Events</t>
  </si>
  <si>
    <t>TDX</t>
  </si>
  <si>
    <t>TDX attendance (in-person and virtual) within the last 12 months.</t>
  </si>
  <si>
    <t>Case Milestones Engagement</t>
  </si>
  <si>
    <t>Percentage of monthly users engaging with Case Milestones.</t>
  </si>
  <si>
    <t>&gt;=30.04%</t>
  </si>
  <si>
    <t>Analytics</t>
  </si>
  <si>
    <t>License Usage Indicator</t>
  </si>
  <si>
    <t>Indicates if the Event Monitoring App licenses is used (Einstein Analytics) in the org.</t>
  </si>
  <si>
    <t>Opportunity and Pipeline Management</t>
  </si>
  <si>
    <t>Opportunity Sharing Rules</t>
  </si>
  <si>
    <t>Org has Opportunity Sharing Rules enabled.</t>
  </si>
  <si>
    <t>Self-Service &amp; Deflection</t>
  </si>
  <si>
    <t>Knowledge Translation</t>
  </si>
  <si>
    <t>Org has Knowledge Translation enabled and used monthly.</t>
  </si>
  <si>
    <t>Entitlement Utilization (Trailing twelve months B2B Order)</t>
  </si>
  <si>
    <t>Percentage of B2B Order used in last 12 months.</t>
  </si>
  <si>
    <t>&gt;=20.45%</t>
  </si>
  <si>
    <t>Hourly Time-based Workflow Limit ProM Alerts</t>
  </si>
  <si>
    <t>Total number of Hourly Time-based Workflow Limit alerts.</t>
  </si>
  <si>
    <t>Cases Engagement</t>
  </si>
  <si>
    <t>Percentage of monthly users engaging with Cases.</t>
  </si>
  <si>
    <t>&gt;=55.33%</t>
  </si>
  <si>
    <t>Diagnostics</t>
  </si>
  <si>
    <t>ApexGuru Adoption</t>
  </si>
  <si>
    <t>Indicates whether ApexGuru was accessed at least once in the past 90 days. This is an AI-based Scale Center feature designed to fix anti-patterns and implementation hotspots.</t>
  </si>
  <si>
    <t>Volume of Custom Objects Created or Updated</t>
  </si>
  <si>
    <t>Percentage change in volume of custom objects created or updated compared to a trailing 12 month period.</t>
  </si>
  <si>
    <t>&gt;=7.58%</t>
  </si>
  <si>
    <t>Contract Lifecycle Management (Energy &amp; Utilities Cloud)</t>
  </si>
  <si>
    <t>Contract Threshold (Energy &amp; Utilities Cloud)</t>
  </si>
  <si>
    <t>Count of monthly Contracts created.</t>
  </si>
  <si>
    <t>&gt;=61</t>
  </si>
  <si>
    <t>Test</t>
  </si>
  <si>
    <t>Percentage of Orgs with Apex tests runs</t>
  </si>
  <si>
    <t>Percentage of Monthly Active Orgs with Apex tests runs.</t>
  </si>
  <si>
    <t>Incident</t>
  </si>
  <si>
    <t>Org has Incident enabled and used monthly.</t>
  </si>
  <si>
    <t>[Preview] Anypoint Platform</t>
  </si>
  <si>
    <t>[Preview] Number of Production Application Growth</t>
  </si>
  <si>
    <t>Represents the total count of applications deployed to production environments within Anypoint Platform.</t>
  </si>
  <si>
    <t>&gt;=22.00%</t>
  </si>
  <si>
    <t>Data Query</t>
  </si>
  <si>
    <t>SOQL Query Indicator</t>
  </si>
  <si>
    <t>Tracks if SOQL Real-Time Events Big Object Query is performed in the org.</t>
  </si>
  <si>
    <t>Salesforce Professional Services</t>
  </si>
  <si>
    <t>Salesforce Professional Services engagement within the last 12 months.</t>
  </si>
  <si>
    <t>Virtual Instructor-Led Training</t>
  </si>
  <si>
    <t>Virtual Instructor-Led Training (VILT) attended within the last 12 months.</t>
  </si>
  <si>
    <t>Best Practices</t>
  </si>
  <si>
    <t>(MCAE) Active Automation Rules ProM Alerts</t>
  </si>
  <si>
    <t>Total number of Active Automation Rules alerts.</t>
  </si>
  <si>
    <t>Package Utilization</t>
  </si>
  <si>
    <t>Percentage of installed packages used monthly.</t>
  </si>
  <si>
    <t>&gt;=41.76%</t>
  </si>
  <si>
    <t>Max Content (Files) Limit ProM Alerts</t>
  </si>
  <si>
    <t>Total number of Max Content (Files) Limit alerts.</t>
  </si>
  <si>
    <t>Salesforce Certifications</t>
  </si>
  <si>
    <t>Active Salesforce Certifications recorded.</t>
  </si>
  <si>
    <t>Maximum Invalid Login Attempts</t>
  </si>
  <si>
    <t>Indicates if there's a limit on login attempts before the user is locked out.</t>
  </si>
  <si>
    <t>&lt;=4</t>
  </si>
  <si>
    <t>Concurrent Apex Errors</t>
  </si>
  <si>
    <t>Occurs when too many long-running synchronous Apex transactions are executing simultaneously, exceeding limits. This can lead to performance issues and disruptions as subsequent transactions fail.</t>
  </si>
  <si>
    <t>Routing and Rules</t>
  </si>
  <si>
    <t>Omni Channel Engagement</t>
  </si>
  <si>
    <t>Percentage of monthly users engaging with Omni Channel.</t>
  </si>
  <si>
    <t>&gt;=5.64%</t>
  </si>
  <si>
    <t>Connect with Prospects</t>
  </si>
  <si>
    <t>Email Action</t>
  </si>
  <si>
    <t>Org has Email Action enabled and used monthly.</t>
  </si>
  <si>
    <t>License Activation</t>
  </si>
  <si>
    <t>Percentage of Activated/Total Purchased licenses to date.</t>
  </si>
  <si>
    <t>&gt;=52.53%</t>
  </si>
  <si>
    <t>Contact Intelligence View Engagement</t>
  </si>
  <si>
    <t>Percentage of monthly users engaging with Contact Intelligence View.</t>
  </si>
  <si>
    <t>&gt;=61.00%</t>
  </si>
  <si>
    <t>Assets Management</t>
  </si>
  <si>
    <t>Maintenance Plan</t>
  </si>
  <si>
    <t>Org has Maintenance Plan enabled and used monthly.</t>
  </si>
  <si>
    <t>Sales Experience</t>
  </si>
  <si>
    <t>Sales Console Apps Engagement</t>
  </si>
  <si>
    <t>Percentage of monthly users engaging with Sales Console Apps.</t>
  </si>
  <si>
    <t>&gt;=13.66%</t>
  </si>
  <si>
    <t>Merge Fields</t>
  </si>
  <si>
    <t>Org has Merge Fields enabled.</t>
  </si>
  <si>
    <t>Trailblazer Community</t>
  </si>
  <si>
    <t>Trailblazer Community engagement (comments, posts and file downloads within the CSG moderated Groups and Topics) within the last 12 months.</t>
  </si>
  <si>
    <t>&lt;=6</t>
  </si>
  <si>
    <t>Console Workspace Engagement</t>
  </si>
  <si>
    <t>Percentage of monthly users engaging with Console Workspace.</t>
  </si>
  <si>
    <t>&gt;=42.23%</t>
  </si>
  <si>
    <t>Minimum Password Lifetime Requirement</t>
  </si>
  <si>
    <t>Indicates if a minimum 1-day wait is required before changing the password again.</t>
  </si>
  <si>
    <t>License Utilization</t>
  </si>
  <si>
    <t>Percentage of Activated users logging in monthly.</t>
  </si>
  <si>
    <t>&gt;=51.75%</t>
  </si>
  <si>
    <t>Data Integration</t>
  </si>
  <si>
    <t>User Dataflow Runs Engagement</t>
  </si>
  <si>
    <t>Tracks when a dataflow is run by a CRMA Platform user.</t>
  </si>
  <si>
    <t>&gt;=15.74%</t>
  </si>
  <si>
    <t>Entitlement Utilization (Full)</t>
  </si>
  <si>
    <t>Percentage of Full Sandboxes used to date.</t>
  </si>
  <si>
    <t>&gt;=13.97%</t>
  </si>
  <si>
    <t>&gt;=7.40%</t>
  </si>
  <si>
    <t>Percentage of Orgs with Metadata Retrievals</t>
  </si>
  <si>
    <t>Percentage of Monthly Active Orgs with Metadata Retrievals.</t>
  </si>
  <si>
    <t>Entitlement Utilization (File Storage)</t>
  </si>
  <si>
    <t>Percentage of File Storage (MB) entitlements used to date.</t>
  </si>
  <si>
    <t>&gt;=11.98%</t>
  </si>
  <si>
    <t>Order Ingestion Error ProM Alerts</t>
  </si>
  <si>
    <t>Total number of Order Ingestion Error alerts.</t>
  </si>
  <si>
    <t>Rowlock Error Rates</t>
  </si>
  <si>
    <t>Errors that occur when a process attempts to modify a row that is already locked by another process. Attempts to access a locked record will timeout after 10 sec. Identifies DB CPU performance impacts.</t>
  </si>
  <si>
    <t>Entitlement Utilization (Trailing twelve months Events)</t>
  </si>
  <si>
    <t>Percentage of Events used in last 12 months.</t>
  </si>
  <si>
    <t>&gt;=0.06%</t>
  </si>
  <si>
    <t>Agentforce Certifications</t>
  </si>
  <si>
    <t>Agentforce Certifications recorded.</t>
  </si>
  <si>
    <t>Activities Growth</t>
  </si>
  <si>
    <t>Percent change of the object record count over a 12 month period for Activities.</t>
  </si>
  <si>
    <t>&gt;=1.69%</t>
  </si>
  <si>
    <t>Percentage of Orgs with Metadata Deploys</t>
  </si>
  <si>
    <t>Percentage of Monthly Active Orgs with Metadata Deploys.</t>
  </si>
  <si>
    <t>Account Intelligence View Engagement</t>
  </si>
  <si>
    <t>Percentage of monthly users engaging with Account Intelligence View.</t>
  </si>
  <si>
    <t>&gt;=13.96%</t>
  </si>
  <si>
    <t>Sales Team Management</t>
  </si>
  <si>
    <t>Multiple Currencies</t>
  </si>
  <si>
    <t>Org has Multiple Currencies enabled.</t>
  </si>
  <si>
    <t>API Only User Page URL</t>
  </si>
  <si>
    <t>Indicates if a redirect URL is set for users with API Only permission instead of the login page.</t>
  </si>
  <si>
    <t>Application Usage</t>
  </si>
  <si>
    <t>CRMA App Usage (Any) Engagement</t>
  </si>
  <si>
    <t>Tracks CRMA Platform apps usage such as sales, service, admin, etc.</t>
  </si>
  <si>
    <t>&gt;=93.27%</t>
  </si>
  <si>
    <t>Onboarding</t>
  </si>
  <si>
    <t>Onboarding completed for Premier customers.</t>
  </si>
  <si>
    <t>Knowledge Articles</t>
  </si>
  <si>
    <t>Knowledge Articles (Salesforce Help documentation and resources) viewed while authenticated within the last 12 months.</t>
  </si>
  <si>
    <t>&gt;=49.75%</t>
  </si>
  <si>
    <t>API Integration</t>
  </si>
  <si>
    <t>Connect Framework API Engagement</t>
  </si>
  <si>
    <t>Tracks the new CRMA Platform API under Connect Framework.</t>
  </si>
  <si>
    <t>&gt;=47.25%</t>
  </si>
  <si>
    <t>Agent Automation</t>
  </si>
  <si>
    <t>Quick Text</t>
  </si>
  <si>
    <t>Org has Quick Text enabled and used monthly.</t>
  </si>
  <si>
    <t>Average Page Load Time</t>
  </si>
  <si>
    <t>Average Page Time (APT) measures the length of time requests spend in the application tier, excluding database and network time (ms). Anomalies may indicate performance issues or service disruptions.</t>
  </si>
  <si>
    <t>&lt;=84</t>
  </si>
  <si>
    <t>[Preview] Number of API Policies Growth</t>
  </si>
  <si>
    <t>Represents the total count of API policies applied to managed APIs within Anypoint Platform.</t>
  </si>
  <si>
    <t>Password History Restriction</t>
  </si>
  <si>
    <t>Indicates if a set number of previous passwords are remembered to enforce uniqueness.</t>
  </si>
  <si>
    <t>&gt;=2</t>
  </si>
  <si>
    <t>Password Assistance URL</t>
  </si>
  <si>
    <t>Indicates if a URL is set for users to retrieve forgotten passwords.</t>
  </si>
  <si>
    <t>User Interface (UI) Usage</t>
  </si>
  <si>
    <t>CRMA UI Usage (Any) Engagement</t>
  </si>
  <si>
    <t>Tracks CRMA apps Analytics any UI Usage.</t>
  </si>
  <si>
    <t>Hourly Platform Event Publishing Limit ProM Alerts</t>
  </si>
  <si>
    <t>Total number of Hourly Platform Event Publishing Limit alerts.</t>
  </si>
  <si>
    <t>Integration Efficiency</t>
  </si>
  <si>
    <t>Concurrent API Errors</t>
  </si>
  <si>
    <t>Ratio of concurrent API errors to total API calls. Occurs when request limits are being exceeded (25 long running API calls over 20 seconds). Resulting in failed integrations or service disruptions.</t>
  </si>
  <si>
    <t>Tableau Conference</t>
  </si>
  <si>
    <t>Tableau Conference attendance within the last 12 months.</t>
  </si>
  <si>
    <t>Entitlement Utilization (Cumulative SMS)</t>
  </si>
  <si>
    <t>Percentage of SMS used to date.</t>
  </si>
  <si>
    <t>&gt;=46.83%</t>
  </si>
  <si>
    <t>SSO Enabled</t>
  </si>
  <si>
    <t>Indicates whether Single Sign-On (SSO) is enabled to simplify and secure user authentication.</t>
  </si>
  <si>
    <t>Dashboard Dequeue Latency ProM Alerts</t>
  </si>
  <si>
    <t>Total number of Dashboard Dequeue Latency alerts.</t>
  </si>
  <si>
    <t>Apex CPU Time Out Errors</t>
  </si>
  <si>
    <t>Occurs when Apex code, flows, and automation exceed the CPU time limit (10s sync, 60s async). This prevents a transaction from monopolizing resources and ensures that processes continue to function.</t>
  </si>
  <si>
    <t>&lt;=342</t>
  </si>
  <si>
    <t>Password Lockout Period</t>
  </si>
  <si>
    <t>Indicates if a lockout duration is set after reaching the max invalid login attempts.</t>
  </si>
  <si>
    <t>&gt;=29</t>
  </si>
  <si>
    <t>License Activation (Service Predictive AI)</t>
  </si>
  <si>
    <t>Percentage of Activated/Total Purchased licenses to date (Service Predictive AI).</t>
  </si>
  <si>
    <t>&gt;=47.10%</t>
  </si>
  <si>
    <t>Entitlement Utilization (Trailing twelve months Feedback Management)</t>
  </si>
  <si>
    <t>Percentage of Feedback Management used in last 12 months.</t>
  </si>
  <si>
    <t>&gt;=31.80%</t>
  </si>
  <si>
    <t>Minimum Password Length</t>
  </si>
  <si>
    <t>Indicates if a minimum number of characters is required for passwords.</t>
  </si>
  <si>
    <t>&gt;=7</t>
  </si>
  <si>
    <t>Key Event Management-Go Live Support</t>
  </si>
  <si>
    <t>Customer Success Manager (CSM) engagements (within the last 12 months) to support Go-Live/Deployment.</t>
  </si>
  <si>
    <t>Quoting and Contract Management</t>
  </si>
  <si>
    <t>Pricebooks</t>
  </si>
  <si>
    <t>Org has Pricebooks enabled.</t>
  </si>
  <si>
    <t>License Activation (Identity Only)</t>
  </si>
  <si>
    <t>Percentage of Activated/Total Purchased license to date (Identity Only).</t>
  </si>
  <si>
    <t>&gt;=4.07%</t>
  </si>
  <si>
    <t>Case History Growth</t>
  </si>
  <si>
    <t>Percent change of the object record count over a 12 month period for Case History.</t>
  </si>
  <si>
    <t>&gt;=7.27%</t>
  </si>
  <si>
    <t>&gt;=9.16%</t>
  </si>
  <si>
    <t>&gt;=32.28%</t>
  </si>
  <si>
    <t>&gt;=52.55%</t>
  </si>
  <si>
    <t>Case Feed Engagement</t>
  </si>
  <si>
    <t>Percentage of monthly users engaging with Case Feed.</t>
  </si>
  <si>
    <t>&gt;=6.54%</t>
  </si>
  <si>
    <t>Knowledge Viewing Engagement</t>
  </si>
  <si>
    <t>Percentage of monthly users engaging with Knowledge Viewing.</t>
  </si>
  <si>
    <t>&gt;=38.79%</t>
  </si>
  <si>
    <t>Data Efficiency</t>
  </si>
  <si>
    <t>Apex Heap Size Errors</t>
  </si>
  <si>
    <t>Total instances of the "Apex heap size too large" error. Occurs when code attempts to store too much data in memory, exceeding the allocated Apex heap limit - 6MB (sync) or 12MB (async).</t>
  </si>
  <si>
    <t>Scale Center Adoption</t>
  </si>
  <si>
    <t>Indicates whether Scale Center was implemented and utilized within the last 90 days. Scale Center is employed to monitor, analyze and optimize org performance and scalability.</t>
  </si>
  <si>
    <t>Macros</t>
  </si>
  <si>
    <t>Org has Macros enabled and used monthly.</t>
  </si>
  <si>
    <t>Work Management</t>
  </si>
  <si>
    <t>Service Resource Skill</t>
  </si>
  <si>
    <t>Org has Service Resource Skill enabled and used monthly.</t>
  </si>
  <si>
    <t>Videos</t>
  </si>
  <si>
    <t>Video viewing activity (Salesforce Help) within the last 12 months.</t>
  </si>
  <si>
    <t>Case Sharing Rules</t>
  </si>
  <si>
    <t>Org has Case Sharing Rules enabled.</t>
  </si>
  <si>
    <t>Escalation Rules</t>
  </si>
  <si>
    <t>Org has Escalation Rules enabled.</t>
  </si>
  <si>
    <t>CRMA Explorer Engagement</t>
  </si>
  <si>
    <t>Tracks Analytics UI - Explore feature usage on any UI.</t>
  </si>
  <si>
    <t>&gt;=60.04%</t>
  </si>
  <si>
    <t>Connection Pool Errors</t>
  </si>
  <si>
    <t>Total number of connection pool errors. These occur when an application fails to obtain a connection within a specific timeframe. This can lead to application instability and performance degradation.</t>
  </si>
  <si>
    <t>&lt;=3</t>
  </si>
  <si>
    <t>Login Failure ProM Alerts</t>
  </si>
  <si>
    <t>Total number of Login Failure alerts.</t>
  </si>
  <si>
    <t>World Tour</t>
  </si>
  <si>
    <t>World Tour events attended within last 12 months.</t>
  </si>
  <si>
    <t>Trailhead Rangers</t>
  </si>
  <si>
    <t>Current Trailhead Rangers.</t>
  </si>
  <si>
    <t>Knowledge Search Engagement</t>
  </si>
  <si>
    <t>Percentage of monthly users engaging with Knowledge Search.</t>
  </si>
  <si>
    <t>&gt;=29.01%</t>
  </si>
  <si>
    <t>Specialized Architect Reviews</t>
  </si>
  <si>
    <t>Specialized Architect Reviews (Reliability Reviews, Architecture Design Reviews) completed within the last 12 months.</t>
  </si>
  <si>
    <t>Entitlement Utilization (Trailing twelve months API)</t>
  </si>
  <si>
    <t>Percentage of API used in last 12 months.</t>
  </si>
  <si>
    <t>&gt;=6.13%</t>
  </si>
  <si>
    <t>Entitlement Utilization (Cumulative WhatsApp)</t>
  </si>
  <si>
    <t>Percentage of WhatsApp messages used to date.</t>
  </si>
  <si>
    <t>&gt;=35.66%</t>
  </si>
  <si>
    <t>[Preview] Not in Production after 120 Days Growth</t>
  </si>
  <si>
    <t>Represents applications that have been created in Anypoint Platform but have not been deployed to a production environment within 120 days of initial creation.</t>
  </si>
  <si>
    <t>&gt;=66.09%</t>
  </si>
  <si>
    <t>&lt;=28,735</t>
  </si>
  <si>
    <t>Analyze and Predict</t>
  </si>
  <si>
    <t>Data Shares processes Growth</t>
  </si>
  <si>
    <t>Percentage change in monthly Data Shares processes compared to the trailing twelve-month average.</t>
  </si>
  <si>
    <t>&gt;=33.42%</t>
  </si>
  <si>
    <t>Product Engagement</t>
  </si>
  <si>
    <t>Percentage of monthly users logging in daily.</t>
  </si>
  <si>
    <t>&gt;=47.97%</t>
  </si>
  <si>
    <t>CRMA Mobile Explorer Engagement</t>
  </si>
  <si>
    <t>Tracks Analytics UI - Explore feature usage on Mobile.</t>
  </si>
  <si>
    <t>&gt;=30.50%</t>
  </si>
  <si>
    <t>&gt;=49.68%</t>
  </si>
  <si>
    <t>Daily Platform Event Delivery Limit ProM Alerts</t>
  </si>
  <si>
    <t>Total number of Daily Platform Event Delivery Limit alerts.</t>
  </si>
  <si>
    <t>Knowledge Authoring</t>
  </si>
  <si>
    <t>Org has Knowledge Authoring enabled and used monthly.</t>
  </si>
  <si>
    <t>Org Automation Started (CSA)</t>
  </si>
  <si>
    <t>Org Automation Started (CSA).</t>
  </si>
  <si>
    <t>&gt;=21.11%</t>
  </si>
  <si>
    <t>Dynamic Activity Composer Engagement</t>
  </si>
  <si>
    <t>Percentage of monthly users engaging with Dynamic Activity Composer.</t>
  </si>
  <si>
    <t>&gt;=35.55%</t>
  </si>
  <si>
    <t>Trailhead Badges</t>
  </si>
  <si>
    <t>Trailhead activity (modules, projects, badges, and superbadges) earned within the last 12 months.</t>
  </si>
  <si>
    <t>Service-Level Agreements</t>
  </si>
  <si>
    <t>Service Contracts</t>
  </si>
  <si>
    <t>Org has Service Contracts enabled and used monthly.</t>
  </si>
  <si>
    <t>&gt;=46.92%</t>
  </si>
  <si>
    <t>Password Expiration</t>
  </si>
  <si>
    <t>Indicates if a time window is set after which users must reset their password.</t>
  </si>
  <si>
    <t>&lt;=91</t>
  </si>
  <si>
    <t>Entitlements</t>
  </si>
  <si>
    <t>Org has Entitlements enabled and used monthly.</t>
  </si>
  <si>
    <t>Core Deployed on Hyperforce</t>
  </si>
  <si>
    <t>Indicates whether the org is deployed on Hyperforce. This offers significant benefits in terms of scalability, flexibility, security, data residency and improved performance.</t>
  </si>
  <si>
    <t>&lt;=106</t>
  </si>
  <si>
    <t>License Activation (Platform AI)</t>
  </si>
  <si>
    <t>&gt;=31.42%</t>
  </si>
  <si>
    <t>Entitlement Utilization (Monthly API)</t>
  </si>
  <si>
    <t>Percentage of API used monthly.</t>
  </si>
  <si>
    <t>&gt;=0.63%</t>
  </si>
  <si>
    <t>Contacts to Multiple Accounts</t>
  </si>
  <si>
    <t>Org has Contacts to Multiple Accounts enabled and used monthly.</t>
  </si>
  <si>
    <t>&gt;=19.92%</t>
  </si>
  <si>
    <t>Service Setup Assistant</t>
  </si>
  <si>
    <t>Service Setup Home</t>
  </si>
  <si>
    <t>Org has Service Setup Home enabled and used monthly.</t>
  </si>
  <si>
    <t>Content Management</t>
  </si>
  <si>
    <t>Data Download Engagement</t>
  </si>
  <si>
    <t>Tracks data downloads from CRMA Analytics UI users.</t>
  </si>
  <si>
    <t>&gt;=32.69%</t>
  </si>
  <si>
    <t>Workflow Rules</t>
  </si>
  <si>
    <t>A high ratio of active workflows rules to total automations indicates a reliance on the legacy tool. We recommend Flow Builder for your automation needs.</t>
  </si>
  <si>
    <t>&lt;=1,463</t>
  </si>
  <si>
    <t>Virtual Interactive Workshops</t>
  </si>
  <si>
    <t>Virtual Interactive Workshops (VIW) attended within the last 12 months.</t>
  </si>
  <si>
    <t>&gt;=40.07%</t>
  </si>
  <si>
    <t>(MCAE) Unarchived Prospects ProM Alerts</t>
  </si>
  <si>
    <t>Total number of Unarchived Prospects alerts.</t>
  </si>
  <si>
    <t>&lt;=8,169</t>
  </si>
  <si>
    <t>Lead Generation</t>
  </si>
  <si>
    <t>Leads Engagement</t>
  </si>
  <si>
    <t>Percentage of monthly users engaging with Leads.</t>
  </si>
  <si>
    <t>&gt;=44.75%</t>
  </si>
  <si>
    <t>CRMA Desktop Explorer Engagement</t>
  </si>
  <si>
    <t>Tracks Analytics UI - Explore feature usage on Desktop.</t>
  </si>
  <si>
    <t>&gt;=27.15%</t>
  </si>
  <si>
    <t>Checkout</t>
  </si>
  <si>
    <t>B2B Invoke Checkout Session Flag</t>
  </si>
  <si>
    <t>Flag indicating B2B Invoke Checkout Session.</t>
  </si>
  <si>
    <t>CRMA App Usage - Service Analytics Engagement</t>
  </si>
  <si>
    <t>Tracks actions create/open for assets created from Service Analytics App.</t>
  </si>
  <si>
    <t>&gt;=59.31%</t>
  </si>
  <si>
    <t>Bulk API Dequeue Latency ProM Alerts</t>
  </si>
  <si>
    <t>Total number of Bulk API Dequeue Latency alerts.</t>
  </si>
  <si>
    <t>Cases Growth</t>
  </si>
  <si>
    <t>Percent change of the object record count over a 12 month period for Cases.</t>
  </si>
  <si>
    <t>&gt;=6.11%</t>
  </si>
  <si>
    <t>Contacts Engagement</t>
  </si>
  <si>
    <t>Percentage of monthly users engaging with Contacts.</t>
  </si>
  <si>
    <t>&gt;=59.22%</t>
  </si>
  <si>
    <t>Case Queues</t>
  </si>
  <si>
    <t>Org has Case Queues enabled.</t>
  </si>
  <si>
    <t>Entitlement Utilization (Data Storage (GB))</t>
  </si>
  <si>
    <t>Percentage of Data Storage (GB) used to date.</t>
  </si>
  <si>
    <t>&gt;=2.36%</t>
  </si>
  <si>
    <t>Install Secure Data Permissions and Policy</t>
  </si>
  <si>
    <t>Content Organization Indicator</t>
  </si>
  <si>
    <t>Org has users who created a project, collection, or group to categorize assets such as workbooks, flows, datasources.</t>
  </si>
  <si>
    <t>Obscure Secret Answer for Password</t>
  </si>
  <si>
    <t>Indicates if the security answer is obfuscated during entry.</t>
  </si>
  <si>
    <t>Asynchronous Apex Executions Limit ProM Alerts</t>
  </si>
  <si>
    <t>Total number of Asynchronous Apex Executions Limit alerts.</t>
  </si>
  <si>
    <t>&gt;=34.01%</t>
  </si>
  <si>
    <t>Org Request Rate Percentage - Spike ProM Alerts</t>
  </si>
  <si>
    <t>Total number of Org Request Rate Percentage - Spike alerts.</t>
  </si>
  <si>
    <t>&gt;=31.81%</t>
  </si>
  <si>
    <t>Accounts Growth</t>
  </si>
  <si>
    <t>Percent change of the object record count over a 12 month period for Accounts.</t>
  </si>
  <si>
    <t>&gt;=0.87%</t>
  </si>
  <si>
    <t>&gt;=31.36%</t>
  </si>
  <si>
    <t>Monitoring</t>
  </si>
  <si>
    <t>ProM Enabled</t>
  </si>
  <si>
    <t>Indicates customer has completed Proactive Monitoring (ProM) onboarding by enabling default signals and thresholds. This sets the foundation for proactive issue detection and observability.</t>
  </si>
  <si>
    <t>Connections (CNX)</t>
  </si>
  <si>
    <t>Connections (CNX) attendance within the last 12 months.</t>
  </si>
  <si>
    <t>Entitlement Utilization (Vcores PreProd)</t>
  </si>
  <si>
    <t>Percentage of Vcores PreProd used to date.</t>
  </si>
  <si>
    <t>&gt;=31.21%</t>
  </si>
  <si>
    <t>Contact Hierarchies</t>
  </si>
  <si>
    <t>Org has Contact Hierarchies enabled and used monthly.</t>
  </si>
  <si>
    <t>Indeterminate (Energy &amp; Utilities Cloud)</t>
  </si>
  <si>
    <t>OmniStudio Grouped Features Engagement (Energy &amp; Utilities Cloud)</t>
  </si>
  <si>
    <t>Org has used any of the OmniStudio features monthly.</t>
  </si>
  <si>
    <t>&gt;=60.49%</t>
  </si>
  <si>
    <t>Opportunities Growth</t>
  </si>
  <si>
    <t>Percent change of the object record count over a 12 month period for Opportunities.</t>
  </si>
  <si>
    <t>&gt;=1.84%</t>
  </si>
  <si>
    <t>CRMA Desktop Usage Engagement</t>
  </si>
  <si>
    <t>Tracks Analytics UI Desktop usage.</t>
  </si>
  <si>
    <t>&gt;=62.51%</t>
  </si>
  <si>
    <t>Concurrent UI Error ProM Alerts</t>
  </si>
  <si>
    <t>Total number of Concurrent UI Error alerts.</t>
  </si>
  <si>
    <t>Orders</t>
  </si>
  <si>
    <t>Org has Orders enabled.</t>
  </si>
  <si>
    <t>Connect, Combine, Clean, and Share Data</t>
  </si>
  <si>
    <t>Publish Activity per Creator Engagement</t>
  </si>
  <si>
    <t>Percentage of monthly users who published datasource, workbook, or flow against all active creators.</t>
  </si>
  <si>
    <t>&gt;=55.88%</t>
  </si>
  <si>
    <t>Channel Management</t>
  </si>
  <si>
    <t>Web-to-Case</t>
  </si>
  <si>
    <t>Org has Web-to-Case enabled and used monthly.</t>
  </si>
  <si>
    <t>Signature Success Plan Onboarding</t>
  </si>
  <si>
    <t>Signature Success Plan Onboarding completed.</t>
  </si>
  <si>
    <t>&gt;=20.39%</t>
  </si>
  <si>
    <t>&gt;=8.54%</t>
  </si>
  <si>
    <t>&gt;=54.93%</t>
  </si>
  <si>
    <t>Console Custom Components</t>
  </si>
  <si>
    <t>Org has Console Custom Components enabled and used monthly.</t>
  </si>
  <si>
    <t>(MCAE) Archived Prospects ProM Alerts</t>
  </si>
  <si>
    <t>Total number of Archived Prospects alerts.</t>
  </si>
  <si>
    <t>Opportunities Engagement</t>
  </si>
  <si>
    <t>Percentage of monthly users engaging with Opportunities.</t>
  </si>
  <si>
    <t>&gt;=66.70%</t>
  </si>
  <si>
    <t>&gt;=53.93%</t>
  </si>
  <si>
    <t>Customizable Campaign Influence</t>
  </si>
  <si>
    <t>Org has Customizable Campaign Influence enabled and used monthly.</t>
  </si>
  <si>
    <t>Apex CPU Timeout Exception ProM Alerts</t>
  </si>
  <si>
    <t>Total number of Apex CPU Timeout Exception alerts.</t>
  </si>
  <si>
    <t>Core MFA Enabled</t>
  </si>
  <si>
    <t>Indicates whether Multi-Factor Authentication (MFA) is enabled for added login security.</t>
  </si>
  <si>
    <t>Explore and Analyze Data</t>
  </si>
  <si>
    <t>Views Engagement</t>
  </si>
  <si>
    <t>Percentage of monthly users who opens a view in a workbook.</t>
  </si>
  <si>
    <t>&gt;=71.01%</t>
  </si>
  <si>
    <t>Sales Process Engagement</t>
  </si>
  <si>
    <t>Percentage of monthly users engaging with Sales Process.</t>
  </si>
  <si>
    <t>&gt;=8.96%</t>
  </si>
  <si>
    <t>Opportunity &amp; Pipeline Management</t>
  </si>
  <si>
    <t>Opportunity Teams Grouped Features</t>
  </si>
  <si>
    <t>Org has used any of the Opportunity Teams features monthly.</t>
  </si>
  <si>
    <t>Send List Email</t>
  </si>
  <si>
    <t>Org has Send List Email enabled and used monthly.</t>
  </si>
  <si>
    <t>Sales Integration</t>
  </si>
  <si>
    <t>Einstein Activity Capture</t>
  </si>
  <si>
    <t>Org has Einstein Activity Capture enabled and used monthly.</t>
  </si>
  <si>
    <t>&gt;=36.08%</t>
  </si>
  <si>
    <t>Operating Hours</t>
  </si>
  <si>
    <t>Org has Operating Hours enabled and used monthly.</t>
  </si>
  <si>
    <t>CRMA Mobile Usage Engagement</t>
  </si>
  <si>
    <t>Tracks Analytics UI Mobile usage.</t>
  </si>
  <si>
    <t>&gt;=60.75%</t>
  </si>
  <si>
    <t>Work Type</t>
  </si>
  <si>
    <t>Org has Work Type enabled and used monthly.</t>
  </si>
  <si>
    <t>Access</t>
  </si>
  <si>
    <t>Avg Monthly Active Users logging in per Sandbox</t>
  </si>
  <si>
    <t>Percentage change in average number of Active Users across all Sandbox Orgs compared to a trailing 12 month period.</t>
  </si>
  <si>
    <t>&gt;=6.60%</t>
  </si>
  <si>
    <t>Success Reviews</t>
  </si>
  <si>
    <t>Success Reviews completed within the last 12 months.</t>
  </si>
  <si>
    <t>Entitlement Utilization (Dynos)</t>
  </si>
  <si>
    <t>Percentage of Dynos used to date monthly.</t>
  </si>
  <si>
    <t>&gt;=11.29%</t>
  </si>
  <si>
    <t>Contact Merge</t>
  </si>
  <si>
    <t>Org has Contact Merge enabled and used monthly.</t>
  </si>
  <si>
    <t>Org Event Monitoring</t>
  </si>
  <si>
    <t>Org has Event monitoring enabled and used monthly.</t>
  </si>
  <si>
    <t>API Event Indicator</t>
  </si>
  <si>
    <t>Tracks the REST API or SOAP API or BULK API or Soql Real-Time Event Query operation by users in the org (based on ELF usage).</t>
  </si>
  <si>
    <t>Expert Coaching</t>
  </si>
  <si>
    <t>Expert Coaching  (one-to-one consultative engagements) completed within the last 12 months.</t>
  </si>
  <si>
    <t>Password Assistance Message</t>
  </si>
  <si>
    <t>Indicates if a custom help message is shown in lockout emails and the Confirm Identity screen.</t>
  </si>
  <si>
    <t>&gt;=15.94%</t>
  </si>
  <si>
    <t>&gt;=40.75%</t>
  </si>
  <si>
    <t>Telephony Integration Failure ProM Alerts</t>
  </si>
  <si>
    <t>Total number of Telephony Integration Failure alerts.</t>
  </si>
  <si>
    <t>Bulk API Batch Limit ProM Alerts</t>
  </si>
  <si>
    <t>Total number of Bulk API Batch Limit alerts.</t>
  </si>
  <si>
    <t>(MCAE) Prospects per Prospect Account ProM Alerts</t>
  </si>
  <si>
    <t>Total number of Prospects per Prospect Account alerts.</t>
  </si>
  <si>
    <t>Creates, Refreshes, Clones flag</t>
  </si>
  <si>
    <t>Indicates whether new environments were initiated (refresh, create, clone) for all sandboxes connected with a prod org for the month.</t>
  </si>
  <si>
    <t>&gt;=9.87%</t>
  </si>
  <si>
    <t>Scheduling and Dispatch Management</t>
  </si>
  <si>
    <t>Scheduling Event Growth</t>
  </si>
  <si>
    <t>Percentage change in monthly Scheduling Events compared to the trailing twelve-month average.</t>
  </si>
  <si>
    <t>Connector Dataflow Runs Engagement</t>
  </si>
  <si>
    <t>Tracks when a dataflow run by an existing Connector including Replication.</t>
  </si>
  <si>
    <t>&gt;=14.71%</t>
  </si>
  <si>
    <t>&gt;=56.92%</t>
  </si>
  <si>
    <t>Lead Conversion Growth</t>
  </si>
  <si>
    <t>Percent change of the object record count over a 12 month period for Lead Conversion.</t>
  </si>
  <si>
    <t>&gt;=-0.08%</t>
  </si>
  <si>
    <t>&gt;=41.28%</t>
  </si>
  <si>
    <t>Mobile Management</t>
  </si>
  <si>
    <t>Lightning Web Component Used</t>
  </si>
  <si>
    <t>Org has Lightning Web Component Used enabled and used monthly.</t>
  </si>
  <si>
    <t>Lead Sharing Rules</t>
  </si>
  <si>
    <t>Org has Lead Sharing Rules enabled.</t>
  </si>
  <si>
    <t>Password Question Requirement</t>
  </si>
  <si>
    <t>Indicates if restrictions are in place to prevent using the password in the recovery question.</t>
  </si>
  <si>
    <t>CRMA App Usage - Sales Analytics Engagement</t>
  </si>
  <si>
    <t>Tracks actions create/open for assets created from Sales App.</t>
  </si>
  <si>
    <t>&gt;=60.69%</t>
  </si>
  <si>
    <t>Entitlement Utilization (API Manager PreProd)</t>
  </si>
  <si>
    <t>Percentage of API Manager PreProd used to date monthly.</t>
  </si>
  <si>
    <t>&gt;=55.56%</t>
  </si>
  <si>
    <t>&gt;=42.73%</t>
  </si>
  <si>
    <t>Entitlement Utilization (Trailing twelve months B2B Order Management - Industries)</t>
  </si>
  <si>
    <t>Percentage of B2B Order Management - Industries used in last 12 months.</t>
  </si>
  <si>
    <t>&gt;=26.63%</t>
  </si>
  <si>
    <t>Industries CPQ (Energy &amp; Utilities Cloud)</t>
  </si>
  <si>
    <t>Cart Operations Grouped Features Engagement (Energy &amp; Utilities Cloud)</t>
  </si>
  <si>
    <t>Org has used any of the Cart Operations features monthly.</t>
  </si>
  <si>
    <t>&gt;=29.51%</t>
  </si>
  <si>
    <t>&lt;=27,020</t>
  </si>
  <si>
    <t>Entitlement Utilization (Cumulative Super Messages)</t>
  </si>
  <si>
    <t>Percentage of Super Messages used to date.</t>
  </si>
  <si>
    <t>&gt;=43.48%</t>
  </si>
  <si>
    <t>&gt;=43.77%</t>
  </si>
  <si>
    <t>Quotes Engagement</t>
  </si>
  <si>
    <t>Org has Quotes enabled and used monthly.</t>
  </si>
  <si>
    <t>&gt;=50.57%</t>
  </si>
  <si>
    <t>Password Complexity Requirement</t>
  </si>
  <si>
    <t>Indicates if specific character types (e.g., letters, numbers, symbols) are required.</t>
  </si>
  <si>
    <t>Mobile Engagement</t>
  </si>
  <si>
    <t>Percentage of Salesforce users for all OSes, all apps and form factors monthly.</t>
  </si>
  <si>
    <t>&gt;=4.97%</t>
  </si>
  <si>
    <t>Concurrent API Request Error ProM Alerts</t>
  </si>
  <si>
    <t>Total number of Concurrent API Request Error alerts.</t>
  </si>
  <si>
    <t>&gt;=35.00%</t>
  </si>
  <si>
    <t>Digital Commerce (Energy &amp; Utilities Cloud)</t>
  </si>
  <si>
    <t>Basket Operations Grouped Features Indicator (Energy &amp; Utilities Cloud)</t>
  </si>
  <si>
    <t>Org has used any of the Basket Operations features monthly.</t>
  </si>
  <si>
    <t>Org Request Rate Percentage - Drop ProM Alerts</t>
  </si>
  <si>
    <t>Total number of Org Request Rate Percentage - Drop alerts.</t>
  </si>
  <si>
    <t>Connection Pool Error ProM Alerts</t>
  </si>
  <si>
    <t>Total number of Connection Pool Error alerts.</t>
  </si>
  <si>
    <t>Lightning Sync</t>
  </si>
  <si>
    <t>Org has Lightning Sync enabled and used monthly.</t>
  </si>
  <si>
    <t>Tasks Engagement</t>
  </si>
  <si>
    <t>Percentage of monthly users engaging with Tasks.</t>
  </si>
  <si>
    <t>&gt;=46.13%</t>
  </si>
  <si>
    <t>Entitlement Utilization (Partial)</t>
  </si>
  <si>
    <t>Percentage of Partial Copy Sandboxes used to date.</t>
  </si>
  <si>
    <t>&gt;=17.48%</t>
  </si>
  <si>
    <t>Tasks Growth</t>
  </si>
  <si>
    <t>Percent change of the object record count over a 12 month period for Tasks.</t>
  </si>
  <si>
    <t>&gt;=8.49%</t>
  </si>
  <si>
    <t>Entitlement Utilization (Data Storage)</t>
  </si>
  <si>
    <t>Percentage of Data Storage (MB) entitlements used to date.</t>
  </si>
  <si>
    <t>&gt;=24.41%</t>
  </si>
  <si>
    <t>License Activation (Service Generative AI)</t>
  </si>
  <si>
    <t>Percentage of Activated/Total Purchased licenses to date (Service Generative AI).</t>
  </si>
  <si>
    <t>&gt;=49.64%</t>
  </si>
  <si>
    <t>&gt;=51.64%</t>
  </si>
  <si>
    <t>&gt;=38.05%</t>
  </si>
  <si>
    <t>&gt;=3.67%</t>
  </si>
  <si>
    <t>Recipe Runs Engagement</t>
  </si>
  <si>
    <t>Tracks the Recipe Runs.</t>
  </si>
  <si>
    <t>&gt;=14.09%</t>
  </si>
  <si>
    <t>Durable Streaming API Limit ProM Alerts</t>
  </si>
  <si>
    <t>Total number of Durable Streaming API Limit alerts.</t>
  </si>
  <si>
    <t>Database CPU Consumption Time ProM Alerts</t>
  </si>
  <si>
    <t>Total number of Database CPU Consumption Time alerts.</t>
  </si>
  <si>
    <t>&gt;=12.38%</t>
  </si>
  <si>
    <t>Invocable Action for Apex Failure ProM Alerts</t>
  </si>
  <si>
    <t>Total number of Invocable Action for Apex Failure alerts.</t>
  </si>
  <si>
    <t>Email Customers Engagement</t>
  </si>
  <si>
    <t>Percentage of monthly users engaging with Email Customers.</t>
  </si>
  <si>
    <t>&gt;=26.95%</t>
  </si>
  <si>
    <t>EPT Page Load Time</t>
  </si>
  <si>
    <t>Average Experience Page Time (EPT) measures how long Lightning pages take to load to an interactive state. Higher EPT indicates slower user experience.</t>
  </si>
  <si>
    <t>&lt;=1,126</t>
  </si>
  <si>
    <t>Lightning Email Templates</t>
  </si>
  <si>
    <t>Org has Lightning Email Templates enabled.</t>
  </si>
  <si>
    <t>License Utilization (Identity Only)</t>
  </si>
  <si>
    <t>Percentage of Activated users logging in monthly (Identity Only).</t>
  </si>
  <si>
    <t>&gt;=38.25%</t>
  </si>
  <si>
    <t>&gt;=53.14%</t>
  </si>
  <si>
    <t>&gt;=30.45%</t>
  </si>
  <si>
    <t>Entitlement Utilization (Developer Pro)</t>
  </si>
  <si>
    <t>Percentage of Developer Pro Sandboxes used to date.</t>
  </si>
  <si>
    <t>&gt;=13.00%</t>
  </si>
  <si>
    <t>&gt;=28.75%</t>
  </si>
  <si>
    <t>(MCAE) Page Views ProM Alerts</t>
  </si>
  <si>
    <t>Total number of Page Views alerts.</t>
  </si>
  <si>
    <t>&gt;=34.28%</t>
  </si>
  <si>
    <t>Knowledge Data Categories</t>
  </si>
  <si>
    <t>Org has Knowledge Data Categories enabled and used monthly.</t>
  </si>
  <si>
    <t>Email-to-Case Growth</t>
  </si>
  <si>
    <t>Percent change of the object record count over a 12 month period for Email-to-Case.</t>
  </si>
  <si>
    <t>&gt;=1.80%</t>
  </si>
  <si>
    <t>&gt;=41.46%</t>
  </si>
  <si>
    <t>Annual Technical Health Review</t>
  </si>
  <si>
    <t>Annual Technical Health Reviews completed within the last 12 months.</t>
  </si>
  <si>
    <t>Activity Timeline</t>
  </si>
  <si>
    <t>Org has Activity Timeline enabled and used monthly.</t>
  </si>
  <si>
    <t>&gt;=2.34%</t>
  </si>
  <si>
    <t>Asynchronous Callout Failure ProM Alerts</t>
  </si>
  <si>
    <t>Total number of Asynchronous Callout Failure alerts.</t>
  </si>
  <si>
    <t>Leads Growth</t>
  </si>
  <si>
    <t>Percent change of the object record count over a 12 month period for Leads.</t>
  </si>
  <si>
    <t>&gt;=1.22%</t>
  </si>
  <si>
    <t>Appointment Assistant - Real Time Location</t>
  </si>
  <si>
    <t>Org has Appointment Assistant - Real Time Location enabled and used monthly.</t>
  </si>
  <si>
    <t>Package Engagement</t>
  </si>
  <si>
    <t>Percentage of Salesforce users using the installed packages monthly.</t>
  </si>
  <si>
    <t>&gt;=59.71%</t>
  </si>
  <si>
    <t>Opportunity Products Engagement</t>
  </si>
  <si>
    <t>Percentage of monthly users engaging with Opportunity Products.</t>
  </si>
  <si>
    <t>&gt;=39.41%</t>
  </si>
  <si>
    <t>(MCAE) Prospects with Paused Activity ProM Alerts</t>
  </si>
  <si>
    <t>Total number of Prospects with Paused Activity alerts.</t>
  </si>
  <si>
    <t>&gt;=48.79%</t>
  </si>
  <si>
    <t>Sales Productivity</t>
  </si>
  <si>
    <t>Duplicate Rules</t>
  </si>
  <si>
    <t>Org has Duplicate Rules enabled and used monthly.</t>
  </si>
  <si>
    <t>Lead Intelligence View Engagement</t>
  </si>
  <si>
    <t>Percentage of monthly users engaging with Lead Intelligence View.</t>
  </si>
  <si>
    <t>&gt;=14.37%</t>
  </si>
  <si>
    <t>Bot Messaging</t>
  </si>
  <si>
    <t>Total Bot Engaged Sessions Growth</t>
  </si>
  <si>
    <t>Percentage change in monthly bot engaged sessions compared to the trailing twelve-month average.</t>
  </si>
  <si>
    <t>&gt;=2.70%</t>
  </si>
  <si>
    <t>&gt;=22.44%</t>
  </si>
  <si>
    <t>&gt;=31.02%</t>
  </si>
  <si>
    <t>CRMA App Usage - B2B Marketing Engagement</t>
  </si>
  <si>
    <t>Tracks actions create/open for assets created from B2B Marketing App.</t>
  </si>
  <si>
    <t>&gt;=58.84%</t>
  </si>
  <si>
    <t>&gt;=1.43%</t>
  </si>
  <si>
    <t>License Activation (Backup)</t>
  </si>
  <si>
    <t>Org has Activated licenses (Backup).</t>
  </si>
  <si>
    <t>&gt;=47.38%</t>
  </si>
  <si>
    <t>Salesforce Everywhere Chrome Extension</t>
  </si>
  <si>
    <t>Org has Salesforce Everywhere Chrome Extension enabled and used monthly.</t>
  </si>
  <si>
    <t>Products</t>
  </si>
  <si>
    <t>Org has Products enabled.</t>
  </si>
  <si>
    <t>Events Engagement</t>
  </si>
  <si>
    <t>Percentage of monthly users engaging with Events.</t>
  </si>
  <si>
    <t>&gt;=22.82%</t>
  </si>
  <si>
    <t>&gt;=49.11%</t>
  </si>
  <si>
    <t>Apex Queueable Performance ProM Alerts</t>
  </si>
  <si>
    <t>Total number of Apex Queueable Performance alerts.</t>
  </si>
  <si>
    <t>Optimization Requests - API Usage</t>
  </si>
  <si>
    <t>Org has Optimization Requests - API Usage enabled and used monthly.</t>
  </si>
  <si>
    <t>Collaborative Forecasts - Quotas Grouped Features</t>
  </si>
  <si>
    <t>Org has used any of the Collaborative Forecasts - Quotas features monthly.</t>
  </si>
  <si>
    <t>&gt;=19.00%</t>
  </si>
  <si>
    <t>&lt;=7,238</t>
  </si>
  <si>
    <t>Average Synchronous Callout Time ProM Alerts</t>
  </si>
  <si>
    <t>Total number of Average Synchronous Callout Time alerts.</t>
  </si>
  <si>
    <t>&gt;=53.72%</t>
  </si>
  <si>
    <t>CRMA App Usage - Financial Service Cloud(FSC) Engagement</t>
  </si>
  <si>
    <t>Tracks actions create/open for assets created from Financial Service Cloud (FSC) App.</t>
  </si>
  <si>
    <t>&gt;=40.72%</t>
  </si>
  <si>
    <t>&gt;=27.94%</t>
  </si>
  <si>
    <t>CRMA App Usage - Event Monitoring Engagement</t>
  </si>
  <si>
    <t>Tracks actions create/open for assets created from Event Monitoring App.</t>
  </si>
  <si>
    <t>&gt;=60.83%</t>
  </si>
  <si>
    <t>Facebook Messenger (Bots) Engaged Sessions Growth</t>
  </si>
  <si>
    <t>Percentage change in monthly bot engaged sessions on Facebook compared to the trailing twelve-month average.</t>
  </si>
  <si>
    <t>Daily Content and Versions Limit ProM Alerts</t>
  </si>
  <si>
    <t>Total number of Daily Content and Versions Limit alerts.</t>
  </si>
  <si>
    <t>Lead Conversion Engagement</t>
  </si>
  <si>
    <t>Org has Lead Conversion enabled and used monthly.</t>
  </si>
  <si>
    <t>Assigned Resource</t>
  </si>
  <si>
    <t>Org has Assigned Resource enabled and used monthly.</t>
  </si>
  <si>
    <t>Creator Publish Activity Engagement</t>
  </si>
  <si>
    <t>Percentage of monthly creator users who published datasource, workbook, or flow.</t>
  </si>
  <si>
    <t>&gt;=51.71%</t>
  </si>
  <si>
    <t>&gt;=1.06%</t>
  </si>
  <si>
    <t>&gt;=22.87%</t>
  </si>
  <si>
    <t>&gt;=27.12%</t>
  </si>
  <si>
    <t>&gt;=43.44%</t>
  </si>
  <si>
    <t>Apex Queueable Dequeue Latency ProM Alerts</t>
  </si>
  <si>
    <t>Total number of Apex Queueable Dequeue Latency alerts.</t>
  </si>
  <si>
    <t>Hourly OData XDS Callouts Limit ProM Alerts</t>
  </si>
  <si>
    <t>Total number of Hourly OData XDS Callouts Limit alerts.</t>
  </si>
  <si>
    <t>Web-to-X Request Limit ProM Alerts</t>
  </si>
  <si>
    <t>Total number of Web-to-X Request Limit alerts.</t>
  </si>
  <si>
    <t>CRMA Dashboard Usage Engagement</t>
  </si>
  <si>
    <t>Tracks when a dashboard is being viewed.</t>
  </si>
  <si>
    <t>&gt;=62.41%</t>
  </si>
  <si>
    <t>License Activation (Core CRMA)</t>
  </si>
  <si>
    <t>Percentage of Activated/Total Purchased licenses to date (Core CRMA).</t>
  </si>
  <si>
    <t>&gt;=54.23%</t>
  </si>
  <si>
    <t>Exchange Asset Approaching Limit</t>
  </si>
  <si>
    <t>Indicates that the number of Exchange assets in the organization is nearing the 100k asset limit. This message serves as an alert, indicating that Exchange assets should be reviewed to optimize usage.</t>
  </si>
  <si>
    <t>&gt;=1.41%</t>
  </si>
  <si>
    <t>&gt;=40.93%</t>
  </si>
  <si>
    <t>Daily Workflow Email Limit ProM Alerts</t>
  </si>
  <si>
    <t>Total number of Daily Workflow Email Limit alerts.</t>
  </si>
  <si>
    <t>&lt;=116</t>
  </si>
  <si>
    <t>Orders Engagement</t>
  </si>
  <si>
    <t>Org has Orders enabled and used monthly.</t>
  </si>
  <si>
    <t>Embedded Analytics</t>
  </si>
  <si>
    <t>Embedded Analytics for Communities Engagement</t>
  </si>
  <si>
    <t>Tracks Embedded Analytics for Communities usage.</t>
  </si>
  <si>
    <t>&gt;=15.98%</t>
  </si>
  <si>
    <t>&gt;=7.42%</t>
  </si>
  <si>
    <t>Entitlement Utilization (Cumulative Data Service Credits)</t>
  </si>
  <si>
    <t>Percentage of Data Services Credits used to date.</t>
  </si>
  <si>
    <t>&gt;=24.80%</t>
  </si>
  <si>
    <t>Flow Growth</t>
  </si>
  <si>
    <t>Count of monthly Flows created.</t>
  </si>
  <si>
    <t>&gt;=0.43%</t>
  </si>
  <si>
    <t>Dashboard Performance ProM Alerts</t>
  </si>
  <si>
    <t>Total number of Dashboard Performance alerts.</t>
  </si>
  <si>
    <t>&gt;=19.36%</t>
  </si>
  <si>
    <t>&gt;=29.73%</t>
  </si>
  <si>
    <t>Accounts Engagement</t>
  </si>
  <si>
    <t>Percentage of monthly users engaging with Accounts.</t>
  </si>
  <si>
    <t>&gt;=64.87%</t>
  </si>
  <si>
    <t>Work Plan</t>
  </si>
  <si>
    <t>Org has Work Plan enabled and used monthly.</t>
  </si>
  <si>
    <t>Swarming</t>
  </si>
  <si>
    <t>Org has Swarming enabled and used monthly.</t>
  </si>
  <si>
    <t>Dreamforce</t>
  </si>
  <si>
    <t>Dreamforce attendance (in-person and virtual) within the last 12 months.</t>
  </si>
  <si>
    <t>&gt;=13.57%</t>
  </si>
  <si>
    <t>Search Query Error ProM Alerts</t>
  </si>
  <si>
    <t>Total number of Search Query Error alerts.</t>
  </si>
  <si>
    <t>Service Representative Messaging</t>
  </si>
  <si>
    <t>Total Service Representative Sessions Growth</t>
  </si>
  <si>
    <t>Percentage change in monthly Service Representative Messaging sessions compared to the trailing 12 month average.</t>
  </si>
  <si>
    <t>&gt;=20.91%</t>
  </si>
  <si>
    <t>&gt;=48.35%</t>
  </si>
  <si>
    <t>Entitlement Utilization (Cores Prod)</t>
  </si>
  <si>
    <t>Percentage of Cores Prod used to date.</t>
  </si>
  <si>
    <t>&gt;=3.96%</t>
  </si>
  <si>
    <t>&gt;=23.79%</t>
  </si>
  <si>
    <t>RTEM Subscription Indicator</t>
  </si>
  <si>
    <t>Tracks the customer subscriptions to Real Time Event Monitoring RTEM.</t>
  </si>
  <si>
    <t>Facebook (Service Representative) Sessions Growth</t>
  </si>
  <si>
    <t>Percentage change in monthly Service Representative Messaging sessions on Facebook compared to the trailing 12 month average.</t>
  </si>
  <si>
    <t>&gt;=48.49%</t>
  </si>
  <si>
    <t>End User Login Failure ProM Alerts</t>
  </si>
  <si>
    <t>Total number of End User Login Failure alerts.</t>
  </si>
  <si>
    <t>Create Cart Grouped Features Indicator (Energy &amp; Utilities Cloud)</t>
  </si>
  <si>
    <t>Org has used any of the Create Cart features monthly.</t>
  </si>
  <si>
    <t>License Activation (Viewer)</t>
  </si>
  <si>
    <t>Percentage of Tableau Cloud Viewer activated to date.</t>
  </si>
  <si>
    <t>&gt;=53.94%</t>
  </si>
  <si>
    <t>Pipeline Inspection</t>
  </si>
  <si>
    <t>Org has Pipeline Inspection enabled and used monthly.</t>
  </si>
  <si>
    <t>&gt;=44.53%</t>
  </si>
  <si>
    <t>Pricebooks Engagement</t>
  </si>
  <si>
    <t>Org has Pricebooks enabled and used monthly.</t>
  </si>
  <si>
    <t>&gt;=0.37%</t>
  </si>
  <si>
    <t>&lt;=30,924</t>
  </si>
  <si>
    <t>&gt;=4.83%</t>
  </si>
  <si>
    <t>(MCAE) Email Recipient List Count ProM Alerts</t>
  </si>
  <si>
    <t>Total number of Email Recipient List Count alerts.</t>
  </si>
  <si>
    <t>&gt;=57.42%</t>
  </si>
  <si>
    <t>&gt;=23.41%</t>
  </si>
  <si>
    <t>Inbound SMS Conversations (TTM Utilization)</t>
  </si>
  <si>
    <t>Percentage of Inbound SMS Conversations used in last 12 months.</t>
  </si>
  <si>
    <t>&gt;=20.67%</t>
  </si>
  <si>
    <t>Campaigns Growth</t>
  </si>
  <si>
    <t>Percent change of the object record count over a 12 month period for Campaigns.</t>
  </si>
  <si>
    <t>&gt;=5.05%</t>
  </si>
  <si>
    <t>&gt;=50.50%</t>
  </si>
  <si>
    <t>Login Success Rate ProM Alerts</t>
  </si>
  <si>
    <t>Total number of Login Success Rate alerts.</t>
  </si>
  <si>
    <t>Synchronous Callout Failure ProM Alerts</t>
  </si>
  <si>
    <t>Total number of Synchronous Callout Failure alerts.</t>
  </si>
  <si>
    <t>Campaigns Engagement</t>
  </si>
  <si>
    <t>Percentage of monthly users engaging with Campaigns.</t>
  </si>
  <si>
    <t>&gt;=19.85%</t>
  </si>
  <si>
    <t>&gt;=8.45%</t>
  </si>
  <si>
    <t>&gt;=12.04%</t>
  </si>
  <si>
    <t>Multi-Channel Engagement</t>
  </si>
  <si>
    <t>Number of Service Representative Messaging channels used.</t>
  </si>
  <si>
    <t>&gt;=5</t>
  </si>
  <si>
    <t>Enhanced Email</t>
  </si>
  <si>
    <t>Org has Enhanced Email enabled and used monthly.</t>
  </si>
  <si>
    <t>Clean Energy Program (Energy &amp; Utilities Cloud)</t>
  </si>
  <si>
    <t>Individual Application Indicator (Energy &amp; Utilities Cloud)</t>
  </si>
  <si>
    <t>Count of monthly Individual Applications created.</t>
  </si>
  <si>
    <t>Org has Service Setup Home Page enabled and used monthly.</t>
  </si>
  <si>
    <t>(MCAE) Opportunities per Prospect ProM Alerts</t>
  </si>
  <si>
    <t>Total number of Opportunities per Prospect alerts.</t>
  </si>
  <si>
    <t>Appointment Assistant - Contactless Signature</t>
  </si>
  <si>
    <t>Org has Appointment Assistant - Contactless Signature enabled and used monthly.</t>
  </si>
  <si>
    <t>&gt;=54.38%</t>
  </si>
  <si>
    <t>&gt;=30.93%</t>
  </si>
  <si>
    <t>&lt;=12,329</t>
  </si>
  <si>
    <t>Messaging for Interactive Web (Service Representative) Sessions Growth</t>
  </si>
  <si>
    <t>Percentage change in monthly Service Representative Messaging sessions on Messaging for Interactive Web compared to the trailing 12 month average.</t>
  </si>
  <si>
    <t>&gt;=45.07%</t>
  </si>
  <si>
    <t>&gt;=16.08%</t>
  </si>
  <si>
    <t>Monthly Active Orgs with Logins Growth</t>
  </si>
  <si>
    <t>Percentage change in number of Monthly Active Orgs with users logging in compared to a trailing 12 month period.</t>
  </si>
  <si>
    <t>&gt;=6.56%</t>
  </si>
  <si>
    <t>&gt;=6.07%</t>
  </si>
  <si>
    <t>Daily Single Email Limit ProM Alerts</t>
  </si>
  <si>
    <t>Total number of Daily Single Email Limit alerts.</t>
  </si>
  <si>
    <t>Entitlement Utilization (Trailing twelve months WhatsApp)</t>
  </si>
  <si>
    <t>Percentage of WhatsApp messages used in last 12 months.</t>
  </si>
  <si>
    <t>Rowlock Timeout Error ProM Alerts</t>
  </si>
  <si>
    <t>Total number of Rowlock Timeout Error alerts.</t>
  </si>
  <si>
    <t>&gt;=55.34%</t>
  </si>
  <si>
    <t>&gt;=3.11%</t>
  </si>
  <si>
    <t>&gt;=53.71%</t>
  </si>
  <si>
    <t>&gt;=6.02%</t>
  </si>
  <si>
    <t>&gt;=22.04%</t>
  </si>
  <si>
    <t>Contracts Engagement</t>
  </si>
  <si>
    <t>Org has Contracts enabled and used monthly.</t>
  </si>
  <si>
    <t>&gt;=57.61%</t>
  </si>
  <si>
    <t>Clean Energy Program Management App Usage Indicator (Energy &amp; Utilities Cloud)</t>
  </si>
  <si>
    <t>Org has used Clean Energy Program Management App Usage monthly.</t>
  </si>
  <si>
    <t>&gt;=58.14%</t>
  </si>
  <si>
    <t>&gt;=4.41%</t>
  </si>
  <si>
    <t>&gt;=53.18%</t>
  </si>
  <si>
    <t>Key Event Management-Release Readiness</t>
  </si>
  <si>
    <t>Customer Success Manager (CSM) engagements (within the last 12 months) to prepare customer on major Salesforce Release changes.</t>
  </si>
  <si>
    <t>Outbound SMS Messages (TTM Utilization)</t>
  </si>
  <si>
    <t>Percentage of Outbound SMS Messages used in last 12 months.</t>
  </si>
  <si>
    <t>&gt;=37.08%</t>
  </si>
  <si>
    <t>Proactive Monitoring Engagement</t>
  </si>
  <si>
    <t>Support Engagements</t>
  </si>
  <si>
    <t>Engagements (within the last 12 months) to configure and review Proactive Monitoring (ProM) smart alerts.</t>
  </si>
  <si>
    <t>Batch Calculated Insights Growth</t>
  </si>
  <si>
    <t>Percentage change in monthly batch calculated insights compared to the trailing twelve-month average.</t>
  </si>
  <si>
    <t>&gt;=23.42%</t>
  </si>
  <si>
    <t>&gt;=59.13%</t>
  </si>
  <si>
    <t>Key Event Management-High Volume Events</t>
  </si>
  <si>
    <t>Customer Success Manager (CSM) engagements (within the last 12 months) for High Volume events.</t>
  </si>
  <si>
    <t>Search Indexing Delay ProM Alerts</t>
  </si>
  <si>
    <t>Total number of Search Indexing Delay alerts.</t>
  </si>
  <si>
    <t>&gt;=9.74%</t>
  </si>
  <si>
    <t>&gt;=12.03%</t>
  </si>
  <si>
    <t>&gt;=57.48%</t>
  </si>
  <si>
    <t>Mulesoft MFA Enabled</t>
  </si>
  <si>
    <t>Indicates whether multi-factor authentication (MFA) is enabled for Anypoint Platform users, either via direct sign-in or SSO.</t>
  </si>
  <si>
    <t>&gt;=12.61%</t>
  </si>
  <si>
    <t>Monitor and Optimize Performance</t>
  </si>
  <si>
    <t>Data Quality Indicator</t>
  </si>
  <si>
    <t>Org has users used any of the Data Quality Indicator feature monthly.</t>
  </si>
  <si>
    <t>Org Encryption</t>
  </si>
  <si>
    <t>Org has Platform encryption enabled and used monthly.</t>
  </si>
  <si>
    <t>&gt;=66.12%</t>
  </si>
  <si>
    <t>(MCAE) Prospects per Opportunity ProM Alerts</t>
  </si>
  <si>
    <t>Total number of Prospects per Opportunity alerts.</t>
  </si>
  <si>
    <t>Enterprise Product Catalog (Energy &amp; Utilities Cloud)</t>
  </si>
  <si>
    <t>Product API Calls Indicator (Energy &amp; Utilities Cloud)</t>
  </si>
  <si>
    <t>Org has used Product API Calls monthly.</t>
  </si>
  <si>
    <t>&gt;=50.75%</t>
  </si>
  <si>
    <t>Service Report</t>
  </si>
  <si>
    <t>Org has Service Report enabled and used monthly.</t>
  </si>
  <si>
    <t>&gt;=33.77%</t>
  </si>
  <si>
    <t>Bundler Event</t>
  </si>
  <si>
    <t>Org has Bundler Event enabled and used monthly.</t>
  </si>
  <si>
    <t>&gt;=6.46%</t>
  </si>
  <si>
    <t>&gt;=16.01%</t>
  </si>
  <si>
    <t>&gt;=24.39%</t>
  </si>
  <si>
    <t>&gt;=29.29%</t>
  </si>
  <si>
    <t>Einstein Feedback Enabled</t>
  </si>
  <si>
    <t>Flag indicating whether feedback collection for Einstein features is turned on.</t>
  </si>
  <si>
    <t>(MCAE) Prospects with Excessive Activity ProM Alerts</t>
  </si>
  <si>
    <t>Total number of Prospects with Excessive Activity alerts.</t>
  </si>
  <si>
    <t>License Activation (Creator)</t>
  </si>
  <si>
    <t>Percentage of Tableau Server Creator activated to date.</t>
  </si>
  <si>
    <t>&gt;=59.90%</t>
  </si>
  <si>
    <t>&gt;=5.27%</t>
  </si>
  <si>
    <t>Number of APIs Without Policy</t>
  </si>
  <si>
    <t>Measures the number of APIs in your catalog or inventory that currently lack any applied policies. A high number indicates a need to review and enhance your API security and governance strategy.</t>
  </si>
  <si>
    <t>&lt;=17</t>
  </si>
  <si>
    <t>&gt;=16.57%</t>
  </si>
  <si>
    <t>&gt;=28.80%</t>
  </si>
  <si>
    <t>&gt;=59.40%</t>
  </si>
  <si>
    <t>&gt;=18.45%</t>
  </si>
  <si>
    <t>&gt;=3.61%</t>
  </si>
  <si>
    <t>&gt;=58.00%</t>
  </si>
  <si>
    <t>&gt;=50.17%</t>
  </si>
  <si>
    <t>&gt;=43.22%</t>
  </si>
  <si>
    <t>[Preview] Number of Anypoint Users Growth</t>
  </si>
  <si>
    <t>Represents the total number of user accounts provisioned within an organization in Anypoint Platform.</t>
  </si>
  <si>
    <t>Subscription Indicator</t>
  </si>
  <si>
    <t>Org has users used any of the Subscription feature monthly.</t>
  </si>
  <si>
    <t>(MCAE) Custom Objects per Prospect Account ProM Alerts</t>
  </si>
  <si>
    <t>Total number of Custom Objects per Prospect Account alerts.</t>
  </si>
  <si>
    <t>&gt;=39.32%</t>
  </si>
  <si>
    <t>Shift</t>
  </si>
  <si>
    <t>Org has Shift enabled and used monthly.</t>
  </si>
  <si>
    <t>&gt;=2.77%</t>
  </si>
  <si>
    <t>&gt;=12.29%</t>
  </si>
  <si>
    <t>&gt;=1.36%</t>
  </si>
  <si>
    <t>&gt;=27.03%</t>
  </si>
  <si>
    <t>Encryption</t>
  </si>
  <si>
    <t>Basic Encryption Indicator</t>
  </si>
  <si>
    <t>Tracks Basic encryption operation performed by users in the org.</t>
  </si>
  <si>
    <t>Key Management</t>
  </si>
  <si>
    <t>Generated Key Num Indicator</t>
  </si>
  <si>
    <t>Indicates if the org has Generated Keys (excluding internal) by users.</t>
  </si>
  <si>
    <t>&gt;=55.57%</t>
  </si>
  <si>
    <t>Entitlement Utilization (Trailing twelve months Logins)</t>
  </si>
  <si>
    <t>Percentage of Customer Community logins used in last 12 months.</t>
  </si>
  <si>
    <t>&gt;=22.16%</t>
  </si>
  <si>
    <t>&gt;=50.52%</t>
  </si>
  <si>
    <t>&gt;=61.14%</t>
  </si>
  <si>
    <t>&gt;=43.14%</t>
  </si>
  <si>
    <t>&gt;=40.85%</t>
  </si>
  <si>
    <t>Dataflow Run Completion Engagement</t>
  </si>
  <si>
    <t>Tracks when a dataflow is completed to take snapshot of operational analytics reports data and converted to CRM Analytics dataset.</t>
  </si>
  <si>
    <t>&gt;=45.06%</t>
  </si>
  <si>
    <t>&lt;=76</t>
  </si>
  <si>
    <t>Knowledge Approval</t>
  </si>
  <si>
    <t>Org has Knowledge Approval enabled and used monthly.</t>
  </si>
  <si>
    <t>Entitlement Utilization (Trailing twelve months Composer Tasks)</t>
  </si>
  <si>
    <t>Percentage of Composer Tasks used in last 12 months.</t>
  </si>
  <si>
    <t>&gt;=31.63%</t>
  </si>
  <si>
    <t>Generated Key Num (BYOK) Indicator</t>
  </si>
  <si>
    <t>Indicates if the org has Generated Keys (BYOK) by users.</t>
  </si>
  <si>
    <t>Proactive Monitoring Cases</t>
  </si>
  <si>
    <t>Case Engagement</t>
  </si>
  <si>
    <t>Percentage of Proactive Monitoring cases (within the last 12 months) that received a response.</t>
  </si>
  <si>
    <t>[Preview] Number of Logins Growth</t>
  </si>
  <si>
    <t>Represents the total count of user login events to Anypoint Platform monthly.</t>
  </si>
  <si>
    <t>Applications on EOL Version</t>
  </si>
  <si>
    <t>Indicates whether any deployed MuleSoft applications are running on an end-of-life (EOL) version that is no longer supported.</t>
  </si>
  <si>
    <t>[Preview] Number of Pre-Production Application Growth</t>
  </si>
  <si>
    <t>Represents the total count of applications deployed to non-production environments, such as development, testing, or staging, within Anypoint Platform.</t>
  </si>
  <si>
    <t>&gt;=63.65%</t>
  </si>
  <si>
    <t>&gt;=5.26%</t>
  </si>
  <si>
    <t>Service Resource</t>
  </si>
  <si>
    <t>Org has Service Resource enabled and used monthly.</t>
  </si>
  <si>
    <t>&gt;=23.03%</t>
  </si>
  <si>
    <t>Standard Object Paths</t>
  </si>
  <si>
    <t>Org has Standard Object Paths enabled and used monthly.</t>
  </si>
  <si>
    <t>Account History</t>
  </si>
  <si>
    <t>Org has Account History enabled and used monthly.</t>
  </si>
  <si>
    <t>&gt;=15.58%</t>
  </si>
  <si>
    <t>Entitlement Utilization (Trailing twelve months Super Messages)</t>
  </si>
  <si>
    <t>Percentage of Super Messages used in last 12 months.</t>
  </si>
  <si>
    <t>Campaign Hierarchy Indicator</t>
  </si>
  <si>
    <t>Users engaging with Campaign Hierarchy within previous month.</t>
  </si>
  <si>
    <t>Wishlist Item</t>
  </si>
  <si>
    <t>Wishlist Item flag.</t>
  </si>
  <si>
    <t>&gt;=11.44%</t>
  </si>
  <si>
    <t>&gt;=84.45%</t>
  </si>
  <si>
    <t>Order Processing Latency ProM Alerts</t>
  </si>
  <si>
    <t>Total number of Order Processing Latency alerts.</t>
  </si>
  <si>
    <t>&gt;=67.27%</t>
  </si>
  <si>
    <t>&gt;=5.28%</t>
  </si>
  <si>
    <t>Apex Future Performance ProM Alerts</t>
  </si>
  <si>
    <t>Total number of Apex Future Performance alerts.</t>
  </si>
  <si>
    <t>&lt;=1,767</t>
  </si>
  <si>
    <t>&gt;=29.19%</t>
  </si>
  <si>
    <t>Briefcase Priming Success Engagement</t>
  </si>
  <si>
    <t>Percentage of monthly users engaging with Briefcase Priming Success.</t>
  </si>
  <si>
    <t>&gt;=11.05%</t>
  </si>
  <si>
    <t>&gt;=55.83%</t>
  </si>
  <si>
    <t>(MCAE) Email Suppression List Count ProM Alerts</t>
  </si>
  <si>
    <t>Total number of Email Suppression List Count alerts.</t>
  </si>
  <si>
    <t>License Utilization (Core CRMA)</t>
  </si>
  <si>
    <t>Percentage of Activated users logging in monthly (Core CRMA).</t>
  </si>
  <si>
    <t>&gt;=47.01%</t>
  </si>
  <si>
    <t>Experienced Page Time (EPT) ProM Alerts</t>
  </si>
  <si>
    <t>Total number of Experienced Page Time (EPT) alerts.</t>
  </si>
  <si>
    <t>&gt;=41.36%</t>
  </si>
  <si>
    <t>Streaming API Limit ProM Alerts</t>
  </si>
  <si>
    <t>Total number of Streaming API Limit alerts.</t>
  </si>
  <si>
    <t>&gt;=4.20%</t>
  </si>
  <si>
    <t>&gt;=39.44%</t>
  </si>
  <si>
    <t>&gt;=56.22%</t>
  </si>
  <si>
    <t>Large Account Sales Management (Energy &amp; Utilities Cloud)</t>
  </si>
  <si>
    <t>Large Account Sales Management Indicator (Energy &amp; Utilities Cloud)</t>
  </si>
  <si>
    <t>Org has used LASM: Daily Active Users (DAU) monthly.</t>
  </si>
  <si>
    <t>[Preview] Number of New Deployments in a Month Growth</t>
  </si>
  <si>
    <t>Represents the total count of applications or APIs deployed to any environment within a given month.</t>
  </si>
  <si>
    <t>&gt;=50.89%</t>
  </si>
  <si>
    <t>&gt;=3.73%</t>
  </si>
  <si>
    <t>&gt;=51.09%</t>
  </si>
  <si>
    <t>&lt;=1,045</t>
  </si>
  <si>
    <t>&gt;=6.65%</t>
  </si>
  <si>
    <t>&gt;=58.76%</t>
  </si>
  <si>
    <t>&gt;=15.34%</t>
  </si>
  <si>
    <t>Einstein Bots Conversations (TTM Utilization)</t>
  </si>
  <si>
    <t>Percentage of Einstein Bots Conversations used in last 12 months.</t>
  </si>
  <si>
    <t>&gt;=25.77%</t>
  </si>
  <si>
    <t>Stream Calculated Insights Growth</t>
  </si>
  <si>
    <t>Percentage change in monthly stream calculated insights compared to the trailing twelve-month average.</t>
  </si>
  <si>
    <t>&gt;=40.30%</t>
  </si>
  <si>
    <t>&gt;=44.44%</t>
  </si>
  <si>
    <t>&gt;=5.00%</t>
  </si>
  <si>
    <t>&gt;=41.31%</t>
  </si>
  <si>
    <t>&lt;=150</t>
  </si>
  <si>
    <t>&lt;=96</t>
  </si>
  <si>
    <t>&gt;=54.27%</t>
  </si>
  <si>
    <t>&gt;=34.21%</t>
  </si>
  <si>
    <t>Inbound SMS Conversations (Monthly Utilization)</t>
  </si>
  <si>
    <t>Percentage of Inbound SMS Conversations used monthly.</t>
  </si>
  <si>
    <t>&gt;=34.58%</t>
  </si>
  <si>
    <t>Entitlement Utilization (Cumulative Einstein Requests)</t>
  </si>
  <si>
    <t>Percentage of Einstein Requests used to date.</t>
  </si>
  <si>
    <t>&gt;=17.56%</t>
  </si>
  <si>
    <t>&gt;=32.02%</t>
  </si>
  <si>
    <t>&gt;=37.43%</t>
  </si>
  <si>
    <t>&lt;=78</t>
  </si>
  <si>
    <t>Grow and Optimize</t>
  </si>
  <si>
    <t>Unique Custom Actions</t>
  </si>
  <si>
    <t>Number of unique Custom Actions invoked by an agent this month.</t>
  </si>
  <si>
    <t>&gt;=56.60%</t>
  </si>
  <si>
    <t>&gt;=67.15%</t>
  </si>
  <si>
    <t>Supervisor Login Failure ProM Alerts</t>
  </si>
  <si>
    <t>Total number of Supervisor Login Failure alerts.</t>
  </si>
  <si>
    <t>Resource Absence</t>
  </si>
  <si>
    <t>Org has Resource Absence enabled and used monthly.</t>
  </si>
  <si>
    <t>&gt;=0.35%</t>
  </si>
  <si>
    <t>Asset</t>
  </si>
  <si>
    <t>Org has Asset enabled and used monthly.</t>
  </si>
  <si>
    <t>&gt;=21.27%</t>
  </si>
  <si>
    <t>&gt;=50.58%</t>
  </si>
  <si>
    <t>Daily Mass-Email Limit ProM Alerts</t>
  </si>
  <si>
    <t>Total number of Daily Mass-Email Limit alerts.</t>
  </si>
  <si>
    <t>Entitlement Utilization (Cumulative Segments and Activation Credits)</t>
  </si>
  <si>
    <t>Percentage of Segments and Activations Credits used to date.</t>
  </si>
  <si>
    <t>&gt;=18.36%</t>
  </si>
  <si>
    <t>Embedded Analytics Engagement</t>
  </si>
  <si>
    <t>Tracks Embedded Analytics usage.</t>
  </si>
  <si>
    <t>&gt;=45.80%</t>
  </si>
  <si>
    <t>&gt;=21.36%</t>
  </si>
  <si>
    <t>&gt;=7.14%</t>
  </si>
  <si>
    <t>&gt;=33.61%</t>
  </si>
  <si>
    <t>&lt;=8</t>
  </si>
  <si>
    <t>&gt;=21.01%</t>
  </si>
  <si>
    <t>Entitlement Utilization (Cores PreProd)</t>
  </si>
  <si>
    <t>Percentage of Cores PreProd used to date.</t>
  </si>
  <si>
    <t>&gt;=59.62%</t>
  </si>
  <si>
    <t>&gt;=3.92%</t>
  </si>
  <si>
    <t>&gt;=-0.38%</t>
  </si>
  <si>
    <t>&gt;=4.47%</t>
  </si>
  <si>
    <t>Outlook and Gmail Integration on Desktop Engagement</t>
  </si>
  <si>
    <t>Percentage of monthly users engaging with Outlook and Gmail Integration on Desktop.</t>
  </si>
  <si>
    <t>&gt;=32.79%</t>
  </si>
  <si>
    <t>&gt;=55.94%</t>
  </si>
  <si>
    <t>Entitlement Utilization (API Manager Prod)</t>
  </si>
  <si>
    <t>Percentage of API Manager Prod used to date monthly.</t>
  </si>
  <si>
    <t>&gt;=50.42%</t>
  </si>
  <si>
    <t>&gt;=46.86%</t>
  </si>
  <si>
    <t>&gt;=34.00%</t>
  </si>
  <si>
    <t>&gt;=25.15%</t>
  </si>
  <si>
    <t>Merge Leads</t>
  </si>
  <si>
    <t>Org has Merge Leads enabled and used monthly.</t>
  </si>
  <si>
    <t>&gt;=42.15%</t>
  </si>
  <si>
    <t>[Preview] Number of Business Groups Growth</t>
  </si>
  <si>
    <t>Indicates the total number of Business Groups created within an organization in Anypoint Platform.</t>
  </si>
  <si>
    <t>Entitlement Utilization (Monthly Unique Visitors)</t>
  </si>
  <si>
    <t>Percentage of Unique Visitors used monthly.</t>
  </si>
  <si>
    <t>&gt;=50.78%</t>
  </si>
  <si>
    <t>&gt;=24.50%</t>
  </si>
  <si>
    <t>&lt;=12</t>
  </si>
  <si>
    <t>Act</t>
  </si>
  <si>
    <t>Activation Growth</t>
  </si>
  <si>
    <t>Percentage change in monthly segment activations compared to the trailing twelve-month average.</t>
  </si>
  <si>
    <t>&gt;=36.29%</t>
  </si>
  <si>
    <t>&gt;=48.98%</t>
  </si>
  <si>
    <t>Service Contract</t>
  </si>
  <si>
    <t>Org has Service Contract enabled and used monthly.</t>
  </si>
  <si>
    <t>App Usage Growth</t>
  </si>
  <si>
    <t>Percentage change in monthly SFS App compared to the trailing twelve-month average.</t>
  </si>
  <si>
    <t>&gt;=4.64%</t>
  </si>
  <si>
    <t>&lt;=125</t>
  </si>
  <si>
    <t>&lt;=335,189,551</t>
  </si>
  <si>
    <t>&gt;=69.25%</t>
  </si>
  <si>
    <t>&gt;=55.78%</t>
  </si>
  <si>
    <t>&lt;=137</t>
  </si>
  <si>
    <t>&gt;=24.93%</t>
  </si>
  <si>
    <t>To Do List</t>
  </si>
  <si>
    <t>Org has To Do List enabled and used monthly.</t>
  </si>
  <si>
    <t>&gt;=23.36%</t>
  </si>
  <si>
    <t>Harmonize</t>
  </si>
  <si>
    <t>Batch Transformation Growth</t>
  </si>
  <si>
    <t>Percentage change in monthly batch transformation compared to the trailing twelve-month average.</t>
  </si>
  <si>
    <t>&gt;=49.39%</t>
  </si>
  <si>
    <t>&gt;=43.40%</t>
  </si>
  <si>
    <t>(MCAE) Inactive Engagement Studio Programs ProM Alerts</t>
  </si>
  <si>
    <t>Total number of Inactive Engagement Studio Programs alerts.</t>
  </si>
  <si>
    <t>&lt;=2,551</t>
  </si>
  <si>
    <t>Routing Request Logging Engagement</t>
  </si>
  <si>
    <t>Percentage of monthly users engaging with Routing Request Logging.</t>
  </si>
  <si>
    <t>&gt;=39.50%</t>
  </si>
  <si>
    <t>&gt;=25.55%</t>
  </si>
  <si>
    <t>Legacy API Requests Engagement</t>
  </si>
  <si>
    <t>Tracks CRMA Platform Legacy API usage.</t>
  </si>
  <si>
    <t>&gt;=15.97%</t>
  </si>
  <si>
    <t>&gt;=44.01%</t>
  </si>
  <si>
    <t>&gt;=59.61%</t>
  </si>
  <si>
    <t>&gt;=11.53%</t>
  </si>
  <si>
    <t>&gt;=57.52%</t>
  </si>
  <si>
    <t>&gt;=37.33%</t>
  </si>
  <si>
    <t>Connect</t>
  </si>
  <si>
    <t>Batch Ingest Growth</t>
  </si>
  <si>
    <t>Percentage change in monthly batch ingestion compared to the trailing twelve-month average.</t>
  </si>
  <si>
    <t>&gt;=25.98%</t>
  </si>
  <si>
    <t>Unify</t>
  </si>
  <si>
    <t>Identity Resolution Growth</t>
  </si>
  <si>
    <t>Percentage change in monthly stream transformation compared to the trailing twelve-month average.</t>
  </si>
  <si>
    <t>&gt;=7.56%</t>
  </si>
  <si>
    <t>Concurrent Apex Error ProM Alerts</t>
  </si>
  <si>
    <t>Total number of Concurrent Apex Error alerts.</t>
  </si>
  <si>
    <t>&gt;=21.93%</t>
  </si>
  <si>
    <t>&gt;=59.11%</t>
  </si>
  <si>
    <t>[Preview] Number of Assets in Exchange Growth</t>
  </si>
  <si>
    <t>Represents the total count of assets, such as APIs, connectors, templates, and examples, published to Anypoint Exchange.</t>
  </si>
  <si>
    <t>&gt;=48.83%</t>
  </si>
  <si>
    <t>Web Store Network</t>
  </si>
  <si>
    <t>Org has Web Store Network enabled.</t>
  </si>
  <si>
    <t>&gt;=25.66%</t>
  </si>
  <si>
    <t>B2B Managed Orders from OMS Flag</t>
  </si>
  <si>
    <t>Flag indicating B2B Managed Orders from OMS.</t>
  </si>
  <si>
    <t>Einstein Bots Conversations (Monthly Utilization)</t>
  </si>
  <si>
    <t>Percentage of Einstein Bots Conversations used monthly.</t>
  </si>
  <si>
    <t>&gt;=53.58%</t>
  </si>
  <si>
    <t>&gt;=68.91%</t>
  </si>
  <si>
    <t>&lt;=45,509,282</t>
  </si>
  <si>
    <t>&gt;=54.31%</t>
  </si>
  <si>
    <t>&gt;=39.56%</t>
  </si>
  <si>
    <t>Entitlement Utilization (Trailing twelve months SMS)</t>
  </si>
  <si>
    <t>Percentage of SMS used in last 12 months.</t>
  </si>
  <si>
    <t>&gt;=57.25%</t>
  </si>
  <si>
    <t>&gt;=57.51%</t>
  </si>
  <si>
    <t>&gt;=3.46%</t>
  </si>
  <si>
    <t>MQ Longest Wait Time ProM Alerts</t>
  </si>
  <si>
    <t>Total number of MQ Longest Wait Time alerts.</t>
  </si>
  <si>
    <t>&gt;=57.00%</t>
  </si>
  <si>
    <t>&lt;=14</t>
  </si>
  <si>
    <t>&gt;=39.88%</t>
  </si>
  <si>
    <t>&gt;=30.70%</t>
  </si>
  <si>
    <t>Service Resource Capacity</t>
  </si>
  <si>
    <t>Org has Service Resource Capacity enabled and used monthly.</t>
  </si>
  <si>
    <t>Bulk API V2.0 Rows Limit ProM Alerts</t>
  </si>
  <si>
    <t>Total number of Bulk API V2.0 Rows Limit alerts.</t>
  </si>
  <si>
    <t>Work Step</t>
  </si>
  <si>
    <t>Org has Work Step enabled and used monthly.</t>
  </si>
  <si>
    <t>&gt;=1.08%</t>
  </si>
  <si>
    <t>(MCAE) Custom Objects per Prospect ProM Alerts</t>
  </si>
  <si>
    <t>Total number of Custom Objects per Prospect alerts.</t>
  </si>
  <si>
    <t>&gt;=45.88%</t>
  </si>
  <si>
    <t>Initialization Failure ProM Alerts</t>
  </si>
  <si>
    <t>Total number of Initialization Failure alerts.</t>
  </si>
  <si>
    <t>Entitlement Utilization (Monthly Events)</t>
  </si>
  <si>
    <t>Percentage of Events used monthly.</t>
  </si>
  <si>
    <t>&gt;=1.51%</t>
  </si>
  <si>
    <t>&lt;=736</t>
  </si>
  <si>
    <t>Quotes</t>
  </si>
  <si>
    <t>Org has Quotes enabled.</t>
  </si>
  <si>
    <t>&gt;=28.59%</t>
  </si>
  <si>
    <t>&gt;=51.50%</t>
  </si>
  <si>
    <t>&gt;=16.69%</t>
  </si>
  <si>
    <t>&gt;=52.40%</t>
  </si>
  <si>
    <t>&lt;=163</t>
  </si>
  <si>
    <t>&gt;=31.50%</t>
  </si>
  <si>
    <t>&gt;=30.71%</t>
  </si>
  <si>
    <t>Connector Dataflow Runs SFDC Report Engagement</t>
  </si>
  <si>
    <t>Tracks when a dataflow is run by the connector SFDC Report.</t>
  </si>
  <si>
    <t>&gt;=40.37%</t>
  </si>
  <si>
    <t>&gt;=42.26%</t>
  </si>
  <si>
    <t>&gt;=34.17%</t>
  </si>
  <si>
    <t>&gt;=45.83%</t>
  </si>
  <si>
    <t>&gt;=16.74%</t>
  </si>
  <si>
    <t>Users Approaching Limit</t>
  </si>
  <si>
    <t>Indicates that the number of users in the organization is nearing the limit of 10k users per root organization or business group. Consider evaluating your Anypoint Platform deployment strategy.</t>
  </si>
  <si>
    <t>&lt;=98</t>
  </si>
  <si>
    <t>&gt;=12.20%</t>
  </si>
  <si>
    <t>Time Slot</t>
  </si>
  <si>
    <t>Org has Time Slot enabled and used monthly.</t>
  </si>
  <si>
    <t>&gt;=58.55%</t>
  </si>
  <si>
    <t>&gt;=41.53%</t>
  </si>
  <si>
    <t>Bulk API Performance ProM Alerts</t>
  </si>
  <si>
    <t>Total number of Bulk API Performance alerts.</t>
  </si>
  <si>
    <t>[Preview] Using Code Builder Indicator</t>
  </si>
  <si>
    <t>Represents the usage of Anypoint Code Builder, MuleSoft’s cloud-based, web IDE for designing, developing, and deploying APIs and integrations.</t>
  </si>
  <si>
    <t>&gt;=10.52%</t>
  </si>
  <si>
    <t>Runtime Agent on EOL Version</t>
  </si>
  <si>
    <t>Indicates whether any MuleSoft runtime agents in use are running on an end-of-life (EOL) version that is no longer supported.</t>
  </si>
  <si>
    <t>&gt;=54.25%</t>
  </si>
  <si>
    <t>&gt;=45.20%</t>
  </si>
  <si>
    <t>&gt;=33.81%</t>
  </si>
  <si>
    <t>Entitlement Utilization (Named Profiles)</t>
  </si>
  <si>
    <t>Percentage of Named Profiles used to date.</t>
  </si>
  <si>
    <t>&gt;=59.36%</t>
  </si>
  <si>
    <t>&gt;=7.26%</t>
  </si>
  <si>
    <t>&gt;=47.18%</t>
  </si>
  <si>
    <t>&gt;=5.91%</t>
  </si>
  <si>
    <t>&gt;=27.97%</t>
  </si>
  <si>
    <t>&lt;=7</t>
  </si>
  <si>
    <t>&gt;=40.44%</t>
  </si>
  <si>
    <t>Binary Mass Encryption Indicator</t>
  </si>
  <si>
    <t>Tracks Mass Binary Encryption/Decryption task performed by users in the org.</t>
  </si>
  <si>
    <t>&gt;=27.00%</t>
  </si>
  <si>
    <t>&gt;=14.77%</t>
  </si>
  <si>
    <t>&gt;=43.38%</t>
  </si>
  <si>
    <t>&lt;=1,134</t>
  </si>
  <si>
    <t>&gt;=38.35%</t>
  </si>
  <si>
    <t>&gt;=29.56%</t>
  </si>
  <si>
    <t>&gt;=40.53%</t>
  </si>
  <si>
    <t>&gt;=4.30%</t>
  </si>
  <si>
    <t>Store Integrated Services</t>
  </si>
  <si>
    <t>Org has Store Integrated Services enabled.</t>
  </si>
  <si>
    <t>&gt;=16.70%</t>
  </si>
  <si>
    <t>&gt;=31.51%</t>
  </si>
  <si>
    <t>&gt;=12.68%</t>
  </si>
  <si>
    <t>Percentage of Tableau Cloud Creator activated to date.</t>
  </si>
  <si>
    <t>&gt;=57.87%</t>
  </si>
  <si>
    <t>(MCAE) Prospect Imports ProM Alerts</t>
  </si>
  <si>
    <t>Total number of Prospect Imports alerts.</t>
  </si>
  <si>
    <t>License Utilization (Creator)</t>
  </si>
  <si>
    <t>Percentage of Tableau Cloud Creator used to date.</t>
  </si>
  <si>
    <t>&gt;=58.05%</t>
  </si>
  <si>
    <t>&gt;=41.05%</t>
  </si>
  <si>
    <t>Service Crew</t>
  </si>
  <si>
    <t>Org has Service Crew enabled and used monthly.</t>
  </si>
  <si>
    <t>&gt;=34.11%</t>
  </si>
  <si>
    <t>&gt;=1.87%</t>
  </si>
  <si>
    <t>Org Average Page Time (APT) ProM Alerts</t>
  </si>
  <si>
    <t>Total number of Org Average Page Time (APT) alerts.</t>
  </si>
  <si>
    <t>&gt;=73.08%</t>
  </si>
  <si>
    <t>&gt;=31.70%</t>
  </si>
  <si>
    <t>API Request Limit ProM Alerts</t>
  </si>
  <si>
    <t>Total number of API Request Limit ProM Alerts.</t>
  </si>
  <si>
    <t>Cross-capability Signals (Energy &amp; Utilities Cloud)</t>
  </si>
  <si>
    <t>Asset Threshold (Energy &amp; Utilities Cloud)</t>
  </si>
  <si>
    <t>Count of monthly Assets created.</t>
  </si>
  <si>
    <t>Business Group Approaching Limit</t>
  </si>
  <si>
    <t>Indicates that the number of business groups in the root organization is nearing the limit of 100. Re-evaluating the structure can help manage groups, optimize resources, and maintain a scalable integration.</t>
  </si>
  <si>
    <t>Timesheet &amp; Labour Cost Management (Energy &amp; Utilities Cloud)</t>
  </si>
  <si>
    <t>Work Order Threshold (Energy &amp; Utilities Cloud)</t>
  </si>
  <si>
    <t>Count of monthly Work Orders created.</t>
  </si>
  <si>
    <t>&gt;=13.60%</t>
  </si>
  <si>
    <t>&gt;=55.66%</t>
  </si>
  <si>
    <t>&gt;=5.49%</t>
  </si>
  <si>
    <t>&gt;=57.59%</t>
  </si>
  <si>
    <t>&gt;=31.41%</t>
  </si>
  <si>
    <t>Entitlement Utilization (Trailing twelve months Segments and Activation Credits)</t>
  </si>
  <si>
    <t>Percentage of Segments and Activations Credits used in last 12 months.</t>
  </si>
  <si>
    <t>&gt;=18.73%</t>
  </si>
  <si>
    <t>&lt;=227,383</t>
  </si>
  <si>
    <t>&gt;=43.73%</t>
  </si>
  <si>
    <t>&gt;=61.79%</t>
  </si>
  <si>
    <t>&gt;=21.41%</t>
  </si>
  <si>
    <t>Service Appointment Growth</t>
  </si>
  <si>
    <t>Percentage change in monthly Service Appointments compared to the trailing twelve-month average.</t>
  </si>
  <si>
    <t>&gt;=-34.96%</t>
  </si>
  <si>
    <t>&gt;=34.72%</t>
  </si>
  <si>
    <t>&gt;=7.02%</t>
  </si>
  <si>
    <t>&gt;=18.38%</t>
  </si>
  <si>
    <t>&gt;=55.48%</t>
  </si>
  <si>
    <t>&gt;=43.75%</t>
  </si>
  <si>
    <t>&gt;=35.62%</t>
  </si>
  <si>
    <t>Custom Actions Usage Rate</t>
  </si>
  <si>
    <t>Percentage of unique Custom Actions invoked out of all unique Actions invoked by an agent this month.</t>
  </si>
  <si>
    <t>&gt;=2.79%</t>
  </si>
  <si>
    <t>&gt;=47.74%</t>
  </si>
  <si>
    <t>&gt;=55.13%</t>
  </si>
  <si>
    <t>&gt;=5.62%</t>
  </si>
  <si>
    <t>&gt;=57.30%</t>
  </si>
  <si>
    <t>Dispatch Console Engagement</t>
  </si>
  <si>
    <t>Percentage of monthly users engaging with Dispatch Console.</t>
  </si>
  <si>
    <t>&gt;=40.96%</t>
  </si>
  <si>
    <t>&gt;=18.85%</t>
  </si>
  <si>
    <t>&gt;=21.48%</t>
  </si>
  <si>
    <t>&lt;=176</t>
  </si>
  <si>
    <t>&gt;=25.56%</t>
  </si>
  <si>
    <t>&gt;=34.66%</t>
  </si>
  <si>
    <t>&gt;=18.23%</t>
  </si>
  <si>
    <t>&gt;=25.70%</t>
  </si>
  <si>
    <t>&gt;=67.12%</t>
  </si>
  <si>
    <t>&lt;=1,039</t>
  </si>
  <si>
    <t>&lt;=556</t>
  </si>
  <si>
    <t>&gt;=24.30%</t>
  </si>
  <si>
    <t>&lt;=767</t>
  </si>
  <si>
    <t>&gt;=24.92%</t>
  </si>
  <si>
    <t>&gt;=18.82%</t>
  </si>
  <si>
    <t>Work Order Create Success From Maintenance Plan</t>
  </si>
  <si>
    <t>Org has Work Order Create Success From Maintenance Plan enabled and used monthly.</t>
  </si>
  <si>
    <t>&gt;=28.10%</t>
  </si>
  <si>
    <t>Entitlement Utilization (Object Store)</t>
  </si>
  <si>
    <t>Percentage of Object Store used to date.</t>
  </si>
  <si>
    <t>&gt;=16.19%</t>
  </si>
  <si>
    <t>Entitlement Utilization (Cumulative API Calls for Flex Gateway)</t>
  </si>
  <si>
    <t>Percentage of API Calls for Flex Gateway used to date.</t>
  </si>
  <si>
    <t>&gt;=11.23%</t>
  </si>
  <si>
    <t>&lt;=121</t>
  </si>
  <si>
    <t>&gt;=67.36%</t>
  </si>
  <si>
    <t>&gt;=64.63%</t>
  </si>
  <si>
    <t>&gt;=56.30%</t>
  </si>
  <si>
    <t>&gt;=44.77%</t>
  </si>
  <si>
    <t>&gt;=5.60%</t>
  </si>
  <si>
    <t>&gt;=74.87%</t>
  </si>
  <si>
    <t>Embedded Messaging (Bots) Engaged Sessions Growth</t>
  </si>
  <si>
    <t>Percentage change in monthly bot engaged sessions on Embedded Messaging compared to the trailing twelve-month average.</t>
  </si>
  <si>
    <t>&gt;=14.88%</t>
  </si>
  <si>
    <t>Org Audit Trail</t>
  </si>
  <si>
    <t>Org has Audit Trail enabled.</t>
  </si>
  <si>
    <t>&gt;=34.60%</t>
  </si>
  <si>
    <t>&gt;=5.61%</t>
  </si>
  <si>
    <t>&gt;=21.07%</t>
  </si>
  <si>
    <t>Accelerated Data Queries Growth</t>
  </si>
  <si>
    <t>Percentage change in monthly Tableau data queries compared to the trailing twelve-month average.</t>
  </si>
  <si>
    <t>&gt;=37.80%</t>
  </si>
  <si>
    <t>&gt;=63.43%</t>
  </si>
  <si>
    <t>Text Mass Encryption Indicator</t>
  </si>
  <si>
    <t>Tracks Mass Text Encryption/Decryption task performed by users in the org.</t>
  </si>
  <si>
    <t>&gt;=41.96%</t>
  </si>
  <si>
    <t>CRMA Asset creation from templates Engagement</t>
  </si>
  <si>
    <t>Tracks creation of CRMA Platform apps using default templates such as Sales, Service, etc.</t>
  </si>
  <si>
    <t>&gt;=5.53%</t>
  </si>
  <si>
    <t>WhatsApp (Bots) Engaged Sessions Growth</t>
  </si>
  <si>
    <t>Percentage change in monthly bot engaged sessions on WhatsApp compared to the trailing twelve-month average.</t>
  </si>
  <si>
    <t>Customer Acquisition Management (Energy &amp; Utilities Cloud)</t>
  </si>
  <si>
    <t>Customer Acquisition Management Indicator (Energy &amp; Utilities Cloud)</t>
  </si>
  <si>
    <t>Org has used CAM: Daily Active Users (DAU) monthly.</t>
  </si>
  <si>
    <t>&gt;=39.74%</t>
  </si>
  <si>
    <t>Standard Cart-based API Grouped Features Indicator (Energy &amp; Utilities Cloud)</t>
  </si>
  <si>
    <t>Org has used any of the Standard Cart-based API features monthly.</t>
  </si>
  <si>
    <t>&gt;=28.95%</t>
  </si>
  <si>
    <t>&gt;=6.06%</t>
  </si>
  <si>
    <t>&gt;=8.57%</t>
  </si>
  <si>
    <t>&gt;=56.31%</t>
  </si>
  <si>
    <t>&gt;=28.64%</t>
  </si>
  <si>
    <t>Entitlement Utilization (Trailing twelve months API Calls for Flex Gateway)</t>
  </si>
  <si>
    <t>Percentage of API Calls for Flex Gateway used in last 12 months.</t>
  </si>
  <si>
    <t>License Activation (Account Engagement license)</t>
  </si>
  <si>
    <t>&gt;=23.26%</t>
  </si>
  <si>
    <t>&gt;=1.58%</t>
  </si>
  <si>
    <t>Apex Future Dequeue Latency ProM Alerts</t>
  </si>
  <si>
    <t>Total number of Apex Future Dequeue Latency alerts.</t>
  </si>
  <si>
    <t>&gt;=2.48%</t>
  </si>
  <si>
    <t>&gt;=11.49%</t>
  </si>
  <si>
    <t>&gt;=27.53%</t>
  </si>
  <si>
    <t>&gt;=52.89%</t>
  </si>
  <si>
    <t>&gt;=3.09%</t>
  </si>
  <si>
    <t>&gt;=42.30%</t>
  </si>
  <si>
    <t>&gt;=49.23%</t>
  </si>
  <si>
    <t>&lt;=44,454</t>
  </si>
  <si>
    <t>[Preview] API Reuse Rate Growth</t>
  </si>
  <si>
    <t>Represents the percentage of APIs in Anypoint Platform that are reused across multiple projects or applications rather than being created as new, standalone integrations.</t>
  </si>
  <si>
    <t>&gt;=39.90%</t>
  </si>
  <si>
    <t>&gt;=48.01%</t>
  </si>
  <si>
    <t>&gt;=32.41%</t>
  </si>
  <si>
    <t>&gt;=18.35%</t>
  </si>
  <si>
    <t>&gt;=16.37%</t>
  </si>
  <si>
    <t>&lt;=81</t>
  </si>
  <si>
    <t>License Utilization (Backup)</t>
  </si>
  <si>
    <t>Org has Used licenses for the month (Backup).</t>
  </si>
  <si>
    <t>&gt;=56.46%</t>
  </si>
  <si>
    <t>&gt;=35.69%</t>
  </si>
  <si>
    <t>&gt;=59.92%</t>
  </si>
  <si>
    <t>&gt;=0.66%</t>
  </si>
  <si>
    <t>&gt;=18.83%</t>
  </si>
  <si>
    <t>&gt;=8.21%</t>
  </si>
  <si>
    <t>&gt;=15.61%</t>
  </si>
  <si>
    <t>Entitlement Utilization (APIs Under Governance)</t>
  </si>
  <si>
    <t>Percentage of APIs Under Governance used to date monthly.</t>
  </si>
  <si>
    <t>&gt;=50.29%</t>
  </si>
  <si>
    <t>&gt;=6.35%</t>
  </si>
  <si>
    <t>&gt;=59.86%</t>
  </si>
  <si>
    <t>Entitlement Utilization (Contacts)</t>
  </si>
  <si>
    <t>Percentage of Contacts used to date.</t>
  </si>
  <si>
    <t>&gt;=53.10%</t>
  </si>
  <si>
    <t>Key Event Management-Salesforce Planned Maintenance</t>
  </si>
  <si>
    <t>Key Event Management-SF Planned Maintenance</t>
  </si>
  <si>
    <t>Customer Success Manager (CSM) engagements (within the last 12 months) to prepare customer on Salesforce Planned Maintenance.</t>
  </si>
  <si>
    <t>Meeting Digest</t>
  </si>
  <si>
    <t>Org has Meeting Digest enabled and used monthly.</t>
  </si>
  <si>
    <t>&gt;=3.62%</t>
  </si>
  <si>
    <t>&gt;=60.34%</t>
  </si>
  <si>
    <t>External File Upload Dataflow Runs Engagement</t>
  </si>
  <si>
    <t>Tracks when a dataflow is run by External File Upload.</t>
  </si>
  <si>
    <t>&gt;=17.38%</t>
  </si>
  <si>
    <t>User Management</t>
  </si>
  <si>
    <t>Using Roles to Manage Security</t>
  </si>
  <si>
    <t>Indicates if "Roles" are being used to manage security. This functionality is outdated and not advised for extended use. We recommend using "Teams" for security purposes.</t>
  </si>
  <si>
    <t>&lt;=60,551</t>
  </si>
  <si>
    <t>&gt;=53.66%</t>
  </si>
  <si>
    <t>&gt;=31.37%</t>
  </si>
  <si>
    <t>&gt;=1.31%</t>
  </si>
  <si>
    <t>&gt;=14.95%</t>
  </si>
  <si>
    <t>WhatsApp (Service Representative) Sessions Growth</t>
  </si>
  <si>
    <t>Percentage change in monthly Service Representative Messaging sessions on WhatsApp compared to the trailing 12 month average.</t>
  </si>
  <si>
    <t>Work Plans Feature</t>
  </si>
  <si>
    <t>Org has Work Plans Feature enabled and used monthly.</t>
  </si>
  <si>
    <t>&gt;=61.42%</t>
  </si>
  <si>
    <t>&gt;=29.87%</t>
  </si>
  <si>
    <t>Cloudhub vCore Approaching Limit</t>
  </si>
  <si>
    <t>Indicates that CloudHub vCore usage is nearing its allocated limit, which may prevent new applications from being deployed and affect the performance of existing ones.</t>
  </si>
  <si>
    <t>&gt;=5.56%</t>
  </si>
  <si>
    <t>&gt;=54.16%</t>
  </si>
  <si>
    <t>B2B Unmanaged Orders from OMS Flag</t>
  </si>
  <si>
    <t>Flag indicating B2B Unmanaged Orders from OMS.</t>
  </si>
  <si>
    <t>&gt;=56.91%</t>
  </si>
  <si>
    <t>&gt;=32.43%</t>
  </si>
  <si>
    <t>&gt;=64.23%</t>
  </si>
  <si>
    <t>&gt;=11.10%</t>
  </si>
  <si>
    <t>&lt;=3,145</t>
  </si>
  <si>
    <t>&gt;=33.99%</t>
  </si>
  <si>
    <t>&gt;=3.16%</t>
  </si>
  <si>
    <t>&gt;=8.92%</t>
  </si>
  <si>
    <t>&gt;=5.24%</t>
  </si>
  <si>
    <t>&lt;=75</t>
  </si>
  <si>
    <t>&gt;=54.94%</t>
  </si>
  <si>
    <t>Service Territory</t>
  </si>
  <si>
    <t>Org has Service Territory enabled and used monthly.</t>
  </si>
  <si>
    <t>Data Queries Growth</t>
  </si>
  <si>
    <t>Percentage change in monthly non-Tableau data queries compared to the trailing twelve-month average.</t>
  </si>
  <si>
    <t>&gt;=3.97%</t>
  </si>
  <si>
    <t>&gt;=56.81%</t>
  </si>
  <si>
    <t>&gt;=12.24%</t>
  </si>
  <si>
    <t>&gt;=26.78%</t>
  </si>
  <si>
    <t>&gt;=3.70%</t>
  </si>
  <si>
    <t>&gt;=8.08%</t>
  </si>
  <si>
    <t>&lt;=160</t>
  </si>
  <si>
    <t>&gt;=4.48%</t>
  </si>
  <si>
    <t>&gt;=46.78%</t>
  </si>
  <si>
    <t>&gt;=9.69%</t>
  </si>
  <si>
    <t>&gt;=46.32%</t>
  </si>
  <si>
    <t>&lt;=1,157</t>
  </si>
  <si>
    <t>&gt;=57.23%</t>
  </si>
  <si>
    <t>&gt;=34.24%</t>
  </si>
  <si>
    <t>&gt;=48.61%</t>
  </si>
  <si>
    <t>&gt;=22.33%</t>
  </si>
  <si>
    <t>License Utilization (Explorer)</t>
  </si>
  <si>
    <t>Percentage of Tableau Cloud Explorer used to date.</t>
  </si>
  <si>
    <t>&gt;=58.34%</t>
  </si>
  <si>
    <t>&gt;=56.11%</t>
  </si>
  <si>
    <t>&gt;=40.61%</t>
  </si>
  <si>
    <t>&gt;=26.98%</t>
  </si>
  <si>
    <t>&lt;=89</t>
  </si>
  <si>
    <t>&lt;=6,538</t>
  </si>
  <si>
    <t>Entitlement Utilization (Trailing twelve months Einstein Requests)</t>
  </si>
  <si>
    <t>Percentage of Einstein Requests used in last 12 months.</t>
  </si>
  <si>
    <t>&gt;=13.27%</t>
  </si>
  <si>
    <t>&gt;=6.98%</t>
  </si>
  <si>
    <t>&gt;=31.16%</t>
  </si>
  <si>
    <t>&gt;=33.25%</t>
  </si>
  <si>
    <t>&gt;=13.54%</t>
  </si>
  <si>
    <t>&gt;=3.19%</t>
  </si>
  <si>
    <t>&gt;=28.83%</t>
  </si>
  <si>
    <t>&gt;=6.51%</t>
  </si>
  <si>
    <t>&gt;=30.86%</t>
  </si>
  <si>
    <t>&gt;=16.09%</t>
  </si>
  <si>
    <t>&gt;=62.77%</t>
  </si>
  <si>
    <t>&gt;=21.56%</t>
  </si>
  <si>
    <t>[Preview] Using Disaster Recovery Indicator</t>
  </si>
  <si>
    <t>Indicates whether a customer has purchased disaster recovery (DR) capabilities, such as warm, hot or cold setups.</t>
  </si>
  <si>
    <t>&gt;=70.55%</t>
  </si>
  <si>
    <t>&gt;=40.25%</t>
  </si>
  <si>
    <t>&lt;=93,715,568</t>
  </si>
  <si>
    <t>&lt;=1,011</t>
  </si>
  <si>
    <t>Entitlement Utilization (Vcores Prod)</t>
  </si>
  <si>
    <t>Percentage of Vcores Prod used to date.</t>
  </si>
  <si>
    <t>&gt;=56.45%</t>
  </si>
  <si>
    <t>&gt;=10.88%</t>
  </si>
  <si>
    <t>&gt;=36.64%</t>
  </si>
  <si>
    <t>&gt;=18.44%</t>
  </si>
  <si>
    <t>&gt;=5.89%</t>
  </si>
  <si>
    <t>&gt;=26.36%</t>
  </si>
  <si>
    <t>&gt;=52.84%</t>
  </si>
  <si>
    <t>&gt;=17.77%</t>
  </si>
  <si>
    <t>&gt;=-2.54%</t>
  </si>
  <si>
    <t>&lt;=968</t>
  </si>
  <si>
    <t>&gt;=0.70%</t>
  </si>
  <si>
    <t>&gt;=10.39%</t>
  </si>
  <si>
    <t>&gt;=-28.88%</t>
  </si>
  <si>
    <t>&gt;=49.12%</t>
  </si>
  <si>
    <t>&gt;=38.68%</t>
  </si>
  <si>
    <t>&gt;=8.33%</t>
  </si>
  <si>
    <t>Skill Requirement</t>
  </si>
  <si>
    <t>Org has Skill Requirement enabled and used monthly.</t>
  </si>
  <si>
    <t>&gt;=47.62%</t>
  </si>
  <si>
    <t>&gt;=5.66%</t>
  </si>
  <si>
    <t>&gt;=22.01%</t>
  </si>
  <si>
    <t>&lt;=1,007</t>
  </si>
  <si>
    <t>&lt;=85</t>
  </si>
  <si>
    <t>&gt;=12.07%</t>
  </si>
  <si>
    <t>&gt;=20.83%</t>
  </si>
  <si>
    <t>&gt;=19.60%</t>
  </si>
  <si>
    <t>&gt;=45.75%</t>
  </si>
  <si>
    <t>&gt;=24.60%</t>
  </si>
  <si>
    <t>&gt;=34.23%</t>
  </si>
  <si>
    <t>Data Authorization Indicator</t>
  </si>
  <si>
    <t>Org has users update a site role or adds a user to a group.</t>
  </si>
  <si>
    <t>&gt;=44.29%</t>
  </si>
  <si>
    <t>&lt;=454</t>
  </si>
  <si>
    <t>&gt;=58.40%</t>
  </si>
  <si>
    <t>&gt;=71.16%</t>
  </si>
  <si>
    <t>&gt;=42.28%</t>
  </si>
  <si>
    <t>&gt;=22.41%</t>
  </si>
  <si>
    <t>&gt;=64.55%</t>
  </si>
  <si>
    <t>&gt;=44.39%</t>
  </si>
  <si>
    <t>&gt;=46.85%</t>
  </si>
  <si>
    <t>&gt;=16.16%</t>
  </si>
  <si>
    <t>&gt;=32.45%</t>
  </si>
  <si>
    <t>&gt;=57.55%</t>
  </si>
  <si>
    <t>&lt;=35,510</t>
  </si>
  <si>
    <t>&gt;=7.79%</t>
  </si>
  <si>
    <t>&gt;=32.63%</t>
  </si>
  <si>
    <t>Entitlement Utilization (Add-on)</t>
  </si>
  <si>
    <t>Percentage of Add-on(general, data, space)  used to date monthly.</t>
  </si>
  <si>
    <t>&gt;=4.59%</t>
  </si>
  <si>
    <t>&gt;=50.14%</t>
  </si>
  <si>
    <t>&gt;=43.85%</t>
  </si>
  <si>
    <t>&gt;=28.63%</t>
  </si>
  <si>
    <t>&gt;=65.45%</t>
  </si>
  <si>
    <t>&gt;=2.12%</t>
  </si>
  <si>
    <t>&gt;=38.96%</t>
  </si>
  <si>
    <t>License Utilization (Energy &amp; Utilities Cloud)</t>
  </si>
  <si>
    <t>Percentage of Activated users logging in monthly (Energy &amp; Utilities Cloud).</t>
  </si>
  <si>
    <t>&gt;=59.66%</t>
  </si>
  <si>
    <t>Time Slot Indicator (Energy &amp; Utilities Cloud)</t>
  </si>
  <si>
    <t>Count of monthly Time Slots created.</t>
  </si>
  <si>
    <t>&gt;=55.02%</t>
  </si>
  <si>
    <t>&gt;=44.78%</t>
  </si>
  <si>
    <t>&gt;=2.51%</t>
  </si>
  <si>
    <t>&gt;=14.53%</t>
  </si>
  <si>
    <t>&gt;=55.30%</t>
  </si>
  <si>
    <t>&gt;=52.36%</t>
  </si>
  <si>
    <t>&gt;=67.02%</t>
  </si>
  <si>
    <t>&gt;=-0.68%</t>
  </si>
  <si>
    <t>&gt;=38.99%</t>
  </si>
  <si>
    <t>&gt;=35.97%</t>
  </si>
  <si>
    <t>Product Catalog</t>
  </si>
  <si>
    <t>Org has Product Catalog enabled.</t>
  </si>
  <si>
    <t>&gt;=62.74%</t>
  </si>
  <si>
    <t>Dashboard Cloning Engagement</t>
  </si>
  <si>
    <t>Tracks CRMA Platform Dashboard Clone operations.</t>
  </si>
  <si>
    <t>&gt;=10.66%</t>
  </si>
  <si>
    <t>&gt;=24.69%</t>
  </si>
  <si>
    <t>&lt;=966</t>
  </si>
  <si>
    <t>&gt;=4.04%</t>
  </si>
  <si>
    <t>&gt;=8.90%</t>
  </si>
  <si>
    <t>Routing Failure ProM Alerts</t>
  </si>
  <si>
    <t>Total number of Routing Failure alerts.</t>
  </si>
  <si>
    <t>&gt;=56.44%</t>
  </si>
  <si>
    <t>&gt;=38.52%</t>
  </si>
  <si>
    <t>&gt;=16.40%</t>
  </si>
  <si>
    <t>Field Service Contracts Engagement</t>
  </si>
  <si>
    <t>Percentage of monthly users engaging with Field Service Contracts.</t>
  </si>
  <si>
    <t>&gt;=29.44%</t>
  </si>
  <si>
    <t>Time Sheet</t>
  </si>
  <si>
    <t>Org has Time Sheet enabled and used monthly.</t>
  </si>
  <si>
    <t>&gt;=53.07%</t>
  </si>
  <si>
    <t>&gt;=43.34%</t>
  </si>
  <si>
    <t>&gt;=6.32%</t>
  </si>
  <si>
    <t>&gt;=57.92%</t>
  </si>
  <si>
    <t>&gt;=8.20%</t>
  </si>
  <si>
    <t>&gt;=12.52%</t>
  </si>
  <si>
    <t>&gt;=20.78%</t>
  </si>
  <si>
    <t>&gt;=56.75%</t>
  </si>
  <si>
    <t>[Preview] Number of Invites Growth</t>
  </si>
  <si>
    <t>Represents the total number of invitations sent to users to join an organization’s Anypoint Platform account.</t>
  </si>
  <si>
    <t>&gt;=18.46%</t>
  </si>
  <si>
    <t>Resource Preference</t>
  </si>
  <si>
    <t>Org has Resource Preference enabled and used monthly.</t>
  </si>
  <si>
    <t>&gt;=7.41%</t>
  </si>
  <si>
    <t>Contact Centre Console (Energy &amp; Utilities Cloud)</t>
  </si>
  <si>
    <t>Contact Centre Console Indicator (Energy &amp; Utilities Cloud)</t>
  </si>
  <si>
    <t>Org has used Console: Daily Active Users (DAU) monthly.</t>
  </si>
  <si>
    <t>&gt;=9.06%</t>
  </si>
  <si>
    <t>Stream Ingest Growth</t>
  </si>
  <si>
    <t>Percentage change in monthly stream ingestion compared to the trailing twelve-month average.</t>
  </si>
  <si>
    <t>&gt;=23.34%</t>
  </si>
  <si>
    <t>&gt;=44.30%</t>
  </si>
  <si>
    <t>&gt;=15.96%</t>
  </si>
  <si>
    <t>&gt;=63.57%</t>
  </si>
  <si>
    <t>&gt;=48.68%</t>
  </si>
  <si>
    <t>Using High Availability</t>
  </si>
  <si>
    <t>Indicates whether High Availability (HA) is enabled to support continuous uptime and system resilience for applications and integrations deployed on the Anypoint Platform.</t>
  </si>
  <si>
    <t>&lt;=124</t>
  </si>
  <si>
    <t>&gt;=33.93%</t>
  </si>
  <si>
    <t>&gt;=11.88%</t>
  </si>
  <si>
    <t>&gt;=71.75%</t>
  </si>
  <si>
    <t>&gt;=26.15%</t>
  </si>
  <si>
    <t>&gt;=30.09%</t>
  </si>
  <si>
    <t>&lt;=73</t>
  </si>
  <si>
    <t>&gt;=6.85%</t>
  </si>
  <si>
    <t>&gt;=35.35%</t>
  </si>
  <si>
    <t>LLM Call Latency</t>
  </si>
  <si>
    <t>Measures average time taken for LLM calls to complete. Indicates response speed.</t>
  </si>
  <si>
    <t>&lt;=2,247</t>
  </si>
  <si>
    <t>Toxicity Detection in Prompts Enabled</t>
  </si>
  <si>
    <t>Flag that shows whether prompt toxicity detection is turned on.</t>
  </si>
  <si>
    <t>Streaming Actions Growth</t>
  </si>
  <si>
    <t>Percentage change in monthly Streaming Actions compared to the trailing twelve-month average.</t>
  </si>
  <si>
    <t>&gt;=23.60%</t>
  </si>
  <si>
    <t>&gt;=52.15%</t>
  </si>
  <si>
    <t>Action Calls Growth</t>
  </si>
  <si>
    <t>Percentage change in monthly Action Calls by activated agents compared to the trailing twelve-month average.</t>
  </si>
  <si>
    <t>&gt;=47.76%</t>
  </si>
  <si>
    <t>&gt;=34.02%</t>
  </si>
  <si>
    <t>&gt;=50.62%</t>
  </si>
  <si>
    <t>&gt;=48.99%</t>
  </si>
  <si>
    <t>&gt;=13.58%</t>
  </si>
  <si>
    <t>&gt;=7.36%</t>
  </si>
  <si>
    <t>&gt;=19.66%</t>
  </si>
  <si>
    <t>&gt;=7.03%</t>
  </si>
  <si>
    <t>&lt;=90</t>
  </si>
  <si>
    <t>&gt;=10.38%</t>
  </si>
  <si>
    <t>&gt;=36.90%</t>
  </si>
  <si>
    <t>Utility Self Service (on Core) (Energy &amp; Utilities Cloud)</t>
  </si>
  <si>
    <t>Profile Page Indicator (Energy &amp; Utilities Cloud)</t>
  </si>
  <si>
    <t>Org has used Number of times Profile Page opened monthly.</t>
  </si>
  <si>
    <t>Create Cart Asset To Order Indicator (Energy &amp; Utilities Cloud)</t>
  </si>
  <si>
    <t>Org has used Create Cart Asset To Order monthly.</t>
  </si>
  <si>
    <t>&gt;=26.79%</t>
  </si>
  <si>
    <t>&gt;=50.71%</t>
  </si>
  <si>
    <t>&gt;=50.15%</t>
  </si>
  <si>
    <t>&gt;=64.32%</t>
  </si>
  <si>
    <t>Buyer Group Member Growth</t>
  </si>
  <si>
    <t>Percent change of the Buyer Group Member record count over a 12 month period.</t>
  </si>
  <si>
    <t>&gt;=10.55%</t>
  </si>
  <si>
    <t>Premises Threshold (Energy &amp; Utilities Cloud)</t>
  </si>
  <si>
    <t>Count of monthly Premises created.</t>
  </si>
  <si>
    <t>&gt;=47.71%</t>
  </si>
  <si>
    <t>&gt;=46.21%</t>
  </si>
  <si>
    <t>&gt;=25.02%</t>
  </si>
  <si>
    <t>&gt;=43.52%</t>
  </si>
  <si>
    <t>Datasource Growth</t>
  </si>
  <si>
    <t>Count of monthly Datasource created.</t>
  </si>
  <si>
    <t>&gt;=0.18%</t>
  </si>
  <si>
    <t>&gt;=52.98%</t>
  </si>
  <si>
    <t>&gt;=17.53%</t>
  </si>
  <si>
    <t>&gt;=54.86%</t>
  </si>
  <si>
    <t>&gt;=7.25%</t>
  </si>
  <si>
    <t>&gt;=56.42%</t>
  </si>
  <si>
    <t>&gt;=53.97%</t>
  </si>
  <si>
    <t>Work Order Growth</t>
  </si>
  <si>
    <t>Percentage change in monthly Work Orders compared to the trailing twelve-month average.</t>
  </si>
  <si>
    <t>&gt;=-35.21%</t>
  </si>
  <si>
    <t>&gt;=70.65%</t>
  </si>
  <si>
    <t>&gt;=24.54%</t>
  </si>
  <si>
    <t>&gt;=39.75%</t>
  </si>
  <si>
    <t>&gt;=56.77%</t>
  </si>
  <si>
    <t>&gt;=62.97%</t>
  </si>
  <si>
    <t>&lt;=1,896</t>
  </si>
  <si>
    <t>&gt;=54.71%</t>
  </si>
  <si>
    <t>&gt;=62.69%</t>
  </si>
  <si>
    <t>&lt;=5,794</t>
  </si>
  <si>
    <t>&gt;=9.67%</t>
  </si>
  <si>
    <t>&gt;=16.78%</t>
  </si>
  <si>
    <t>&gt;=45.43%</t>
  </si>
  <si>
    <t>&gt;=58.86%</t>
  </si>
  <si>
    <t>&gt;=53.51%</t>
  </si>
  <si>
    <t>License Utilization (Privacy Center)</t>
  </si>
  <si>
    <t>Org has Used licenses for the month (Privacy Center).</t>
  </si>
  <si>
    <t>&gt;=41.40%</t>
  </si>
  <si>
    <t>&gt;=8.17%</t>
  </si>
  <si>
    <t>&gt;=48.32%</t>
  </si>
  <si>
    <t>&lt;=369</t>
  </si>
  <si>
    <t>&gt;=45.51%</t>
  </si>
  <si>
    <t>&lt;=925</t>
  </si>
  <si>
    <t>&gt;=45.41%</t>
  </si>
  <si>
    <t>&gt;=79.71%</t>
  </si>
  <si>
    <t>&gt;=28.56%</t>
  </si>
  <si>
    <t>&gt;=45.23%</t>
  </si>
  <si>
    <t>Appointment Assistant - Self Service Scheduling</t>
  </si>
  <si>
    <t>Org has Appointment Assistant - Self Service Scheduling enabled and used monthly.</t>
  </si>
  <si>
    <t>&gt;=45.91%</t>
  </si>
  <si>
    <t>&gt;=32.96%</t>
  </si>
  <si>
    <t>&lt;=116,878</t>
  </si>
  <si>
    <t>&lt;=41</t>
  </si>
  <si>
    <t>&gt;=55.25%</t>
  </si>
  <si>
    <t>&lt;=24</t>
  </si>
  <si>
    <t>Authoring View Engagement</t>
  </si>
  <si>
    <t>Percentage of monthly users who opens the web authoring feature.</t>
  </si>
  <si>
    <t>&gt;=50.46%</t>
  </si>
  <si>
    <t>Service Crew Member</t>
  </si>
  <si>
    <t>Org has Service Crew Member enabled and used monthly.</t>
  </si>
  <si>
    <t>Call Service Degradation ProM Alerts</t>
  </si>
  <si>
    <t>Total number of Call Service Degradation alerts.</t>
  </si>
  <si>
    <t>&lt;=1,140</t>
  </si>
  <si>
    <t>&lt;=712,496,146</t>
  </si>
  <si>
    <t>&gt;=1.49%</t>
  </si>
  <si>
    <t>&gt;=7.11%</t>
  </si>
  <si>
    <t>&lt;=939</t>
  </si>
  <si>
    <t>&gt;=47.28%</t>
  </si>
  <si>
    <t>&gt;=57.44%</t>
  </si>
  <si>
    <t>&lt;=1,020</t>
  </si>
  <si>
    <t>&gt;=51.32%</t>
  </si>
  <si>
    <t>&gt;=28.12%</t>
  </si>
  <si>
    <t>&gt;=56.68%</t>
  </si>
  <si>
    <t>&lt;=639</t>
  </si>
  <si>
    <t>&gt;=20.84%</t>
  </si>
  <si>
    <t>&gt;=56.13%</t>
  </si>
  <si>
    <t>&gt;=15.66%</t>
  </si>
  <si>
    <t>&gt;=9.18%</t>
  </si>
  <si>
    <t>&lt;=2,744</t>
  </si>
  <si>
    <t>&gt;=39.23%</t>
  </si>
  <si>
    <t>&gt;=8.72%</t>
  </si>
  <si>
    <t>&gt;=21.23%</t>
  </si>
  <si>
    <t>&gt;=2.15%</t>
  </si>
  <si>
    <t>&gt;=56.19%</t>
  </si>
  <si>
    <t>&gt;=11.08%</t>
  </si>
  <si>
    <t>&gt;=37.12%</t>
  </si>
  <si>
    <t>&lt;=97</t>
  </si>
  <si>
    <t>&gt;=22.22%</t>
  </si>
  <si>
    <t>&gt;=28.73%</t>
  </si>
  <si>
    <t>&lt;=1,564</t>
  </si>
  <si>
    <t>&gt;=64.07%</t>
  </si>
  <si>
    <t>&gt;=4.24%</t>
  </si>
  <si>
    <t>&gt;=45.90%</t>
  </si>
  <si>
    <t>Entitlement Utilization (Trailing twelve months Data Service Credits)</t>
  </si>
  <si>
    <t>Percentage of Data Services Credits used in last 12 months.</t>
  </si>
  <si>
    <t>&lt;=1,059</t>
  </si>
  <si>
    <t>&gt;=15.85%</t>
  </si>
  <si>
    <t>&lt;=2</t>
  </si>
  <si>
    <t>&gt;=54.66%</t>
  </si>
  <si>
    <t>&gt;=39.40%</t>
  </si>
  <si>
    <t>&gt;=48.89%</t>
  </si>
  <si>
    <t>License Activation (Energy &amp; Utilities Cloud)</t>
  </si>
  <si>
    <t>Percentage of Activated/Total Purchased licenses to date (Energy &amp; Utilities Cloud).</t>
  </si>
  <si>
    <t>&gt;=52.52%</t>
  </si>
  <si>
    <t>&lt;=5,544</t>
  </si>
  <si>
    <t>&gt;=2.10%</t>
  </si>
  <si>
    <t>&gt;=61.22%</t>
  </si>
  <si>
    <t>&gt;=3.10%</t>
  </si>
  <si>
    <t>Service Point Threshold (Energy &amp; Utilities Cloud)</t>
  </si>
  <si>
    <t>Count of monthly Service Points created.</t>
  </si>
  <si>
    <t>&lt;=115</t>
  </si>
  <si>
    <t>&gt;=5.42%</t>
  </si>
  <si>
    <t>&gt;=45.08%</t>
  </si>
  <si>
    <t>&gt;=12.54%</t>
  </si>
  <si>
    <t>&lt;=5,415</t>
  </si>
  <si>
    <t>&gt;=67.19%</t>
  </si>
  <si>
    <t>&lt;=869</t>
  </si>
  <si>
    <t>&gt;=51.38%</t>
  </si>
  <si>
    <t>&lt;=112</t>
  </si>
  <si>
    <t>&gt;=17.90%</t>
  </si>
  <si>
    <t>&gt;=22.05%</t>
  </si>
  <si>
    <t>&gt;=50.33%</t>
  </si>
  <si>
    <t>&lt;=43</t>
  </si>
  <si>
    <t>&lt;=59</t>
  </si>
  <si>
    <t>&gt;=17.39%</t>
  </si>
  <si>
    <t>&gt;=43.51%</t>
  </si>
  <si>
    <t>&gt;=60.68%</t>
  </si>
  <si>
    <t>&gt;=18.78%</t>
  </si>
  <si>
    <t>&gt;=2.65%</t>
  </si>
  <si>
    <t>&gt;=66.66%</t>
  </si>
  <si>
    <t>&gt;=32.29%</t>
  </si>
  <si>
    <t>&gt;=4.78%</t>
  </si>
  <si>
    <t>&gt;=45.95%</t>
  </si>
  <si>
    <t>&gt;=37.55%</t>
  </si>
  <si>
    <t>&gt;=56.47%</t>
  </si>
  <si>
    <t>&gt;=31.56%</t>
  </si>
  <si>
    <t>&gt;=3.59%</t>
  </si>
  <si>
    <t>&gt;=30.03%</t>
  </si>
  <si>
    <t>&lt;=2,397</t>
  </si>
  <si>
    <t>&gt;=15.35%</t>
  </si>
  <si>
    <t>&gt;=44.23%</t>
  </si>
  <si>
    <t>Maintenance Asset</t>
  </si>
  <si>
    <t>Org has Maintenance Asset enabled and used monthly.</t>
  </si>
  <si>
    <t>&gt;=61.63%</t>
  </si>
  <si>
    <t>&gt;=40.78%</t>
  </si>
  <si>
    <t>&gt;=16.94%</t>
  </si>
  <si>
    <t>&gt;=45.05%</t>
  </si>
  <si>
    <t>&gt;=6.29%</t>
  </si>
  <si>
    <t>&gt;=51.34%</t>
  </si>
  <si>
    <t>&gt;=33.39%</t>
  </si>
  <si>
    <t>Policy Entitlement</t>
  </si>
  <si>
    <t>Org has Policy Entitlement enabled.</t>
  </si>
  <si>
    <t>&gt;=1.79%</t>
  </si>
  <si>
    <t>Entitlement Utilization (Monthly Composer Tasks)</t>
  </si>
  <si>
    <t>Percentage of Composer Tasks used to date monthly.</t>
  </si>
  <si>
    <t>&gt;=33.23%</t>
  </si>
  <si>
    <t>Stream Transformation Growth</t>
  </si>
  <si>
    <t>&gt;=49.63%</t>
  </si>
  <si>
    <t>&gt;=17.46%</t>
  </si>
  <si>
    <t>&gt;=42.94%</t>
  </si>
  <si>
    <t>&gt;=56.17%</t>
  </si>
  <si>
    <t>Total Agents Used</t>
  </si>
  <si>
    <t>Total number of Agents used to date.</t>
  </si>
  <si>
    <t>&gt;=46.05%</t>
  </si>
  <si>
    <t>&gt;=11.34%</t>
  </si>
  <si>
    <t>&gt;=26.21%</t>
  </si>
  <si>
    <t>&gt;=12.39%</t>
  </si>
  <si>
    <t>&gt;=64.72%</t>
  </si>
  <si>
    <t>&gt;=59.09%</t>
  </si>
  <si>
    <t>&gt;=25.40%</t>
  </si>
  <si>
    <t>&gt;=60.71%</t>
  </si>
  <si>
    <t>&gt;=35.79%</t>
  </si>
  <si>
    <t>&gt;=39.46%</t>
  </si>
  <si>
    <t>&gt;=11.89%</t>
  </si>
  <si>
    <t>&gt;=31.23%</t>
  </si>
  <si>
    <t>First Order Placed (SSA) Flag</t>
  </si>
  <si>
    <t>Flag indicating First Order Placed (SSA).</t>
  </si>
  <si>
    <t>&gt;=42.06%</t>
  </si>
  <si>
    <t>&lt;=257,073</t>
  </si>
  <si>
    <t>&gt;=3.26%</t>
  </si>
  <si>
    <t>Appointment Assistant - Engagement</t>
  </si>
  <si>
    <t>Percentage of monthly users engaging with Appointment Assistant.</t>
  </si>
  <si>
    <t>&gt;=4.57%</t>
  </si>
  <si>
    <t>&gt;=39.61%</t>
  </si>
  <si>
    <t>&gt;=4.09%</t>
  </si>
  <si>
    <t>&gt;=6.28%</t>
  </si>
  <si>
    <t>Prompt Injection Detection Enabled</t>
  </si>
  <si>
    <t>Flag indicating if prompt injection detection is turned on.</t>
  </si>
  <si>
    <t>Entitlement Utilization (Connect)</t>
  </si>
  <si>
    <t>Percentage of Connect used to date monthly.</t>
  </si>
  <si>
    <t>&gt;=17.97%</t>
  </si>
  <si>
    <t>&gt;=2.96%</t>
  </si>
  <si>
    <t>&gt;=40.77%</t>
  </si>
  <si>
    <t>&gt;=57.56%</t>
  </si>
  <si>
    <t>Tableau Prep Indicator</t>
  </si>
  <si>
    <t>Org has users used any of the Tableau Prep feature monthly.</t>
  </si>
  <si>
    <t>&gt;=9.66%</t>
  </si>
  <si>
    <t>&gt;=10.45%</t>
  </si>
  <si>
    <t>&gt;=9.34%</t>
  </si>
  <si>
    <t>&gt;=56.49%</t>
  </si>
  <si>
    <t>&gt;=48.34%</t>
  </si>
  <si>
    <t>&gt;=2.87%</t>
  </si>
  <si>
    <t>&lt;=462</t>
  </si>
  <si>
    <t>&gt;=55.45%</t>
  </si>
  <si>
    <t>&gt;=31.54%</t>
  </si>
  <si>
    <t>&gt;=57.01%</t>
  </si>
  <si>
    <t>&gt;=3.81%</t>
  </si>
  <si>
    <t>&gt;=50.88%</t>
  </si>
  <si>
    <t>&gt;=0.15%</t>
  </si>
  <si>
    <t>&lt;=586</t>
  </si>
  <si>
    <t>&lt;=960</t>
  </si>
  <si>
    <t>Document Generation (Energy &amp; Utilities Cloud)</t>
  </si>
  <si>
    <t>Document Template Indicator (Energy &amp; Utilities Cloud)</t>
  </si>
  <si>
    <t>Count of Document Templates created in the past 12 months.</t>
  </si>
  <si>
    <t>&gt;=23.83%</t>
  </si>
  <si>
    <t>Promotions &amp; Pricing Grouped Entities Indicator (Energy &amp; Utilities Cloud)</t>
  </si>
  <si>
    <t>Org has used any of the Promotions &amp; Pricing objects monthly.</t>
  </si>
  <si>
    <t>&gt;=18.58%</t>
  </si>
  <si>
    <t>&gt;=9.91%</t>
  </si>
  <si>
    <t>&gt;=13.34%</t>
  </si>
  <si>
    <t>&gt;=38.81%</t>
  </si>
  <si>
    <t>&gt;=65.42%</t>
  </si>
  <si>
    <t>&gt;=40.19%</t>
  </si>
  <si>
    <t>&gt;=19.62%</t>
  </si>
  <si>
    <t>&gt;=58.53%</t>
  </si>
  <si>
    <t>&gt;=64.37%</t>
  </si>
  <si>
    <t>&gt;=52.65%</t>
  </si>
  <si>
    <t>&gt;=57.04%</t>
  </si>
  <si>
    <t>&gt;=26.92%</t>
  </si>
  <si>
    <t>&gt;=49.08%</t>
  </si>
  <si>
    <t>&gt;=55.80%</t>
  </si>
  <si>
    <t>&gt;=39.68%</t>
  </si>
  <si>
    <t>&gt;=10.79%</t>
  </si>
  <si>
    <t>&gt;=61.64%</t>
  </si>
  <si>
    <t>&gt;=41.73%</t>
  </si>
  <si>
    <t>&lt;=937</t>
  </si>
  <si>
    <t>&gt;=10.58%</t>
  </si>
  <si>
    <t>&gt;=41.30%</t>
  </si>
  <si>
    <t>&lt;=28,153</t>
  </si>
  <si>
    <t>&gt;=16.18%</t>
  </si>
  <si>
    <t>&lt;=2,460</t>
  </si>
  <si>
    <t>&lt;=769</t>
  </si>
  <si>
    <t>&gt;=6.61%</t>
  </si>
  <si>
    <t>&gt;=5.68%</t>
  </si>
  <si>
    <t>&gt;=55.67%</t>
  </si>
  <si>
    <t>&gt;=30.44%</t>
  </si>
  <si>
    <t>&gt;=59.45%</t>
  </si>
  <si>
    <t>&gt;=22.75%</t>
  </si>
  <si>
    <t>&lt;=83</t>
  </si>
  <si>
    <t>&gt;=43.84%</t>
  </si>
  <si>
    <t>&lt;=16</t>
  </si>
  <si>
    <t>&gt;=39.76%</t>
  </si>
  <si>
    <t>&gt;=27.74%</t>
  </si>
  <si>
    <t>&gt;=13.07%</t>
  </si>
  <si>
    <t>&gt;=36.88%</t>
  </si>
  <si>
    <t>&gt;=16.75%</t>
  </si>
  <si>
    <t>&gt;=58.95%</t>
  </si>
  <si>
    <t>&gt;=31.22%</t>
  </si>
  <si>
    <t>&gt;=56.96%</t>
  </si>
  <si>
    <t>&gt;=22.50%</t>
  </si>
  <si>
    <t>&gt;=28.17%</t>
  </si>
  <si>
    <t>&gt;=4.34%</t>
  </si>
  <si>
    <t>&gt;=11.33%</t>
  </si>
  <si>
    <t>Orders Growth</t>
  </si>
  <si>
    <t>Percent change of the Orders record count over a 12 month period.</t>
  </si>
  <si>
    <t>&gt;=15.05%</t>
  </si>
  <si>
    <t>&lt;=936</t>
  </si>
  <si>
    <t>&gt;=51.40%</t>
  </si>
  <si>
    <t>&gt;=14.52%</t>
  </si>
  <si>
    <t>&gt;=58.87%</t>
  </si>
  <si>
    <t>&gt;=65.88%</t>
  </si>
  <si>
    <t>&gt;=59.32%</t>
  </si>
  <si>
    <t>&gt;=61.46%</t>
  </si>
  <si>
    <t>&lt;=970</t>
  </si>
  <si>
    <t>[Preview] Number of Contracts Per API Growth</t>
  </si>
  <si>
    <t>Represents the total count of subscription contracts established between consumers and a given API in Anypoint Platform.</t>
  </si>
  <si>
    <t>&gt;=35.75%</t>
  </si>
  <si>
    <t>&lt;=10,297</t>
  </si>
  <si>
    <t>&gt;=46.03%</t>
  </si>
  <si>
    <t>Entitlement Utilization (Cumulative B2B Order)</t>
  </si>
  <si>
    <t>Percentage of B2B Order used to date.</t>
  </si>
  <si>
    <t>&gt;=55.52%</t>
  </si>
  <si>
    <t>&gt;=7.61%</t>
  </si>
  <si>
    <t>&gt;=44.13%</t>
  </si>
  <si>
    <t>&gt;=50.45%</t>
  </si>
  <si>
    <t>License Activation (B2BMA license)</t>
  </si>
  <si>
    <t>&gt;=49.18%</t>
  </si>
  <si>
    <t>&lt;=29,842</t>
  </si>
  <si>
    <t>&gt;=47.26%</t>
  </si>
  <si>
    <t>&gt;=39.78%</t>
  </si>
  <si>
    <t>&gt;=5.20%</t>
  </si>
  <si>
    <t>&gt;=38.98%</t>
  </si>
  <si>
    <t>&gt;=14.62%</t>
  </si>
  <si>
    <t>&gt;=47.67%</t>
  </si>
  <si>
    <t>&gt;=56.79%</t>
  </si>
  <si>
    <t>&gt;=25.10%</t>
  </si>
  <si>
    <t>&gt;=4.08%</t>
  </si>
  <si>
    <t>&gt;=59.12%</t>
  </si>
  <si>
    <t>&gt;=40.63%</t>
  </si>
  <si>
    <t>&gt;=9.45%</t>
  </si>
  <si>
    <t>Total Agents Created</t>
  </si>
  <si>
    <t>Total number of Agents created to date.</t>
  </si>
  <si>
    <t>&gt;=16.43%</t>
  </si>
  <si>
    <t>&lt;=27,506</t>
  </si>
  <si>
    <t>&gt;=14.07%</t>
  </si>
  <si>
    <t>&gt;=21.15%</t>
  </si>
  <si>
    <t>WhatsApp Outbound Messages (TTM Utilization)</t>
  </si>
  <si>
    <t>Percentage of WhatsApp Outbound Messages used in last 12 months.</t>
  </si>
  <si>
    <t>&gt;=24.28%</t>
  </si>
  <si>
    <t>Monthly Agents Created</t>
  </si>
  <si>
    <t>Agents created this month.</t>
  </si>
  <si>
    <t>&gt;=16.49%</t>
  </si>
  <si>
    <t>&gt;=47.30%</t>
  </si>
  <si>
    <t>Workbook Growth</t>
  </si>
  <si>
    <t>Count of monthly Workbooks created.</t>
  </si>
  <si>
    <t>&gt;=1.62%</t>
  </si>
  <si>
    <t>&lt;=100</t>
  </si>
  <si>
    <t>&gt;=6.31%</t>
  </si>
  <si>
    <t>&gt;=56.18%</t>
  </si>
  <si>
    <t>&gt;=29.70%</t>
  </si>
  <si>
    <t>&gt;=38.77%</t>
  </si>
  <si>
    <t>&lt;=17,857</t>
  </si>
  <si>
    <t>&gt;=12.37%</t>
  </si>
  <si>
    <t>&gt;=24.24%</t>
  </si>
  <si>
    <t>&gt;=28.58%</t>
  </si>
  <si>
    <t>&gt;=11.09%</t>
  </si>
  <si>
    <t>&gt;=0.61%</t>
  </si>
  <si>
    <t>&gt;=65.80%</t>
  </si>
  <si>
    <t>&gt;=67.09%</t>
  </si>
  <si>
    <t>&gt;=43.18%</t>
  </si>
  <si>
    <t>&gt;=4.63%</t>
  </si>
  <si>
    <t>&gt;=9.98%</t>
  </si>
  <si>
    <t>&gt;=62.33%</t>
  </si>
  <si>
    <t>&gt;=17.61%</t>
  </si>
  <si>
    <t>&gt;=43.21%</t>
  </si>
  <si>
    <t>&gt;=41.26%</t>
  </si>
  <si>
    <t>&gt;=37.51%</t>
  </si>
  <si>
    <t>&lt;=246</t>
  </si>
  <si>
    <t>&gt;=36.06%</t>
  </si>
  <si>
    <t>&gt;=40.65%</t>
  </si>
  <si>
    <t>&gt;=48.26%</t>
  </si>
  <si>
    <t>&gt;=36.87%</t>
  </si>
  <si>
    <t>&gt;=56.34%</t>
  </si>
  <si>
    <t>&gt;=53.43%</t>
  </si>
  <si>
    <t>&gt;=39.84%</t>
  </si>
  <si>
    <t>&gt;=64.41%</t>
  </si>
  <si>
    <t>&gt;=18.65%</t>
  </si>
  <si>
    <t>&gt;=58.01%</t>
  </si>
  <si>
    <t>&gt;=2.80%</t>
  </si>
  <si>
    <t>&gt;=38.46%</t>
  </si>
  <si>
    <t>&gt;=46.30%</t>
  </si>
  <si>
    <t>&lt;=118</t>
  </si>
  <si>
    <t>&gt;=50.76%</t>
  </si>
  <si>
    <t>Segmentation Growth</t>
  </si>
  <si>
    <t>Percentage change in monthly segmentation processes compared to the trailing twelve-month average.</t>
  </si>
  <si>
    <t>&gt;=20.85%</t>
  </si>
  <si>
    <t>&gt;=42.65%</t>
  </si>
  <si>
    <t>&gt;=47.80%</t>
  </si>
  <si>
    <t>&lt;=969</t>
  </si>
  <si>
    <t>License Activation (Privacy Center)</t>
  </si>
  <si>
    <t>Org has Activated licenses (Privacy Center).</t>
  </si>
  <si>
    <t>&gt;=62.88%</t>
  </si>
  <si>
    <t>&gt;=57.90%</t>
  </si>
  <si>
    <t>&gt;=54.61%</t>
  </si>
  <si>
    <t>&gt;=6.16%</t>
  </si>
  <si>
    <t>&gt;=64.26%</t>
  </si>
  <si>
    <t>&gt;=39.69%</t>
  </si>
  <si>
    <t>&gt;=28.79%</t>
  </si>
  <si>
    <t>&gt;=11.35%</t>
  </si>
  <si>
    <t>&gt;=24.62%</t>
  </si>
  <si>
    <t>&lt;=653</t>
  </si>
  <si>
    <t>&gt;=54.49%</t>
  </si>
  <si>
    <t>&gt;=32.83%</t>
  </si>
  <si>
    <t>&gt;=12.89%</t>
  </si>
  <si>
    <t>&gt;=56.07%</t>
  </si>
  <si>
    <t>&gt;=4.15%</t>
  </si>
  <si>
    <t>&gt;=12.30%</t>
  </si>
  <si>
    <t>&gt;=42.03%</t>
  </si>
  <si>
    <t>Entitlement Utilization (MQ)</t>
  </si>
  <si>
    <t>Percentage of MQ used to date.</t>
  </si>
  <si>
    <t>&gt;=16.47%</t>
  </si>
  <si>
    <t>&gt;=44.69%</t>
  </si>
  <si>
    <t>&gt;=19.43%</t>
  </si>
  <si>
    <t>&gt;=66.00%</t>
  </si>
  <si>
    <t>&gt;=31.68%</t>
  </si>
  <si>
    <t>&gt;=31.47%</t>
  </si>
  <si>
    <t>&lt;=9</t>
  </si>
  <si>
    <t>&lt;=1,028</t>
  </si>
  <si>
    <t>&gt;=65.64%</t>
  </si>
  <si>
    <t>&gt;=40.20%</t>
  </si>
  <si>
    <t>&gt;=30.07%</t>
  </si>
  <si>
    <t>&gt;=44.07%</t>
  </si>
  <si>
    <t>&lt;=2,066</t>
  </si>
  <si>
    <t>&gt;=39.20%</t>
  </si>
  <si>
    <t>&gt;=53.86%</t>
  </si>
  <si>
    <t>&gt;=28.20%</t>
  </si>
  <si>
    <t>&lt;=153</t>
  </si>
  <si>
    <t>&lt;=22</t>
  </si>
  <si>
    <t>&gt;=50.81%</t>
  </si>
  <si>
    <t>&gt;=37.91%</t>
  </si>
  <si>
    <t>&gt;=31.85%</t>
  </si>
  <si>
    <t>&gt;=47.11%</t>
  </si>
  <si>
    <t>&gt;=24.61%</t>
  </si>
  <si>
    <t>&gt;=55.93%</t>
  </si>
  <si>
    <t>&gt;=59.63%</t>
  </si>
  <si>
    <t>&gt;=21.08%</t>
  </si>
  <si>
    <t>&gt;=46.68%</t>
  </si>
  <si>
    <t>&gt;=49.31%</t>
  </si>
  <si>
    <t>&gt;=60.38%</t>
  </si>
  <si>
    <t>&gt;=7.97%</t>
  </si>
  <si>
    <t>&gt;=36.27%</t>
  </si>
  <si>
    <t>&gt;=28.36%</t>
  </si>
  <si>
    <t>Program Indicator (Energy &amp; Utilities Cloud)</t>
  </si>
  <si>
    <t>Count of monthly Programs created.</t>
  </si>
  <si>
    <t>&gt;=20.38%</t>
  </si>
  <si>
    <t>&gt;=0.49%</t>
  </si>
  <si>
    <t>&gt;=25.90%</t>
  </si>
  <si>
    <t>&gt;=37.49%</t>
  </si>
  <si>
    <t>&gt;=4.67%</t>
  </si>
  <si>
    <t>&gt;=68.42%</t>
  </si>
  <si>
    <t>&gt;=36.50%</t>
  </si>
  <si>
    <t>&gt;=57.27%</t>
  </si>
  <si>
    <t>&gt;=65.07%</t>
  </si>
  <si>
    <t>&gt;=4.22%</t>
  </si>
  <si>
    <t>&gt;=6.01%</t>
  </si>
  <si>
    <t>&gt;=12.01%</t>
  </si>
  <si>
    <t>&gt;=22.72%</t>
  </si>
  <si>
    <t>&gt;=53.92%</t>
  </si>
  <si>
    <t>&gt;=38.43%</t>
  </si>
  <si>
    <t>&gt;=15.67%</t>
  </si>
  <si>
    <t>&gt;=45.78%</t>
  </si>
  <si>
    <t>&gt;=12.35%</t>
  </si>
  <si>
    <t>&gt;=15.71%</t>
  </si>
  <si>
    <t>&gt;=11.76%</t>
  </si>
  <si>
    <t>&gt;=47.81%</t>
  </si>
  <si>
    <t>&gt;=48.00%</t>
  </si>
  <si>
    <t>&gt;=85.00%</t>
  </si>
  <si>
    <t>&gt;=1.83%</t>
  </si>
  <si>
    <t>&gt;=5.93%</t>
  </si>
  <si>
    <t>&gt;=18.33%</t>
  </si>
  <si>
    <t>&gt;=50.35%</t>
  </si>
  <si>
    <t>&gt;=26.01%</t>
  </si>
  <si>
    <t>&gt;=14.38%</t>
  </si>
  <si>
    <t>&gt;=42.01%</t>
  </si>
  <si>
    <t>&gt;=50.47%</t>
  </si>
  <si>
    <t>&gt;=52.30%</t>
  </si>
  <si>
    <t>&lt;=88</t>
  </si>
  <si>
    <t>&gt;=46.97%</t>
  </si>
  <si>
    <t>&gt;=44.92%</t>
  </si>
  <si>
    <t>&gt;=1.21%</t>
  </si>
  <si>
    <t>&gt;=55.92%</t>
  </si>
  <si>
    <t>&gt;=51.02%</t>
  </si>
  <si>
    <t>&gt;=17.19%</t>
  </si>
  <si>
    <t>&gt;=30.16%</t>
  </si>
  <si>
    <t>Entitlement Utilization (Cumulative Feedback Management)</t>
  </si>
  <si>
    <t>Percentage of Feedback Management used to date.</t>
  </si>
  <si>
    <t>&gt;=5.09%</t>
  </si>
  <si>
    <t>&gt;=47.37%</t>
  </si>
  <si>
    <t>&gt;=27.30%</t>
  </si>
  <si>
    <t>&gt;=-0.70%</t>
  </si>
  <si>
    <t>&gt;=5.13%</t>
  </si>
  <si>
    <t>&gt;=7.45%</t>
  </si>
  <si>
    <t>&gt;=32.11%</t>
  </si>
  <si>
    <t>&lt;=102</t>
  </si>
  <si>
    <t>&lt;=344</t>
  </si>
  <si>
    <t>&gt;=32.25%</t>
  </si>
  <si>
    <t>&gt;=7.92%</t>
  </si>
  <si>
    <t>Buyer Group Growth</t>
  </si>
  <si>
    <t>Percent change of the Buyer Group record count over a 12 month period.</t>
  </si>
  <si>
    <t>&gt;=8.65%</t>
  </si>
  <si>
    <t>&gt;=3.84%</t>
  </si>
  <si>
    <t>&lt;=32,802</t>
  </si>
  <si>
    <t>[Preview] Number of Environments Growth</t>
  </si>
  <si>
    <t>Represents the total count of environments created within an organization in Anypoint Platform.</t>
  </si>
  <si>
    <t>&gt;=16.81%</t>
  </si>
  <si>
    <t>&lt;=100,694</t>
  </si>
  <si>
    <t>Agent Analytics Enabled</t>
  </si>
  <si>
    <t>Setting that indicates if Agent Analytics is active to track agent performance.</t>
  </si>
  <si>
    <t>&lt;=480</t>
  </si>
  <si>
    <t>&gt;=5.81%</t>
  </si>
  <si>
    <t>&gt;=59.06%</t>
  </si>
  <si>
    <t>&gt;=-38.80%</t>
  </si>
  <si>
    <t>&gt;=3.99%</t>
  </si>
  <si>
    <t>&gt;=14.04%</t>
  </si>
  <si>
    <t>&gt;=65.09%</t>
  </si>
  <si>
    <t>&lt;=103</t>
  </si>
  <si>
    <t>&gt;=27.40%</t>
  </si>
  <si>
    <t>&gt;=20.16%</t>
  </si>
  <si>
    <t>&gt;=59.80%</t>
  </si>
  <si>
    <t>&gt;=15.57%</t>
  </si>
  <si>
    <t>&gt;=51.15%</t>
  </si>
  <si>
    <t>&gt;=5.36%</t>
  </si>
  <si>
    <t>&gt;=68.69%</t>
  </si>
  <si>
    <t>&gt;=14.45%</t>
  </si>
  <si>
    <t>&gt;=3.85%</t>
  </si>
  <si>
    <t>&lt;=31,452</t>
  </si>
  <si>
    <t>&gt;=41.06%</t>
  </si>
  <si>
    <t>&gt;=54.74%</t>
  </si>
  <si>
    <t>&gt;=40.58%</t>
  </si>
  <si>
    <t>&gt;=11.45%</t>
  </si>
  <si>
    <t>&lt;=930</t>
  </si>
  <si>
    <t>&gt;=18.51%</t>
  </si>
  <si>
    <t>&lt;=71</t>
  </si>
  <si>
    <t>&gt;=41.83%</t>
  </si>
  <si>
    <t>&gt;=41.51%</t>
  </si>
  <si>
    <t>&lt;=1,021</t>
  </si>
  <si>
    <t>&gt;=30.64%</t>
  </si>
  <si>
    <t>&gt;=68.37%</t>
  </si>
  <si>
    <t>&gt;=55.46%</t>
  </si>
  <si>
    <t>&lt;=1,141</t>
  </si>
  <si>
    <t>&gt;=6.24%</t>
  </si>
  <si>
    <t>&gt;=23.87%</t>
  </si>
  <si>
    <t>&gt;=28.54%</t>
  </si>
  <si>
    <t>&gt;=1.25%</t>
  </si>
  <si>
    <t>&gt;=25.69%</t>
  </si>
  <si>
    <t>&gt;=29.97%</t>
  </si>
  <si>
    <t>&gt;=6.40%</t>
  </si>
  <si>
    <t>&gt;=61.55%</t>
  </si>
  <si>
    <t>&gt;=6.64%</t>
  </si>
  <si>
    <t>&gt;=16.76%</t>
  </si>
  <si>
    <t>&gt;=7.90%</t>
  </si>
  <si>
    <t>&gt;=27.32%</t>
  </si>
  <si>
    <t>&gt;=26.72%</t>
  </si>
  <si>
    <t>&gt;=20.95%</t>
  </si>
  <si>
    <t>&gt;=52.58%</t>
  </si>
  <si>
    <t>&lt;=82</t>
  </si>
  <si>
    <t>&gt;=68.65%</t>
  </si>
  <si>
    <t>&gt;=14.27%</t>
  </si>
  <si>
    <t>&gt;=24.48%</t>
  </si>
  <si>
    <t>&lt;=15,548</t>
  </si>
  <si>
    <t>&gt;=12.91%</t>
  </si>
  <si>
    <t>&gt;=12.36%</t>
  </si>
  <si>
    <t>&gt;=28.48%</t>
  </si>
  <si>
    <t>&gt;=30.84%</t>
  </si>
  <si>
    <t>&gt;=44.86%</t>
  </si>
  <si>
    <t>&gt;=4.28%</t>
  </si>
  <si>
    <t>&gt;=7.30%</t>
  </si>
  <si>
    <t>&gt;=8.42%</t>
  </si>
  <si>
    <t>&gt;=4.92%</t>
  </si>
  <si>
    <t>&gt;=9.80%</t>
  </si>
  <si>
    <t>&gt;=40.54%</t>
  </si>
  <si>
    <t>&gt;=21.22%</t>
  </si>
  <si>
    <t>&gt;=42.31%</t>
  </si>
  <si>
    <t>&gt;=7.53%</t>
  </si>
  <si>
    <t>&gt;=25.94%</t>
  </si>
  <si>
    <t>&gt;=46.17%</t>
  </si>
  <si>
    <t>&lt;=985</t>
  </si>
  <si>
    <t>&gt;=7.80%</t>
  </si>
  <si>
    <t>&gt;=16.84%</t>
  </si>
  <si>
    <t>&gt;=0.95%</t>
  </si>
  <si>
    <t>&gt;=4.56%</t>
  </si>
  <si>
    <t>&lt;=123</t>
  </si>
  <si>
    <t>&gt;=90.52%</t>
  </si>
  <si>
    <t>&gt;=57.91%</t>
  </si>
  <si>
    <t>&gt;=35.51%</t>
  </si>
  <si>
    <t>&gt;=16.30%</t>
  </si>
  <si>
    <t>&gt;=87.61%</t>
  </si>
  <si>
    <t>&gt;=5.38%</t>
  </si>
  <si>
    <t>&gt;=19.63%</t>
  </si>
  <si>
    <t>&gt;=5.14%</t>
  </si>
  <si>
    <t>WebChat (Bots) Engaged Sessions Growth</t>
  </si>
  <si>
    <t>Percentage change in monthly bot engaged sessions on WebChat compared to the trailing twelve-month average.</t>
  </si>
  <si>
    <t>&gt;=3.51%</t>
  </si>
  <si>
    <t>&gt;=13.91%</t>
  </si>
  <si>
    <t>&gt;=61.56%</t>
  </si>
  <si>
    <t>&gt;=33.34%</t>
  </si>
  <si>
    <t>&gt;=58.71%</t>
  </si>
  <si>
    <t>&gt;=81.71%</t>
  </si>
  <si>
    <t>&gt;=40.82%</t>
  </si>
  <si>
    <t>&gt;=28.67%</t>
  </si>
  <si>
    <t>&gt;=63.08%</t>
  </si>
  <si>
    <t>&gt;=33.89%</t>
  </si>
  <si>
    <t>&gt;=35.37%</t>
  </si>
  <si>
    <t>&gt;=34.89%</t>
  </si>
  <si>
    <t>&gt;=19.12%</t>
  </si>
  <si>
    <t>&lt;=1,330</t>
  </si>
  <si>
    <t>&gt;=10.02%</t>
  </si>
  <si>
    <t>&gt;=15.19%</t>
  </si>
  <si>
    <t>Percentage of Partner Community logins used in last 12 months.</t>
  </si>
  <si>
    <t>&lt;=967</t>
  </si>
  <si>
    <t>&gt;=5.22%</t>
  </si>
  <si>
    <t>Pulse insights</t>
  </si>
  <si>
    <t>Pulse Engagement</t>
  </si>
  <si>
    <t>Percentage of monthly users who engages with Tableau Pulse and Tableau Agent.</t>
  </si>
  <si>
    <t>&gt;=59.43%</t>
  </si>
  <si>
    <t>&gt;=2.55%</t>
  </si>
  <si>
    <t>&gt;=42.97%</t>
  </si>
  <si>
    <t>&gt;=4.13%</t>
  </si>
  <si>
    <t>&gt;=53.06%</t>
  </si>
  <si>
    <t>&gt;=11.39%</t>
  </si>
  <si>
    <t>Monthly Agents Used</t>
  </si>
  <si>
    <t>Agents used this month.</t>
  </si>
  <si>
    <t>&gt;=15.46%</t>
  </si>
  <si>
    <t>&gt;=43.68%</t>
  </si>
  <si>
    <t>&lt;=129</t>
  </si>
  <si>
    <t>&gt;=31.09%</t>
  </si>
  <si>
    <t>&gt;=29.77%</t>
  </si>
  <si>
    <t>Promotion</t>
  </si>
  <si>
    <t>Org has Promotion enabled.</t>
  </si>
  <si>
    <t>&gt;=9.24%</t>
  </si>
  <si>
    <t>&gt;=28.72%</t>
  </si>
  <si>
    <t>&gt;=40.08%</t>
  </si>
  <si>
    <t>&gt;=4.17%</t>
  </si>
  <si>
    <t>Web Cart Growth</t>
  </si>
  <si>
    <t>Percent change of the Web Cart record count over a 12 month period.</t>
  </si>
  <si>
    <t>&gt;=13.56%</t>
  </si>
  <si>
    <t>&gt;=48.82%</t>
  </si>
  <si>
    <t>Cache Management Grouped Features Indicator (Energy &amp; Utilities Cloud)</t>
  </si>
  <si>
    <t>Org has used any of the Cache Management features monthly.</t>
  </si>
  <si>
    <t>&gt;=31.18%</t>
  </si>
  <si>
    <t>&gt;=8.80%</t>
  </si>
  <si>
    <t>&lt;=110</t>
  </si>
  <si>
    <t>&gt;=32.35%</t>
  </si>
  <si>
    <t>&gt;=42.96%</t>
  </si>
  <si>
    <t>Product Entitlement</t>
  </si>
  <si>
    <t>Org has Product Entitlement enabled.</t>
  </si>
  <si>
    <t>&lt;=93</t>
  </si>
  <si>
    <t>&gt;=40.16%</t>
  </si>
  <si>
    <t>&gt;=17.82%</t>
  </si>
  <si>
    <t>&gt;=57.21%</t>
  </si>
  <si>
    <t>&gt;=60.50%</t>
  </si>
  <si>
    <t>&gt;=64.96%</t>
  </si>
  <si>
    <t>&lt;=843</t>
  </si>
  <si>
    <t>&lt;=2,878,800</t>
  </si>
  <si>
    <t>&gt;=70.66%</t>
  </si>
  <si>
    <t>&gt;=22.18%</t>
  </si>
  <si>
    <t>&gt;=46.45%</t>
  </si>
  <si>
    <t>&gt;=57.95%</t>
  </si>
  <si>
    <t>&gt;=0.14%</t>
  </si>
  <si>
    <t>&lt;=13</t>
  </si>
  <si>
    <t>&gt;=54.17%</t>
  </si>
  <si>
    <t>&gt;=32.38%</t>
  </si>
  <si>
    <t>&gt;=57.78%</t>
  </si>
  <si>
    <t>&gt;=13.33%</t>
  </si>
  <si>
    <t>&gt;=56.61%</t>
  </si>
  <si>
    <t>&gt;=21.50%</t>
  </si>
  <si>
    <t>&lt;=975</t>
  </si>
  <si>
    <t>&gt;=17.23%</t>
  </si>
  <si>
    <t>&gt;=30.00%</t>
  </si>
  <si>
    <t>&gt;=48.23%</t>
  </si>
  <si>
    <t>&gt;=61.07%</t>
  </si>
  <si>
    <t>&gt;=39.43%</t>
  </si>
  <si>
    <t>&gt;=4.89%</t>
  </si>
  <si>
    <t>&lt;=8,252,044</t>
  </si>
  <si>
    <t>&gt;=47.40%</t>
  </si>
  <si>
    <t>Entitlement Utilization (Monthly B2B Order Management - Industries)</t>
  </si>
  <si>
    <t>Percentage of B2B Order Management - Industries used monthly.</t>
  </si>
  <si>
    <t>&gt;=24.97%</t>
  </si>
  <si>
    <t>&gt;=60.52%</t>
  </si>
  <si>
    <t>&gt;=9.08%</t>
  </si>
  <si>
    <t>LLM Calls Success Rate</t>
  </si>
  <si>
    <t>Tracks the percentage of successful LLM calls. Useful for monitoring AI reliability.</t>
  </si>
  <si>
    <t>&gt;=67.41%</t>
  </si>
  <si>
    <t>&gt;=51.80%</t>
  </si>
  <si>
    <t>&gt;=90.16%</t>
  </si>
  <si>
    <t>&gt;=0.52%</t>
  </si>
  <si>
    <t>&gt;=55.37%</t>
  </si>
  <si>
    <t>&gt;=61.73%</t>
  </si>
  <si>
    <t>Web Store</t>
  </si>
  <si>
    <t>Org has Web Store enabled.</t>
  </si>
  <si>
    <t>&gt;=3.98%</t>
  </si>
  <si>
    <t>&gt;=40.51%</t>
  </si>
  <si>
    <t>Wishlist</t>
  </si>
  <si>
    <t>Wishlist flag.</t>
  </si>
  <si>
    <t>&gt;=46.29%</t>
  </si>
  <si>
    <t>&gt;=19.58%</t>
  </si>
  <si>
    <t>&gt;=14.40%</t>
  </si>
  <si>
    <t>&gt;=32.93%</t>
  </si>
  <si>
    <t>&gt;=43.23%</t>
  </si>
  <si>
    <t>&gt;=32.26%</t>
  </si>
  <si>
    <t>&gt;=35.81%</t>
  </si>
  <si>
    <t>&gt;=10.89%</t>
  </si>
  <si>
    <t>&gt;=2.52%</t>
  </si>
  <si>
    <t>&gt;=23.44%</t>
  </si>
  <si>
    <t>&gt;=18.00%</t>
  </si>
  <si>
    <t>&gt;=6.48%</t>
  </si>
  <si>
    <t>&gt;=62.98%</t>
  </si>
  <si>
    <t>&gt;=54.10%</t>
  </si>
  <si>
    <t>&gt;=23.23%</t>
  </si>
  <si>
    <t>&gt;=-25.82%</t>
  </si>
  <si>
    <t>B2B Start Store Creation (CSA)</t>
  </si>
  <si>
    <t>B2B Start Store Creation (CSA).</t>
  </si>
  <si>
    <t>&gt;=72.96%</t>
  </si>
  <si>
    <t>&gt;=41.52%</t>
  </si>
  <si>
    <t>&gt;=30.05%</t>
  </si>
  <si>
    <t>Entitlement Utilization (Monthly B2C Order Management - Industries)</t>
  </si>
  <si>
    <t>Percentage of B2C Order Management - Industries used monthly.</t>
  </si>
  <si>
    <t>&gt;=55.84%</t>
  </si>
  <si>
    <t>&gt;=54.02%</t>
  </si>
  <si>
    <t>&gt;=55.11%</t>
  </si>
  <si>
    <t>&lt;=1,392</t>
  </si>
  <si>
    <t>&lt;=42,259</t>
  </si>
  <si>
    <t>&gt;=12.05%</t>
  </si>
  <si>
    <t>&gt;=21.14%</t>
  </si>
  <si>
    <t>&gt;=26.09%</t>
  </si>
  <si>
    <t>&gt;=38.08%</t>
  </si>
  <si>
    <t>&gt;=51.52%</t>
  </si>
  <si>
    <t>&gt;=18.43%</t>
  </si>
  <si>
    <t>&gt;=17.33%</t>
  </si>
  <si>
    <t>&lt;=998</t>
  </si>
  <si>
    <t>&gt;=40.11%</t>
  </si>
  <si>
    <t>&gt;=14.00%</t>
  </si>
  <si>
    <t>&lt;=889</t>
  </si>
  <si>
    <t>&gt;=2.66%</t>
  </si>
  <si>
    <t>&lt;=80</t>
  </si>
  <si>
    <t>&gt;=15.92%</t>
  </si>
  <si>
    <t>&gt;=9.75%</t>
  </si>
  <si>
    <t>&gt;=3.36%</t>
  </si>
  <si>
    <t>&gt;=21.79%</t>
  </si>
  <si>
    <t>&gt;=37.06%</t>
  </si>
  <si>
    <t>&gt;=21.78%</t>
  </si>
  <si>
    <t>&gt;=3.27%</t>
  </si>
  <si>
    <t>&gt;=58.48%</t>
  </si>
  <si>
    <t>Entitlement Utilization (Cumulative Flex Credits)</t>
  </si>
  <si>
    <t>Percentage of Flex Credits used to date.</t>
  </si>
  <si>
    <t>&gt;=65.62%</t>
  </si>
  <si>
    <t>&gt;=65.44%</t>
  </si>
  <si>
    <t>&gt;=68.86%</t>
  </si>
  <si>
    <t>&gt;=41.32%</t>
  </si>
  <si>
    <t>&gt;=5.02%</t>
  </si>
  <si>
    <t>&gt;=60.25%</t>
  </si>
  <si>
    <t>&lt;=994</t>
  </si>
  <si>
    <t>&gt;=-0.12%</t>
  </si>
  <si>
    <t>&gt;=8.26%</t>
  </si>
  <si>
    <t>&gt;=49.22%</t>
  </si>
  <si>
    <t>B2B Add to Cart Growth</t>
  </si>
  <si>
    <t>Percent change of the B2B Add to Cart over a 12 month period.</t>
  </si>
  <si>
    <t>&gt;=15.89%</t>
  </si>
  <si>
    <t>&gt;=8.47%</t>
  </si>
  <si>
    <t>&gt;=26.56%</t>
  </si>
  <si>
    <t>&gt;=6.45%</t>
  </si>
  <si>
    <t>&gt;=46.98%</t>
  </si>
  <si>
    <t>&gt;=0.92%</t>
  </si>
  <si>
    <t>&gt;=31.82%</t>
  </si>
  <si>
    <t>&gt;=63.61%</t>
  </si>
  <si>
    <t>&gt;=50.61%</t>
  </si>
  <si>
    <t>SMS (Service Representative) Sessions Growth</t>
  </si>
  <si>
    <t>Percentage change in monthly Service Representative Messaging sessions via SMS compared to the trailing 12 month average.</t>
  </si>
  <si>
    <t>&gt;=20.51%</t>
  </si>
  <si>
    <t>License Activation (Explorer)</t>
  </si>
  <si>
    <t>Percentage of Tableau Cloud Explorer activated to date.</t>
  </si>
  <si>
    <t>&gt;=56.26%</t>
  </si>
  <si>
    <t>&gt;=58.49%</t>
  </si>
  <si>
    <t>&lt;=249</t>
  </si>
  <si>
    <t>&gt;=35.63%</t>
  </si>
  <si>
    <t>Buyer Group Entitlement</t>
  </si>
  <si>
    <t>Org has Buyer Group Entitlement enabled.</t>
  </si>
  <si>
    <t>&gt;=66.73%</t>
  </si>
  <si>
    <t>&gt;=23.70%</t>
  </si>
  <si>
    <t>Entitlement Utilization (Trailing twelve months B2C Order Management - Industries)</t>
  </si>
  <si>
    <t>Percentage of B2C Order Management - Industries used in last 12 months.</t>
  </si>
  <si>
    <t>&gt;=41.25%</t>
  </si>
  <si>
    <t>&gt;=-1.82%</t>
  </si>
  <si>
    <t>&gt;=17.95%</t>
  </si>
  <si>
    <t>&gt;=6.25%</t>
  </si>
  <si>
    <t>&gt;=16.36%</t>
  </si>
  <si>
    <t>&gt;=45.49%</t>
  </si>
  <si>
    <t>&gt;=16.29%</t>
  </si>
  <si>
    <t>&gt;=60.60%</t>
  </si>
  <si>
    <t>&lt;=15,245</t>
  </si>
  <si>
    <t>&gt;=18.67%</t>
  </si>
  <si>
    <t>&lt;=1,147</t>
  </si>
  <si>
    <t>&gt;=39.51%</t>
  </si>
  <si>
    <t>&gt;=22.36%</t>
  </si>
  <si>
    <t>Entitlement Utilization (Trailing twelve months Flex Credits)</t>
  </si>
  <si>
    <t>Percentage of Flex Credits used in last 12 months.</t>
  </si>
  <si>
    <t>&gt;=4.38%</t>
  </si>
  <si>
    <t>&gt;=44.12%</t>
  </si>
  <si>
    <t>&gt;=34.25%</t>
  </si>
  <si>
    <t>&gt;=17.78%</t>
  </si>
  <si>
    <t>&gt;=11.67%</t>
  </si>
  <si>
    <t>&gt;=20.49%</t>
  </si>
  <si>
    <t>Product Category</t>
  </si>
  <si>
    <t>Org has Product Category enabled.</t>
  </si>
  <si>
    <t>&gt;=48.10%</t>
  </si>
  <si>
    <t>&gt;=21.34%</t>
  </si>
  <si>
    <t>&gt;=42.85%</t>
  </si>
  <si>
    <t>&gt;=-24.68%</t>
  </si>
  <si>
    <t>&gt;=64.71%</t>
  </si>
  <si>
    <t>&gt;=59.15%</t>
  </si>
  <si>
    <t>&gt;=52.88%</t>
  </si>
  <si>
    <t>&gt;=5.92%</t>
  </si>
  <si>
    <t>&gt;=12.25%</t>
  </si>
  <si>
    <t>&gt;=4.11%</t>
  </si>
  <si>
    <t>&gt;=7.04%</t>
  </si>
  <si>
    <t>&lt;=2,590</t>
  </si>
  <si>
    <t>&gt;=14.99%</t>
  </si>
  <si>
    <t>&gt;=28.46%</t>
  </si>
  <si>
    <t>&lt;=928</t>
  </si>
  <si>
    <t>&gt;=46.28%</t>
  </si>
  <si>
    <t>&gt;=2.44%</t>
  </si>
  <si>
    <t>&gt;=6.44%</t>
  </si>
  <si>
    <t>&gt;=35.99%</t>
  </si>
  <si>
    <t>&lt;=95</t>
  </si>
  <si>
    <t>&gt;=41.35%</t>
  </si>
  <si>
    <t>&gt;=15.25%</t>
  </si>
  <si>
    <t>&gt;=69.85%</t>
  </si>
  <si>
    <t>&gt;=53.63%</t>
  </si>
  <si>
    <t>&gt;=28.11%</t>
  </si>
  <si>
    <t>&gt;=6.34%</t>
  </si>
  <si>
    <t>&gt;=12.70%</t>
  </si>
  <si>
    <t>&gt;=28.50%</t>
  </si>
  <si>
    <t>&gt;=46.96%</t>
  </si>
  <si>
    <t>&lt;=926</t>
  </si>
  <si>
    <t>&gt;=14.36%</t>
  </si>
  <si>
    <t>&gt;=26.74%</t>
  </si>
  <si>
    <t>&gt;=10.86%</t>
  </si>
  <si>
    <t>&gt;=63.42%</t>
  </si>
  <si>
    <t>&gt;=3.01%</t>
  </si>
  <si>
    <t>&gt;=85.22%</t>
  </si>
  <si>
    <t>&lt;=37</t>
  </si>
  <si>
    <t>&gt;=11.63%</t>
  </si>
  <si>
    <t>&gt;=50.98%</t>
  </si>
  <si>
    <t>&gt;=56.83%</t>
  </si>
  <si>
    <t>&gt;=39.81%</t>
  </si>
  <si>
    <t>&gt;=16.45%</t>
  </si>
  <si>
    <t>&gt;=1.68%</t>
  </si>
  <si>
    <t>&gt;=4.01%</t>
  </si>
  <si>
    <t>&gt;=34.39%</t>
  </si>
  <si>
    <t>&gt;=26.46%</t>
  </si>
  <si>
    <t>&gt;=54.79%</t>
  </si>
  <si>
    <t>&lt;=14,268</t>
  </si>
  <si>
    <t>&lt;=656</t>
  </si>
  <si>
    <t>&gt;=28.91%</t>
  </si>
  <si>
    <t>&gt;=21.98%</t>
  </si>
  <si>
    <t>License Activation (High Velocity Sales)</t>
  </si>
  <si>
    <t>&gt;=52.92%</t>
  </si>
  <si>
    <t>&gt;=3.12%</t>
  </si>
  <si>
    <t>&gt;=4.55%</t>
  </si>
  <si>
    <t>&gt;=45.89%</t>
  </si>
  <si>
    <t>&gt;=17.12%</t>
  </si>
  <si>
    <t>&gt;=10.04%</t>
  </si>
  <si>
    <t>&gt;=32.71%</t>
  </si>
  <si>
    <t>&gt;=27.14%</t>
  </si>
  <si>
    <t>Price Book</t>
  </si>
  <si>
    <t>Org has Price Book enabled.</t>
  </si>
  <si>
    <t>&gt;=31.89%</t>
  </si>
  <si>
    <t>&gt;=20.99%</t>
  </si>
  <si>
    <t>&gt;=31.25%</t>
  </si>
  <si>
    <t>&gt;=2.26%</t>
  </si>
  <si>
    <t>&gt;=31.84%</t>
  </si>
  <si>
    <t>&gt;=56.98%</t>
  </si>
  <si>
    <t>&gt;=30.20%</t>
  </si>
  <si>
    <t>&gt;=53.76%</t>
  </si>
  <si>
    <t>&lt;=99</t>
  </si>
  <si>
    <t>&gt;=52.20%</t>
  </si>
  <si>
    <t>&gt;=40.87%</t>
  </si>
  <si>
    <t>&gt;=53.04%</t>
  </si>
  <si>
    <t>&gt;=13.59%</t>
  </si>
  <si>
    <t>&gt;=25.34%</t>
  </si>
  <si>
    <t>&gt;=-30.86%</t>
  </si>
  <si>
    <t>License Utilization (Viewer)</t>
  </si>
  <si>
    <t>Percentage of Tableau Cloud Viewer used to date.</t>
  </si>
  <si>
    <t>&gt;=60.73%</t>
  </si>
  <si>
    <t>&lt;=16,082,080</t>
  </si>
  <si>
    <t>&gt;=56.38%</t>
  </si>
  <si>
    <t>&lt;=113</t>
  </si>
  <si>
    <t>&gt;=5.73%</t>
  </si>
  <si>
    <t>&gt;=-36.80%</t>
  </si>
  <si>
    <t>&gt;=58.54%</t>
  </si>
  <si>
    <t>&gt;=55.18%</t>
  </si>
  <si>
    <t>&gt;=10.41%</t>
  </si>
  <si>
    <t>&gt;=19.75%</t>
  </si>
  <si>
    <t>&gt;=18.31%</t>
  </si>
  <si>
    <t>&gt;=38.88%</t>
  </si>
  <si>
    <t>&gt;=56.50%</t>
  </si>
  <si>
    <t>&gt;=4.71%</t>
  </si>
  <si>
    <t>&gt;=55.58%</t>
  </si>
  <si>
    <t>&gt;=3.93%</t>
  </si>
  <si>
    <t>&gt;=12.32%</t>
  </si>
  <si>
    <t>&lt;=149</t>
  </si>
  <si>
    <t>&gt;=52.10%</t>
  </si>
  <si>
    <t>&gt;=13.63%</t>
  </si>
  <si>
    <t>&gt;=3.44%</t>
  </si>
  <si>
    <t>&gt;=28.85%</t>
  </si>
  <si>
    <t>&gt;=18.61%</t>
  </si>
  <si>
    <t>&gt;=33.08%</t>
  </si>
  <si>
    <t>&gt;=46.60%</t>
  </si>
  <si>
    <t>&lt;=1,321</t>
  </si>
  <si>
    <t>&gt;=34.56%</t>
  </si>
  <si>
    <t>&gt;=6.03%</t>
  </si>
  <si>
    <t>&gt;=47.77%</t>
  </si>
  <si>
    <t>&gt;=48.06%</t>
  </si>
  <si>
    <t>&gt;=0.11%</t>
  </si>
  <si>
    <t>&gt;=2.86%</t>
  </si>
  <si>
    <t>&gt;=4.35%</t>
  </si>
  <si>
    <t>&gt;=38.87%</t>
  </si>
  <si>
    <t>&gt;=15.82%</t>
  </si>
  <si>
    <t>&gt;=27.79%</t>
  </si>
  <si>
    <t>&gt;=31.60%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</si>
</sst>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0;-0;0"/>
    <numFmt numFmtId="166" formatCode="+0;-0"/>
  </numFmts>
  <fonts count="8">
    <font>
      <sz val="10.0"/>
      <color rgb="FF000000"/>
      <name val="Arial"/>
      <scheme val="minor"/>
    </font>
    <font>
      <b/>
      <color theme="1"/>
      <name val="&quot;Salesforce Sans&quot;"/>
    </font>
    <font>
      <b/>
      <color theme="1"/>
      <name val="Arial"/>
    </font>
    <font>
      <color theme="1"/>
      <name val="Arial"/>
    </font>
    <font>
      <u/>
      <color rgb="FF0000FF"/>
      <name val="Arial"/>
    </font>
    <font>
      <b/>
      <color theme="1"/>
      <name val="Arial"/>
      <scheme val="minor"/>
    </font>
    <font>
      <color theme="1"/>
      <name val="Arial"/>
      <scheme val="minor"/>
    </font>
    <font>
      <u/>
      <color rgb="FF0000FF"/>
    </font>
  </fonts>
  <fills count="4">
    <fill>
      <patternFill patternType="none"/>
    </fill>
    <fill>
      <patternFill patternType="lightGray"/>
    </fill>
    <fill>
      <patternFill patternType="solid">
        <fgColor rgb="FFD9D9D9"/>
        <bgColor rgb="FFD9D9D9"/>
      </patternFill>
    </fill>
    <fill>
      <patternFill patternType="solid">
        <fgColor rgb="FFFFFF00"/>
        <bgColor rgb="FFFF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0" fillId="0" fontId="3" numFmtId="0" xfId="0" applyAlignment="1" applyFont="1">
      <alignment shrinkToFit="0" vertical="bottom" wrapText="1"/>
    </xf>
    <xf borderId="0" fillId="3" fontId="2" numFmtId="0" xfId="0" applyAlignment="1" applyFill="1" applyFont="1">
      <alignment vertical="bottom"/>
    </xf>
    <xf borderId="0" fillId="3"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xf borderId="0" fillId="0" fontId="5" numFmtId="0" xfId="0" applyAlignment="1" applyFont="1">
      <alignment readingOrder="0"/>
    </xf>
    <xf borderId="0" fillId="0" fontId="5" numFmtId="0" xfId="0" applyFont="1"/>
    <xf borderId="0" fillId="0" fontId="6"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readingOrder="0"/>
    </xf>
    <xf borderId="0" fillId="0" fontId="6" numFmtId="165" xfId="0" applyFont="1" applyNumberFormat="1"/>
    <xf borderId="0" fillId="0" fontId="6" numFmtId="0" xfId="0" applyFont="1"/>
    <xf borderId="0" fillId="0" fontId="6" numFmtId="164" xfId="0" applyFont="1" applyNumberFormat="1"/>
    <xf borderId="0" fillId="0" fontId="6" numFmtId="0" xfId="0" applyFont="1"/>
    <xf borderId="0" fillId="0" fontId="6" numFmtId="165" xfId="0" applyAlignment="1" applyFont="1" applyNumberFormat="1">
      <alignment readingOrder="0"/>
    </xf>
    <xf borderId="0" fillId="0" fontId="6" numFmtId="166" xfId="0" applyFont="1" applyNumberFormat="1"/>
    <xf borderId="0" fillId="0" fontId="6"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orc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force.com" TargetMode="External"/><Relationship Id="rId22" Type="http://schemas.openxmlformats.org/officeDocument/2006/relationships/hyperlink" Target="http://force.com" TargetMode="External"/><Relationship Id="rId21" Type="http://schemas.openxmlformats.org/officeDocument/2006/relationships/hyperlink" Target="http://force.com" TargetMode="External"/><Relationship Id="rId24" Type="http://schemas.openxmlformats.org/officeDocument/2006/relationships/hyperlink" Target="http://force.com" TargetMode="External"/><Relationship Id="rId23" Type="http://schemas.openxmlformats.org/officeDocument/2006/relationships/hyperlink" Target="http://force.com" TargetMode="External"/><Relationship Id="rId1" Type="http://schemas.openxmlformats.org/officeDocument/2006/relationships/hyperlink" Target="http://force.com" TargetMode="External"/><Relationship Id="rId2" Type="http://schemas.openxmlformats.org/officeDocument/2006/relationships/hyperlink" Target="http://force.com" TargetMode="External"/><Relationship Id="rId3" Type="http://schemas.openxmlformats.org/officeDocument/2006/relationships/hyperlink" Target="http://force.com" TargetMode="External"/><Relationship Id="rId4" Type="http://schemas.openxmlformats.org/officeDocument/2006/relationships/hyperlink" Target="http://force.com" TargetMode="External"/><Relationship Id="rId9" Type="http://schemas.openxmlformats.org/officeDocument/2006/relationships/hyperlink" Target="http://force.com" TargetMode="External"/><Relationship Id="rId26" Type="http://schemas.openxmlformats.org/officeDocument/2006/relationships/hyperlink" Target="http://force.com" TargetMode="External"/><Relationship Id="rId25" Type="http://schemas.openxmlformats.org/officeDocument/2006/relationships/hyperlink" Target="http://force.com" TargetMode="External"/><Relationship Id="rId28" Type="http://schemas.openxmlformats.org/officeDocument/2006/relationships/hyperlink" Target="http://force.com" TargetMode="External"/><Relationship Id="rId27" Type="http://schemas.openxmlformats.org/officeDocument/2006/relationships/hyperlink" Target="http://force.com" TargetMode="External"/><Relationship Id="rId5" Type="http://schemas.openxmlformats.org/officeDocument/2006/relationships/hyperlink" Target="http://force.com" TargetMode="External"/><Relationship Id="rId6" Type="http://schemas.openxmlformats.org/officeDocument/2006/relationships/hyperlink" Target="http://force.com" TargetMode="External"/><Relationship Id="rId29" Type="http://schemas.openxmlformats.org/officeDocument/2006/relationships/hyperlink" Target="http://force.com" TargetMode="External"/><Relationship Id="rId7" Type="http://schemas.openxmlformats.org/officeDocument/2006/relationships/hyperlink" Target="http://force.com" TargetMode="External"/><Relationship Id="rId8" Type="http://schemas.openxmlformats.org/officeDocument/2006/relationships/hyperlink" Target="http://force.com" TargetMode="External"/><Relationship Id="rId31" Type="http://schemas.openxmlformats.org/officeDocument/2006/relationships/hyperlink" Target="http://force.com" TargetMode="External"/><Relationship Id="rId30" Type="http://schemas.openxmlformats.org/officeDocument/2006/relationships/hyperlink" Target="http://force.com" TargetMode="External"/><Relationship Id="rId11" Type="http://schemas.openxmlformats.org/officeDocument/2006/relationships/hyperlink" Target="http://force.com" TargetMode="External"/><Relationship Id="rId33" Type="http://schemas.openxmlformats.org/officeDocument/2006/relationships/hyperlink" Target="http://force.com" TargetMode="External"/><Relationship Id="rId10" Type="http://schemas.openxmlformats.org/officeDocument/2006/relationships/hyperlink" Target="http://force.com" TargetMode="External"/><Relationship Id="rId32" Type="http://schemas.openxmlformats.org/officeDocument/2006/relationships/hyperlink" Target="http://force.com" TargetMode="External"/><Relationship Id="rId13" Type="http://schemas.openxmlformats.org/officeDocument/2006/relationships/hyperlink" Target="http://force.com" TargetMode="External"/><Relationship Id="rId35" Type="http://schemas.openxmlformats.org/officeDocument/2006/relationships/hyperlink" Target="http://force.com" TargetMode="External"/><Relationship Id="rId12" Type="http://schemas.openxmlformats.org/officeDocument/2006/relationships/hyperlink" Target="http://force.com" TargetMode="External"/><Relationship Id="rId34" Type="http://schemas.openxmlformats.org/officeDocument/2006/relationships/hyperlink" Target="http://force.com" TargetMode="External"/><Relationship Id="rId15" Type="http://schemas.openxmlformats.org/officeDocument/2006/relationships/hyperlink" Target="http://force.com" TargetMode="External"/><Relationship Id="rId37" Type="http://schemas.openxmlformats.org/officeDocument/2006/relationships/hyperlink" Target="http://force.com" TargetMode="External"/><Relationship Id="rId14" Type="http://schemas.openxmlformats.org/officeDocument/2006/relationships/hyperlink" Target="http://force.com" TargetMode="External"/><Relationship Id="rId36" Type="http://schemas.openxmlformats.org/officeDocument/2006/relationships/hyperlink" Target="http://force.com" TargetMode="External"/><Relationship Id="rId17" Type="http://schemas.openxmlformats.org/officeDocument/2006/relationships/hyperlink" Target="http://force.com" TargetMode="External"/><Relationship Id="rId39" Type="http://schemas.openxmlformats.org/officeDocument/2006/relationships/drawing" Target="../drawings/drawing2.xml"/><Relationship Id="rId16" Type="http://schemas.openxmlformats.org/officeDocument/2006/relationships/hyperlink" Target="http://force.com" TargetMode="External"/><Relationship Id="rId38" Type="http://schemas.openxmlformats.org/officeDocument/2006/relationships/hyperlink" Target="http://force.com" TargetMode="External"/><Relationship Id="rId19" Type="http://schemas.openxmlformats.org/officeDocument/2006/relationships/hyperlink" Target="http://force.com" TargetMode="External"/><Relationship Id="rId18" Type="http://schemas.openxmlformats.org/officeDocument/2006/relationships/hyperlink" Target="http://force.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force.com" TargetMode="External"/><Relationship Id="rId42" Type="http://schemas.openxmlformats.org/officeDocument/2006/relationships/hyperlink" Target="http://force.com" TargetMode="External"/><Relationship Id="rId41" Type="http://schemas.openxmlformats.org/officeDocument/2006/relationships/hyperlink" Target="http://force.com" TargetMode="External"/><Relationship Id="rId44" Type="http://schemas.openxmlformats.org/officeDocument/2006/relationships/hyperlink" Target="http://force.com" TargetMode="External"/><Relationship Id="rId43" Type="http://schemas.openxmlformats.org/officeDocument/2006/relationships/hyperlink" Target="http://force.com" TargetMode="External"/><Relationship Id="rId46" Type="http://schemas.openxmlformats.org/officeDocument/2006/relationships/hyperlink" Target="http://force.com" TargetMode="External"/><Relationship Id="rId45" Type="http://schemas.openxmlformats.org/officeDocument/2006/relationships/hyperlink" Target="http://force.com" TargetMode="External"/><Relationship Id="rId107" Type="http://schemas.openxmlformats.org/officeDocument/2006/relationships/hyperlink" Target="http://force.com" TargetMode="External"/><Relationship Id="rId106" Type="http://schemas.openxmlformats.org/officeDocument/2006/relationships/hyperlink" Target="http://force.com" TargetMode="External"/><Relationship Id="rId105" Type="http://schemas.openxmlformats.org/officeDocument/2006/relationships/hyperlink" Target="http://force.com" TargetMode="External"/><Relationship Id="rId104" Type="http://schemas.openxmlformats.org/officeDocument/2006/relationships/hyperlink" Target="http://force.com" TargetMode="External"/><Relationship Id="rId109" Type="http://schemas.openxmlformats.org/officeDocument/2006/relationships/hyperlink" Target="http://force.com" TargetMode="External"/><Relationship Id="rId108" Type="http://schemas.openxmlformats.org/officeDocument/2006/relationships/hyperlink" Target="http://force.com" TargetMode="External"/><Relationship Id="rId48" Type="http://schemas.openxmlformats.org/officeDocument/2006/relationships/hyperlink" Target="http://force.com" TargetMode="External"/><Relationship Id="rId47" Type="http://schemas.openxmlformats.org/officeDocument/2006/relationships/hyperlink" Target="http://force.com" TargetMode="External"/><Relationship Id="rId49" Type="http://schemas.openxmlformats.org/officeDocument/2006/relationships/hyperlink" Target="http://force.com" TargetMode="External"/><Relationship Id="rId103" Type="http://schemas.openxmlformats.org/officeDocument/2006/relationships/hyperlink" Target="http://force.com" TargetMode="External"/><Relationship Id="rId102" Type="http://schemas.openxmlformats.org/officeDocument/2006/relationships/hyperlink" Target="http://force.com" TargetMode="External"/><Relationship Id="rId101" Type="http://schemas.openxmlformats.org/officeDocument/2006/relationships/hyperlink" Target="http://force.com" TargetMode="External"/><Relationship Id="rId100" Type="http://schemas.openxmlformats.org/officeDocument/2006/relationships/hyperlink" Target="http://force.com" TargetMode="External"/><Relationship Id="rId31" Type="http://schemas.openxmlformats.org/officeDocument/2006/relationships/hyperlink" Target="http://force.com" TargetMode="External"/><Relationship Id="rId30" Type="http://schemas.openxmlformats.org/officeDocument/2006/relationships/hyperlink" Target="http://force.com" TargetMode="External"/><Relationship Id="rId33" Type="http://schemas.openxmlformats.org/officeDocument/2006/relationships/hyperlink" Target="http://force.com" TargetMode="External"/><Relationship Id="rId32" Type="http://schemas.openxmlformats.org/officeDocument/2006/relationships/hyperlink" Target="http://force.com" TargetMode="External"/><Relationship Id="rId35" Type="http://schemas.openxmlformats.org/officeDocument/2006/relationships/hyperlink" Target="http://force.com" TargetMode="External"/><Relationship Id="rId34" Type="http://schemas.openxmlformats.org/officeDocument/2006/relationships/hyperlink" Target="http://force.com" TargetMode="External"/><Relationship Id="rId37" Type="http://schemas.openxmlformats.org/officeDocument/2006/relationships/hyperlink" Target="http://force.com" TargetMode="External"/><Relationship Id="rId36" Type="http://schemas.openxmlformats.org/officeDocument/2006/relationships/hyperlink" Target="http://force.com" TargetMode="External"/><Relationship Id="rId39" Type="http://schemas.openxmlformats.org/officeDocument/2006/relationships/hyperlink" Target="http://force.com" TargetMode="External"/><Relationship Id="rId38" Type="http://schemas.openxmlformats.org/officeDocument/2006/relationships/hyperlink" Target="http://force.com" TargetMode="External"/><Relationship Id="rId20" Type="http://schemas.openxmlformats.org/officeDocument/2006/relationships/hyperlink" Target="http://force.com" TargetMode="External"/><Relationship Id="rId22" Type="http://schemas.openxmlformats.org/officeDocument/2006/relationships/hyperlink" Target="http://force.com" TargetMode="External"/><Relationship Id="rId21" Type="http://schemas.openxmlformats.org/officeDocument/2006/relationships/hyperlink" Target="http://force.com" TargetMode="External"/><Relationship Id="rId24" Type="http://schemas.openxmlformats.org/officeDocument/2006/relationships/hyperlink" Target="http://force.com" TargetMode="External"/><Relationship Id="rId23" Type="http://schemas.openxmlformats.org/officeDocument/2006/relationships/hyperlink" Target="http://force.com" TargetMode="External"/><Relationship Id="rId26" Type="http://schemas.openxmlformats.org/officeDocument/2006/relationships/hyperlink" Target="http://force.com" TargetMode="External"/><Relationship Id="rId25" Type="http://schemas.openxmlformats.org/officeDocument/2006/relationships/hyperlink" Target="http://force.com" TargetMode="External"/><Relationship Id="rId28" Type="http://schemas.openxmlformats.org/officeDocument/2006/relationships/hyperlink" Target="http://force.com" TargetMode="External"/><Relationship Id="rId27" Type="http://schemas.openxmlformats.org/officeDocument/2006/relationships/hyperlink" Target="http://force.com" TargetMode="External"/><Relationship Id="rId29" Type="http://schemas.openxmlformats.org/officeDocument/2006/relationships/hyperlink" Target="http://force.com" TargetMode="External"/><Relationship Id="rId95" Type="http://schemas.openxmlformats.org/officeDocument/2006/relationships/hyperlink" Target="http://force.com" TargetMode="External"/><Relationship Id="rId94" Type="http://schemas.openxmlformats.org/officeDocument/2006/relationships/hyperlink" Target="http://force.com" TargetMode="External"/><Relationship Id="rId97" Type="http://schemas.openxmlformats.org/officeDocument/2006/relationships/hyperlink" Target="http://force.com" TargetMode="External"/><Relationship Id="rId96" Type="http://schemas.openxmlformats.org/officeDocument/2006/relationships/hyperlink" Target="http://force.com" TargetMode="External"/><Relationship Id="rId11" Type="http://schemas.openxmlformats.org/officeDocument/2006/relationships/hyperlink" Target="http://force.com" TargetMode="External"/><Relationship Id="rId99" Type="http://schemas.openxmlformats.org/officeDocument/2006/relationships/hyperlink" Target="http://force.com" TargetMode="External"/><Relationship Id="rId10" Type="http://schemas.openxmlformats.org/officeDocument/2006/relationships/hyperlink" Target="http://force.com" TargetMode="External"/><Relationship Id="rId98" Type="http://schemas.openxmlformats.org/officeDocument/2006/relationships/hyperlink" Target="http://force.com" TargetMode="External"/><Relationship Id="rId13" Type="http://schemas.openxmlformats.org/officeDocument/2006/relationships/hyperlink" Target="http://force.com" TargetMode="External"/><Relationship Id="rId12" Type="http://schemas.openxmlformats.org/officeDocument/2006/relationships/hyperlink" Target="http://force.com" TargetMode="External"/><Relationship Id="rId91" Type="http://schemas.openxmlformats.org/officeDocument/2006/relationships/hyperlink" Target="http://force.com" TargetMode="External"/><Relationship Id="rId90" Type="http://schemas.openxmlformats.org/officeDocument/2006/relationships/hyperlink" Target="http://force.com" TargetMode="External"/><Relationship Id="rId93" Type="http://schemas.openxmlformats.org/officeDocument/2006/relationships/hyperlink" Target="http://force.com" TargetMode="External"/><Relationship Id="rId92" Type="http://schemas.openxmlformats.org/officeDocument/2006/relationships/hyperlink" Target="http://force.com" TargetMode="External"/><Relationship Id="rId15" Type="http://schemas.openxmlformats.org/officeDocument/2006/relationships/hyperlink" Target="http://force.com" TargetMode="External"/><Relationship Id="rId110" Type="http://schemas.openxmlformats.org/officeDocument/2006/relationships/hyperlink" Target="http://force.com" TargetMode="External"/><Relationship Id="rId14" Type="http://schemas.openxmlformats.org/officeDocument/2006/relationships/hyperlink" Target="http://force.com" TargetMode="External"/><Relationship Id="rId17" Type="http://schemas.openxmlformats.org/officeDocument/2006/relationships/hyperlink" Target="http://force.com" TargetMode="External"/><Relationship Id="rId16" Type="http://schemas.openxmlformats.org/officeDocument/2006/relationships/hyperlink" Target="http://force.com" TargetMode="External"/><Relationship Id="rId19" Type="http://schemas.openxmlformats.org/officeDocument/2006/relationships/hyperlink" Target="http://force.com" TargetMode="External"/><Relationship Id="rId18" Type="http://schemas.openxmlformats.org/officeDocument/2006/relationships/hyperlink" Target="http://force.com" TargetMode="External"/><Relationship Id="rId113" Type="http://schemas.openxmlformats.org/officeDocument/2006/relationships/drawing" Target="../drawings/drawing3.xml"/><Relationship Id="rId112" Type="http://schemas.openxmlformats.org/officeDocument/2006/relationships/hyperlink" Target="http://force.com" TargetMode="External"/><Relationship Id="rId111" Type="http://schemas.openxmlformats.org/officeDocument/2006/relationships/hyperlink" Target="http://force.com" TargetMode="External"/><Relationship Id="rId84" Type="http://schemas.openxmlformats.org/officeDocument/2006/relationships/hyperlink" Target="http://force.com" TargetMode="External"/><Relationship Id="rId83" Type="http://schemas.openxmlformats.org/officeDocument/2006/relationships/hyperlink" Target="http://force.com" TargetMode="External"/><Relationship Id="rId86" Type="http://schemas.openxmlformats.org/officeDocument/2006/relationships/hyperlink" Target="http://force.com" TargetMode="External"/><Relationship Id="rId85" Type="http://schemas.openxmlformats.org/officeDocument/2006/relationships/hyperlink" Target="http://force.com" TargetMode="External"/><Relationship Id="rId88" Type="http://schemas.openxmlformats.org/officeDocument/2006/relationships/hyperlink" Target="http://force.com" TargetMode="External"/><Relationship Id="rId87" Type="http://schemas.openxmlformats.org/officeDocument/2006/relationships/hyperlink" Target="http://force.com" TargetMode="External"/><Relationship Id="rId89" Type="http://schemas.openxmlformats.org/officeDocument/2006/relationships/hyperlink" Target="http://force.com" TargetMode="External"/><Relationship Id="rId80" Type="http://schemas.openxmlformats.org/officeDocument/2006/relationships/hyperlink" Target="http://force.com" TargetMode="External"/><Relationship Id="rId82" Type="http://schemas.openxmlformats.org/officeDocument/2006/relationships/hyperlink" Target="http://force.com" TargetMode="External"/><Relationship Id="rId81" Type="http://schemas.openxmlformats.org/officeDocument/2006/relationships/hyperlink" Target="http://force.com" TargetMode="External"/><Relationship Id="rId1" Type="http://schemas.openxmlformats.org/officeDocument/2006/relationships/hyperlink" Target="http://force.com" TargetMode="External"/><Relationship Id="rId2" Type="http://schemas.openxmlformats.org/officeDocument/2006/relationships/hyperlink" Target="http://force.com" TargetMode="External"/><Relationship Id="rId3" Type="http://schemas.openxmlformats.org/officeDocument/2006/relationships/hyperlink" Target="http://force.com" TargetMode="External"/><Relationship Id="rId4" Type="http://schemas.openxmlformats.org/officeDocument/2006/relationships/hyperlink" Target="http://force.com" TargetMode="External"/><Relationship Id="rId9" Type="http://schemas.openxmlformats.org/officeDocument/2006/relationships/hyperlink" Target="http://force.com" TargetMode="External"/><Relationship Id="rId5" Type="http://schemas.openxmlformats.org/officeDocument/2006/relationships/hyperlink" Target="http://force.com" TargetMode="External"/><Relationship Id="rId6" Type="http://schemas.openxmlformats.org/officeDocument/2006/relationships/hyperlink" Target="http://force.com" TargetMode="External"/><Relationship Id="rId7" Type="http://schemas.openxmlformats.org/officeDocument/2006/relationships/hyperlink" Target="http://force.com" TargetMode="External"/><Relationship Id="rId8" Type="http://schemas.openxmlformats.org/officeDocument/2006/relationships/hyperlink" Target="http://force.com" TargetMode="External"/><Relationship Id="rId73" Type="http://schemas.openxmlformats.org/officeDocument/2006/relationships/hyperlink" Target="http://force.com" TargetMode="External"/><Relationship Id="rId72" Type="http://schemas.openxmlformats.org/officeDocument/2006/relationships/hyperlink" Target="http://force.com" TargetMode="External"/><Relationship Id="rId75" Type="http://schemas.openxmlformats.org/officeDocument/2006/relationships/hyperlink" Target="http://force.com" TargetMode="External"/><Relationship Id="rId74" Type="http://schemas.openxmlformats.org/officeDocument/2006/relationships/hyperlink" Target="http://force.com" TargetMode="External"/><Relationship Id="rId77" Type="http://schemas.openxmlformats.org/officeDocument/2006/relationships/hyperlink" Target="http://force.com" TargetMode="External"/><Relationship Id="rId76" Type="http://schemas.openxmlformats.org/officeDocument/2006/relationships/hyperlink" Target="http://force.com" TargetMode="External"/><Relationship Id="rId79" Type="http://schemas.openxmlformats.org/officeDocument/2006/relationships/hyperlink" Target="http://force.com" TargetMode="External"/><Relationship Id="rId78" Type="http://schemas.openxmlformats.org/officeDocument/2006/relationships/hyperlink" Target="http://force.com" TargetMode="External"/><Relationship Id="rId71" Type="http://schemas.openxmlformats.org/officeDocument/2006/relationships/hyperlink" Target="http://force.com" TargetMode="External"/><Relationship Id="rId70" Type="http://schemas.openxmlformats.org/officeDocument/2006/relationships/hyperlink" Target="http://force.com" TargetMode="External"/><Relationship Id="rId62" Type="http://schemas.openxmlformats.org/officeDocument/2006/relationships/hyperlink" Target="http://force.com" TargetMode="External"/><Relationship Id="rId61" Type="http://schemas.openxmlformats.org/officeDocument/2006/relationships/hyperlink" Target="http://force.com" TargetMode="External"/><Relationship Id="rId64" Type="http://schemas.openxmlformats.org/officeDocument/2006/relationships/hyperlink" Target="http://force.com" TargetMode="External"/><Relationship Id="rId63" Type="http://schemas.openxmlformats.org/officeDocument/2006/relationships/hyperlink" Target="http://force.com" TargetMode="External"/><Relationship Id="rId66" Type="http://schemas.openxmlformats.org/officeDocument/2006/relationships/hyperlink" Target="http://force.com" TargetMode="External"/><Relationship Id="rId65" Type="http://schemas.openxmlformats.org/officeDocument/2006/relationships/hyperlink" Target="http://force.com" TargetMode="External"/><Relationship Id="rId68" Type="http://schemas.openxmlformats.org/officeDocument/2006/relationships/hyperlink" Target="http://force.com" TargetMode="External"/><Relationship Id="rId67" Type="http://schemas.openxmlformats.org/officeDocument/2006/relationships/hyperlink" Target="http://force.com" TargetMode="External"/><Relationship Id="rId60" Type="http://schemas.openxmlformats.org/officeDocument/2006/relationships/hyperlink" Target="http://force.com" TargetMode="External"/><Relationship Id="rId69" Type="http://schemas.openxmlformats.org/officeDocument/2006/relationships/hyperlink" Target="http://force.com" TargetMode="External"/><Relationship Id="rId51" Type="http://schemas.openxmlformats.org/officeDocument/2006/relationships/hyperlink" Target="http://force.com" TargetMode="External"/><Relationship Id="rId50" Type="http://schemas.openxmlformats.org/officeDocument/2006/relationships/hyperlink" Target="http://force.com" TargetMode="External"/><Relationship Id="rId53" Type="http://schemas.openxmlformats.org/officeDocument/2006/relationships/hyperlink" Target="http://force.com" TargetMode="External"/><Relationship Id="rId52" Type="http://schemas.openxmlformats.org/officeDocument/2006/relationships/hyperlink" Target="http://force.com" TargetMode="External"/><Relationship Id="rId55" Type="http://schemas.openxmlformats.org/officeDocument/2006/relationships/hyperlink" Target="http://force.com" TargetMode="External"/><Relationship Id="rId54" Type="http://schemas.openxmlformats.org/officeDocument/2006/relationships/hyperlink" Target="http://force.com" TargetMode="External"/><Relationship Id="rId57" Type="http://schemas.openxmlformats.org/officeDocument/2006/relationships/hyperlink" Target="http://force.com" TargetMode="External"/><Relationship Id="rId56" Type="http://schemas.openxmlformats.org/officeDocument/2006/relationships/hyperlink" Target="http://force.com" TargetMode="External"/><Relationship Id="rId59" Type="http://schemas.openxmlformats.org/officeDocument/2006/relationships/hyperlink" Target="http://force.com" TargetMode="External"/><Relationship Id="rId58" Type="http://schemas.openxmlformats.org/officeDocument/2006/relationships/hyperlink" Target="http://force.com"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force.com" TargetMode="External"/><Relationship Id="rId194" Type="http://schemas.openxmlformats.org/officeDocument/2006/relationships/hyperlink" Target="http://force.com" TargetMode="External"/><Relationship Id="rId193" Type="http://schemas.openxmlformats.org/officeDocument/2006/relationships/hyperlink" Target="http://force.com" TargetMode="External"/><Relationship Id="rId192" Type="http://schemas.openxmlformats.org/officeDocument/2006/relationships/hyperlink" Target="http://force.com" TargetMode="External"/><Relationship Id="rId191" Type="http://schemas.openxmlformats.org/officeDocument/2006/relationships/hyperlink" Target="http://force.com" TargetMode="External"/><Relationship Id="rId187" Type="http://schemas.openxmlformats.org/officeDocument/2006/relationships/hyperlink" Target="http://force.com" TargetMode="External"/><Relationship Id="rId186" Type="http://schemas.openxmlformats.org/officeDocument/2006/relationships/hyperlink" Target="http://force.com" TargetMode="External"/><Relationship Id="rId185" Type="http://schemas.openxmlformats.org/officeDocument/2006/relationships/hyperlink" Target="http://force.com" TargetMode="External"/><Relationship Id="rId184" Type="http://schemas.openxmlformats.org/officeDocument/2006/relationships/hyperlink" Target="http://force.com" TargetMode="External"/><Relationship Id="rId189" Type="http://schemas.openxmlformats.org/officeDocument/2006/relationships/hyperlink" Target="http://force.com" TargetMode="External"/><Relationship Id="rId188" Type="http://schemas.openxmlformats.org/officeDocument/2006/relationships/hyperlink" Target="http://force.com" TargetMode="External"/><Relationship Id="rId183" Type="http://schemas.openxmlformats.org/officeDocument/2006/relationships/hyperlink" Target="http://force.com" TargetMode="External"/><Relationship Id="rId182" Type="http://schemas.openxmlformats.org/officeDocument/2006/relationships/hyperlink" Target="http://force.com" TargetMode="External"/><Relationship Id="rId181" Type="http://schemas.openxmlformats.org/officeDocument/2006/relationships/hyperlink" Target="http://force.com" TargetMode="External"/><Relationship Id="rId180" Type="http://schemas.openxmlformats.org/officeDocument/2006/relationships/hyperlink" Target="http://force.com" TargetMode="External"/><Relationship Id="rId176" Type="http://schemas.openxmlformats.org/officeDocument/2006/relationships/hyperlink" Target="http://force.com" TargetMode="External"/><Relationship Id="rId297" Type="http://schemas.openxmlformats.org/officeDocument/2006/relationships/hyperlink" Target="http://force.com" TargetMode="External"/><Relationship Id="rId175" Type="http://schemas.openxmlformats.org/officeDocument/2006/relationships/hyperlink" Target="http://force.com" TargetMode="External"/><Relationship Id="rId296" Type="http://schemas.openxmlformats.org/officeDocument/2006/relationships/hyperlink" Target="http://force.com" TargetMode="External"/><Relationship Id="rId174" Type="http://schemas.openxmlformats.org/officeDocument/2006/relationships/hyperlink" Target="http://force.com" TargetMode="External"/><Relationship Id="rId295" Type="http://schemas.openxmlformats.org/officeDocument/2006/relationships/hyperlink" Target="http://force.com" TargetMode="External"/><Relationship Id="rId173" Type="http://schemas.openxmlformats.org/officeDocument/2006/relationships/hyperlink" Target="http://force.com" TargetMode="External"/><Relationship Id="rId294" Type="http://schemas.openxmlformats.org/officeDocument/2006/relationships/hyperlink" Target="http://force.com" TargetMode="External"/><Relationship Id="rId179" Type="http://schemas.openxmlformats.org/officeDocument/2006/relationships/hyperlink" Target="http://force.com" TargetMode="External"/><Relationship Id="rId178" Type="http://schemas.openxmlformats.org/officeDocument/2006/relationships/hyperlink" Target="http://force.com" TargetMode="External"/><Relationship Id="rId299" Type="http://schemas.openxmlformats.org/officeDocument/2006/relationships/hyperlink" Target="http://force.com" TargetMode="External"/><Relationship Id="rId177" Type="http://schemas.openxmlformats.org/officeDocument/2006/relationships/hyperlink" Target="http://force.com" TargetMode="External"/><Relationship Id="rId298" Type="http://schemas.openxmlformats.org/officeDocument/2006/relationships/hyperlink" Target="http://force.com" TargetMode="External"/><Relationship Id="rId198" Type="http://schemas.openxmlformats.org/officeDocument/2006/relationships/hyperlink" Target="http://force.com" TargetMode="External"/><Relationship Id="rId197" Type="http://schemas.openxmlformats.org/officeDocument/2006/relationships/hyperlink" Target="http://force.com" TargetMode="External"/><Relationship Id="rId196" Type="http://schemas.openxmlformats.org/officeDocument/2006/relationships/hyperlink" Target="http://force.com" TargetMode="External"/><Relationship Id="rId195" Type="http://schemas.openxmlformats.org/officeDocument/2006/relationships/hyperlink" Target="http://force.com" TargetMode="External"/><Relationship Id="rId199" Type="http://schemas.openxmlformats.org/officeDocument/2006/relationships/hyperlink" Target="http://force.com" TargetMode="External"/><Relationship Id="rId150" Type="http://schemas.openxmlformats.org/officeDocument/2006/relationships/hyperlink" Target="http://force.com" TargetMode="External"/><Relationship Id="rId271" Type="http://schemas.openxmlformats.org/officeDocument/2006/relationships/hyperlink" Target="http://force.com" TargetMode="External"/><Relationship Id="rId392" Type="http://schemas.openxmlformats.org/officeDocument/2006/relationships/hyperlink" Target="http://force.com" TargetMode="External"/><Relationship Id="rId270" Type="http://schemas.openxmlformats.org/officeDocument/2006/relationships/hyperlink" Target="http://force.com" TargetMode="External"/><Relationship Id="rId391" Type="http://schemas.openxmlformats.org/officeDocument/2006/relationships/hyperlink" Target="http://force.com" TargetMode="External"/><Relationship Id="rId390" Type="http://schemas.openxmlformats.org/officeDocument/2006/relationships/hyperlink" Target="http://force.com" TargetMode="External"/><Relationship Id="rId1" Type="http://schemas.openxmlformats.org/officeDocument/2006/relationships/hyperlink" Target="http://force.com" TargetMode="External"/><Relationship Id="rId2" Type="http://schemas.openxmlformats.org/officeDocument/2006/relationships/hyperlink" Target="http://force.com" TargetMode="External"/><Relationship Id="rId3" Type="http://schemas.openxmlformats.org/officeDocument/2006/relationships/hyperlink" Target="http://force.com" TargetMode="External"/><Relationship Id="rId149" Type="http://schemas.openxmlformats.org/officeDocument/2006/relationships/hyperlink" Target="http://force.com" TargetMode="External"/><Relationship Id="rId4" Type="http://schemas.openxmlformats.org/officeDocument/2006/relationships/hyperlink" Target="http://force.com" TargetMode="External"/><Relationship Id="rId148" Type="http://schemas.openxmlformats.org/officeDocument/2006/relationships/hyperlink" Target="http://force.com" TargetMode="External"/><Relationship Id="rId269" Type="http://schemas.openxmlformats.org/officeDocument/2006/relationships/hyperlink" Target="http://force.com" TargetMode="External"/><Relationship Id="rId9" Type="http://schemas.openxmlformats.org/officeDocument/2006/relationships/hyperlink" Target="http://force.com" TargetMode="External"/><Relationship Id="rId143" Type="http://schemas.openxmlformats.org/officeDocument/2006/relationships/hyperlink" Target="http://force.com" TargetMode="External"/><Relationship Id="rId264" Type="http://schemas.openxmlformats.org/officeDocument/2006/relationships/hyperlink" Target="http://force.com" TargetMode="External"/><Relationship Id="rId385" Type="http://schemas.openxmlformats.org/officeDocument/2006/relationships/hyperlink" Target="http://force.com" TargetMode="External"/><Relationship Id="rId142" Type="http://schemas.openxmlformats.org/officeDocument/2006/relationships/hyperlink" Target="http://force.com" TargetMode="External"/><Relationship Id="rId263" Type="http://schemas.openxmlformats.org/officeDocument/2006/relationships/hyperlink" Target="http://force.com" TargetMode="External"/><Relationship Id="rId384" Type="http://schemas.openxmlformats.org/officeDocument/2006/relationships/hyperlink" Target="http://force.com" TargetMode="External"/><Relationship Id="rId141" Type="http://schemas.openxmlformats.org/officeDocument/2006/relationships/hyperlink" Target="http://force.com" TargetMode="External"/><Relationship Id="rId262" Type="http://schemas.openxmlformats.org/officeDocument/2006/relationships/hyperlink" Target="http://force.com" TargetMode="External"/><Relationship Id="rId383" Type="http://schemas.openxmlformats.org/officeDocument/2006/relationships/hyperlink" Target="http://force.com" TargetMode="External"/><Relationship Id="rId140" Type="http://schemas.openxmlformats.org/officeDocument/2006/relationships/hyperlink" Target="http://force.com" TargetMode="External"/><Relationship Id="rId261" Type="http://schemas.openxmlformats.org/officeDocument/2006/relationships/hyperlink" Target="http://force.com" TargetMode="External"/><Relationship Id="rId382" Type="http://schemas.openxmlformats.org/officeDocument/2006/relationships/hyperlink" Target="http://force.com" TargetMode="External"/><Relationship Id="rId5" Type="http://schemas.openxmlformats.org/officeDocument/2006/relationships/hyperlink" Target="http://force.com" TargetMode="External"/><Relationship Id="rId147" Type="http://schemas.openxmlformats.org/officeDocument/2006/relationships/hyperlink" Target="http://force.com" TargetMode="External"/><Relationship Id="rId268" Type="http://schemas.openxmlformats.org/officeDocument/2006/relationships/hyperlink" Target="http://force.com" TargetMode="External"/><Relationship Id="rId389" Type="http://schemas.openxmlformats.org/officeDocument/2006/relationships/hyperlink" Target="http://force.com" TargetMode="External"/><Relationship Id="rId6" Type="http://schemas.openxmlformats.org/officeDocument/2006/relationships/hyperlink" Target="http://force.com" TargetMode="External"/><Relationship Id="rId146" Type="http://schemas.openxmlformats.org/officeDocument/2006/relationships/hyperlink" Target="http://force.com" TargetMode="External"/><Relationship Id="rId267" Type="http://schemas.openxmlformats.org/officeDocument/2006/relationships/hyperlink" Target="http://force.com" TargetMode="External"/><Relationship Id="rId388" Type="http://schemas.openxmlformats.org/officeDocument/2006/relationships/hyperlink" Target="http://force.com" TargetMode="External"/><Relationship Id="rId7" Type="http://schemas.openxmlformats.org/officeDocument/2006/relationships/hyperlink" Target="http://force.com" TargetMode="External"/><Relationship Id="rId145" Type="http://schemas.openxmlformats.org/officeDocument/2006/relationships/hyperlink" Target="http://force.com" TargetMode="External"/><Relationship Id="rId266" Type="http://schemas.openxmlformats.org/officeDocument/2006/relationships/hyperlink" Target="http://force.com" TargetMode="External"/><Relationship Id="rId387" Type="http://schemas.openxmlformats.org/officeDocument/2006/relationships/hyperlink" Target="http://force.com" TargetMode="External"/><Relationship Id="rId8" Type="http://schemas.openxmlformats.org/officeDocument/2006/relationships/hyperlink" Target="http://force.com" TargetMode="External"/><Relationship Id="rId144" Type="http://schemas.openxmlformats.org/officeDocument/2006/relationships/hyperlink" Target="http://force.com" TargetMode="External"/><Relationship Id="rId265" Type="http://schemas.openxmlformats.org/officeDocument/2006/relationships/hyperlink" Target="http://force.com" TargetMode="External"/><Relationship Id="rId386" Type="http://schemas.openxmlformats.org/officeDocument/2006/relationships/hyperlink" Target="http://force.com" TargetMode="External"/><Relationship Id="rId260" Type="http://schemas.openxmlformats.org/officeDocument/2006/relationships/hyperlink" Target="http://force.com" TargetMode="External"/><Relationship Id="rId381" Type="http://schemas.openxmlformats.org/officeDocument/2006/relationships/hyperlink" Target="http://force.com" TargetMode="External"/><Relationship Id="rId380" Type="http://schemas.openxmlformats.org/officeDocument/2006/relationships/hyperlink" Target="http://force.com" TargetMode="External"/><Relationship Id="rId139" Type="http://schemas.openxmlformats.org/officeDocument/2006/relationships/hyperlink" Target="http://force.com" TargetMode="External"/><Relationship Id="rId138" Type="http://schemas.openxmlformats.org/officeDocument/2006/relationships/hyperlink" Target="http://force.com" TargetMode="External"/><Relationship Id="rId259" Type="http://schemas.openxmlformats.org/officeDocument/2006/relationships/hyperlink" Target="http://force.com" TargetMode="External"/><Relationship Id="rId137" Type="http://schemas.openxmlformats.org/officeDocument/2006/relationships/hyperlink" Target="http://force.com" TargetMode="External"/><Relationship Id="rId258" Type="http://schemas.openxmlformats.org/officeDocument/2006/relationships/hyperlink" Target="http://force.com" TargetMode="External"/><Relationship Id="rId379" Type="http://schemas.openxmlformats.org/officeDocument/2006/relationships/hyperlink" Target="http://force.com" TargetMode="External"/><Relationship Id="rId132" Type="http://schemas.openxmlformats.org/officeDocument/2006/relationships/hyperlink" Target="http://force.com" TargetMode="External"/><Relationship Id="rId253" Type="http://schemas.openxmlformats.org/officeDocument/2006/relationships/hyperlink" Target="http://force.com" TargetMode="External"/><Relationship Id="rId374" Type="http://schemas.openxmlformats.org/officeDocument/2006/relationships/hyperlink" Target="http://force.com" TargetMode="External"/><Relationship Id="rId495" Type="http://schemas.openxmlformats.org/officeDocument/2006/relationships/hyperlink" Target="http://force.com" TargetMode="External"/><Relationship Id="rId131" Type="http://schemas.openxmlformats.org/officeDocument/2006/relationships/hyperlink" Target="http://force.com" TargetMode="External"/><Relationship Id="rId252" Type="http://schemas.openxmlformats.org/officeDocument/2006/relationships/hyperlink" Target="http://force.com" TargetMode="External"/><Relationship Id="rId373" Type="http://schemas.openxmlformats.org/officeDocument/2006/relationships/hyperlink" Target="http://force.com" TargetMode="External"/><Relationship Id="rId494" Type="http://schemas.openxmlformats.org/officeDocument/2006/relationships/hyperlink" Target="http://force.com" TargetMode="External"/><Relationship Id="rId130" Type="http://schemas.openxmlformats.org/officeDocument/2006/relationships/hyperlink" Target="http://force.com" TargetMode="External"/><Relationship Id="rId251" Type="http://schemas.openxmlformats.org/officeDocument/2006/relationships/hyperlink" Target="http://force.com" TargetMode="External"/><Relationship Id="rId372" Type="http://schemas.openxmlformats.org/officeDocument/2006/relationships/hyperlink" Target="http://force.com" TargetMode="External"/><Relationship Id="rId493" Type="http://schemas.openxmlformats.org/officeDocument/2006/relationships/hyperlink" Target="http://force.com" TargetMode="External"/><Relationship Id="rId250" Type="http://schemas.openxmlformats.org/officeDocument/2006/relationships/hyperlink" Target="http://force.com" TargetMode="External"/><Relationship Id="rId371" Type="http://schemas.openxmlformats.org/officeDocument/2006/relationships/hyperlink" Target="http://force.com" TargetMode="External"/><Relationship Id="rId492" Type="http://schemas.openxmlformats.org/officeDocument/2006/relationships/hyperlink" Target="http://force.com" TargetMode="External"/><Relationship Id="rId136" Type="http://schemas.openxmlformats.org/officeDocument/2006/relationships/hyperlink" Target="http://force.com" TargetMode="External"/><Relationship Id="rId257" Type="http://schemas.openxmlformats.org/officeDocument/2006/relationships/hyperlink" Target="http://force.com" TargetMode="External"/><Relationship Id="rId378" Type="http://schemas.openxmlformats.org/officeDocument/2006/relationships/hyperlink" Target="http://force.com" TargetMode="External"/><Relationship Id="rId499" Type="http://schemas.openxmlformats.org/officeDocument/2006/relationships/hyperlink" Target="http://force.com" TargetMode="External"/><Relationship Id="rId135" Type="http://schemas.openxmlformats.org/officeDocument/2006/relationships/hyperlink" Target="http://force.com" TargetMode="External"/><Relationship Id="rId256" Type="http://schemas.openxmlformats.org/officeDocument/2006/relationships/hyperlink" Target="http://force.com" TargetMode="External"/><Relationship Id="rId377" Type="http://schemas.openxmlformats.org/officeDocument/2006/relationships/hyperlink" Target="http://force.com" TargetMode="External"/><Relationship Id="rId498" Type="http://schemas.openxmlformats.org/officeDocument/2006/relationships/hyperlink" Target="http://force.com" TargetMode="External"/><Relationship Id="rId134" Type="http://schemas.openxmlformats.org/officeDocument/2006/relationships/hyperlink" Target="http://force.com" TargetMode="External"/><Relationship Id="rId255" Type="http://schemas.openxmlformats.org/officeDocument/2006/relationships/hyperlink" Target="http://force.com" TargetMode="External"/><Relationship Id="rId376" Type="http://schemas.openxmlformats.org/officeDocument/2006/relationships/hyperlink" Target="http://force.com" TargetMode="External"/><Relationship Id="rId497" Type="http://schemas.openxmlformats.org/officeDocument/2006/relationships/hyperlink" Target="http://force.com" TargetMode="External"/><Relationship Id="rId133" Type="http://schemas.openxmlformats.org/officeDocument/2006/relationships/hyperlink" Target="http://force.com" TargetMode="External"/><Relationship Id="rId254" Type="http://schemas.openxmlformats.org/officeDocument/2006/relationships/hyperlink" Target="http://force.com" TargetMode="External"/><Relationship Id="rId375" Type="http://schemas.openxmlformats.org/officeDocument/2006/relationships/hyperlink" Target="http://force.com" TargetMode="External"/><Relationship Id="rId496" Type="http://schemas.openxmlformats.org/officeDocument/2006/relationships/hyperlink" Target="http://force.com" TargetMode="External"/><Relationship Id="rId172" Type="http://schemas.openxmlformats.org/officeDocument/2006/relationships/hyperlink" Target="http://force.com" TargetMode="External"/><Relationship Id="rId293" Type="http://schemas.openxmlformats.org/officeDocument/2006/relationships/hyperlink" Target="http://force.com" TargetMode="External"/><Relationship Id="rId171" Type="http://schemas.openxmlformats.org/officeDocument/2006/relationships/hyperlink" Target="http://force.com" TargetMode="External"/><Relationship Id="rId292" Type="http://schemas.openxmlformats.org/officeDocument/2006/relationships/hyperlink" Target="http://force.com" TargetMode="External"/><Relationship Id="rId170" Type="http://schemas.openxmlformats.org/officeDocument/2006/relationships/hyperlink" Target="http://force.com" TargetMode="External"/><Relationship Id="rId291" Type="http://schemas.openxmlformats.org/officeDocument/2006/relationships/hyperlink" Target="http://force.com" TargetMode="External"/><Relationship Id="rId290" Type="http://schemas.openxmlformats.org/officeDocument/2006/relationships/hyperlink" Target="http://force.com" TargetMode="External"/><Relationship Id="rId165" Type="http://schemas.openxmlformats.org/officeDocument/2006/relationships/hyperlink" Target="http://force.com" TargetMode="External"/><Relationship Id="rId286" Type="http://schemas.openxmlformats.org/officeDocument/2006/relationships/hyperlink" Target="http://force.com" TargetMode="External"/><Relationship Id="rId164" Type="http://schemas.openxmlformats.org/officeDocument/2006/relationships/hyperlink" Target="http://force.com" TargetMode="External"/><Relationship Id="rId285" Type="http://schemas.openxmlformats.org/officeDocument/2006/relationships/hyperlink" Target="http://force.com" TargetMode="External"/><Relationship Id="rId163" Type="http://schemas.openxmlformats.org/officeDocument/2006/relationships/hyperlink" Target="http://force.com" TargetMode="External"/><Relationship Id="rId284" Type="http://schemas.openxmlformats.org/officeDocument/2006/relationships/hyperlink" Target="http://force.com" TargetMode="External"/><Relationship Id="rId162" Type="http://schemas.openxmlformats.org/officeDocument/2006/relationships/hyperlink" Target="http://force.com" TargetMode="External"/><Relationship Id="rId283" Type="http://schemas.openxmlformats.org/officeDocument/2006/relationships/hyperlink" Target="http://force.com" TargetMode="External"/><Relationship Id="rId169" Type="http://schemas.openxmlformats.org/officeDocument/2006/relationships/hyperlink" Target="http://force.com" TargetMode="External"/><Relationship Id="rId168" Type="http://schemas.openxmlformats.org/officeDocument/2006/relationships/hyperlink" Target="http://force.com" TargetMode="External"/><Relationship Id="rId289" Type="http://schemas.openxmlformats.org/officeDocument/2006/relationships/hyperlink" Target="http://force.com" TargetMode="External"/><Relationship Id="rId167" Type="http://schemas.openxmlformats.org/officeDocument/2006/relationships/hyperlink" Target="http://force.com" TargetMode="External"/><Relationship Id="rId288" Type="http://schemas.openxmlformats.org/officeDocument/2006/relationships/hyperlink" Target="http://force.com" TargetMode="External"/><Relationship Id="rId166" Type="http://schemas.openxmlformats.org/officeDocument/2006/relationships/hyperlink" Target="http://force.com" TargetMode="External"/><Relationship Id="rId287" Type="http://schemas.openxmlformats.org/officeDocument/2006/relationships/hyperlink" Target="http://force.com" TargetMode="External"/><Relationship Id="rId161" Type="http://schemas.openxmlformats.org/officeDocument/2006/relationships/hyperlink" Target="http://force.com" TargetMode="External"/><Relationship Id="rId282" Type="http://schemas.openxmlformats.org/officeDocument/2006/relationships/hyperlink" Target="http://force.com" TargetMode="External"/><Relationship Id="rId160" Type="http://schemas.openxmlformats.org/officeDocument/2006/relationships/hyperlink" Target="http://force.com" TargetMode="External"/><Relationship Id="rId281" Type="http://schemas.openxmlformats.org/officeDocument/2006/relationships/hyperlink" Target="http://force.com" TargetMode="External"/><Relationship Id="rId280" Type="http://schemas.openxmlformats.org/officeDocument/2006/relationships/hyperlink" Target="http://force.com" TargetMode="External"/><Relationship Id="rId159" Type="http://schemas.openxmlformats.org/officeDocument/2006/relationships/hyperlink" Target="http://force.com" TargetMode="External"/><Relationship Id="rId154" Type="http://schemas.openxmlformats.org/officeDocument/2006/relationships/hyperlink" Target="http://force.com" TargetMode="External"/><Relationship Id="rId275" Type="http://schemas.openxmlformats.org/officeDocument/2006/relationships/hyperlink" Target="http://force.com" TargetMode="External"/><Relationship Id="rId396" Type="http://schemas.openxmlformats.org/officeDocument/2006/relationships/hyperlink" Target="http://force.com" TargetMode="External"/><Relationship Id="rId153" Type="http://schemas.openxmlformats.org/officeDocument/2006/relationships/hyperlink" Target="http://force.com" TargetMode="External"/><Relationship Id="rId274" Type="http://schemas.openxmlformats.org/officeDocument/2006/relationships/hyperlink" Target="http://force.com" TargetMode="External"/><Relationship Id="rId395" Type="http://schemas.openxmlformats.org/officeDocument/2006/relationships/hyperlink" Target="http://force.com" TargetMode="External"/><Relationship Id="rId152" Type="http://schemas.openxmlformats.org/officeDocument/2006/relationships/hyperlink" Target="http://force.com" TargetMode="External"/><Relationship Id="rId273" Type="http://schemas.openxmlformats.org/officeDocument/2006/relationships/hyperlink" Target="http://force.com" TargetMode="External"/><Relationship Id="rId394" Type="http://schemas.openxmlformats.org/officeDocument/2006/relationships/hyperlink" Target="http://force.com" TargetMode="External"/><Relationship Id="rId151" Type="http://schemas.openxmlformats.org/officeDocument/2006/relationships/hyperlink" Target="http://force.com" TargetMode="External"/><Relationship Id="rId272" Type="http://schemas.openxmlformats.org/officeDocument/2006/relationships/hyperlink" Target="http://force.com" TargetMode="External"/><Relationship Id="rId393" Type="http://schemas.openxmlformats.org/officeDocument/2006/relationships/hyperlink" Target="http://force.com" TargetMode="External"/><Relationship Id="rId158" Type="http://schemas.openxmlformats.org/officeDocument/2006/relationships/hyperlink" Target="http://force.com" TargetMode="External"/><Relationship Id="rId279" Type="http://schemas.openxmlformats.org/officeDocument/2006/relationships/hyperlink" Target="http://force.com" TargetMode="External"/><Relationship Id="rId157" Type="http://schemas.openxmlformats.org/officeDocument/2006/relationships/hyperlink" Target="http://force.com" TargetMode="External"/><Relationship Id="rId278" Type="http://schemas.openxmlformats.org/officeDocument/2006/relationships/hyperlink" Target="http://force.com" TargetMode="External"/><Relationship Id="rId399" Type="http://schemas.openxmlformats.org/officeDocument/2006/relationships/hyperlink" Target="http://force.com" TargetMode="External"/><Relationship Id="rId156" Type="http://schemas.openxmlformats.org/officeDocument/2006/relationships/hyperlink" Target="http://force.com" TargetMode="External"/><Relationship Id="rId277" Type="http://schemas.openxmlformats.org/officeDocument/2006/relationships/hyperlink" Target="http://force.com" TargetMode="External"/><Relationship Id="rId398" Type="http://schemas.openxmlformats.org/officeDocument/2006/relationships/hyperlink" Target="http://force.com" TargetMode="External"/><Relationship Id="rId155" Type="http://schemas.openxmlformats.org/officeDocument/2006/relationships/hyperlink" Target="http://force.com" TargetMode="External"/><Relationship Id="rId276" Type="http://schemas.openxmlformats.org/officeDocument/2006/relationships/hyperlink" Target="http://force.com" TargetMode="External"/><Relationship Id="rId397" Type="http://schemas.openxmlformats.org/officeDocument/2006/relationships/hyperlink" Target="http://force.com" TargetMode="External"/><Relationship Id="rId40" Type="http://schemas.openxmlformats.org/officeDocument/2006/relationships/hyperlink" Target="http://force.com" TargetMode="External"/><Relationship Id="rId42" Type="http://schemas.openxmlformats.org/officeDocument/2006/relationships/hyperlink" Target="http://force.com" TargetMode="External"/><Relationship Id="rId41" Type="http://schemas.openxmlformats.org/officeDocument/2006/relationships/hyperlink" Target="http://force.com" TargetMode="External"/><Relationship Id="rId44" Type="http://schemas.openxmlformats.org/officeDocument/2006/relationships/hyperlink" Target="http://force.com" TargetMode="External"/><Relationship Id="rId43" Type="http://schemas.openxmlformats.org/officeDocument/2006/relationships/hyperlink" Target="http://force.com" TargetMode="External"/><Relationship Id="rId46" Type="http://schemas.openxmlformats.org/officeDocument/2006/relationships/hyperlink" Target="http://force.com" TargetMode="External"/><Relationship Id="rId45" Type="http://schemas.openxmlformats.org/officeDocument/2006/relationships/hyperlink" Target="http://force.com" TargetMode="External"/><Relationship Id="rId509" Type="http://schemas.openxmlformats.org/officeDocument/2006/relationships/hyperlink" Target="http://force.com" TargetMode="External"/><Relationship Id="rId508" Type="http://schemas.openxmlformats.org/officeDocument/2006/relationships/hyperlink" Target="http://force.com" TargetMode="External"/><Relationship Id="rId503" Type="http://schemas.openxmlformats.org/officeDocument/2006/relationships/hyperlink" Target="http://force.com" TargetMode="External"/><Relationship Id="rId502" Type="http://schemas.openxmlformats.org/officeDocument/2006/relationships/hyperlink" Target="http://force.com" TargetMode="External"/><Relationship Id="rId501" Type="http://schemas.openxmlformats.org/officeDocument/2006/relationships/hyperlink" Target="http://force.com" TargetMode="External"/><Relationship Id="rId500" Type="http://schemas.openxmlformats.org/officeDocument/2006/relationships/hyperlink" Target="http://force.com" TargetMode="External"/><Relationship Id="rId507" Type="http://schemas.openxmlformats.org/officeDocument/2006/relationships/hyperlink" Target="http://force.com" TargetMode="External"/><Relationship Id="rId506" Type="http://schemas.openxmlformats.org/officeDocument/2006/relationships/hyperlink" Target="http://force.com" TargetMode="External"/><Relationship Id="rId505" Type="http://schemas.openxmlformats.org/officeDocument/2006/relationships/hyperlink" Target="http://force.com" TargetMode="External"/><Relationship Id="rId504" Type="http://schemas.openxmlformats.org/officeDocument/2006/relationships/hyperlink" Target="http://force.com" TargetMode="External"/><Relationship Id="rId48" Type="http://schemas.openxmlformats.org/officeDocument/2006/relationships/hyperlink" Target="http://force.com" TargetMode="External"/><Relationship Id="rId47" Type="http://schemas.openxmlformats.org/officeDocument/2006/relationships/hyperlink" Target="http://force.com" TargetMode="External"/><Relationship Id="rId49" Type="http://schemas.openxmlformats.org/officeDocument/2006/relationships/hyperlink" Target="http://force.com" TargetMode="External"/><Relationship Id="rId31" Type="http://schemas.openxmlformats.org/officeDocument/2006/relationships/hyperlink" Target="http://force.com" TargetMode="External"/><Relationship Id="rId30" Type="http://schemas.openxmlformats.org/officeDocument/2006/relationships/hyperlink" Target="http://force.com" TargetMode="External"/><Relationship Id="rId33" Type="http://schemas.openxmlformats.org/officeDocument/2006/relationships/hyperlink" Target="http://force.com" TargetMode="External"/><Relationship Id="rId32" Type="http://schemas.openxmlformats.org/officeDocument/2006/relationships/hyperlink" Target="http://force.com" TargetMode="External"/><Relationship Id="rId35" Type="http://schemas.openxmlformats.org/officeDocument/2006/relationships/hyperlink" Target="http://force.com" TargetMode="External"/><Relationship Id="rId34" Type="http://schemas.openxmlformats.org/officeDocument/2006/relationships/hyperlink" Target="http://force.com" TargetMode="External"/><Relationship Id="rId37" Type="http://schemas.openxmlformats.org/officeDocument/2006/relationships/hyperlink" Target="http://force.com" TargetMode="External"/><Relationship Id="rId36" Type="http://schemas.openxmlformats.org/officeDocument/2006/relationships/hyperlink" Target="http://force.com" TargetMode="External"/><Relationship Id="rId39" Type="http://schemas.openxmlformats.org/officeDocument/2006/relationships/hyperlink" Target="http://force.com" TargetMode="External"/><Relationship Id="rId38" Type="http://schemas.openxmlformats.org/officeDocument/2006/relationships/hyperlink" Target="http://force.com" TargetMode="External"/><Relationship Id="rId20" Type="http://schemas.openxmlformats.org/officeDocument/2006/relationships/hyperlink" Target="http://force.com" TargetMode="External"/><Relationship Id="rId22" Type="http://schemas.openxmlformats.org/officeDocument/2006/relationships/hyperlink" Target="http://force.com" TargetMode="External"/><Relationship Id="rId21" Type="http://schemas.openxmlformats.org/officeDocument/2006/relationships/hyperlink" Target="http://force.com" TargetMode="External"/><Relationship Id="rId24" Type="http://schemas.openxmlformats.org/officeDocument/2006/relationships/hyperlink" Target="http://force.com" TargetMode="External"/><Relationship Id="rId23" Type="http://schemas.openxmlformats.org/officeDocument/2006/relationships/hyperlink" Target="http://force.com" TargetMode="External"/><Relationship Id="rId409" Type="http://schemas.openxmlformats.org/officeDocument/2006/relationships/hyperlink" Target="http://force.com" TargetMode="External"/><Relationship Id="rId404" Type="http://schemas.openxmlformats.org/officeDocument/2006/relationships/hyperlink" Target="http://force.com" TargetMode="External"/><Relationship Id="rId525" Type="http://schemas.openxmlformats.org/officeDocument/2006/relationships/hyperlink" Target="http://force.com" TargetMode="External"/><Relationship Id="rId403" Type="http://schemas.openxmlformats.org/officeDocument/2006/relationships/hyperlink" Target="http://force.com" TargetMode="External"/><Relationship Id="rId524" Type="http://schemas.openxmlformats.org/officeDocument/2006/relationships/hyperlink" Target="http://force.com" TargetMode="External"/><Relationship Id="rId402" Type="http://schemas.openxmlformats.org/officeDocument/2006/relationships/hyperlink" Target="http://force.com" TargetMode="External"/><Relationship Id="rId523" Type="http://schemas.openxmlformats.org/officeDocument/2006/relationships/hyperlink" Target="http://force.com" TargetMode="External"/><Relationship Id="rId401" Type="http://schemas.openxmlformats.org/officeDocument/2006/relationships/hyperlink" Target="http://force.com" TargetMode="External"/><Relationship Id="rId522" Type="http://schemas.openxmlformats.org/officeDocument/2006/relationships/hyperlink" Target="http://force.com" TargetMode="External"/><Relationship Id="rId408" Type="http://schemas.openxmlformats.org/officeDocument/2006/relationships/hyperlink" Target="http://force.com" TargetMode="External"/><Relationship Id="rId529" Type="http://schemas.openxmlformats.org/officeDocument/2006/relationships/hyperlink" Target="http://force.com" TargetMode="External"/><Relationship Id="rId407" Type="http://schemas.openxmlformats.org/officeDocument/2006/relationships/hyperlink" Target="http://force.com" TargetMode="External"/><Relationship Id="rId528" Type="http://schemas.openxmlformats.org/officeDocument/2006/relationships/hyperlink" Target="http://force.com" TargetMode="External"/><Relationship Id="rId406" Type="http://schemas.openxmlformats.org/officeDocument/2006/relationships/hyperlink" Target="http://force.com" TargetMode="External"/><Relationship Id="rId527" Type="http://schemas.openxmlformats.org/officeDocument/2006/relationships/hyperlink" Target="http://force.com" TargetMode="External"/><Relationship Id="rId405" Type="http://schemas.openxmlformats.org/officeDocument/2006/relationships/hyperlink" Target="http://force.com" TargetMode="External"/><Relationship Id="rId526" Type="http://schemas.openxmlformats.org/officeDocument/2006/relationships/hyperlink" Target="http://force.com" TargetMode="External"/><Relationship Id="rId26" Type="http://schemas.openxmlformats.org/officeDocument/2006/relationships/hyperlink" Target="http://force.com" TargetMode="External"/><Relationship Id="rId25" Type="http://schemas.openxmlformats.org/officeDocument/2006/relationships/hyperlink" Target="http://force.com" TargetMode="External"/><Relationship Id="rId28" Type="http://schemas.openxmlformats.org/officeDocument/2006/relationships/hyperlink" Target="http://force.com" TargetMode="External"/><Relationship Id="rId27" Type="http://schemas.openxmlformats.org/officeDocument/2006/relationships/hyperlink" Target="http://force.com" TargetMode="External"/><Relationship Id="rId400" Type="http://schemas.openxmlformats.org/officeDocument/2006/relationships/hyperlink" Target="http://force.com" TargetMode="External"/><Relationship Id="rId521" Type="http://schemas.openxmlformats.org/officeDocument/2006/relationships/hyperlink" Target="http://force.com" TargetMode="External"/><Relationship Id="rId29" Type="http://schemas.openxmlformats.org/officeDocument/2006/relationships/hyperlink" Target="http://force.com" TargetMode="External"/><Relationship Id="rId520" Type="http://schemas.openxmlformats.org/officeDocument/2006/relationships/hyperlink" Target="http://force.com" TargetMode="External"/><Relationship Id="rId11" Type="http://schemas.openxmlformats.org/officeDocument/2006/relationships/hyperlink" Target="http://force.com" TargetMode="External"/><Relationship Id="rId10" Type="http://schemas.openxmlformats.org/officeDocument/2006/relationships/hyperlink" Target="http://force.com" TargetMode="External"/><Relationship Id="rId13" Type="http://schemas.openxmlformats.org/officeDocument/2006/relationships/hyperlink" Target="http://force.com" TargetMode="External"/><Relationship Id="rId12" Type="http://schemas.openxmlformats.org/officeDocument/2006/relationships/hyperlink" Target="http://force.com" TargetMode="External"/><Relationship Id="rId519" Type="http://schemas.openxmlformats.org/officeDocument/2006/relationships/hyperlink" Target="http://force.com" TargetMode="External"/><Relationship Id="rId514" Type="http://schemas.openxmlformats.org/officeDocument/2006/relationships/hyperlink" Target="http://force.com" TargetMode="External"/><Relationship Id="rId513" Type="http://schemas.openxmlformats.org/officeDocument/2006/relationships/hyperlink" Target="http://force.com" TargetMode="External"/><Relationship Id="rId512" Type="http://schemas.openxmlformats.org/officeDocument/2006/relationships/hyperlink" Target="http://force.com" TargetMode="External"/><Relationship Id="rId511" Type="http://schemas.openxmlformats.org/officeDocument/2006/relationships/hyperlink" Target="http://force.com" TargetMode="External"/><Relationship Id="rId518" Type="http://schemas.openxmlformats.org/officeDocument/2006/relationships/hyperlink" Target="http://force.com" TargetMode="External"/><Relationship Id="rId517" Type="http://schemas.openxmlformats.org/officeDocument/2006/relationships/hyperlink" Target="http://force.com" TargetMode="External"/><Relationship Id="rId516" Type="http://schemas.openxmlformats.org/officeDocument/2006/relationships/hyperlink" Target="http://force.com" TargetMode="External"/><Relationship Id="rId515" Type="http://schemas.openxmlformats.org/officeDocument/2006/relationships/hyperlink" Target="http://force.com" TargetMode="External"/><Relationship Id="rId15" Type="http://schemas.openxmlformats.org/officeDocument/2006/relationships/hyperlink" Target="http://force.com" TargetMode="External"/><Relationship Id="rId14" Type="http://schemas.openxmlformats.org/officeDocument/2006/relationships/hyperlink" Target="http://force.com" TargetMode="External"/><Relationship Id="rId17" Type="http://schemas.openxmlformats.org/officeDocument/2006/relationships/hyperlink" Target="http://force.com" TargetMode="External"/><Relationship Id="rId16" Type="http://schemas.openxmlformats.org/officeDocument/2006/relationships/hyperlink" Target="http://force.com" TargetMode="External"/><Relationship Id="rId19" Type="http://schemas.openxmlformats.org/officeDocument/2006/relationships/hyperlink" Target="http://force.com" TargetMode="External"/><Relationship Id="rId510" Type="http://schemas.openxmlformats.org/officeDocument/2006/relationships/hyperlink" Target="http://force.com" TargetMode="External"/><Relationship Id="rId18" Type="http://schemas.openxmlformats.org/officeDocument/2006/relationships/hyperlink" Target="http://force.com" TargetMode="External"/><Relationship Id="rId84" Type="http://schemas.openxmlformats.org/officeDocument/2006/relationships/hyperlink" Target="http://force.com" TargetMode="External"/><Relationship Id="rId83" Type="http://schemas.openxmlformats.org/officeDocument/2006/relationships/hyperlink" Target="http://force.com" TargetMode="External"/><Relationship Id="rId86" Type="http://schemas.openxmlformats.org/officeDocument/2006/relationships/hyperlink" Target="http://force.com" TargetMode="External"/><Relationship Id="rId85" Type="http://schemas.openxmlformats.org/officeDocument/2006/relationships/hyperlink" Target="http://force.com" TargetMode="External"/><Relationship Id="rId88" Type="http://schemas.openxmlformats.org/officeDocument/2006/relationships/hyperlink" Target="http://force.com" TargetMode="External"/><Relationship Id="rId87" Type="http://schemas.openxmlformats.org/officeDocument/2006/relationships/hyperlink" Target="http://force.com" TargetMode="External"/><Relationship Id="rId89" Type="http://schemas.openxmlformats.org/officeDocument/2006/relationships/hyperlink" Target="http://force.com" TargetMode="External"/><Relationship Id="rId80" Type="http://schemas.openxmlformats.org/officeDocument/2006/relationships/hyperlink" Target="http://force.com" TargetMode="External"/><Relationship Id="rId82" Type="http://schemas.openxmlformats.org/officeDocument/2006/relationships/hyperlink" Target="http://force.com" TargetMode="External"/><Relationship Id="rId81" Type="http://schemas.openxmlformats.org/officeDocument/2006/relationships/hyperlink" Target="http://force.com" TargetMode="External"/><Relationship Id="rId73" Type="http://schemas.openxmlformats.org/officeDocument/2006/relationships/hyperlink" Target="http://force.com" TargetMode="External"/><Relationship Id="rId72" Type="http://schemas.openxmlformats.org/officeDocument/2006/relationships/hyperlink" Target="http://force.com" TargetMode="External"/><Relationship Id="rId75" Type="http://schemas.openxmlformats.org/officeDocument/2006/relationships/hyperlink" Target="http://force.com" TargetMode="External"/><Relationship Id="rId74" Type="http://schemas.openxmlformats.org/officeDocument/2006/relationships/hyperlink" Target="http://force.com" TargetMode="External"/><Relationship Id="rId77" Type="http://schemas.openxmlformats.org/officeDocument/2006/relationships/hyperlink" Target="http://force.com" TargetMode="External"/><Relationship Id="rId76" Type="http://schemas.openxmlformats.org/officeDocument/2006/relationships/hyperlink" Target="http://force.com" TargetMode="External"/><Relationship Id="rId79" Type="http://schemas.openxmlformats.org/officeDocument/2006/relationships/hyperlink" Target="http://force.com" TargetMode="External"/><Relationship Id="rId78" Type="http://schemas.openxmlformats.org/officeDocument/2006/relationships/hyperlink" Target="http://force.com" TargetMode="External"/><Relationship Id="rId71" Type="http://schemas.openxmlformats.org/officeDocument/2006/relationships/hyperlink" Target="http://force.com" TargetMode="External"/><Relationship Id="rId70" Type="http://schemas.openxmlformats.org/officeDocument/2006/relationships/hyperlink" Target="http://force.com" TargetMode="External"/><Relationship Id="rId62" Type="http://schemas.openxmlformats.org/officeDocument/2006/relationships/hyperlink" Target="http://force.com" TargetMode="External"/><Relationship Id="rId61" Type="http://schemas.openxmlformats.org/officeDocument/2006/relationships/hyperlink" Target="http://force.com" TargetMode="External"/><Relationship Id="rId64" Type="http://schemas.openxmlformats.org/officeDocument/2006/relationships/hyperlink" Target="http://force.com" TargetMode="External"/><Relationship Id="rId63" Type="http://schemas.openxmlformats.org/officeDocument/2006/relationships/hyperlink" Target="http://force.com" TargetMode="External"/><Relationship Id="rId66" Type="http://schemas.openxmlformats.org/officeDocument/2006/relationships/hyperlink" Target="http://force.com" TargetMode="External"/><Relationship Id="rId65" Type="http://schemas.openxmlformats.org/officeDocument/2006/relationships/hyperlink" Target="http://force.com" TargetMode="External"/><Relationship Id="rId68" Type="http://schemas.openxmlformats.org/officeDocument/2006/relationships/hyperlink" Target="http://force.com" TargetMode="External"/><Relationship Id="rId67" Type="http://schemas.openxmlformats.org/officeDocument/2006/relationships/hyperlink" Target="http://force.com" TargetMode="External"/><Relationship Id="rId60" Type="http://schemas.openxmlformats.org/officeDocument/2006/relationships/hyperlink" Target="http://force.com" TargetMode="External"/><Relationship Id="rId69" Type="http://schemas.openxmlformats.org/officeDocument/2006/relationships/hyperlink" Target="http://force.com" TargetMode="External"/><Relationship Id="rId51" Type="http://schemas.openxmlformats.org/officeDocument/2006/relationships/hyperlink" Target="http://force.com" TargetMode="External"/><Relationship Id="rId50" Type="http://schemas.openxmlformats.org/officeDocument/2006/relationships/hyperlink" Target="http://force.com" TargetMode="External"/><Relationship Id="rId53" Type="http://schemas.openxmlformats.org/officeDocument/2006/relationships/hyperlink" Target="http://force.com" TargetMode="External"/><Relationship Id="rId52" Type="http://schemas.openxmlformats.org/officeDocument/2006/relationships/hyperlink" Target="http://force.com" TargetMode="External"/><Relationship Id="rId55" Type="http://schemas.openxmlformats.org/officeDocument/2006/relationships/hyperlink" Target="http://force.com" TargetMode="External"/><Relationship Id="rId54" Type="http://schemas.openxmlformats.org/officeDocument/2006/relationships/hyperlink" Target="http://force.com" TargetMode="External"/><Relationship Id="rId57" Type="http://schemas.openxmlformats.org/officeDocument/2006/relationships/hyperlink" Target="http://force.com" TargetMode="External"/><Relationship Id="rId56" Type="http://schemas.openxmlformats.org/officeDocument/2006/relationships/hyperlink" Target="http://force.com" TargetMode="External"/><Relationship Id="rId59" Type="http://schemas.openxmlformats.org/officeDocument/2006/relationships/hyperlink" Target="http://force.com" TargetMode="External"/><Relationship Id="rId58" Type="http://schemas.openxmlformats.org/officeDocument/2006/relationships/hyperlink" Target="http://force.com" TargetMode="External"/><Relationship Id="rId590" Type="http://schemas.openxmlformats.org/officeDocument/2006/relationships/hyperlink" Target="http://force.com" TargetMode="External"/><Relationship Id="rId107" Type="http://schemas.openxmlformats.org/officeDocument/2006/relationships/hyperlink" Target="http://force.com" TargetMode="External"/><Relationship Id="rId228" Type="http://schemas.openxmlformats.org/officeDocument/2006/relationships/hyperlink" Target="http://force.com" TargetMode="External"/><Relationship Id="rId349" Type="http://schemas.openxmlformats.org/officeDocument/2006/relationships/hyperlink" Target="http://force.com" TargetMode="External"/><Relationship Id="rId106" Type="http://schemas.openxmlformats.org/officeDocument/2006/relationships/hyperlink" Target="http://force.com" TargetMode="External"/><Relationship Id="rId227" Type="http://schemas.openxmlformats.org/officeDocument/2006/relationships/hyperlink" Target="http://force.com" TargetMode="External"/><Relationship Id="rId348" Type="http://schemas.openxmlformats.org/officeDocument/2006/relationships/hyperlink" Target="http://force.com" TargetMode="External"/><Relationship Id="rId469" Type="http://schemas.openxmlformats.org/officeDocument/2006/relationships/hyperlink" Target="http://force.com" TargetMode="External"/><Relationship Id="rId105" Type="http://schemas.openxmlformats.org/officeDocument/2006/relationships/hyperlink" Target="http://force.com" TargetMode="External"/><Relationship Id="rId226" Type="http://schemas.openxmlformats.org/officeDocument/2006/relationships/hyperlink" Target="http://force.com" TargetMode="External"/><Relationship Id="rId347" Type="http://schemas.openxmlformats.org/officeDocument/2006/relationships/hyperlink" Target="http://force.com" TargetMode="External"/><Relationship Id="rId468" Type="http://schemas.openxmlformats.org/officeDocument/2006/relationships/hyperlink" Target="http://force.com" TargetMode="External"/><Relationship Id="rId589" Type="http://schemas.openxmlformats.org/officeDocument/2006/relationships/hyperlink" Target="http://force.com" TargetMode="External"/><Relationship Id="rId104" Type="http://schemas.openxmlformats.org/officeDocument/2006/relationships/hyperlink" Target="http://force.com" TargetMode="External"/><Relationship Id="rId225" Type="http://schemas.openxmlformats.org/officeDocument/2006/relationships/hyperlink" Target="http://force.com" TargetMode="External"/><Relationship Id="rId346" Type="http://schemas.openxmlformats.org/officeDocument/2006/relationships/hyperlink" Target="http://force.com" TargetMode="External"/><Relationship Id="rId467" Type="http://schemas.openxmlformats.org/officeDocument/2006/relationships/hyperlink" Target="http://force.com" TargetMode="External"/><Relationship Id="rId588" Type="http://schemas.openxmlformats.org/officeDocument/2006/relationships/hyperlink" Target="http://force.com" TargetMode="External"/><Relationship Id="rId109" Type="http://schemas.openxmlformats.org/officeDocument/2006/relationships/hyperlink" Target="http://force.com" TargetMode="External"/><Relationship Id="rId108" Type="http://schemas.openxmlformats.org/officeDocument/2006/relationships/hyperlink" Target="http://force.com" TargetMode="External"/><Relationship Id="rId229" Type="http://schemas.openxmlformats.org/officeDocument/2006/relationships/hyperlink" Target="http://force.com" TargetMode="External"/><Relationship Id="rId220" Type="http://schemas.openxmlformats.org/officeDocument/2006/relationships/hyperlink" Target="http://force.com" TargetMode="External"/><Relationship Id="rId341" Type="http://schemas.openxmlformats.org/officeDocument/2006/relationships/hyperlink" Target="http://force.com" TargetMode="External"/><Relationship Id="rId462" Type="http://schemas.openxmlformats.org/officeDocument/2006/relationships/hyperlink" Target="http://force.com" TargetMode="External"/><Relationship Id="rId583" Type="http://schemas.openxmlformats.org/officeDocument/2006/relationships/hyperlink" Target="http://force.com" TargetMode="External"/><Relationship Id="rId340" Type="http://schemas.openxmlformats.org/officeDocument/2006/relationships/hyperlink" Target="http://force.com" TargetMode="External"/><Relationship Id="rId461" Type="http://schemas.openxmlformats.org/officeDocument/2006/relationships/hyperlink" Target="http://force.com" TargetMode="External"/><Relationship Id="rId582" Type="http://schemas.openxmlformats.org/officeDocument/2006/relationships/hyperlink" Target="http://force.com" TargetMode="External"/><Relationship Id="rId460" Type="http://schemas.openxmlformats.org/officeDocument/2006/relationships/hyperlink" Target="http://force.com" TargetMode="External"/><Relationship Id="rId581" Type="http://schemas.openxmlformats.org/officeDocument/2006/relationships/hyperlink" Target="http://force.com" TargetMode="External"/><Relationship Id="rId580" Type="http://schemas.openxmlformats.org/officeDocument/2006/relationships/hyperlink" Target="http://force.com" TargetMode="External"/><Relationship Id="rId103" Type="http://schemas.openxmlformats.org/officeDocument/2006/relationships/hyperlink" Target="http://force.com" TargetMode="External"/><Relationship Id="rId224" Type="http://schemas.openxmlformats.org/officeDocument/2006/relationships/hyperlink" Target="http://force.com" TargetMode="External"/><Relationship Id="rId345" Type="http://schemas.openxmlformats.org/officeDocument/2006/relationships/hyperlink" Target="http://force.com" TargetMode="External"/><Relationship Id="rId466" Type="http://schemas.openxmlformats.org/officeDocument/2006/relationships/hyperlink" Target="http://force.com" TargetMode="External"/><Relationship Id="rId587" Type="http://schemas.openxmlformats.org/officeDocument/2006/relationships/hyperlink" Target="http://force.com" TargetMode="External"/><Relationship Id="rId102" Type="http://schemas.openxmlformats.org/officeDocument/2006/relationships/hyperlink" Target="http://force.com" TargetMode="External"/><Relationship Id="rId223" Type="http://schemas.openxmlformats.org/officeDocument/2006/relationships/hyperlink" Target="http://force.com" TargetMode="External"/><Relationship Id="rId344" Type="http://schemas.openxmlformats.org/officeDocument/2006/relationships/hyperlink" Target="http://force.com" TargetMode="External"/><Relationship Id="rId465" Type="http://schemas.openxmlformats.org/officeDocument/2006/relationships/hyperlink" Target="http://force.com" TargetMode="External"/><Relationship Id="rId586" Type="http://schemas.openxmlformats.org/officeDocument/2006/relationships/hyperlink" Target="http://force.com" TargetMode="External"/><Relationship Id="rId101" Type="http://schemas.openxmlformats.org/officeDocument/2006/relationships/hyperlink" Target="http://force.com" TargetMode="External"/><Relationship Id="rId222" Type="http://schemas.openxmlformats.org/officeDocument/2006/relationships/hyperlink" Target="http://force.com" TargetMode="External"/><Relationship Id="rId343" Type="http://schemas.openxmlformats.org/officeDocument/2006/relationships/hyperlink" Target="http://force.com" TargetMode="External"/><Relationship Id="rId464" Type="http://schemas.openxmlformats.org/officeDocument/2006/relationships/hyperlink" Target="http://force.com" TargetMode="External"/><Relationship Id="rId585" Type="http://schemas.openxmlformats.org/officeDocument/2006/relationships/hyperlink" Target="http://force.com" TargetMode="External"/><Relationship Id="rId100" Type="http://schemas.openxmlformats.org/officeDocument/2006/relationships/hyperlink" Target="http://force.com" TargetMode="External"/><Relationship Id="rId221" Type="http://schemas.openxmlformats.org/officeDocument/2006/relationships/hyperlink" Target="http://force.com" TargetMode="External"/><Relationship Id="rId342" Type="http://schemas.openxmlformats.org/officeDocument/2006/relationships/hyperlink" Target="http://force.com" TargetMode="External"/><Relationship Id="rId463" Type="http://schemas.openxmlformats.org/officeDocument/2006/relationships/hyperlink" Target="http://force.com" TargetMode="External"/><Relationship Id="rId584" Type="http://schemas.openxmlformats.org/officeDocument/2006/relationships/hyperlink" Target="http://force.com" TargetMode="External"/><Relationship Id="rId217" Type="http://schemas.openxmlformats.org/officeDocument/2006/relationships/hyperlink" Target="http://force.com" TargetMode="External"/><Relationship Id="rId338" Type="http://schemas.openxmlformats.org/officeDocument/2006/relationships/hyperlink" Target="http://force.com" TargetMode="External"/><Relationship Id="rId459" Type="http://schemas.openxmlformats.org/officeDocument/2006/relationships/hyperlink" Target="http://force.com" TargetMode="External"/><Relationship Id="rId216" Type="http://schemas.openxmlformats.org/officeDocument/2006/relationships/hyperlink" Target="http://force.com" TargetMode="External"/><Relationship Id="rId337" Type="http://schemas.openxmlformats.org/officeDocument/2006/relationships/hyperlink" Target="http://force.com" TargetMode="External"/><Relationship Id="rId458" Type="http://schemas.openxmlformats.org/officeDocument/2006/relationships/hyperlink" Target="http://force.com" TargetMode="External"/><Relationship Id="rId579" Type="http://schemas.openxmlformats.org/officeDocument/2006/relationships/hyperlink" Target="http://force.com" TargetMode="External"/><Relationship Id="rId215" Type="http://schemas.openxmlformats.org/officeDocument/2006/relationships/hyperlink" Target="http://force.com" TargetMode="External"/><Relationship Id="rId336" Type="http://schemas.openxmlformats.org/officeDocument/2006/relationships/hyperlink" Target="http://force.com" TargetMode="External"/><Relationship Id="rId457" Type="http://schemas.openxmlformats.org/officeDocument/2006/relationships/hyperlink" Target="http://force.com" TargetMode="External"/><Relationship Id="rId578" Type="http://schemas.openxmlformats.org/officeDocument/2006/relationships/hyperlink" Target="http://force.com" TargetMode="External"/><Relationship Id="rId214" Type="http://schemas.openxmlformats.org/officeDocument/2006/relationships/hyperlink" Target="http://force.com" TargetMode="External"/><Relationship Id="rId335" Type="http://schemas.openxmlformats.org/officeDocument/2006/relationships/hyperlink" Target="http://force.com" TargetMode="External"/><Relationship Id="rId456" Type="http://schemas.openxmlformats.org/officeDocument/2006/relationships/hyperlink" Target="http://force.com" TargetMode="External"/><Relationship Id="rId577" Type="http://schemas.openxmlformats.org/officeDocument/2006/relationships/hyperlink" Target="http://force.com" TargetMode="External"/><Relationship Id="rId219" Type="http://schemas.openxmlformats.org/officeDocument/2006/relationships/hyperlink" Target="http://force.com" TargetMode="External"/><Relationship Id="rId218" Type="http://schemas.openxmlformats.org/officeDocument/2006/relationships/hyperlink" Target="http://force.com" TargetMode="External"/><Relationship Id="rId339" Type="http://schemas.openxmlformats.org/officeDocument/2006/relationships/hyperlink" Target="http://force.com" TargetMode="External"/><Relationship Id="rId330" Type="http://schemas.openxmlformats.org/officeDocument/2006/relationships/hyperlink" Target="http://force.com" TargetMode="External"/><Relationship Id="rId451" Type="http://schemas.openxmlformats.org/officeDocument/2006/relationships/hyperlink" Target="http://force.com" TargetMode="External"/><Relationship Id="rId572" Type="http://schemas.openxmlformats.org/officeDocument/2006/relationships/hyperlink" Target="http://force.com" TargetMode="External"/><Relationship Id="rId450" Type="http://schemas.openxmlformats.org/officeDocument/2006/relationships/hyperlink" Target="http://force.com" TargetMode="External"/><Relationship Id="rId571" Type="http://schemas.openxmlformats.org/officeDocument/2006/relationships/hyperlink" Target="http://force.com" TargetMode="External"/><Relationship Id="rId570" Type="http://schemas.openxmlformats.org/officeDocument/2006/relationships/hyperlink" Target="http://force.com" TargetMode="External"/><Relationship Id="rId213" Type="http://schemas.openxmlformats.org/officeDocument/2006/relationships/hyperlink" Target="http://force.com" TargetMode="External"/><Relationship Id="rId334" Type="http://schemas.openxmlformats.org/officeDocument/2006/relationships/hyperlink" Target="http://force.com" TargetMode="External"/><Relationship Id="rId455" Type="http://schemas.openxmlformats.org/officeDocument/2006/relationships/hyperlink" Target="http://force.com" TargetMode="External"/><Relationship Id="rId576" Type="http://schemas.openxmlformats.org/officeDocument/2006/relationships/hyperlink" Target="http://force.com" TargetMode="External"/><Relationship Id="rId212" Type="http://schemas.openxmlformats.org/officeDocument/2006/relationships/hyperlink" Target="http://force.com" TargetMode="External"/><Relationship Id="rId333" Type="http://schemas.openxmlformats.org/officeDocument/2006/relationships/hyperlink" Target="http://force.com" TargetMode="External"/><Relationship Id="rId454" Type="http://schemas.openxmlformats.org/officeDocument/2006/relationships/hyperlink" Target="http://force.com" TargetMode="External"/><Relationship Id="rId575" Type="http://schemas.openxmlformats.org/officeDocument/2006/relationships/hyperlink" Target="http://force.com" TargetMode="External"/><Relationship Id="rId211" Type="http://schemas.openxmlformats.org/officeDocument/2006/relationships/hyperlink" Target="http://force.com" TargetMode="External"/><Relationship Id="rId332" Type="http://schemas.openxmlformats.org/officeDocument/2006/relationships/hyperlink" Target="http://force.com" TargetMode="External"/><Relationship Id="rId453" Type="http://schemas.openxmlformats.org/officeDocument/2006/relationships/hyperlink" Target="http://force.com" TargetMode="External"/><Relationship Id="rId574" Type="http://schemas.openxmlformats.org/officeDocument/2006/relationships/hyperlink" Target="http://force.com" TargetMode="External"/><Relationship Id="rId210" Type="http://schemas.openxmlformats.org/officeDocument/2006/relationships/hyperlink" Target="http://force.com" TargetMode="External"/><Relationship Id="rId331" Type="http://schemas.openxmlformats.org/officeDocument/2006/relationships/hyperlink" Target="http://force.com" TargetMode="External"/><Relationship Id="rId452" Type="http://schemas.openxmlformats.org/officeDocument/2006/relationships/hyperlink" Target="http://force.com" TargetMode="External"/><Relationship Id="rId573" Type="http://schemas.openxmlformats.org/officeDocument/2006/relationships/hyperlink" Target="http://force.com" TargetMode="External"/><Relationship Id="rId370" Type="http://schemas.openxmlformats.org/officeDocument/2006/relationships/hyperlink" Target="http://force.com" TargetMode="External"/><Relationship Id="rId491" Type="http://schemas.openxmlformats.org/officeDocument/2006/relationships/hyperlink" Target="http://force.com" TargetMode="External"/><Relationship Id="rId490" Type="http://schemas.openxmlformats.org/officeDocument/2006/relationships/hyperlink" Target="http://force.com" TargetMode="External"/><Relationship Id="rId129" Type="http://schemas.openxmlformats.org/officeDocument/2006/relationships/hyperlink" Target="http://force.com" TargetMode="External"/><Relationship Id="rId128" Type="http://schemas.openxmlformats.org/officeDocument/2006/relationships/hyperlink" Target="http://force.com" TargetMode="External"/><Relationship Id="rId249" Type="http://schemas.openxmlformats.org/officeDocument/2006/relationships/hyperlink" Target="http://force.com" TargetMode="External"/><Relationship Id="rId127" Type="http://schemas.openxmlformats.org/officeDocument/2006/relationships/hyperlink" Target="http://force.com" TargetMode="External"/><Relationship Id="rId248" Type="http://schemas.openxmlformats.org/officeDocument/2006/relationships/hyperlink" Target="http://force.com" TargetMode="External"/><Relationship Id="rId369" Type="http://schemas.openxmlformats.org/officeDocument/2006/relationships/hyperlink" Target="http://force.com" TargetMode="External"/><Relationship Id="rId126" Type="http://schemas.openxmlformats.org/officeDocument/2006/relationships/hyperlink" Target="http://force.com" TargetMode="External"/><Relationship Id="rId247" Type="http://schemas.openxmlformats.org/officeDocument/2006/relationships/hyperlink" Target="http://force.com" TargetMode="External"/><Relationship Id="rId368" Type="http://schemas.openxmlformats.org/officeDocument/2006/relationships/hyperlink" Target="http://force.com" TargetMode="External"/><Relationship Id="rId489" Type="http://schemas.openxmlformats.org/officeDocument/2006/relationships/hyperlink" Target="http://force.com" TargetMode="External"/><Relationship Id="rId121" Type="http://schemas.openxmlformats.org/officeDocument/2006/relationships/hyperlink" Target="http://force.com" TargetMode="External"/><Relationship Id="rId242" Type="http://schemas.openxmlformats.org/officeDocument/2006/relationships/hyperlink" Target="http://force.com" TargetMode="External"/><Relationship Id="rId363" Type="http://schemas.openxmlformats.org/officeDocument/2006/relationships/hyperlink" Target="http://force.com" TargetMode="External"/><Relationship Id="rId484" Type="http://schemas.openxmlformats.org/officeDocument/2006/relationships/hyperlink" Target="http://force.com" TargetMode="External"/><Relationship Id="rId120" Type="http://schemas.openxmlformats.org/officeDocument/2006/relationships/hyperlink" Target="http://force.com" TargetMode="External"/><Relationship Id="rId241" Type="http://schemas.openxmlformats.org/officeDocument/2006/relationships/hyperlink" Target="http://force.com" TargetMode="External"/><Relationship Id="rId362" Type="http://schemas.openxmlformats.org/officeDocument/2006/relationships/hyperlink" Target="http://force.com" TargetMode="External"/><Relationship Id="rId483" Type="http://schemas.openxmlformats.org/officeDocument/2006/relationships/hyperlink" Target="http://force.com" TargetMode="External"/><Relationship Id="rId240" Type="http://schemas.openxmlformats.org/officeDocument/2006/relationships/hyperlink" Target="http://force.com" TargetMode="External"/><Relationship Id="rId361" Type="http://schemas.openxmlformats.org/officeDocument/2006/relationships/hyperlink" Target="http://force.com" TargetMode="External"/><Relationship Id="rId482" Type="http://schemas.openxmlformats.org/officeDocument/2006/relationships/hyperlink" Target="http://force.com" TargetMode="External"/><Relationship Id="rId360" Type="http://schemas.openxmlformats.org/officeDocument/2006/relationships/hyperlink" Target="http://force.com" TargetMode="External"/><Relationship Id="rId481" Type="http://schemas.openxmlformats.org/officeDocument/2006/relationships/hyperlink" Target="http://force.com" TargetMode="External"/><Relationship Id="rId125" Type="http://schemas.openxmlformats.org/officeDocument/2006/relationships/hyperlink" Target="http://force.com" TargetMode="External"/><Relationship Id="rId246" Type="http://schemas.openxmlformats.org/officeDocument/2006/relationships/hyperlink" Target="http://force.com" TargetMode="External"/><Relationship Id="rId367" Type="http://schemas.openxmlformats.org/officeDocument/2006/relationships/hyperlink" Target="http://force.com" TargetMode="External"/><Relationship Id="rId488" Type="http://schemas.openxmlformats.org/officeDocument/2006/relationships/hyperlink" Target="http://force.com" TargetMode="External"/><Relationship Id="rId124" Type="http://schemas.openxmlformats.org/officeDocument/2006/relationships/hyperlink" Target="http://force.com" TargetMode="External"/><Relationship Id="rId245" Type="http://schemas.openxmlformats.org/officeDocument/2006/relationships/hyperlink" Target="http://force.com" TargetMode="External"/><Relationship Id="rId366" Type="http://schemas.openxmlformats.org/officeDocument/2006/relationships/hyperlink" Target="http://force.com" TargetMode="External"/><Relationship Id="rId487" Type="http://schemas.openxmlformats.org/officeDocument/2006/relationships/hyperlink" Target="http://force.com" TargetMode="External"/><Relationship Id="rId123" Type="http://schemas.openxmlformats.org/officeDocument/2006/relationships/hyperlink" Target="http://force.com" TargetMode="External"/><Relationship Id="rId244" Type="http://schemas.openxmlformats.org/officeDocument/2006/relationships/hyperlink" Target="http://force.com" TargetMode="External"/><Relationship Id="rId365" Type="http://schemas.openxmlformats.org/officeDocument/2006/relationships/hyperlink" Target="http://force.com" TargetMode="External"/><Relationship Id="rId486" Type="http://schemas.openxmlformats.org/officeDocument/2006/relationships/hyperlink" Target="http://force.com" TargetMode="External"/><Relationship Id="rId122" Type="http://schemas.openxmlformats.org/officeDocument/2006/relationships/hyperlink" Target="http://force.com" TargetMode="External"/><Relationship Id="rId243" Type="http://schemas.openxmlformats.org/officeDocument/2006/relationships/hyperlink" Target="http://force.com" TargetMode="External"/><Relationship Id="rId364" Type="http://schemas.openxmlformats.org/officeDocument/2006/relationships/hyperlink" Target="http://force.com" TargetMode="External"/><Relationship Id="rId485" Type="http://schemas.openxmlformats.org/officeDocument/2006/relationships/hyperlink" Target="http://force.com" TargetMode="External"/><Relationship Id="rId95" Type="http://schemas.openxmlformats.org/officeDocument/2006/relationships/hyperlink" Target="http://force.com" TargetMode="External"/><Relationship Id="rId94" Type="http://schemas.openxmlformats.org/officeDocument/2006/relationships/hyperlink" Target="http://force.com" TargetMode="External"/><Relationship Id="rId97" Type="http://schemas.openxmlformats.org/officeDocument/2006/relationships/hyperlink" Target="http://force.com" TargetMode="External"/><Relationship Id="rId96" Type="http://schemas.openxmlformats.org/officeDocument/2006/relationships/hyperlink" Target="http://force.com" TargetMode="External"/><Relationship Id="rId99" Type="http://schemas.openxmlformats.org/officeDocument/2006/relationships/hyperlink" Target="http://force.com" TargetMode="External"/><Relationship Id="rId480" Type="http://schemas.openxmlformats.org/officeDocument/2006/relationships/hyperlink" Target="http://force.com" TargetMode="External"/><Relationship Id="rId98" Type="http://schemas.openxmlformats.org/officeDocument/2006/relationships/hyperlink" Target="http://force.com" TargetMode="External"/><Relationship Id="rId91" Type="http://schemas.openxmlformats.org/officeDocument/2006/relationships/hyperlink" Target="http://force.com" TargetMode="External"/><Relationship Id="rId90" Type="http://schemas.openxmlformats.org/officeDocument/2006/relationships/hyperlink" Target="http://force.com" TargetMode="External"/><Relationship Id="rId93" Type="http://schemas.openxmlformats.org/officeDocument/2006/relationships/hyperlink" Target="http://force.com" TargetMode="External"/><Relationship Id="rId92" Type="http://schemas.openxmlformats.org/officeDocument/2006/relationships/hyperlink" Target="http://force.com" TargetMode="External"/><Relationship Id="rId118" Type="http://schemas.openxmlformats.org/officeDocument/2006/relationships/hyperlink" Target="http://force.com" TargetMode="External"/><Relationship Id="rId239" Type="http://schemas.openxmlformats.org/officeDocument/2006/relationships/hyperlink" Target="http://force.com" TargetMode="External"/><Relationship Id="rId117" Type="http://schemas.openxmlformats.org/officeDocument/2006/relationships/hyperlink" Target="http://force.com" TargetMode="External"/><Relationship Id="rId238" Type="http://schemas.openxmlformats.org/officeDocument/2006/relationships/hyperlink" Target="http://force.com" TargetMode="External"/><Relationship Id="rId359" Type="http://schemas.openxmlformats.org/officeDocument/2006/relationships/hyperlink" Target="http://force.com" TargetMode="External"/><Relationship Id="rId116" Type="http://schemas.openxmlformats.org/officeDocument/2006/relationships/hyperlink" Target="http://force.com" TargetMode="External"/><Relationship Id="rId237" Type="http://schemas.openxmlformats.org/officeDocument/2006/relationships/hyperlink" Target="http://force.com" TargetMode="External"/><Relationship Id="rId358" Type="http://schemas.openxmlformats.org/officeDocument/2006/relationships/hyperlink" Target="http://force.com" TargetMode="External"/><Relationship Id="rId479" Type="http://schemas.openxmlformats.org/officeDocument/2006/relationships/hyperlink" Target="http://force.com" TargetMode="External"/><Relationship Id="rId115" Type="http://schemas.openxmlformats.org/officeDocument/2006/relationships/hyperlink" Target="http://force.com" TargetMode="External"/><Relationship Id="rId236" Type="http://schemas.openxmlformats.org/officeDocument/2006/relationships/hyperlink" Target="http://force.com" TargetMode="External"/><Relationship Id="rId357" Type="http://schemas.openxmlformats.org/officeDocument/2006/relationships/hyperlink" Target="http://force.com" TargetMode="External"/><Relationship Id="rId478" Type="http://schemas.openxmlformats.org/officeDocument/2006/relationships/hyperlink" Target="http://force.com" TargetMode="External"/><Relationship Id="rId119" Type="http://schemas.openxmlformats.org/officeDocument/2006/relationships/hyperlink" Target="http://force.com" TargetMode="External"/><Relationship Id="rId110" Type="http://schemas.openxmlformats.org/officeDocument/2006/relationships/hyperlink" Target="http://force.com" TargetMode="External"/><Relationship Id="rId231" Type="http://schemas.openxmlformats.org/officeDocument/2006/relationships/hyperlink" Target="http://force.com" TargetMode="External"/><Relationship Id="rId352" Type="http://schemas.openxmlformats.org/officeDocument/2006/relationships/hyperlink" Target="http://force.com" TargetMode="External"/><Relationship Id="rId473" Type="http://schemas.openxmlformats.org/officeDocument/2006/relationships/hyperlink" Target="http://force.com" TargetMode="External"/><Relationship Id="rId594" Type="http://schemas.openxmlformats.org/officeDocument/2006/relationships/hyperlink" Target="http://force.com" TargetMode="External"/><Relationship Id="rId230" Type="http://schemas.openxmlformats.org/officeDocument/2006/relationships/hyperlink" Target="http://force.com" TargetMode="External"/><Relationship Id="rId351" Type="http://schemas.openxmlformats.org/officeDocument/2006/relationships/hyperlink" Target="http://force.com" TargetMode="External"/><Relationship Id="rId472" Type="http://schemas.openxmlformats.org/officeDocument/2006/relationships/hyperlink" Target="http://force.com" TargetMode="External"/><Relationship Id="rId593" Type="http://schemas.openxmlformats.org/officeDocument/2006/relationships/hyperlink" Target="http://force.com" TargetMode="External"/><Relationship Id="rId350" Type="http://schemas.openxmlformats.org/officeDocument/2006/relationships/hyperlink" Target="http://force.com" TargetMode="External"/><Relationship Id="rId471" Type="http://schemas.openxmlformats.org/officeDocument/2006/relationships/hyperlink" Target="http://force.com" TargetMode="External"/><Relationship Id="rId592" Type="http://schemas.openxmlformats.org/officeDocument/2006/relationships/hyperlink" Target="http://force.com" TargetMode="External"/><Relationship Id="rId470" Type="http://schemas.openxmlformats.org/officeDocument/2006/relationships/hyperlink" Target="http://force.com" TargetMode="External"/><Relationship Id="rId591" Type="http://schemas.openxmlformats.org/officeDocument/2006/relationships/hyperlink" Target="http://force.com" TargetMode="External"/><Relationship Id="rId114" Type="http://schemas.openxmlformats.org/officeDocument/2006/relationships/hyperlink" Target="http://force.com" TargetMode="External"/><Relationship Id="rId235" Type="http://schemas.openxmlformats.org/officeDocument/2006/relationships/hyperlink" Target="http://force.com" TargetMode="External"/><Relationship Id="rId356" Type="http://schemas.openxmlformats.org/officeDocument/2006/relationships/hyperlink" Target="http://force.com" TargetMode="External"/><Relationship Id="rId477" Type="http://schemas.openxmlformats.org/officeDocument/2006/relationships/hyperlink" Target="http://force.com" TargetMode="External"/><Relationship Id="rId113" Type="http://schemas.openxmlformats.org/officeDocument/2006/relationships/hyperlink" Target="http://force.com" TargetMode="External"/><Relationship Id="rId234" Type="http://schemas.openxmlformats.org/officeDocument/2006/relationships/hyperlink" Target="http://force.com" TargetMode="External"/><Relationship Id="rId355" Type="http://schemas.openxmlformats.org/officeDocument/2006/relationships/hyperlink" Target="http://force.com" TargetMode="External"/><Relationship Id="rId476" Type="http://schemas.openxmlformats.org/officeDocument/2006/relationships/hyperlink" Target="http://force.com" TargetMode="External"/><Relationship Id="rId112" Type="http://schemas.openxmlformats.org/officeDocument/2006/relationships/hyperlink" Target="http://force.com" TargetMode="External"/><Relationship Id="rId233" Type="http://schemas.openxmlformats.org/officeDocument/2006/relationships/hyperlink" Target="http://force.com" TargetMode="External"/><Relationship Id="rId354" Type="http://schemas.openxmlformats.org/officeDocument/2006/relationships/hyperlink" Target="http://force.com" TargetMode="External"/><Relationship Id="rId475" Type="http://schemas.openxmlformats.org/officeDocument/2006/relationships/hyperlink" Target="http://force.com" TargetMode="External"/><Relationship Id="rId596" Type="http://schemas.openxmlformats.org/officeDocument/2006/relationships/drawing" Target="../drawings/drawing4.xml"/><Relationship Id="rId111" Type="http://schemas.openxmlformats.org/officeDocument/2006/relationships/hyperlink" Target="http://force.com" TargetMode="External"/><Relationship Id="rId232" Type="http://schemas.openxmlformats.org/officeDocument/2006/relationships/hyperlink" Target="http://force.com" TargetMode="External"/><Relationship Id="rId353" Type="http://schemas.openxmlformats.org/officeDocument/2006/relationships/hyperlink" Target="http://force.com" TargetMode="External"/><Relationship Id="rId474" Type="http://schemas.openxmlformats.org/officeDocument/2006/relationships/hyperlink" Target="http://force.com" TargetMode="External"/><Relationship Id="rId595" Type="http://schemas.openxmlformats.org/officeDocument/2006/relationships/hyperlink" Target="http://force.com" TargetMode="External"/><Relationship Id="rId305" Type="http://schemas.openxmlformats.org/officeDocument/2006/relationships/hyperlink" Target="http://force.com" TargetMode="External"/><Relationship Id="rId426" Type="http://schemas.openxmlformats.org/officeDocument/2006/relationships/hyperlink" Target="http://force.com" TargetMode="External"/><Relationship Id="rId547" Type="http://schemas.openxmlformats.org/officeDocument/2006/relationships/hyperlink" Target="http://force.com" TargetMode="External"/><Relationship Id="rId304" Type="http://schemas.openxmlformats.org/officeDocument/2006/relationships/hyperlink" Target="http://force.com" TargetMode="External"/><Relationship Id="rId425" Type="http://schemas.openxmlformats.org/officeDocument/2006/relationships/hyperlink" Target="http://force.com" TargetMode="External"/><Relationship Id="rId546" Type="http://schemas.openxmlformats.org/officeDocument/2006/relationships/hyperlink" Target="http://force.com" TargetMode="External"/><Relationship Id="rId303" Type="http://schemas.openxmlformats.org/officeDocument/2006/relationships/hyperlink" Target="http://force.com" TargetMode="External"/><Relationship Id="rId424" Type="http://schemas.openxmlformats.org/officeDocument/2006/relationships/hyperlink" Target="http://force.com" TargetMode="External"/><Relationship Id="rId545" Type="http://schemas.openxmlformats.org/officeDocument/2006/relationships/hyperlink" Target="http://force.com" TargetMode="External"/><Relationship Id="rId302" Type="http://schemas.openxmlformats.org/officeDocument/2006/relationships/hyperlink" Target="http://force.com" TargetMode="External"/><Relationship Id="rId423" Type="http://schemas.openxmlformats.org/officeDocument/2006/relationships/hyperlink" Target="http://force.com" TargetMode="External"/><Relationship Id="rId544" Type="http://schemas.openxmlformats.org/officeDocument/2006/relationships/hyperlink" Target="http://force.com" TargetMode="External"/><Relationship Id="rId309" Type="http://schemas.openxmlformats.org/officeDocument/2006/relationships/hyperlink" Target="http://force.com" TargetMode="External"/><Relationship Id="rId308" Type="http://schemas.openxmlformats.org/officeDocument/2006/relationships/hyperlink" Target="http://force.com" TargetMode="External"/><Relationship Id="rId429" Type="http://schemas.openxmlformats.org/officeDocument/2006/relationships/hyperlink" Target="http://force.com" TargetMode="External"/><Relationship Id="rId307" Type="http://schemas.openxmlformats.org/officeDocument/2006/relationships/hyperlink" Target="http://force.com" TargetMode="External"/><Relationship Id="rId428" Type="http://schemas.openxmlformats.org/officeDocument/2006/relationships/hyperlink" Target="http://force.com" TargetMode="External"/><Relationship Id="rId549" Type="http://schemas.openxmlformats.org/officeDocument/2006/relationships/hyperlink" Target="http://force.com" TargetMode="External"/><Relationship Id="rId306" Type="http://schemas.openxmlformats.org/officeDocument/2006/relationships/hyperlink" Target="http://force.com" TargetMode="External"/><Relationship Id="rId427" Type="http://schemas.openxmlformats.org/officeDocument/2006/relationships/hyperlink" Target="http://force.com" TargetMode="External"/><Relationship Id="rId548" Type="http://schemas.openxmlformats.org/officeDocument/2006/relationships/hyperlink" Target="http://force.com" TargetMode="External"/><Relationship Id="rId301" Type="http://schemas.openxmlformats.org/officeDocument/2006/relationships/hyperlink" Target="http://force.com" TargetMode="External"/><Relationship Id="rId422" Type="http://schemas.openxmlformats.org/officeDocument/2006/relationships/hyperlink" Target="http://force.com" TargetMode="External"/><Relationship Id="rId543" Type="http://schemas.openxmlformats.org/officeDocument/2006/relationships/hyperlink" Target="http://force.com" TargetMode="External"/><Relationship Id="rId300" Type="http://schemas.openxmlformats.org/officeDocument/2006/relationships/hyperlink" Target="http://force.com" TargetMode="External"/><Relationship Id="rId421" Type="http://schemas.openxmlformats.org/officeDocument/2006/relationships/hyperlink" Target="http://force.com" TargetMode="External"/><Relationship Id="rId542" Type="http://schemas.openxmlformats.org/officeDocument/2006/relationships/hyperlink" Target="http://force.com" TargetMode="External"/><Relationship Id="rId420" Type="http://schemas.openxmlformats.org/officeDocument/2006/relationships/hyperlink" Target="http://force.com" TargetMode="External"/><Relationship Id="rId541" Type="http://schemas.openxmlformats.org/officeDocument/2006/relationships/hyperlink" Target="http://force.com" TargetMode="External"/><Relationship Id="rId540" Type="http://schemas.openxmlformats.org/officeDocument/2006/relationships/hyperlink" Target="http://force.com" TargetMode="External"/><Relationship Id="rId415" Type="http://schemas.openxmlformats.org/officeDocument/2006/relationships/hyperlink" Target="http://force.com" TargetMode="External"/><Relationship Id="rId536" Type="http://schemas.openxmlformats.org/officeDocument/2006/relationships/hyperlink" Target="http://force.com" TargetMode="External"/><Relationship Id="rId414" Type="http://schemas.openxmlformats.org/officeDocument/2006/relationships/hyperlink" Target="http://force.com" TargetMode="External"/><Relationship Id="rId535" Type="http://schemas.openxmlformats.org/officeDocument/2006/relationships/hyperlink" Target="http://force.com" TargetMode="External"/><Relationship Id="rId413" Type="http://schemas.openxmlformats.org/officeDocument/2006/relationships/hyperlink" Target="http://force.com" TargetMode="External"/><Relationship Id="rId534" Type="http://schemas.openxmlformats.org/officeDocument/2006/relationships/hyperlink" Target="http://force.com" TargetMode="External"/><Relationship Id="rId412" Type="http://schemas.openxmlformats.org/officeDocument/2006/relationships/hyperlink" Target="http://force.com" TargetMode="External"/><Relationship Id="rId533" Type="http://schemas.openxmlformats.org/officeDocument/2006/relationships/hyperlink" Target="http://force.com" TargetMode="External"/><Relationship Id="rId419" Type="http://schemas.openxmlformats.org/officeDocument/2006/relationships/hyperlink" Target="http://force.com" TargetMode="External"/><Relationship Id="rId418" Type="http://schemas.openxmlformats.org/officeDocument/2006/relationships/hyperlink" Target="http://force.com" TargetMode="External"/><Relationship Id="rId539" Type="http://schemas.openxmlformats.org/officeDocument/2006/relationships/hyperlink" Target="http://force.com" TargetMode="External"/><Relationship Id="rId417" Type="http://schemas.openxmlformats.org/officeDocument/2006/relationships/hyperlink" Target="http://force.com" TargetMode="External"/><Relationship Id="rId538" Type="http://schemas.openxmlformats.org/officeDocument/2006/relationships/hyperlink" Target="http://force.com" TargetMode="External"/><Relationship Id="rId416" Type="http://schemas.openxmlformats.org/officeDocument/2006/relationships/hyperlink" Target="http://force.com" TargetMode="External"/><Relationship Id="rId537" Type="http://schemas.openxmlformats.org/officeDocument/2006/relationships/hyperlink" Target="http://force.com" TargetMode="External"/><Relationship Id="rId411" Type="http://schemas.openxmlformats.org/officeDocument/2006/relationships/hyperlink" Target="http://force.com" TargetMode="External"/><Relationship Id="rId532" Type="http://schemas.openxmlformats.org/officeDocument/2006/relationships/hyperlink" Target="http://force.com" TargetMode="External"/><Relationship Id="rId410" Type="http://schemas.openxmlformats.org/officeDocument/2006/relationships/hyperlink" Target="http://force.com" TargetMode="External"/><Relationship Id="rId531" Type="http://schemas.openxmlformats.org/officeDocument/2006/relationships/hyperlink" Target="http://force.com" TargetMode="External"/><Relationship Id="rId530" Type="http://schemas.openxmlformats.org/officeDocument/2006/relationships/hyperlink" Target="http://force.com" TargetMode="External"/><Relationship Id="rId206" Type="http://schemas.openxmlformats.org/officeDocument/2006/relationships/hyperlink" Target="http://force.com" TargetMode="External"/><Relationship Id="rId327" Type="http://schemas.openxmlformats.org/officeDocument/2006/relationships/hyperlink" Target="http://force.com" TargetMode="External"/><Relationship Id="rId448" Type="http://schemas.openxmlformats.org/officeDocument/2006/relationships/hyperlink" Target="http://force.com" TargetMode="External"/><Relationship Id="rId569" Type="http://schemas.openxmlformats.org/officeDocument/2006/relationships/hyperlink" Target="http://force.com" TargetMode="External"/><Relationship Id="rId205" Type="http://schemas.openxmlformats.org/officeDocument/2006/relationships/hyperlink" Target="http://force.com" TargetMode="External"/><Relationship Id="rId326" Type="http://schemas.openxmlformats.org/officeDocument/2006/relationships/hyperlink" Target="http://force.com" TargetMode="External"/><Relationship Id="rId447" Type="http://schemas.openxmlformats.org/officeDocument/2006/relationships/hyperlink" Target="http://force.com" TargetMode="External"/><Relationship Id="rId568" Type="http://schemas.openxmlformats.org/officeDocument/2006/relationships/hyperlink" Target="http://force.com" TargetMode="External"/><Relationship Id="rId204" Type="http://schemas.openxmlformats.org/officeDocument/2006/relationships/hyperlink" Target="http://force.com" TargetMode="External"/><Relationship Id="rId325" Type="http://schemas.openxmlformats.org/officeDocument/2006/relationships/hyperlink" Target="http://force.com" TargetMode="External"/><Relationship Id="rId446" Type="http://schemas.openxmlformats.org/officeDocument/2006/relationships/hyperlink" Target="http://force.com" TargetMode="External"/><Relationship Id="rId567" Type="http://schemas.openxmlformats.org/officeDocument/2006/relationships/hyperlink" Target="http://force.com" TargetMode="External"/><Relationship Id="rId203" Type="http://schemas.openxmlformats.org/officeDocument/2006/relationships/hyperlink" Target="http://force.com" TargetMode="External"/><Relationship Id="rId324" Type="http://schemas.openxmlformats.org/officeDocument/2006/relationships/hyperlink" Target="http://force.com" TargetMode="External"/><Relationship Id="rId445" Type="http://schemas.openxmlformats.org/officeDocument/2006/relationships/hyperlink" Target="http://force.com" TargetMode="External"/><Relationship Id="rId566" Type="http://schemas.openxmlformats.org/officeDocument/2006/relationships/hyperlink" Target="http://force.com" TargetMode="External"/><Relationship Id="rId209" Type="http://schemas.openxmlformats.org/officeDocument/2006/relationships/hyperlink" Target="http://force.com" TargetMode="External"/><Relationship Id="rId208" Type="http://schemas.openxmlformats.org/officeDocument/2006/relationships/hyperlink" Target="http://force.com" TargetMode="External"/><Relationship Id="rId329" Type="http://schemas.openxmlformats.org/officeDocument/2006/relationships/hyperlink" Target="http://force.com" TargetMode="External"/><Relationship Id="rId207" Type="http://schemas.openxmlformats.org/officeDocument/2006/relationships/hyperlink" Target="http://force.com" TargetMode="External"/><Relationship Id="rId328" Type="http://schemas.openxmlformats.org/officeDocument/2006/relationships/hyperlink" Target="http://force.com" TargetMode="External"/><Relationship Id="rId449" Type="http://schemas.openxmlformats.org/officeDocument/2006/relationships/hyperlink" Target="http://force.com" TargetMode="External"/><Relationship Id="rId440" Type="http://schemas.openxmlformats.org/officeDocument/2006/relationships/hyperlink" Target="http://force.com" TargetMode="External"/><Relationship Id="rId561" Type="http://schemas.openxmlformats.org/officeDocument/2006/relationships/hyperlink" Target="http://force.com" TargetMode="External"/><Relationship Id="rId560" Type="http://schemas.openxmlformats.org/officeDocument/2006/relationships/hyperlink" Target="http://force.com" TargetMode="External"/><Relationship Id="rId202" Type="http://schemas.openxmlformats.org/officeDocument/2006/relationships/hyperlink" Target="http://force.com" TargetMode="External"/><Relationship Id="rId323" Type="http://schemas.openxmlformats.org/officeDocument/2006/relationships/hyperlink" Target="http://force.com" TargetMode="External"/><Relationship Id="rId444" Type="http://schemas.openxmlformats.org/officeDocument/2006/relationships/hyperlink" Target="http://force.com" TargetMode="External"/><Relationship Id="rId565" Type="http://schemas.openxmlformats.org/officeDocument/2006/relationships/hyperlink" Target="http://force.com" TargetMode="External"/><Relationship Id="rId201" Type="http://schemas.openxmlformats.org/officeDocument/2006/relationships/hyperlink" Target="http://force.com" TargetMode="External"/><Relationship Id="rId322" Type="http://schemas.openxmlformats.org/officeDocument/2006/relationships/hyperlink" Target="http://force.com" TargetMode="External"/><Relationship Id="rId443" Type="http://schemas.openxmlformats.org/officeDocument/2006/relationships/hyperlink" Target="http://force.com" TargetMode="External"/><Relationship Id="rId564" Type="http://schemas.openxmlformats.org/officeDocument/2006/relationships/hyperlink" Target="http://force.com" TargetMode="External"/><Relationship Id="rId200" Type="http://schemas.openxmlformats.org/officeDocument/2006/relationships/hyperlink" Target="http://force.com" TargetMode="External"/><Relationship Id="rId321" Type="http://schemas.openxmlformats.org/officeDocument/2006/relationships/hyperlink" Target="http://force.com" TargetMode="External"/><Relationship Id="rId442" Type="http://schemas.openxmlformats.org/officeDocument/2006/relationships/hyperlink" Target="http://force.com" TargetMode="External"/><Relationship Id="rId563" Type="http://schemas.openxmlformats.org/officeDocument/2006/relationships/hyperlink" Target="http://force.com" TargetMode="External"/><Relationship Id="rId320" Type="http://schemas.openxmlformats.org/officeDocument/2006/relationships/hyperlink" Target="http://force.com" TargetMode="External"/><Relationship Id="rId441" Type="http://schemas.openxmlformats.org/officeDocument/2006/relationships/hyperlink" Target="http://force.com" TargetMode="External"/><Relationship Id="rId562" Type="http://schemas.openxmlformats.org/officeDocument/2006/relationships/hyperlink" Target="http://force.com" TargetMode="External"/><Relationship Id="rId316" Type="http://schemas.openxmlformats.org/officeDocument/2006/relationships/hyperlink" Target="http://force.com" TargetMode="External"/><Relationship Id="rId437" Type="http://schemas.openxmlformats.org/officeDocument/2006/relationships/hyperlink" Target="http://force.com" TargetMode="External"/><Relationship Id="rId558" Type="http://schemas.openxmlformats.org/officeDocument/2006/relationships/hyperlink" Target="http://force.com" TargetMode="External"/><Relationship Id="rId315" Type="http://schemas.openxmlformats.org/officeDocument/2006/relationships/hyperlink" Target="http://force.com" TargetMode="External"/><Relationship Id="rId436" Type="http://schemas.openxmlformats.org/officeDocument/2006/relationships/hyperlink" Target="http://force.com" TargetMode="External"/><Relationship Id="rId557" Type="http://schemas.openxmlformats.org/officeDocument/2006/relationships/hyperlink" Target="http://force.com" TargetMode="External"/><Relationship Id="rId314" Type="http://schemas.openxmlformats.org/officeDocument/2006/relationships/hyperlink" Target="http://force.com" TargetMode="External"/><Relationship Id="rId435" Type="http://schemas.openxmlformats.org/officeDocument/2006/relationships/hyperlink" Target="http://force.com" TargetMode="External"/><Relationship Id="rId556" Type="http://schemas.openxmlformats.org/officeDocument/2006/relationships/hyperlink" Target="http://force.com" TargetMode="External"/><Relationship Id="rId313" Type="http://schemas.openxmlformats.org/officeDocument/2006/relationships/hyperlink" Target="http://force.com" TargetMode="External"/><Relationship Id="rId434" Type="http://schemas.openxmlformats.org/officeDocument/2006/relationships/hyperlink" Target="http://force.com" TargetMode="External"/><Relationship Id="rId555" Type="http://schemas.openxmlformats.org/officeDocument/2006/relationships/hyperlink" Target="http://force.com" TargetMode="External"/><Relationship Id="rId319" Type="http://schemas.openxmlformats.org/officeDocument/2006/relationships/hyperlink" Target="http://force.com" TargetMode="External"/><Relationship Id="rId318" Type="http://schemas.openxmlformats.org/officeDocument/2006/relationships/hyperlink" Target="http://force.com" TargetMode="External"/><Relationship Id="rId439" Type="http://schemas.openxmlformats.org/officeDocument/2006/relationships/hyperlink" Target="http://force.com" TargetMode="External"/><Relationship Id="rId317" Type="http://schemas.openxmlformats.org/officeDocument/2006/relationships/hyperlink" Target="http://force.com" TargetMode="External"/><Relationship Id="rId438" Type="http://schemas.openxmlformats.org/officeDocument/2006/relationships/hyperlink" Target="http://force.com" TargetMode="External"/><Relationship Id="rId559" Type="http://schemas.openxmlformats.org/officeDocument/2006/relationships/hyperlink" Target="http://force.com" TargetMode="External"/><Relationship Id="rId550" Type="http://schemas.openxmlformats.org/officeDocument/2006/relationships/hyperlink" Target="http://force.com" TargetMode="External"/><Relationship Id="rId312" Type="http://schemas.openxmlformats.org/officeDocument/2006/relationships/hyperlink" Target="http://force.com" TargetMode="External"/><Relationship Id="rId433" Type="http://schemas.openxmlformats.org/officeDocument/2006/relationships/hyperlink" Target="http://force.com" TargetMode="External"/><Relationship Id="rId554" Type="http://schemas.openxmlformats.org/officeDocument/2006/relationships/hyperlink" Target="http://force.com" TargetMode="External"/><Relationship Id="rId311" Type="http://schemas.openxmlformats.org/officeDocument/2006/relationships/hyperlink" Target="http://force.com" TargetMode="External"/><Relationship Id="rId432" Type="http://schemas.openxmlformats.org/officeDocument/2006/relationships/hyperlink" Target="http://force.com" TargetMode="External"/><Relationship Id="rId553" Type="http://schemas.openxmlformats.org/officeDocument/2006/relationships/hyperlink" Target="http://force.com" TargetMode="External"/><Relationship Id="rId310" Type="http://schemas.openxmlformats.org/officeDocument/2006/relationships/hyperlink" Target="http://force.com" TargetMode="External"/><Relationship Id="rId431" Type="http://schemas.openxmlformats.org/officeDocument/2006/relationships/hyperlink" Target="http://force.com" TargetMode="External"/><Relationship Id="rId552" Type="http://schemas.openxmlformats.org/officeDocument/2006/relationships/hyperlink" Target="http://force.com" TargetMode="External"/><Relationship Id="rId430" Type="http://schemas.openxmlformats.org/officeDocument/2006/relationships/hyperlink" Target="http://force.com" TargetMode="External"/><Relationship Id="rId551" Type="http://schemas.openxmlformats.org/officeDocument/2006/relationships/hyperlink" Target="http://force.com" TargetMode="External"/></Relationships>
</file>

<file path=xl/worksheets/_rels/sheet5.xml.rels><?xml version="1.0" encoding="UTF-8" standalone="yes"?><Relationships xmlns="http://schemas.openxmlformats.org/package/2006/relationships"><Relationship Id="rId5251" Type="http://schemas.openxmlformats.org/officeDocument/2006/relationships/hyperlink" Target="http://force.com" TargetMode="External"/><Relationship Id="rId5252" Type="http://schemas.openxmlformats.org/officeDocument/2006/relationships/hyperlink" Target="http://force.com" TargetMode="External"/><Relationship Id="rId5250" Type="http://schemas.openxmlformats.org/officeDocument/2006/relationships/hyperlink" Target="http://force.com" TargetMode="External"/><Relationship Id="rId5255" Type="http://schemas.openxmlformats.org/officeDocument/2006/relationships/hyperlink" Target="http://force.com" TargetMode="External"/><Relationship Id="rId5256" Type="http://schemas.openxmlformats.org/officeDocument/2006/relationships/hyperlink" Target="http://force.com" TargetMode="External"/><Relationship Id="rId5253" Type="http://schemas.openxmlformats.org/officeDocument/2006/relationships/hyperlink" Target="http://force.com" TargetMode="External"/><Relationship Id="rId5254" Type="http://schemas.openxmlformats.org/officeDocument/2006/relationships/hyperlink" Target="http://force.com" TargetMode="External"/><Relationship Id="rId5259" Type="http://schemas.openxmlformats.org/officeDocument/2006/relationships/hyperlink" Target="http://force.com" TargetMode="External"/><Relationship Id="rId5257" Type="http://schemas.openxmlformats.org/officeDocument/2006/relationships/hyperlink" Target="http://force.com" TargetMode="External"/><Relationship Id="rId5258" Type="http://schemas.openxmlformats.org/officeDocument/2006/relationships/hyperlink" Target="http://force.com" TargetMode="External"/><Relationship Id="rId5240" Type="http://schemas.openxmlformats.org/officeDocument/2006/relationships/hyperlink" Target="http://force.com" TargetMode="External"/><Relationship Id="rId5241" Type="http://schemas.openxmlformats.org/officeDocument/2006/relationships/hyperlink" Target="http://force.com" TargetMode="External"/><Relationship Id="rId5244" Type="http://schemas.openxmlformats.org/officeDocument/2006/relationships/hyperlink" Target="http://force.com" TargetMode="External"/><Relationship Id="rId5245" Type="http://schemas.openxmlformats.org/officeDocument/2006/relationships/hyperlink" Target="http://force.com" TargetMode="External"/><Relationship Id="rId5242" Type="http://schemas.openxmlformats.org/officeDocument/2006/relationships/hyperlink" Target="http://force.com" TargetMode="External"/><Relationship Id="rId5243" Type="http://schemas.openxmlformats.org/officeDocument/2006/relationships/hyperlink" Target="http://force.com" TargetMode="External"/><Relationship Id="rId5248" Type="http://schemas.openxmlformats.org/officeDocument/2006/relationships/hyperlink" Target="http://force.com" TargetMode="External"/><Relationship Id="rId5249" Type="http://schemas.openxmlformats.org/officeDocument/2006/relationships/hyperlink" Target="http://force.com" TargetMode="External"/><Relationship Id="rId5246" Type="http://schemas.openxmlformats.org/officeDocument/2006/relationships/hyperlink" Target="http://force.com" TargetMode="External"/><Relationship Id="rId5247" Type="http://schemas.openxmlformats.org/officeDocument/2006/relationships/hyperlink" Target="http://force.com" TargetMode="External"/><Relationship Id="rId5270" Type="http://schemas.openxmlformats.org/officeDocument/2006/relationships/hyperlink" Target="http://force.com" TargetMode="External"/><Relationship Id="rId5273" Type="http://schemas.openxmlformats.org/officeDocument/2006/relationships/hyperlink" Target="http://force.com" TargetMode="External"/><Relationship Id="rId5274" Type="http://schemas.openxmlformats.org/officeDocument/2006/relationships/hyperlink" Target="http://force.com" TargetMode="External"/><Relationship Id="rId5271" Type="http://schemas.openxmlformats.org/officeDocument/2006/relationships/hyperlink" Target="http://force.com" TargetMode="External"/><Relationship Id="rId5272" Type="http://schemas.openxmlformats.org/officeDocument/2006/relationships/hyperlink" Target="http://force.com" TargetMode="External"/><Relationship Id="rId5277" Type="http://schemas.openxmlformats.org/officeDocument/2006/relationships/hyperlink" Target="http://force.com" TargetMode="External"/><Relationship Id="rId5278" Type="http://schemas.openxmlformats.org/officeDocument/2006/relationships/hyperlink" Target="http://force.com" TargetMode="External"/><Relationship Id="rId5275" Type="http://schemas.openxmlformats.org/officeDocument/2006/relationships/hyperlink" Target="http://force.com" TargetMode="External"/><Relationship Id="rId5276" Type="http://schemas.openxmlformats.org/officeDocument/2006/relationships/hyperlink" Target="http://force.com" TargetMode="External"/><Relationship Id="rId5279" Type="http://schemas.openxmlformats.org/officeDocument/2006/relationships/hyperlink" Target="http://force.com" TargetMode="External"/><Relationship Id="rId5262" Type="http://schemas.openxmlformats.org/officeDocument/2006/relationships/hyperlink" Target="http://force.com" TargetMode="External"/><Relationship Id="rId5263" Type="http://schemas.openxmlformats.org/officeDocument/2006/relationships/hyperlink" Target="http://force.com" TargetMode="External"/><Relationship Id="rId5260" Type="http://schemas.openxmlformats.org/officeDocument/2006/relationships/hyperlink" Target="http://force.com" TargetMode="External"/><Relationship Id="rId5261" Type="http://schemas.openxmlformats.org/officeDocument/2006/relationships/hyperlink" Target="http://force.com" TargetMode="External"/><Relationship Id="rId5266" Type="http://schemas.openxmlformats.org/officeDocument/2006/relationships/hyperlink" Target="http://force.com" TargetMode="External"/><Relationship Id="rId5267" Type="http://schemas.openxmlformats.org/officeDocument/2006/relationships/hyperlink" Target="http://force.com" TargetMode="External"/><Relationship Id="rId5264" Type="http://schemas.openxmlformats.org/officeDocument/2006/relationships/hyperlink" Target="http://force.com" TargetMode="External"/><Relationship Id="rId5265" Type="http://schemas.openxmlformats.org/officeDocument/2006/relationships/hyperlink" Target="http://force.com" TargetMode="External"/><Relationship Id="rId5268" Type="http://schemas.openxmlformats.org/officeDocument/2006/relationships/hyperlink" Target="http://force.com" TargetMode="External"/><Relationship Id="rId5269" Type="http://schemas.openxmlformats.org/officeDocument/2006/relationships/hyperlink" Target="http://force.com" TargetMode="External"/><Relationship Id="rId5219" Type="http://schemas.openxmlformats.org/officeDocument/2006/relationships/hyperlink" Target="http://force.com" TargetMode="External"/><Relationship Id="rId5217" Type="http://schemas.openxmlformats.org/officeDocument/2006/relationships/hyperlink" Target="http://force.com" TargetMode="External"/><Relationship Id="rId5218" Type="http://schemas.openxmlformats.org/officeDocument/2006/relationships/hyperlink" Target="http://force.com" TargetMode="External"/><Relationship Id="rId392" Type="http://schemas.openxmlformats.org/officeDocument/2006/relationships/hyperlink" Target="http://force.com" TargetMode="External"/><Relationship Id="rId391" Type="http://schemas.openxmlformats.org/officeDocument/2006/relationships/hyperlink" Target="http://force.com" TargetMode="External"/><Relationship Id="rId390" Type="http://schemas.openxmlformats.org/officeDocument/2006/relationships/hyperlink" Target="http://force.com" TargetMode="External"/><Relationship Id="rId2180" Type="http://schemas.openxmlformats.org/officeDocument/2006/relationships/hyperlink" Target="http://force.com" TargetMode="External"/><Relationship Id="rId2181" Type="http://schemas.openxmlformats.org/officeDocument/2006/relationships/hyperlink" Target="http://force.com" TargetMode="External"/><Relationship Id="rId2182" Type="http://schemas.openxmlformats.org/officeDocument/2006/relationships/hyperlink" Target="http://force.com" TargetMode="External"/><Relationship Id="rId2183" Type="http://schemas.openxmlformats.org/officeDocument/2006/relationships/hyperlink" Target="http://force.com" TargetMode="External"/><Relationship Id="rId385" Type="http://schemas.openxmlformats.org/officeDocument/2006/relationships/hyperlink" Target="http://force.com" TargetMode="External"/><Relationship Id="rId2184" Type="http://schemas.openxmlformats.org/officeDocument/2006/relationships/hyperlink" Target="http://force.com" TargetMode="External"/><Relationship Id="rId5211" Type="http://schemas.openxmlformats.org/officeDocument/2006/relationships/hyperlink" Target="http://force.com" TargetMode="External"/><Relationship Id="rId384" Type="http://schemas.openxmlformats.org/officeDocument/2006/relationships/hyperlink" Target="http://force.com" TargetMode="External"/><Relationship Id="rId2185" Type="http://schemas.openxmlformats.org/officeDocument/2006/relationships/hyperlink" Target="http://force.com" TargetMode="External"/><Relationship Id="rId5212" Type="http://schemas.openxmlformats.org/officeDocument/2006/relationships/hyperlink" Target="http://force.com" TargetMode="External"/><Relationship Id="rId383" Type="http://schemas.openxmlformats.org/officeDocument/2006/relationships/hyperlink" Target="http://force.com" TargetMode="External"/><Relationship Id="rId2186" Type="http://schemas.openxmlformats.org/officeDocument/2006/relationships/hyperlink" Target="http://force.com" TargetMode="External"/><Relationship Id="rId382" Type="http://schemas.openxmlformats.org/officeDocument/2006/relationships/hyperlink" Target="http://force.com" TargetMode="External"/><Relationship Id="rId2187" Type="http://schemas.openxmlformats.org/officeDocument/2006/relationships/hyperlink" Target="http://force.com" TargetMode="External"/><Relationship Id="rId5210" Type="http://schemas.openxmlformats.org/officeDocument/2006/relationships/hyperlink" Target="http://force.com" TargetMode="External"/><Relationship Id="rId389" Type="http://schemas.openxmlformats.org/officeDocument/2006/relationships/hyperlink" Target="http://force.com" TargetMode="External"/><Relationship Id="rId2188" Type="http://schemas.openxmlformats.org/officeDocument/2006/relationships/hyperlink" Target="http://force.com" TargetMode="External"/><Relationship Id="rId5215" Type="http://schemas.openxmlformats.org/officeDocument/2006/relationships/hyperlink" Target="http://force.com" TargetMode="External"/><Relationship Id="rId388" Type="http://schemas.openxmlformats.org/officeDocument/2006/relationships/hyperlink" Target="http://force.com" TargetMode="External"/><Relationship Id="rId2189" Type="http://schemas.openxmlformats.org/officeDocument/2006/relationships/hyperlink" Target="http://force.com" TargetMode="External"/><Relationship Id="rId5216" Type="http://schemas.openxmlformats.org/officeDocument/2006/relationships/hyperlink" Target="http://force.com" TargetMode="External"/><Relationship Id="rId387" Type="http://schemas.openxmlformats.org/officeDocument/2006/relationships/hyperlink" Target="http://force.com" TargetMode="External"/><Relationship Id="rId5213" Type="http://schemas.openxmlformats.org/officeDocument/2006/relationships/hyperlink" Target="http://force.com" TargetMode="External"/><Relationship Id="rId386" Type="http://schemas.openxmlformats.org/officeDocument/2006/relationships/hyperlink" Target="http://force.com" TargetMode="External"/><Relationship Id="rId5214" Type="http://schemas.openxmlformats.org/officeDocument/2006/relationships/hyperlink" Target="http://force.com" TargetMode="External"/><Relationship Id="rId5208" Type="http://schemas.openxmlformats.org/officeDocument/2006/relationships/hyperlink" Target="http://force.com" TargetMode="External"/><Relationship Id="rId5209" Type="http://schemas.openxmlformats.org/officeDocument/2006/relationships/hyperlink" Target="http://force.com" TargetMode="External"/><Relationship Id="rId5206" Type="http://schemas.openxmlformats.org/officeDocument/2006/relationships/hyperlink" Target="http://force.com" TargetMode="External"/><Relationship Id="rId5207" Type="http://schemas.openxmlformats.org/officeDocument/2006/relationships/hyperlink" Target="http://force.com" TargetMode="External"/><Relationship Id="rId381" Type="http://schemas.openxmlformats.org/officeDocument/2006/relationships/hyperlink" Target="http://force.com" TargetMode="External"/><Relationship Id="rId380" Type="http://schemas.openxmlformats.org/officeDocument/2006/relationships/hyperlink" Target="http://force.com" TargetMode="External"/><Relationship Id="rId379" Type="http://schemas.openxmlformats.org/officeDocument/2006/relationships/hyperlink" Target="http://force.com" TargetMode="External"/><Relationship Id="rId2170" Type="http://schemas.openxmlformats.org/officeDocument/2006/relationships/hyperlink" Target="http://force.com" TargetMode="External"/><Relationship Id="rId2171" Type="http://schemas.openxmlformats.org/officeDocument/2006/relationships/hyperlink" Target="http://force.com" TargetMode="External"/><Relationship Id="rId2172" Type="http://schemas.openxmlformats.org/officeDocument/2006/relationships/hyperlink" Target="http://force.com" TargetMode="External"/><Relationship Id="rId374" Type="http://schemas.openxmlformats.org/officeDocument/2006/relationships/hyperlink" Target="http://force.com" TargetMode="External"/><Relationship Id="rId2173" Type="http://schemas.openxmlformats.org/officeDocument/2006/relationships/hyperlink" Target="http://force.com" TargetMode="External"/><Relationship Id="rId5200" Type="http://schemas.openxmlformats.org/officeDocument/2006/relationships/hyperlink" Target="http://force.com" TargetMode="External"/><Relationship Id="rId373" Type="http://schemas.openxmlformats.org/officeDocument/2006/relationships/hyperlink" Target="http://force.com" TargetMode="External"/><Relationship Id="rId2174" Type="http://schemas.openxmlformats.org/officeDocument/2006/relationships/hyperlink" Target="http://force.com" TargetMode="External"/><Relationship Id="rId5201" Type="http://schemas.openxmlformats.org/officeDocument/2006/relationships/hyperlink" Target="http://force.com" TargetMode="External"/><Relationship Id="rId372" Type="http://schemas.openxmlformats.org/officeDocument/2006/relationships/hyperlink" Target="http://force.com" TargetMode="External"/><Relationship Id="rId2175" Type="http://schemas.openxmlformats.org/officeDocument/2006/relationships/hyperlink" Target="http://force.com" TargetMode="External"/><Relationship Id="rId371" Type="http://schemas.openxmlformats.org/officeDocument/2006/relationships/hyperlink" Target="http://force.com" TargetMode="External"/><Relationship Id="rId2176" Type="http://schemas.openxmlformats.org/officeDocument/2006/relationships/hyperlink" Target="http://force.com" TargetMode="External"/><Relationship Id="rId378" Type="http://schemas.openxmlformats.org/officeDocument/2006/relationships/hyperlink" Target="http://force.com" TargetMode="External"/><Relationship Id="rId2177" Type="http://schemas.openxmlformats.org/officeDocument/2006/relationships/hyperlink" Target="http://force.com" TargetMode="External"/><Relationship Id="rId5204" Type="http://schemas.openxmlformats.org/officeDocument/2006/relationships/hyperlink" Target="http://force.com" TargetMode="External"/><Relationship Id="rId377" Type="http://schemas.openxmlformats.org/officeDocument/2006/relationships/hyperlink" Target="http://force.com" TargetMode="External"/><Relationship Id="rId2178" Type="http://schemas.openxmlformats.org/officeDocument/2006/relationships/hyperlink" Target="http://force.com" TargetMode="External"/><Relationship Id="rId5205" Type="http://schemas.openxmlformats.org/officeDocument/2006/relationships/hyperlink" Target="http://force.com" TargetMode="External"/><Relationship Id="rId376" Type="http://schemas.openxmlformats.org/officeDocument/2006/relationships/hyperlink" Target="http://force.com" TargetMode="External"/><Relationship Id="rId2179" Type="http://schemas.openxmlformats.org/officeDocument/2006/relationships/hyperlink" Target="http://force.com" TargetMode="External"/><Relationship Id="rId5202" Type="http://schemas.openxmlformats.org/officeDocument/2006/relationships/hyperlink" Target="http://force.com" TargetMode="External"/><Relationship Id="rId375" Type="http://schemas.openxmlformats.org/officeDocument/2006/relationships/hyperlink" Target="http://force.com" TargetMode="External"/><Relationship Id="rId5203" Type="http://schemas.openxmlformats.org/officeDocument/2006/relationships/hyperlink" Target="http://force.com" TargetMode="External"/><Relationship Id="rId5239" Type="http://schemas.openxmlformats.org/officeDocument/2006/relationships/hyperlink" Target="http://force.com" TargetMode="External"/><Relationship Id="rId5230" Type="http://schemas.openxmlformats.org/officeDocument/2006/relationships/hyperlink" Target="http://force.com" TargetMode="External"/><Relationship Id="rId5233" Type="http://schemas.openxmlformats.org/officeDocument/2006/relationships/hyperlink" Target="http://force.com" TargetMode="External"/><Relationship Id="rId5234" Type="http://schemas.openxmlformats.org/officeDocument/2006/relationships/hyperlink" Target="http://force.com" TargetMode="External"/><Relationship Id="rId5231" Type="http://schemas.openxmlformats.org/officeDocument/2006/relationships/hyperlink" Target="http://force.com" TargetMode="External"/><Relationship Id="rId5232" Type="http://schemas.openxmlformats.org/officeDocument/2006/relationships/hyperlink" Target="http://force.com" TargetMode="External"/><Relationship Id="rId5237" Type="http://schemas.openxmlformats.org/officeDocument/2006/relationships/hyperlink" Target="http://force.com" TargetMode="External"/><Relationship Id="rId5238" Type="http://schemas.openxmlformats.org/officeDocument/2006/relationships/hyperlink" Target="http://force.com" TargetMode="External"/><Relationship Id="rId5235" Type="http://schemas.openxmlformats.org/officeDocument/2006/relationships/hyperlink" Target="http://force.com" TargetMode="External"/><Relationship Id="rId5236" Type="http://schemas.openxmlformats.org/officeDocument/2006/relationships/hyperlink" Target="http://force.com" TargetMode="External"/><Relationship Id="rId5228" Type="http://schemas.openxmlformats.org/officeDocument/2006/relationships/hyperlink" Target="http://force.com" TargetMode="External"/><Relationship Id="rId5229" Type="http://schemas.openxmlformats.org/officeDocument/2006/relationships/hyperlink" Target="http://force.com" TargetMode="External"/><Relationship Id="rId2190" Type="http://schemas.openxmlformats.org/officeDocument/2006/relationships/hyperlink" Target="http://force.com" TargetMode="External"/><Relationship Id="rId2191" Type="http://schemas.openxmlformats.org/officeDocument/2006/relationships/hyperlink" Target="http://force.com" TargetMode="External"/><Relationship Id="rId2192" Type="http://schemas.openxmlformats.org/officeDocument/2006/relationships/hyperlink" Target="http://force.com" TargetMode="External"/><Relationship Id="rId2193" Type="http://schemas.openxmlformats.org/officeDocument/2006/relationships/hyperlink" Target="http://force.com" TargetMode="External"/><Relationship Id="rId2194" Type="http://schemas.openxmlformats.org/officeDocument/2006/relationships/hyperlink" Target="http://force.com" TargetMode="External"/><Relationship Id="rId396" Type="http://schemas.openxmlformats.org/officeDocument/2006/relationships/hyperlink" Target="http://force.com" TargetMode="External"/><Relationship Id="rId2195" Type="http://schemas.openxmlformats.org/officeDocument/2006/relationships/hyperlink" Target="http://force.com" TargetMode="External"/><Relationship Id="rId5222" Type="http://schemas.openxmlformats.org/officeDocument/2006/relationships/hyperlink" Target="http://force.com" TargetMode="External"/><Relationship Id="rId395" Type="http://schemas.openxmlformats.org/officeDocument/2006/relationships/hyperlink" Target="http://force.com" TargetMode="External"/><Relationship Id="rId2196" Type="http://schemas.openxmlformats.org/officeDocument/2006/relationships/hyperlink" Target="http://force.com" TargetMode="External"/><Relationship Id="rId5223" Type="http://schemas.openxmlformats.org/officeDocument/2006/relationships/hyperlink" Target="http://force.com" TargetMode="External"/><Relationship Id="rId394" Type="http://schemas.openxmlformats.org/officeDocument/2006/relationships/hyperlink" Target="http://force.com" TargetMode="External"/><Relationship Id="rId2197" Type="http://schemas.openxmlformats.org/officeDocument/2006/relationships/hyperlink" Target="http://force.com" TargetMode="External"/><Relationship Id="rId5220" Type="http://schemas.openxmlformats.org/officeDocument/2006/relationships/hyperlink" Target="http://force.com" TargetMode="External"/><Relationship Id="rId393" Type="http://schemas.openxmlformats.org/officeDocument/2006/relationships/hyperlink" Target="http://force.com" TargetMode="External"/><Relationship Id="rId2198" Type="http://schemas.openxmlformats.org/officeDocument/2006/relationships/hyperlink" Target="http://force.com" TargetMode="External"/><Relationship Id="rId5221" Type="http://schemas.openxmlformats.org/officeDocument/2006/relationships/hyperlink" Target="http://force.com" TargetMode="External"/><Relationship Id="rId2199" Type="http://schemas.openxmlformats.org/officeDocument/2006/relationships/hyperlink" Target="http://force.com" TargetMode="External"/><Relationship Id="rId5226" Type="http://schemas.openxmlformats.org/officeDocument/2006/relationships/hyperlink" Target="http://force.com" TargetMode="External"/><Relationship Id="rId399" Type="http://schemas.openxmlformats.org/officeDocument/2006/relationships/hyperlink" Target="http://force.com" TargetMode="External"/><Relationship Id="rId5227" Type="http://schemas.openxmlformats.org/officeDocument/2006/relationships/hyperlink" Target="http://force.com" TargetMode="External"/><Relationship Id="rId398" Type="http://schemas.openxmlformats.org/officeDocument/2006/relationships/hyperlink" Target="http://force.com" TargetMode="External"/><Relationship Id="rId5224" Type="http://schemas.openxmlformats.org/officeDocument/2006/relationships/hyperlink" Target="http://force.com" TargetMode="External"/><Relationship Id="rId397" Type="http://schemas.openxmlformats.org/officeDocument/2006/relationships/hyperlink" Target="http://force.com" TargetMode="External"/><Relationship Id="rId5225" Type="http://schemas.openxmlformats.org/officeDocument/2006/relationships/hyperlink" Target="http://force.com" TargetMode="External"/><Relationship Id="rId1730" Type="http://schemas.openxmlformats.org/officeDocument/2006/relationships/hyperlink" Target="http://force.com" TargetMode="External"/><Relationship Id="rId1731" Type="http://schemas.openxmlformats.org/officeDocument/2006/relationships/hyperlink" Target="http://force.com" TargetMode="External"/><Relationship Id="rId1732" Type="http://schemas.openxmlformats.org/officeDocument/2006/relationships/hyperlink" Target="http://force.com" TargetMode="External"/><Relationship Id="rId1733" Type="http://schemas.openxmlformats.org/officeDocument/2006/relationships/hyperlink" Target="http://force.com" TargetMode="External"/><Relationship Id="rId1734" Type="http://schemas.openxmlformats.org/officeDocument/2006/relationships/hyperlink" Target="http://force.com" TargetMode="External"/><Relationship Id="rId1735" Type="http://schemas.openxmlformats.org/officeDocument/2006/relationships/hyperlink" Target="http://force.com" TargetMode="External"/><Relationship Id="rId1736" Type="http://schemas.openxmlformats.org/officeDocument/2006/relationships/hyperlink" Target="http://force.com" TargetMode="External"/><Relationship Id="rId1737" Type="http://schemas.openxmlformats.org/officeDocument/2006/relationships/hyperlink" Target="http://force.com" TargetMode="External"/><Relationship Id="rId1738" Type="http://schemas.openxmlformats.org/officeDocument/2006/relationships/hyperlink" Target="http://force.com" TargetMode="External"/><Relationship Id="rId1739" Type="http://schemas.openxmlformats.org/officeDocument/2006/relationships/hyperlink" Target="http://force.com" TargetMode="External"/><Relationship Id="rId1720" Type="http://schemas.openxmlformats.org/officeDocument/2006/relationships/hyperlink" Target="http://force.com" TargetMode="External"/><Relationship Id="rId1721" Type="http://schemas.openxmlformats.org/officeDocument/2006/relationships/hyperlink" Target="http://force.com" TargetMode="External"/><Relationship Id="rId1722" Type="http://schemas.openxmlformats.org/officeDocument/2006/relationships/hyperlink" Target="http://force.com" TargetMode="External"/><Relationship Id="rId1723" Type="http://schemas.openxmlformats.org/officeDocument/2006/relationships/hyperlink" Target="http://force.com" TargetMode="External"/><Relationship Id="rId1724" Type="http://schemas.openxmlformats.org/officeDocument/2006/relationships/hyperlink" Target="http://force.com" TargetMode="External"/><Relationship Id="rId1725" Type="http://schemas.openxmlformats.org/officeDocument/2006/relationships/hyperlink" Target="http://force.com" TargetMode="External"/><Relationship Id="rId1726" Type="http://schemas.openxmlformats.org/officeDocument/2006/relationships/hyperlink" Target="http://force.com" TargetMode="External"/><Relationship Id="rId1727" Type="http://schemas.openxmlformats.org/officeDocument/2006/relationships/hyperlink" Target="http://force.com" TargetMode="External"/><Relationship Id="rId1728" Type="http://schemas.openxmlformats.org/officeDocument/2006/relationships/hyperlink" Target="http://force.com" TargetMode="External"/><Relationship Id="rId1729" Type="http://schemas.openxmlformats.org/officeDocument/2006/relationships/hyperlink" Target="http://force.com" TargetMode="External"/><Relationship Id="rId1752" Type="http://schemas.openxmlformats.org/officeDocument/2006/relationships/hyperlink" Target="http://force.com" TargetMode="External"/><Relationship Id="rId1753" Type="http://schemas.openxmlformats.org/officeDocument/2006/relationships/hyperlink" Target="http://force.com" TargetMode="External"/><Relationship Id="rId1754" Type="http://schemas.openxmlformats.org/officeDocument/2006/relationships/hyperlink" Target="http://force.com" TargetMode="External"/><Relationship Id="rId1755" Type="http://schemas.openxmlformats.org/officeDocument/2006/relationships/hyperlink" Target="http://force.com" TargetMode="External"/><Relationship Id="rId1756" Type="http://schemas.openxmlformats.org/officeDocument/2006/relationships/hyperlink" Target="http://force.com" TargetMode="External"/><Relationship Id="rId1757" Type="http://schemas.openxmlformats.org/officeDocument/2006/relationships/hyperlink" Target="http://force.com" TargetMode="External"/><Relationship Id="rId1758" Type="http://schemas.openxmlformats.org/officeDocument/2006/relationships/hyperlink" Target="http://force.com" TargetMode="External"/><Relationship Id="rId1759" Type="http://schemas.openxmlformats.org/officeDocument/2006/relationships/hyperlink" Target="http://force.com" TargetMode="External"/><Relationship Id="rId1750" Type="http://schemas.openxmlformats.org/officeDocument/2006/relationships/hyperlink" Target="http://force.com" TargetMode="External"/><Relationship Id="rId1751" Type="http://schemas.openxmlformats.org/officeDocument/2006/relationships/hyperlink" Target="http://force.com" TargetMode="External"/><Relationship Id="rId1741" Type="http://schemas.openxmlformats.org/officeDocument/2006/relationships/hyperlink" Target="http://force.com" TargetMode="External"/><Relationship Id="rId1742" Type="http://schemas.openxmlformats.org/officeDocument/2006/relationships/hyperlink" Target="http://force.com" TargetMode="External"/><Relationship Id="rId1743" Type="http://schemas.openxmlformats.org/officeDocument/2006/relationships/hyperlink" Target="http://force.com" TargetMode="External"/><Relationship Id="rId1744" Type="http://schemas.openxmlformats.org/officeDocument/2006/relationships/hyperlink" Target="http://force.com" TargetMode="External"/><Relationship Id="rId1745" Type="http://schemas.openxmlformats.org/officeDocument/2006/relationships/hyperlink" Target="http://force.com" TargetMode="External"/><Relationship Id="rId1746" Type="http://schemas.openxmlformats.org/officeDocument/2006/relationships/hyperlink" Target="http://force.com" TargetMode="External"/><Relationship Id="rId1747" Type="http://schemas.openxmlformats.org/officeDocument/2006/relationships/hyperlink" Target="http://force.com" TargetMode="External"/><Relationship Id="rId1748" Type="http://schemas.openxmlformats.org/officeDocument/2006/relationships/hyperlink" Target="http://force.com" TargetMode="External"/><Relationship Id="rId1749" Type="http://schemas.openxmlformats.org/officeDocument/2006/relationships/hyperlink" Target="http://force.com" TargetMode="External"/><Relationship Id="rId1740" Type="http://schemas.openxmlformats.org/officeDocument/2006/relationships/hyperlink" Target="http://force.com" TargetMode="External"/><Relationship Id="rId5291" Type="http://schemas.openxmlformats.org/officeDocument/2006/relationships/hyperlink" Target="http://force.com" TargetMode="External"/><Relationship Id="rId5292" Type="http://schemas.openxmlformats.org/officeDocument/2006/relationships/hyperlink" Target="http://force.com" TargetMode="External"/><Relationship Id="rId5290" Type="http://schemas.openxmlformats.org/officeDocument/2006/relationships/hyperlink" Target="http://force.com" TargetMode="External"/><Relationship Id="rId5295" Type="http://schemas.openxmlformats.org/officeDocument/2006/relationships/hyperlink" Target="http://force.com" TargetMode="External"/><Relationship Id="rId5296" Type="http://schemas.openxmlformats.org/officeDocument/2006/relationships/hyperlink" Target="http://force.com" TargetMode="External"/><Relationship Id="rId5293" Type="http://schemas.openxmlformats.org/officeDocument/2006/relationships/hyperlink" Target="http://force.com" TargetMode="External"/><Relationship Id="rId5294" Type="http://schemas.openxmlformats.org/officeDocument/2006/relationships/hyperlink" Target="http://force.com" TargetMode="External"/><Relationship Id="rId5299" Type="http://schemas.openxmlformats.org/officeDocument/2006/relationships/hyperlink" Target="http://force.com" TargetMode="External"/><Relationship Id="rId5297" Type="http://schemas.openxmlformats.org/officeDocument/2006/relationships/hyperlink" Target="http://force.com" TargetMode="External"/><Relationship Id="rId5298" Type="http://schemas.openxmlformats.org/officeDocument/2006/relationships/hyperlink" Target="http://force.com" TargetMode="External"/><Relationship Id="rId5280" Type="http://schemas.openxmlformats.org/officeDocument/2006/relationships/hyperlink" Target="http://force.com" TargetMode="External"/><Relationship Id="rId5281" Type="http://schemas.openxmlformats.org/officeDocument/2006/relationships/hyperlink" Target="http://force.com" TargetMode="External"/><Relationship Id="rId5284" Type="http://schemas.openxmlformats.org/officeDocument/2006/relationships/hyperlink" Target="http://force.com" TargetMode="External"/><Relationship Id="rId5285" Type="http://schemas.openxmlformats.org/officeDocument/2006/relationships/hyperlink" Target="http://force.com" TargetMode="External"/><Relationship Id="rId5282" Type="http://schemas.openxmlformats.org/officeDocument/2006/relationships/hyperlink" Target="http://force.com" TargetMode="External"/><Relationship Id="rId5283" Type="http://schemas.openxmlformats.org/officeDocument/2006/relationships/hyperlink" Target="http://force.com" TargetMode="External"/><Relationship Id="rId5288" Type="http://schemas.openxmlformats.org/officeDocument/2006/relationships/hyperlink" Target="http://force.com" TargetMode="External"/><Relationship Id="rId5289" Type="http://schemas.openxmlformats.org/officeDocument/2006/relationships/hyperlink" Target="http://force.com" TargetMode="External"/><Relationship Id="rId5286" Type="http://schemas.openxmlformats.org/officeDocument/2006/relationships/hyperlink" Target="http://force.com" TargetMode="External"/><Relationship Id="rId5287" Type="http://schemas.openxmlformats.org/officeDocument/2006/relationships/hyperlink" Target="http://force.com" TargetMode="External"/><Relationship Id="rId1710" Type="http://schemas.openxmlformats.org/officeDocument/2006/relationships/hyperlink" Target="http://force.com" TargetMode="External"/><Relationship Id="rId1711" Type="http://schemas.openxmlformats.org/officeDocument/2006/relationships/hyperlink" Target="http://force.com" TargetMode="External"/><Relationship Id="rId1712" Type="http://schemas.openxmlformats.org/officeDocument/2006/relationships/hyperlink" Target="http://force.com" TargetMode="External"/><Relationship Id="rId1713" Type="http://schemas.openxmlformats.org/officeDocument/2006/relationships/hyperlink" Target="http://force.com" TargetMode="External"/><Relationship Id="rId1714" Type="http://schemas.openxmlformats.org/officeDocument/2006/relationships/hyperlink" Target="http://force.com" TargetMode="External"/><Relationship Id="rId1715" Type="http://schemas.openxmlformats.org/officeDocument/2006/relationships/hyperlink" Target="http://force.com" TargetMode="External"/><Relationship Id="rId1716" Type="http://schemas.openxmlformats.org/officeDocument/2006/relationships/hyperlink" Target="http://force.com" TargetMode="External"/><Relationship Id="rId1717" Type="http://schemas.openxmlformats.org/officeDocument/2006/relationships/hyperlink" Target="http://force.com" TargetMode="External"/><Relationship Id="rId1718" Type="http://schemas.openxmlformats.org/officeDocument/2006/relationships/hyperlink" Target="http://force.com" TargetMode="External"/><Relationship Id="rId1719" Type="http://schemas.openxmlformats.org/officeDocument/2006/relationships/hyperlink" Target="http://force.com" TargetMode="External"/><Relationship Id="rId1700" Type="http://schemas.openxmlformats.org/officeDocument/2006/relationships/hyperlink" Target="http://force.com" TargetMode="External"/><Relationship Id="rId1701" Type="http://schemas.openxmlformats.org/officeDocument/2006/relationships/hyperlink" Target="http://force.com" TargetMode="External"/><Relationship Id="rId1702" Type="http://schemas.openxmlformats.org/officeDocument/2006/relationships/hyperlink" Target="http://force.com" TargetMode="External"/><Relationship Id="rId1703" Type="http://schemas.openxmlformats.org/officeDocument/2006/relationships/hyperlink" Target="http://force.com" TargetMode="External"/><Relationship Id="rId1704" Type="http://schemas.openxmlformats.org/officeDocument/2006/relationships/hyperlink" Target="http://force.com" TargetMode="External"/><Relationship Id="rId1705" Type="http://schemas.openxmlformats.org/officeDocument/2006/relationships/hyperlink" Target="http://force.com" TargetMode="External"/><Relationship Id="rId1706" Type="http://schemas.openxmlformats.org/officeDocument/2006/relationships/hyperlink" Target="http://force.com" TargetMode="External"/><Relationship Id="rId1707" Type="http://schemas.openxmlformats.org/officeDocument/2006/relationships/hyperlink" Target="http://force.com" TargetMode="External"/><Relationship Id="rId1708" Type="http://schemas.openxmlformats.org/officeDocument/2006/relationships/hyperlink" Target="http://force.com" TargetMode="External"/><Relationship Id="rId1709" Type="http://schemas.openxmlformats.org/officeDocument/2006/relationships/hyperlink" Target="http://force.com" TargetMode="External"/><Relationship Id="rId40" Type="http://schemas.openxmlformats.org/officeDocument/2006/relationships/hyperlink" Target="http://force.com" TargetMode="External"/><Relationship Id="rId3513" Type="http://schemas.openxmlformats.org/officeDocument/2006/relationships/hyperlink" Target="http://force.com" TargetMode="External"/><Relationship Id="rId4844" Type="http://schemas.openxmlformats.org/officeDocument/2006/relationships/hyperlink" Target="http://force.com" TargetMode="External"/><Relationship Id="rId3512" Type="http://schemas.openxmlformats.org/officeDocument/2006/relationships/hyperlink" Target="http://force.com" TargetMode="External"/><Relationship Id="rId4843" Type="http://schemas.openxmlformats.org/officeDocument/2006/relationships/hyperlink" Target="http://force.com" TargetMode="External"/><Relationship Id="rId42" Type="http://schemas.openxmlformats.org/officeDocument/2006/relationships/hyperlink" Target="http://force.com" TargetMode="External"/><Relationship Id="rId3515" Type="http://schemas.openxmlformats.org/officeDocument/2006/relationships/hyperlink" Target="http://force.com" TargetMode="External"/><Relationship Id="rId4846" Type="http://schemas.openxmlformats.org/officeDocument/2006/relationships/hyperlink" Target="http://force.com" TargetMode="External"/><Relationship Id="rId41" Type="http://schemas.openxmlformats.org/officeDocument/2006/relationships/hyperlink" Target="http://force.com" TargetMode="External"/><Relationship Id="rId3514" Type="http://schemas.openxmlformats.org/officeDocument/2006/relationships/hyperlink" Target="http://force.com" TargetMode="External"/><Relationship Id="rId4845" Type="http://schemas.openxmlformats.org/officeDocument/2006/relationships/hyperlink" Target="http://force.com" TargetMode="External"/><Relationship Id="rId44" Type="http://schemas.openxmlformats.org/officeDocument/2006/relationships/hyperlink" Target="http://force.com" TargetMode="External"/><Relationship Id="rId3517" Type="http://schemas.openxmlformats.org/officeDocument/2006/relationships/hyperlink" Target="http://force.com" TargetMode="External"/><Relationship Id="rId4848" Type="http://schemas.openxmlformats.org/officeDocument/2006/relationships/hyperlink" Target="http://force.com" TargetMode="External"/><Relationship Id="rId43" Type="http://schemas.openxmlformats.org/officeDocument/2006/relationships/hyperlink" Target="http://force.com" TargetMode="External"/><Relationship Id="rId3516" Type="http://schemas.openxmlformats.org/officeDocument/2006/relationships/hyperlink" Target="http://force.com" TargetMode="External"/><Relationship Id="rId4847" Type="http://schemas.openxmlformats.org/officeDocument/2006/relationships/hyperlink" Target="http://force.com" TargetMode="External"/><Relationship Id="rId46" Type="http://schemas.openxmlformats.org/officeDocument/2006/relationships/hyperlink" Target="http://force.com" TargetMode="External"/><Relationship Id="rId3519" Type="http://schemas.openxmlformats.org/officeDocument/2006/relationships/hyperlink" Target="http://force.com" TargetMode="External"/><Relationship Id="rId45" Type="http://schemas.openxmlformats.org/officeDocument/2006/relationships/hyperlink" Target="http://force.com" TargetMode="External"/><Relationship Id="rId3518" Type="http://schemas.openxmlformats.org/officeDocument/2006/relationships/hyperlink" Target="http://force.com" TargetMode="External"/><Relationship Id="rId4849" Type="http://schemas.openxmlformats.org/officeDocument/2006/relationships/hyperlink" Target="http://force.com" TargetMode="External"/><Relationship Id="rId48" Type="http://schemas.openxmlformats.org/officeDocument/2006/relationships/hyperlink" Target="http://force.com" TargetMode="External"/><Relationship Id="rId47" Type="http://schemas.openxmlformats.org/officeDocument/2006/relationships/hyperlink" Target="http://force.com" TargetMode="External"/><Relationship Id="rId49" Type="http://schemas.openxmlformats.org/officeDocument/2006/relationships/hyperlink" Target="http://force.com" TargetMode="External"/><Relationship Id="rId4840" Type="http://schemas.openxmlformats.org/officeDocument/2006/relationships/hyperlink" Target="http://force.com" TargetMode="External"/><Relationship Id="rId3511" Type="http://schemas.openxmlformats.org/officeDocument/2006/relationships/hyperlink" Target="http://force.com" TargetMode="External"/><Relationship Id="rId4842" Type="http://schemas.openxmlformats.org/officeDocument/2006/relationships/hyperlink" Target="http://force.com" TargetMode="External"/><Relationship Id="rId3510" Type="http://schemas.openxmlformats.org/officeDocument/2006/relationships/hyperlink" Target="http://force.com" TargetMode="External"/><Relationship Id="rId4841" Type="http://schemas.openxmlformats.org/officeDocument/2006/relationships/hyperlink" Target="http://force.com" TargetMode="External"/><Relationship Id="rId3502" Type="http://schemas.openxmlformats.org/officeDocument/2006/relationships/hyperlink" Target="http://force.com" TargetMode="External"/><Relationship Id="rId4833" Type="http://schemas.openxmlformats.org/officeDocument/2006/relationships/hyperlink" Target="http://force.com" TargetMode="External"/><Relationship Id="rId3501" Type="http://schemas.openxmlformats.org/officeDocument/2006/relationships/hyperlink" Target="http://force.com" TargetMode="External"/><Relationship Id="rId4832" Type="http://schemas.openxmlformats.org/officeDocument/2006/relationships/hyperlink" Target="http://force.com" TargetMode="External"/><Relationship Id="rId31" Type="http://schemas.openxmlformats.org/officeDocument/2006/relationships/hyperlink" Target="http://force.com" TargetMode="External"/><Relationship Id="rId3504" Type="http://schemas.openxmlformats.org/officeDocument/2006/relationships/hyperlink" Target="http://force.com" TargetMode="External"/><Relationship Id="rId4835" Type="http://schemas.openxmlformats.org/officeDocument/2006/relationships/hyperlink" Target="http://force.com" TargetMode="External"/><Relationship Id="rId30" Type="http://schemas.openxmlformats.org/officeDocument/2006/relationships/hyperlink" Target="http://force.com" TargetMode="External"/><Relationship Id="rId3503" Type="http://schemas.openxmlformats.org/officeDocument/2006/relationships/hyperlink" Target="http://force.com" TargetMode="External"/><Relationship Id="rId4834" Type="http://schemas.openxmlformats.org/officeDocument/2006/relationships/hyperlink" Target="http://force.com" TargetMode="External"/><Relationship Id="rId33" Type="http://schemas.openxmlformats.org/officeDocument/2006/relationships/hyperlink" Target="http://force.com" TargetMode="External"/><Relationship Id="rId3506" Type="http://schemas.openxmlformats.org/officeDocument/2006/relationships/hyperlink" Target="http://force.com" TargetMode="External"/><Relationship Id="rId4837" Type="http://schemas.openxmlformats.org/officeDocument/2006/relationships/hyperlink" Target="http://force.com" TargetMode="External"/><Relationship Id="rId32" Type="http://schemas.openxmlformats.org/officeDocument/2006/relationships/hyperlink" Target="http://force.com" TargetMode="External"/><Relationship Id="rId3505" Type="http://schemas.openxmlformats.org/officeDocument/2006/relationships/hyperlink" Target="http://force.com" TargetMode="External"/><Relationship Id="rId4836" Type="http://schemas.openxmlformats.org/officeDocument/2006/relationships/hyperlink" Target="http://force.com" TargetMode="External"/><Relationship Id="rId35" Type="http://schemas.openxmlformats.org/officeDocument/2006/relationships/hyperlink" Target="http://force.com" TargetMode="External"/><Relationship Id="rId3508" Type="http://schemas.openxmlformats.org/officeDocument/2006/relationships/hyperlink" Target="http://force.com" TargetMode="External"/><Relationship Id="rId4839" Type="http://schemas.openxmlformats.org/officeDocument/2006/relationships/hyperlink" Target="http://force.com" TargetMode="External"/><Relationship Id="rId34" Type="http://schemas.openxmlformats.org/officeDocument/2006/relationships/hyperlink" Target="http://force.com" TargetMode="External"/><Relationship Id="rId3507" Type="http://schemas.openxmlformats.org/officeDocument/2006/relationships/hyperlink" Target="http://force.com" TargetMode="External"/><Relationship Id="rId4838" Type="http://schemas.openxmlformats.org/officeDocument/2006/relationships/hyperlink" Target="http://force.com" TargetMode="External"/><Relationship Id="rId3509" Type="http://schemas.openxmlformats.org/officeDocument/2006/relationships/hyperlink" Target="http://force.com" TargetMode="External"/><Relationship Id="rId37" Type="http://schemas.openxmlformats.org/officeDocument/2006/relationships/hyperlink" Target="http://force.com" TargetMode="External"/><Relationship Id="rId36" Type="http://schemas.openxmlformats.org/officeDocument/2006/relationships/hyperlink" Target="http://force.com" TargetMode="External"/><Relationship Id="rId39" Type="http://schemas.openxmlformats.org/officeDocument/2006/relationships/hyperlink" Target="http://force.com" TargetMode="External"/><Relationship Id="rId38" Type="http://schemas.openxmlformats.org/officeDocument/2006/relationships/hyperlink" Target="http://force.com" TargetMode="External"/><Relationship Id="rId3500" Type="http://schemas.openxmlformats.org/officeDocument/2006/relationships/hyperlink" Target="http://force.com" TargetMode="External"/><Relationship Id="rId4831" Type="http://schemas.openxmlformats.org/officeDocument/2006/relationships/hyperlink" Target="http://force.com" TargetMode="External"/><Relationship Id="rId4830" Type="http://schemas.openxmlformats.org/officeDocument/2006/relationships/hyperlink" Target="http://force.com" TargetMode="External"/><Relationship Id="rId2203" Type="http://schemas.openxmlformats.org/officeDocument/2006/relationships/hyperlink" Target="http://force.com" TargetMode="External"/><Relationship Id="rId3535" Type="http://schemas.openxmlformats.org/officeDocument/2006/relationships/hyperlink" Target="http://force.com" TargetMode="External"/><Relationship Id="rId4866" Type="http://schemas.openxmlformats.org/officeDocument/2006/relationships/hyperlink" Target="http://force.com" TargetMode="External"/><Relationship Id="rId2204" Type="http://schemas.openxmlformats.org/officeDocument/2006/relationships/hyperlink" Target="http://force.com" TargetMode="External"/><Relationship Id="rId3534" Type="http://schemas.openxmlformats.org/officeDocument/2006/relationships/hyperlink" Target="http://force.com" TargetMode="External"/><Relationship Id="rId4865" Type="http://schemas.openxmlformats.org/officeDocument/2006/relationships/hyperlink" Target="http://force.com" TargetMode="External"/><Relationship Id="rId20" Type="http://schemas.openxmlformats.org/officeDocument/2006/relationships/hyperlink" Target="http://force.com" TargetMode="External"/><Relationship Id="rId2205" Type="http://schemas.openxmlformats.org/officeDocument/2006/relationships/hyperlink" Target="http://force.com" TargetMode="External"/><Relationship Id="rId3537" Type="http://schemas.openxmlformats.org/officeDocument/2006/relationships/hyperlink" Target="http://force.com" TargetMode="External"/><Relationship Id="rId4868" Type="http://schemas.openxmlformats.org/officeDocument/2006/relationships/hyperlink" Target="http://force.com" TargetMode="External"/><Relationship Id="rId2206" Type="http://schemas.openxmlformats.org/officeDocument/2006/relationships/hyperlink" Target="http://force.com" TargetMode="External"/><Relationship Id="rId3536" Type="http://schemas.openxmlformats.org/officeDocument/2006/relationships/hyperlink" Target="http://force.com" TargetMode="External"/><Relationship Id="rId4867" Type="http://schemas.openxmlformats.org/officeDocument/2006/relationships/hyperlink" Target="http://force.com" TargetMode="External"/><Relationship Id="rId22" Type="http://schemas.openxmlformats.org/officeDocument/2006/relationships/hyperlink" Target="http://force.com" TargetMode="External"/><Relationship Id="rId2207" Type="http://schemas.openxmlformats.org/officeDocument/2006/relationships/hyperlink" Target="http://force.com" TargetMode="External"/><Relationship Id="rId3539" Type="http://schemas.openxmlformats.org/officeDocument/2006/relationships/hyperlink" Target="http://force.com" TargetMode="External"/><Relationship Id="rId21" Type="http://schemas.openxmlformats.org/officeDocument/2006/relationships/hyperlink" Target="http://force.com" TargetMode="External"/><Relationship Id="rId2208" Type="http://schemas.openxmlformats.org/officeDocument/2006/relationships/hyperlink" Target="http://force.com" TargetMode="External"/><Relationship Id="rId3538" Type="http://schemas.openxmlformats.org/officeDocument/2006/relationships/hyperlink" Target="http://force.com" TargetMode="External"/><Relationship Id="rId4869" Type="http://schemas.openxmlformats.org/officeDocument/2006/relationships/hyperlink" Target="http://force.com" TargetMode="External"/><Relationship Id="rId24" Type="http://schemas.openxmlformats.org/officeDocument/2006/relationships/hyperlink" Target="http://force.com" TargetMode="External"/><Relationship Id="rId2209" Type="http://schemas.openxmlformats.org/officeDocument/2006/relationships/hyperlink" Target="http://force.com" TargetMode="External"/><Relationship Id="rId23" Type="http://schemas.openxmlformats.org/officeDocument/2006/relationships/hyperlink" Target="http://force.com" TargetMode="External"/><Relationship Id="rId26" Type="http://schemas.openxmlformats.org/officeDocument/2006/relationships/hyperlink" Target="http://force.com" TargetMode="External"/><Relationship Id="rId25" Type="http://schemas.openxmlformats.org/officeDocument/2006/relationships/hyperlink" Target="http://force.com" TargetMode="External"/><Relationship Id="rId28" Type="http://schemas.openxmlformats.org/officeDocument/2006/relationships/hyperlink" Target="http://force.com" TargetMode="External"/><Relationship Id="rId4860" Type="http://schemas.openxmlformats.org/officeDocument/2006/relationships/hyperlink" Target="http://force.com" TargetMode="External"/><Relationship Id="rId27" Type="http://schemas.openxmlformats.org/officeDocument/2006/relationships/hyperlink" Target="http://force.com" TargetMode="External"/><Relationship Id="rId3531" Type="http://schemas.openxmlformats.org/officeDocument/2006/relationships/hyperlink" Target="http://force.com" TargetMode="External"/><Relationship Id="rId4862" Type="http://schemas.openxmlformats.org/officeDocument/2006/relationships/hyperlink" Target="http://force.com" TargetMode="External"/><Relationship Id="rId29" Type="http://schemas.openxmlformats.org/officeDocument/2006/relationships/hyperlink" Target="http://force.com" TargetMode="External"/><Relationship Id="rId2200" Type="http://schemas.openxmlformats.org/officeDocument/2006/relationships/hyperlink" Target="http://force.com" TargetMode="External"/><Relationship Id="rId3530" Type="http://schemas.openxmlformats.org/officeDocument/2006/relationships/hyperlink" Target="http://force.com" TargetMode="External"/><Relationship Id="rId4861" Type="http://schemas.openxmlformats.org/officeDocument/2006/relationships/hyperlink" Target="http://force.com" TargetMode="External"/><Relationship Id="rId2201" Type="http://schemas.openxmlformats.org/officeDocument/2006/relationships/hyperlink" Target="http://force.com" TargetMode="External"/><Relationship Id="rId3533" Type="http://schemas.openxmlformats.org/officeDocument/2006/relationships/hyperlink" Target="http://force.com" TargetMode="External"/><Relationship Id="rId4864" Type="http://schemas.openxmlformats.org/officeDocument/2006/relationships/hyperlink" Target="http://force.com" TargetMode="External"/><Relationship Id="rId2202" Type="http://schemas.openxmlformats.org/officeDocument/2006/relationships/hyperlink" Target="http://force.com" TargetMode="External"/><Relationship Id="rId3532" Type="http://schemas.openxmlformats.org/officeDocument/2006/relationships/hyperlink" Target="http://force.com" TargetMode="External"/><Relationship Id="rId4863" Type="http://schemas.openxmlformats.org/officeDocument/2006/relationships/hyperlink" Target="http://force.com" TargetMode="External"/><Relationship Id="rId3524" Type="http://schemas.openxmlformats.org/officeDocument/2006/relationships/hyperlink" Target="http://force.com" TargetMode="External"/><Relationship Id="rId4855" Type="http://schemas.openxmlformats.org/officeDocument/2006/relationships/hyperlink" Target="http://force.com" TargetMode="External"/><Relationship Id="rId3523" Type="http://schemas.openxmlformats.org/officeDocument/2006/relationships/hyperlink" Target="http://force.com" TargetMode="External"/><Relationship Id="rId4854" Type="http://schemas.openxmlformats.org/officeDocument/2006/relationships/hyperlink" Target="http://force.com" TargetMode="External"/><Relationship Id="rId3526" Type="http://schemas.openxmlformats.org/officeDocument/2006/relationships/hyperlink" Target="http://force.com" TargetMode="External"/><Relationship Id="rId4857" Type="http://schemas.openxmlformats.org/officeDocument/2006/relationships/hyperlink" Target="http://force.com" TargetMode="External"/><Relationship Id="rId3525" Type="http://schemas.openxmlformats.org/officeDocument/2006/relationships/hyperlink" Target="http://force.com" TargetMode="External"/><Relationship Id="rId4856" Type="http://schemas.openxmlformats.org/officeDocument/2006/relationships/hyperlink" Target="http://force.com" TargetMode="External"/><Relationship Id="rId11" Type="http://schemas.openxmlformats.org/officeDocument/2006/relationships/hyperlink" Target="http://force.com" TargetMode="External"/><Relationship Id="rId3528" Type="http://schemas.openxmlformats.org/officeDocument/2006/relationships/hyperlink" Target="http://force.com" TargetMode="External"/><Relationship Id="rId4859" Type="http://schemas.openxmlformats.org/officeDocument/2006/relationships/hyperlink" Target="http://force.com" TargetMode="External"/><Relationship Id="rId10" Type="http://schemas.openxmlformats.org/officeDocument/2006/relationships/hyperlink" Target="http://force.com" TargetMode="External"/><Relationship Id="rId3527" Type="http://schemas.openxmlformats.org/officeDocument/2006/relationships/hyperlink" Target="http://force.com" TargetMode="External"/><Relationship Id="rId4858" Type="http://schemas.openxmlformats.org/officeDocument/2006/relationships/hyperlink" Target="http://force.com" TargetMode="External"/><Relationship Id="rId13" Type="http://schemas.openxmlformats.org/officeDocument/2006/relationships/hyperlink" Target="http://force.com" TargetMode="External"/><Relationship Id="rId12" Type="http://schemas.openxmlformats.org/officeDocument/2006/relationships/hyperlink" Target="http://force.com" TargetMode="External"/><Relationship Id="rId3529" Type="http://schemas.openxmlformats.org/officeDocument/2006/relationships/hyperlink" Target="http://force.com" TargetMode="External"/><Relationship Id="rId15" Type="http://schemas.openxmlformats.org/officeDocument/2006/relationships/hyperlink" Target="http://force.com" TargetMode="External"/><Relationship Id="rId14" Type="http://schemas.openxmlformats.org/officeDocument/2006/relationships/hyperlink" Target="http://force.com" TargetMode="External"/><Relationship Id="rId17" Type="http://schemas.openxmlformats.org/officeDocument/2006/relationships/hyperlink" Target="http://force.com" TargetMode="External"/><Relationship Id="rId16" Type="http://schemas.openxmlformats.org/officeDocument/2006/relationships/hyperlink" Target="http://force.com" TargetMode="External"/><Relationship Id="rId19" Type="http://schemas.openxmlformats.org/officeDocument/2006/relationships/hyperlink" Target="http://force.com" TargetMode="External"/><Relationship Id="rId3520" Type="http://schemas.openxmlformats.org/officeDocument/2006/relationships/hyperlink" Target="http://force.com" TargetMode="External"/><Relationship Id="rId4851" Type="http://schemas.openxmlformats.org/officeDocument/2006/relationships/hyperlink" Target="http://force.com" TargetMode="External"/><Relationship Id="rId18" Type="http://schemas.openxmlformats.org/officeDocument/2006/relationships/hyperlink" Target="http://force.com" TargetMode="External"/><Relationship Id="rId4850" Type="http://schemas.openxmlformats.org/officeDocument/2006/relationships/hyperlink" Target="http://force.com" TargetMode="External"/><Relationship Id="rId3522" Type="http://schemas.openxmlformats.org/officeDocument/2006/relationships/hyperlink" Target="http://force.com" TargetMode="External"/><Relationship Id="rId4853" Type="http://schemas.openxmlformats.org/officeDocument/2006/relationships/hyperlink" Target="http://force.com" TargetMode="External"/><Relationship Id="rId3521" Type="http://schemas.openxmlformats.org/officeDocument/2006/relationships/hyperlink" Target="http://force.com" TargetMode="External"/><Relationship Id="rId4852" Type="http://schemas.openxmlformats.org/officeDocument/2006/relationships/hyperlink" Target="http://force.com" TargetMode="External"/><Relationship Id="rId84" Type="http://schemas.openxmlformats.org/officeDocument/2006/relationships/hyperlink" Target="http://force.com" TargetMode="External"/><Relationship Id="rId1774" Type="http://schemas.openxmlformats.org/officeDocument/2006/relationships/hyperlink" Target="http://force.com" TargetMode="External"/><Relationship Id="rId4800" Type="http://schemas.openxmlformats.org/officeDocument/2006/relationships/hyperlink" Target="http://force.com" TargetMode="External"/><Relationship Id="rId83" Type="http://schemas.openxmlformats.org/officeDocument/2006/relationships/hyperlink" Target="http://force.com" TargetMode="External"/><Relationship Id="rId1775" Type="http://schemas.openxmlformats.org/officeDocument/2006/relationships/hyperlink" Target="http://force.com" TargetMode="External"/><Relationship Id="rId86" Type="http://schemas.openxmlformats.org/officeDocument/2006/relationships/hyperlink" Target="http://force.com" TargetMode="External"/><Relationship Id="rId1776" Type="http://schemas.openxmlformats.org/officeDocument/2006/relationships/hyperlink" Target="http://force.com" TargetMode="External"/><Relationship Id="rId4802" Type="http://schemas.openxmlformats.org/officeDocument/2006/relationships/hyperlink" Target="http://force.com" TargetMode="External"/><Relationship Id="rId85" Type="http://schemas.openxmlformats.org/officeDocument/2006/relationships/hyperlink" Target="http://force.com" TargetMode="External"/><Relationship Id="rId1777" Type="http://schemas.openxmlformats.org/officeDocument/2006/relationships/hyperlink" Target="http://force.com" TargetMode="External"/><Relationship Id="rId4801" Type="http://schemas.openxmlformats.org/officeDocument/2006/relationships/hyperlink" Target="http://force.com" TargetMode="External"/><Relationship Id="rId88" Type="http://schemas.openxmlformats.org/officeDocument/2006/relationships/hyperlink" Target="http://force.com" TargetMode="External"/><Relationship Id="rId1778" Type="http://schemas.openxmlformats.org/officeDocument/2006/relationships/hyperlink" Target="http://force.com" TargetMode="External"/><Relationship Id="rId4804" Type="http://schemas.openxmlformats.org/officeDocument/2006/relationships/hyperlink" Target="http://force.com" TargetMode="External"/><Relationship Id="rId87" Type="http://schemas.openxmlformats.org/officeDocument/2006/relationships/hyperlink" Target="http://force.com" TargetMode="External"/><Relationship Id="rId1779" Type="http://schemas.openxmlformats.org/officeDocument/2006/relationships/hyperlink" Target="http://force.com" TargetMode="External"/><Relationship Id="rId4803" Type="http://schemas.openxmlformats.org/officeDocument/2006/relationships/hyperlink" Target="http://force.com" TargetMode="External"/><Relationship Id="rId4806" Type="http://schemas.openxmlformats.org/officeDocument/2006/relationships/hyperlink" Target="http://force.com" TargetMode="External"/><Relationship Id="rId89" Type="http://schemas.openxmlformats.org/officeDocument/2006/relationships/hyperlink" Target="http://force.com" TargetMode="External"/><Relationship Id="rId4805" Type="http://schemas.openxmlformats.org/officeDocument/2006/relationships/hyperlink" Target="http://force.com" TargetMode="External"/><Relationship Id="rId4808" Type="http://schemas.openxmlformats.org/officeDocument/2006/relationships/hyperlink" Target="http://force.com" TargetMode="External"/><Relationship Id="rId4807" Type="http://schemas.openxmlformats.org/officeDocument/2006/relationships/hyperlink" Target="http://force.com" TargetMode="External"/><Relationship Id="rId4809" Type="http://schemas.openxmlformats.org/officeDocument/2006/relationships/hyperlink" Target="http://force.com" TargetMode="External"/><Relationship Id="rId80" Type="http://schemas.openxmlformats.org/officeDocument/2006/relationships/hyperlink" Target="http://force.com" TargetMode="External"/><Relationship Id="rId82" Type="http://schemas.openxmlformats.org/officeDocument/2006/relationships/hyperlink" Target="http://force.com" TargetMode="External"/><Relationship Id="rId81" Type="http://schemas.openxmlformats.org/officeDocument/2006/relationships/hyperlink" Target="http://force.com" TargetMode="External"/><Relationship Id="rId1770" Type="http://schemas.openxmlformats.org/officeDocument/2006/relationships/hyperlink" Target="http://force.com" TargetMode="External"/><Relationship Id="rId1771" Type="http://schemas.openxmlformats.org/officeDocument/2006/relationships/hyperlink" Target="http://force.com" TargetMode="External"/><Relationship Id="rId1772" Type="http://schemas.openxmlformats.org/officeDocument/2006/relationships/hyperlink" Target="http://force.com" TargetMode="External"/><Relationship Id="rId1773" Type="http://schemas.openxmlformats.org/officeDocument/2006/relationships/hyperlink" Target="http://force.com" TargetMode="External"/><Relationship Id="rId73" Type="http://schemas.openxmlformats.org/officeDocument/2006/relationships/hyperlink" Target="http://force.com" TargetMode="External"/><Relationship Id="rId1763" Type="http://schemas.openxmlformats.org/officeDocument/2006/relationships/hyperlink" Target="http://force.com" TargetMode="External"/><Relationship Id="rId72" Type="http://schemas.openxmlformats.org/officeDocument/2006/relationships/hyperlink" Target="http://force.com" TargetMode="External"/><Relationship Id="rId1764" Type="http://schemas.openxmlformats.org/officeDocument/2006/relationships/hyperlink" Target="http://force.com" TargetMode="External"/><Relationship Id="rId75" Type="http://schemas.openxmlformats.org/officeDocument/2006/relationships/hyperlink" Target="http://force.com" TargetMode="External"/><Relationship Id="rId1765" Type="http://schemas.openxmlformats.org/officeDocument/2006/relationships/hyperlink" Target="http://force.com" TargetMode="External"/><Relationship Id="rId74" Type="http://schemas.openxmlformats.org/officeDocument/2006/relationships/hyperlink" Target="http://force.com" TargetMode="External"/><Relationship Id="rId1766" Type="http://schemas.openxmlformats.org/officeDocument/2006/relationships/hyperlink" Target="http://force.com" TargetMode="External"/><Relationship Id="rId77" Type="http://schemas.openxmlformats.org/officeDocument/2006/relationships/hyperlink" Target="http://force.com" TargetMode="External"/><Relationship Id="rId1767" Type="http://schemas.openxmlformats.org/officeDocument/2006/relationships/hyperlink" Target="http://force.com" TargetMode="External"/><Relationship Id="rId76" Type="http://schemas.openxmlformats.org/officeDocument/2006/relationships/hyperlink" Target="http://force.com" TargetMode="External"/><Relationship Id="rId1768" Type="http://schemas.openxmlformats.org/officeDocument/2006/relationships/hyperlink" Target="http://force.com" TargetMode="External"/><Relationship Id="rId79" Type="http://schemas.openxmlformats.org/officeDocument/2006/relationships/hyperlink" Target="http://force.com" TargetMode="External"/><Relationship Id="rId1769" Type="http://schemas.openxmlformats.org/officeDocument/2006/relationships/hyperlink" Target="http://force.com" TargetMode="External"/><Relationship Id="rId78" Type="http://schemas.openxmlformats.org/officeDocument/2006/relationships/hyperlink" Target="http://force.com" TargetMode="External"/><Relationship Id="rId71" Type="http://schemas.openxmlformats.org/officeDocument/2006/relationships/hyperlink" Target="http://force.com" TargetMode="External"/><Relationship Id="rId70" Type="http://schemas.openxmlformats.org/officeDocument/2006/relationships/hyperlink" Target="http://force.com" TargetMode="External"/><Relationship Id="rId1760" Type="http://schemas.openxmlformats.org/officeDocument/2006/relationships/hyperlink" Target="http://force.com" TargetMode="External"/><Relationship Id="rId1761" Type="http://schemas.openxmlformats.org/officeDocument/2006/relationships/hyperlink" Target="http://force.com" TargetMode="External"/><Relationship Id="rId1762" Type="http://schemas.openxmlformats.org/officeDocument/2006/relationships/hyperlink" Target="http://force.com" TargetMode="External"/><Relationship Id="rId62" Type="http://schemas.openxmlformats.org/officeDocument/2006/relationships/hyperlink" Target="http://force.com" TargetMode="External"/><Relationship Id="rId1796" Type="http://schemas.openxmlformats.org/officeDocument/2006/relationships/hyperlink" Target="http://force.com" TargetMode="External"/><Relationship Id="rId4822" Type="http://schemas.openxmlformats.org/officeDocument/2006/relationships/hyperlink" Target="http://force.com" TargetMode="External"/><Relationship Id="rId61" Type="http://schemas.openxmlformats.org/officeDocument/2006/relationships/hyperlink" Target="http://force.com" TargetMode="External"/><Relationship Id="rId1797" Type="http://schemas.openxmlformats.org/officeDocument/2006/relationships/hyperlink" Target="http://force.com" TargetMode="External"/><Relationship Id="rId4821" Type="http://schemas.openxmlformats.org/officeDocument/2006/relationships/hyperlink" Target="http://force.com" TargetMode="External"/><Relationship Id="rId64" Type="http://schemas.openxmlformats.org/officeDocument/2006/relationships/hyperlink" Target="http://force.com" TargetMode="External"/><Relationship Id="rId1798" Type="http://schemas.openxmlformats.org/officeDocument/2006/relationships/hyperlink" Target="http://force.com" TargetMode="External"/><Relationship Id="rId4824" Type="http://schemas.openxmlformats.org/officeDocument/2006/relationships/hyperlink" Target="http://force.com" TargetMode="External"/><Relationship Id="rId63" Type="http://schemas.openxmlformats.org/officeDocument/2006/relationships/hyperlink" Target="http://force.com" TargetMode="External"/><Relationship Id="rId1799" Type="http://schemas.openxmlformats.org/officeDocument/2006/relationships/hyperlink" Target="http://force.com" TargetMode="External"/><Relationship Id="rId4823" Type="http://schemas.openxmlformats.org/officeDocument/2006/relationships/hyperlink" Target="http://force.com" TargetMode="External"/><Relationship Id="rId66" Type="http://schemas.openxmlformats.org/officeDocument/2006/relationships/hyperlink" Target="http://force.com" TargetMode="External"/><Relationship Id="rId4826" Type="http://schemas.openxmlformats.org/officeDocument/2006/relationships/hyperlink" Target="http://force.com" TargetMode="External"/><Relationship Id="rId65" Type="http://schemas.openxmlformats.org/officeDocument/2006/relationships/hyperlink" Target="http://force.com" TargetMode="External"/><Relationship Id="rId4825" Type="http://schemas.openxmlformats.org/officeDocument/2006/relationships/hyperlink" Target="http://force.com" TargetMode="External"/><Relationship Id="rId68" Type="http://schemas.openxmlformats.org/officeDocument/2006/relationships/hyperlink" Target="http://force.com" TargetMode="External"/><Relationship Id="rId4828" Type="http://schemas.openxmlformats.org/officeDocument/2006/relationships/hyperlink" Target="http://force.com" TargetMode="External"/><Relationship Id="rId67" Type="http://schemas.openxmlformats.org/officeDocument/2006/relationships/hyperlink" Target="http://force.com" TargetMode="External"/><Relationship Id="rId4827" Type="http://schemas.openxmlformats.org/officeDocument/2006/relationships/hyperlink" Target="http://force.com" TargetMode="External"/><Relationship Id="rId4829" Type="http://schemas.openxmlformats.org/officeDocument/2006/relationships/hyperlink" Target="http://force.com" TargetMode="External"/><Relationship Id="rId60" Type="http://schemas.openxmlformats.org/officeDocument/2006/relationships/hyperlink" Target="http://force.com" TargetMode="External"/><Relationship Id="rId69" Type="http://schemas.openxmlformats.org/officeDocument/2006/relationships/hyperlink" Target="http://force.com" TargetMode="External"/><Relationship Id="rId1790" Type="http://schemas.openxmlformats.org/officeDocument/2006/relationships/hyperlink" Target="http://force.com" TargetMode="External"/><Relationship Id="rId1791" Type="http://schemas.openxmlformats.org/officeDocument/2006/relationships/hyperlink" Target="http://force.com" TargetMode="External"/><Relationship Id="rId1792" Type="http://schemas.openxmlformats.org/officeDocument/2006/relationships/hyperlink" Target="http://force.com" TargetMode="External"/><Relationship Id="rId1793" Type="http://schemas.openxmlformats.org/officeDocument/2006/relationships/hyperlink" Target="http://force.com" TargetMode="External"/><Relationship Id="rId1794" Type="http://schemas.openxmlformats.org/officeDocument/2006/relationships/hyperlink" Target="http://force.com" TargetMode="External"/><Relationship Id="rId4820" Type="http://schemas.openxmlformats.org/officeDocument/2006/relationships/hyperlink" Target="http://force.com" TargetMode="External"/><Relationship Id="rId1795" Type="http://schemas.openxmlformats.org/officeDocument/2006/relationships/hyperlink" Target="http://force.com" TargetMode="External"/><Relationship Id="rId51" Type="http://schemas.openxmlformats.org/officeDocument/2006/relationships/hyperlink" Target="http://force.com" TargetMode="External"/><Relationship Id="rId1785" Type="http://schemas.openxmlformats.org/officeDocument/2006/relationships/hyperlink" Target="http://force.com" TargetMode="External"/><Relationship Id="rId4811" Type="http://schemas.openxmlformats.org/officeDocument/2006/relationships/hyperlink" Target="http://force.com" TargetMode="External"/><Relationship Id="rId50" Type="http://schemas.openxmlformats.org/officeDocument/2006/relationships/hyperlink" Target="http://force.com" TargetMode="External"/><Relationship Id="rId1786" Type="http://schemas.openxmlformats.org/officeDocument/2006/relationships/hyperlink" Target="http://force.com" TargetMode="External"/><Relationship Id="rId4810" Type="http://schemas.openxmlformats.org/officeDocument/2006/relationships/hyperlink" Target="http://force.com" TargetMode="External"/><Relationship Id="rId53" Type="http://schemas.openxmlformats.org/officeDocument/2006/relationships/hyperlink" Target="http://force.com" TargetMode="External"/><Relationship Id="rId1787" Type="http://schemas.openxmlformats.org/officeDocument/2006/relationships/hyperlink" Target="http://force.com" TargetMode="External"/><Relationship Id="rId4813" Type="http://schemas.openxmlformats.org/officeDocument/2006/relationships/hyperlink" Target="http://force.com" TargetMode="External"/><Relationship Id="rId52" Type="http://schemas.openxmlformats.org/officeDocument/2006/relationships/hyperlink" Target="http://force.com" TargetMode="External"/><Relationship Id="rId1788" Type="http://schemas.openxmlformats.org/officeDocument/2006/relationships/hyperlink" Target="http://force.com" TargetMode="External"/><Relationship Id="rId4812" Type="http://schemas.openxmlformats.org/officeDocument/2006/relationships/hyperlink" Target="http://force.com" TargetMode="External"/><Relationship Id="rId55" Type="http://schemas.openxmlformats.org/officeDocument/2006/relationships/hyperlink" Target="http://force.com" TargetMode="External"/><Relationship Id="rId1789" Type="http://schemas.openxmlformats.org/officeDocument/2006/relationships/hyperlink" Target="http://force.com" TargetMode="External"/><Relationship Id="rId4815" Type="http://schemas.openxmlformats.org/officeDocument/2006/relationships/hyperlink" Target="http://force.com" TargetMode="External"/><Relationship Id="rId54" Type="http://schemas.openxmlformats.org/officeDocument/2006/relationships/hyperlink" Target="http://force.com" TargetMode="External"/><Relationship Id="rId4814" Type="http://schemas.openxmlformats.org/officeDocument/2006/relationships/hyperlink" Target="http://force.com" TargetMode="External"/><Relationship Id="rId57" Type="http://schemas.openxmlformats.org/officeDocument/2006/relationships/hyperlink" Target="http://force.com" TargetMode="External"/><Relationship Id="rId4817" Type="http://schemas.openxmlformats.org/officeDocument/2006/relationships/hyperlink" Target="http://force.com" TargetMode="External"/><Relationship Id="rId56" Type="http://schemas.openxmlformats.org/officeDocument/2006/relationships/hyperlink" Target="http://force.com" TargetMode="External"/><Relationship Id="rId4816" Type="http://schemas.openxmlformats.org/officeDocument/2006/relationships/hyperlink" Target="http://force.com" TargetMode="External"/><Relationship Id="rId4819" Type="http://schemas.openxmlformats.org/officeDocument/2006/relationships/hyperlink" Target="http://force.com" TargetMode="External"/><Relationship Id="rId4818" Type="http://schemas.openxmlformats.org/officeDocument/2006/relationships/hyperlink" Target="http://force.com" TargetMode="External"/><Relationship Id="rId59" Type="http://schemas.openxmlformats.org/officeDocument/2006/relationships/hyperlink" Target="http://force.com" TargetMode="External"/><Relationship Id="rId58" Type="http://schemas.openxmlformats.org/officeDocument/2006/relationships/hyperlink" Target="http://force.com" TargetMode="External"/><Relationship Id="rId1780" Type="http://schemas.openxmlformats.org/officeDocument/2006/relationships/hyperlink" Target="http://force.com" TargetMode="External"/><Relationship Id="rId1781" Type="http://schemas.openxmlformats.org/officeDocument/2006/relationships/hyperlink" Target="http://force.com" TargetMode="External"/><Relationship Id="rId1782" Type="http://schemas.openxmlformats.org/officeDocument/2006/relationships/hyperlink" Target="http://force.com" TargetMode="External"/><Relationship Id="rId1783" Type="http://schemas.openxmlformats.org/officeDocument/2006/relationships/hyperlink" Target="http://force.com" TargetMode="External"/><Relationship Id="rId1784" Type="http://schemas.openxmlformats.org/officeDocument/2006/relationships/hyperlink" Target="http://force.com" TargetMode="External"/><Relationship Id="rId2269" Type="http://schemas.openxmlformats.org/officeDocument/2006/relationships/hyperlink" Target="http://force.com" TargetMode="External"/><Relationship Id="rId349" Type="http://schemas.openxmlformats.org/officeDocument/2006/relationships/hyperlink" Target="http://force.com" TargetMode="External"/><Relationship Id="rId348" Type="http://schemas.openxmlformats.org/officeDocument/2006/relationships/hyperlink" Target="http://force.com" TargetMode="External"/><Relationship Id="rId347" Type="http://schemas.openxmlformats.org/officeDocument/2006/relationships/hyperlink" Target="http://force.com" TargetMode="External"/><Relationship Id="rId346" Type="http://schemas.openxmlformats.org/officeDocument/2006/relationships/hyperlink" Target="http://force.com" TargetMode="External"/><Relationship Id="rId3591" Type="http://schemas.openxmlformats.org/officeDocument/2006/relationships/hyperlink" Target="http://force.com" TargetMode="External"/><Relationship Id="rId2260" Type="http://schemas.openxmlformats.org/officeDocument/2006/relationships/hyperlink" Target="http://force.com" TargetMode="External"/><Relationship Id="rId3590" Type="http://schemas.openxmlformats.org/officeDocument/2006/relationships/hyperlink" Target="http://force.com" TargetMode="External"/><Relationship Id="rId341" Type="http://schemas.openxmlformats.org/officeDocument/2006/relationships/hyperlink" Target="http://force.com" TargetMode="External"/><Relationship Id="rId2261" Type="http://schemas.openxmlformats.org/officeDocument/2006/relationships/hyperlink" Target="http://force.com" TargetMode="External"/><Relationship Id="rId3593" Type="http://schemas.openxmlformats.org/officeDocument/2006/relationships/hyperlink" Target="http://force.com" TargetMode="External"/><Relationship Id="rId340" Type="http://schemas.openxmlformats.org/officeDocument/2006/relationships/hyperlink" Target="http://force.com" TargetMode="External"/><Relationship Id="rId2262" Type="http://schemas.openxmlformats.org/officeDocument/2006/relationships/hyperlink" Target="http://force.com" TargetMode="External"/><Relationship Id="rId3592" Type="http://schemas.openxmlformats.org/officeDocument/2006/relationships/hyperlink" Target="http://force.com" TargetMode="External"/><Relationship Id="rId2263" Type="http://schemas.openxmlformats.org/officeDocument/2006/relationships/hyperlink" Target="http://force.com" TargetMode="External"/><Relationship Id="rId3595" Type="http://schemas.openxmlformats.org/officeDocument/2006/relationships/hyperlink" Target="http://force.com" TargetMode="External"/><Relationship Id="rId2264" Type="http://schemas.openxmlformats.org/officeDocument/2006/relationships/hyperlink" Target="http://force.com" TargetMode="External"/><Relationship Id="rId3594" Type="http://schemas.openxmlformats.org/officeDocument/2006/relationships/hyperlink" Target="http://force.com" TargetMode="External"/><Relationship Id="rId345" Type="http://schemas.openxmlformats.org/officeDocument/2006/relationships/hyperlink" Target="http://force.com" TargetMode="External"/><Relationship Id="rId2265" Type="http://schemas.openxmlformats.org/officeDocument/2006/relationships/hyperlink" Target="http://force.com" TargetMode="External"/><Relationship Id="rId3597" Type="http://schemas.openxmlformats.org/officeDocument/2006/relationships/hyperlink" Target="http://force.com" TargetMode="External"/><Relationship Id="rId344" Type="http://schemas.openxmlformats.org/officeDocument/2006/relationships/hyperlink" Target="http://force.com" TargetMode="External"/><Relationship Id="rId2266" Type="http://schemas.openxmlformats.org/officeDocument/2006/relationships/hyperlink" Target="http://force.com" TargetMode="External"/><Relationship Id="rId3596" Type="http://schemas.openxmlformats.org/officeDocument/2006/relationships/hyperlink" Target="http://force.com" TargetMode="External"/><Relationship Id="rId343" Type="http://schemas.openxmlformats.org/officeDocument/2006/relationships/hyperlink" Target="http://force.com" TargetMode="External"/><Relationship Id="rId2267" Type="http://schemas.openxmlformats.org/officeDocument/2006/relationships/hyperlink" Target="http://force.com" TargetMode="External"/><Relationship Id="rId3599" Type="http://schemas.openxmlformats.org/officeDocument/2006/relationships/hyperlink" Target="http://force.com" TargetMode="External"/><Relationship Id="rId342" Type="http://schemas.openxmlformats.org/officeDocument/2006/relationships/hyperlink" Target="http://force.com" TargetMode="External"/><Relationship Id="rId2268" Type="http://schemas.openxmlformats.org/officeDocument/2006/relationships/hyperlink" Target="http://force.com" TargetMode="External"/><Relationship Id="rId3598" Type="http://schemas.openxmlformats.org/officeDocument/2006/relationships/hyperlink" Target="http://force.com" TargetMode="External"/><Relationship Id="rId2258" Type="http://schemas.openxmlformats.org/officeDocument/2006/relationships/hyperlink" Target="http://force.com" TargetMode="External"/><Relationship Id="rId2259" Type="http://schemas.openxmlformats.org/officeDocument/2006/relationships/hyperlink" Target="http://force.com" TargetMode="External"/><Relationship Id="rId3589" Type="http://schemas.openxmlformats.org/officeDocument/2006/relationships/hyperlink" Target="http://force.com" TargetMode="External"/><Relationship Id="rId338" Type="http://schemas.openxmlformats.org/officeDocument/2006/relationships/hyperlink" Target="http://force.com" TargetMode="External"/><Relationship Id="rId337" Type="http://schemas.openxmlformats.org/officeDocument/2006/relationships/hyperlink" Target="http://force.com" TargetMode="External"/><Relationship Id="rId336" Type="http://schemas.openxmlformats.org/officeDocument/2006/relationships/hyperlink" Target="http://force.com" TargetMode="External"/><Relationship Id="rId335" Type="http://schemas.openxmlformats.org/officeDocument/2006/relationships/hyperlink" Target="http://force.com" TargetMode="External"/><Relationship Id="rId3580" Type="http://schemas.openxmlformats.org/officeDocument/2006/relationships/hyperlink" Target="http://force.com" TargetMode="External"/><Relationship Id="rId339" Type="http://schemas.openxmlformats.org/officeDocument/2006/relationships/hyperlink" Target="http://force.com" TargetMode="External"/><Relationship Id="rId330" Type="http://schemas.openxmlformats.org/officeDocument/2006/relationships/hyperlink" Target="http://force.com" TargetMode="External"/><Relationship Id="rId2250" Type="http://schemas.openxmlformats.org/officeDocument/2006/relationships/hyperlink" Target="http://force.com" TargetMode="External"/><Relationship Id="rId3582" Type="http://schemas.openxmlformats.org/officeDocument/2006/relationships/hyperlink" Target="http://force.com" TargetMode="External"/><Relationship Id="rId2251" Type="http://schemas.openxmlformats.org/officeDocument/2006/relationships/hyperlink" Target="http://force.com" TargetMode="External"/><Relationship Id="rId3581" Type="http://schemas.openxmlformats.org/officeDocument/2006/relationships/hyperlink" Target="http://force.com" TargetMode="External"/><Relationship Id="rId2252" Type="http://schemas.openxmlformats.org/officeDocument/2006/relationships/hyperlink" Target="http://force.com" TargetMode="External"/><Relationship Id="rId3584" Type="http://schemas.openxmlformats.org/officeDocument/2006/relationships/hyperlink" Target="http://force.com" TargetMode="External"/><Relationship Id="rId2253" Type="http://schemas.openxmlformats.org/officeDocument/2006/relationships/hyperlink" Target="http://force.com" TargetMode="External"/><Relationship Id="rId3583" Type="http://schemas.openxmlformats.org/officeDocument/2006/relationships/hyperlink" Target="http://force.com" TargetMode="External"/><Relationship Id="rId334" Type="http://schemas.openxmlformats.org/officeDocument/2006/relationships/hyperlink" Target="http://force.com" TargetMode="External"/><Relationship Id="rId2254" Type="http://schemas.openxmlformats.org/officeDocument/2006/relationships/hyperlink" Target="http://force.com" TargetMode="External"/><Relationship Id="rId3586" Type="http://schemas.openxmlformats.org/officeDocument/2006/relationships/hyperlink" Target="http://force.com" TargetMode="External"/><Relationship Id="rId333" Type="http://schemas.openxmlformats.org/officeDocument/2006/relationships/hyperlink" Target="http://force.com" TargetMode="External"/><Relationship Id="rId2255" Type="http://schemas.openxmlformats.org/officeDocument/2006/relationships/hyperlink" Target="http://force.com" TargetMode="External"/><Relationship Id="rId3585" Type="http://schemas.openxmlformats.org/officeDocument/2006/relationships/hyperlink" Target="http://force.com" TargetMode="External"/><Relationship Id="rId332" Type="http://schemas.openxmlformats.org/officeDocument/2006/relationships/hyperlink" Target="http://force.com" TargetMode="External"/><Relationship Id="rId2256" Type="http://schemas.openxmlformats.org/officeDocument/2006/relationships/hyperlink" Target="http://force.com" TargetMode="External"/><Relationship Id="rId3588" Type="http://schemas.openxmlformats.org/officeDocument/2006/relationships/hyperlink" Target="http://force.com" TargetMode="External"/><Relationship Id="rId331" Type="http://schemas.openxmlformats.org/officeDocument/2006/relationships/hyperlink" Target="http://force.com" TargetMode="External"/><Relationship Id="rId2257" Type="http://schemas.openxmlformats.org/officeDocument/2006/relationships/hyperlink" Target="http://force.com" TargetMode="External"/><Relationship Id="rId3587" Type="http://schemas.openxmlformats.org/officeDocument/2006/relationships/hyperlink" Target="http://force.com" TargetMode="External"/><Relationship Id="rId5318" Type="http://schemas.openxmlformats.org/officeDocument/2006/relationships/hyperlink" Target="http://force.com" TargetMode="External"/><Relationship Id="rId5319" Type="http://schemas.openxmlformats.org/officeDocument/2006/relationships/hyperlink" Target="http://force.com" TargetMode="External"/><Relationship Id="rId5316" Type="http://schemas.openxmlformats.org/officeDocument/2006/relationships/hyperlink" Target="http://force.com" TargetMode="External"/><Relationship Id="rId5317" Type="http://schemas.openxmlformats.org/officeDocument/2006/relationships/hyperlink" Target="http://force.com" TargetMode="External"/><Relationship Id="rId370" Type="http://schemas.openxmlformats.org/officeDocument/2006/relationships/hyperlink" Target="http://force.com" TargetMode="External"/><Relationship Id="rId369" Type="http://schemas.openxmlformats.org/officeDocument/2006/relationships/hyperlink" Target="http://force.com" TargetMode="External"/><Relationship Id="rId368" Type="http://schemas.openxmlformats.org/officeDocument/2006/relationships/hyperlink" Target="http://force.com" TargetMode="External"/><Relationship Id="rId2280" Type="http://schemas.openxmlformats.org/officeDocument/2006/relationships/hyperlink" Target="http://force.com" TargetMode="External"/><Relationship Id="rId2281" Type="http://schemas.openxmlformats.org/officeDocument/2006/relationships/hyperlink" Target="http://force.com" TargetMode="External"/><Relationship Id="rId2282" Type="http://schemas.openxmlformats.org/officeDocument/2006/relationships/hyperlink" Target="http://force.com" TargetMode="External"/><Relationship Id="rId363" Type="http://schemas.openxmlformats.org/officeDocument/2006/relationships/hyperlink" Target="http://force.com" TargetMode="External"/><Relationship Id="rId2283" Type="http://schemas.openxmlformats.org/officeDocument/2006/relationships/hyperlink" Target="http://force.com" TargetMode="External"/><Relationship Id="rId5310" Type="http://schemas.openxmlformats.org/officeDocument/2006/relationships/hyperlink" Target="http://force.com" TargetMode="External"/><Relationship Id="rId362" Type="http://schemas.openxmlformats.org/officeDocument/2006/relationships/hyperlink" Target="http://force.com" TargetMode="External"/><Relationship Id="rId2284" Type="http://schemas.openxmlformats.org/officeDocument/2006/relationships/hyperlink" Target="http://force.com" TargetMode="External"/><Relationship Id="rId5311" Type="http://schemas.openxmlformats.org/officeDocument/2006/relationships/hyperlink" Target="http://force.com" TargetMode="External"/><Relationship Id="rId361" Type="http://schemas.openxmlformats.org/officeDocument/2006/relationships/hyperlink" Target="http://force.com" TargetMode="External"/><Relationship Id="rId2285" Type="http://schemas.openxmlformats.org/officeDocument/2006/relationships/hyperlink" Target="http://force.com" TargetMode="External"/><Relationship Id="rId360" Type="http://schemas.openxmlformats.org/officeDocument/2006/relationships/hyperlink" Target="http://force.com" TargetMode="External"/><Relationship Id="rId2286" Type="http://schemas.openxmlformats.org/officeDocument/2006/relationships/hyperlink" Target="http://force.com" TargetMode="External"/><Relationship Id="rId367" Type="http://schemas.openxmlformats.org/officeDocument/2006/relationships/hyperlink" Target="http://force.com" TargetMode="External"/><Relationship Id="rId2287" Type="http://schemas.openxmlformats.org/officeDocument/2006/relationships/hyperlink" Target="http://force.com" TargetMode="External"/><Relationship Id="rId5314" Type="http://schemas.openxmlformats.org/officeDocument/2006/relationships/hyperlink" Target="http://force.com" TargetMode="External"/><Relationship Id="rId366" Type="http://schemas.openxmlformats.org/officeDocument/2006/relationships/hyperlink" Target="http://force.com" TargetMode="External"/><Relationship Id="rId2288" Type="http://schemas.openxmlformats.org/officeDocument/2006/relationships/hyperlink" Target="http://force.com" TargetMode="External"/><Relationship Id="rId5315" Type="http://schemas.openxmlformats.org/officeDocument/2006/relationships/hyperlink" Target="http://force.com" TargetMode="External"/><Relationship Id="rId365" Type="http://schemas.openxmlformats.org/officeDocument/2006/relationships/hyperlink" Target="http://force.com" TargetMode="External"/><Relationship Id="rId2289" Type="http://schemas.openxmlformats.org/officeDocument/2006/relationships/hyperlink" Target="http://force.com" TargetMode="External"/><Relationship Id="rId5312" Type="http://schemas.openxmlformats.org/officeDocument/2006/relationships/hyperlink" Target="http://force.com" TargetMode="External"/><Relationship Id="rId364" Type="http://schemas.openxmlformats.org/officeDocument/2006/relationships/hyperlink" Target="http://force.com" TargetMode="External"/><Relationship Id="rId5313" Type="http://schemas.openxmlformats.org/officeDocument/2006/relationships/hyperlink" Target="http://force.com" TargetMode="External"/><Relationship Id="rId95" Type="http://schemas.openxmlformats.org/officeDocument/2006/relationships/hyperlink" Target="http://force.com" TargetMode="External"/><Relationship Id="rId5307" Type="http://schemas.openxmlformats.org/officeDocument/2006/relationships/hyperlink" Target="http://force.com" TargetMode="External"/><Relationship Id="rId94" Type="http://schemas.openxmlformats.org/officeDocument/2006/relationships/hyperlink" Target="http://force.com" TargetMode="External"/><Relationship Id="rId5308" Type="http://schemas.openxmlformats.org/officeDocument/2006/relationships/hyperlink" Target="http://force.com" TargetMode="External"/><Relationship Id="rId97" Type="http://schemas.openxmlformats.org/officeDocument/2006/relationships/hyperlink" Target="http://force.com" TargetMode="External"/><Relationship Id="rId5305" Type="http://schemas.openxmlformats.org/officeDocument/2006/relationships/hyperlink" Target="http://force.com" TargetMode="External"/><Relationship Id="rId96" Type="http://schemas.openxmlformats.org/officeDocument/2006/relationships/hyperlink" Target="http://force.com" TargetMode="External"/><Relationship Id="rId5306" Type="http://schemas.openxmlformats.org/officeDocument/2006/relationships/hyperlink" Target="http://force.com" TargetMode="External"/><Relationship Id="rId99" Type="http://schemas.openxmlformats.org/officeDocument/2006/relationships/hyperlink" Target="http://force.com" TargetMode="External"/><Relationship Id="rId98" Type="http://schemas.openxmlformats.org/officeDocument/2006/relationships/hyperlink" Target="http://force.com" TargetMode="External"/><Relationship Id="rId5309" Type="http://schemas.openxmlformats.org/officeDocument/2006/relationships/hyperlink" Target="http://force.com" TargetMode="External"/><Relationship Id="rId91" Type="http://schemas.openxmlformats.org/officeDocument/2006/relationships/hyperlink" Target="http://force.com" TargetMode="External"/><Relationship Id="rId90" Type="http://schemas.openxmlformats.org/officeDocument/2006/relationships/hyperlink" Target="http://force.com" TargetMode="External"/><Relationship Id="rId93" Type="http://schemas.openxmlformats.org/officeDocument/2006/relationships/hyperlink" Target="http://force.com" TargetMode="External"/><Relationship Id="rId92" Type="http://schemas.openxmlformats.org/officeDocument/2006/relationships/hyperlink" Target="http://force.com" TargetMode="External"/><Relationship Id="rId359" Type="http://schemas.openxmlformats.org/officeDocument/2006/relationships/hyperlink" Target="http://force.com" TargetMode="External"/><Relationship Id="rId358" Type="http://schemas.openxmlformats.org/officeDocument/2006/relationships/hyperlink" Target="http://force.com" TargetMode="External"/><Relationship Id="rId357" Type="http://schemas.openxmlformats.org/officeDocument/2006/relationships/hyperlink" Target="http://force.com" TargetMode="External"/><Relationship Id="rId2270" Type="http://schemas.openxmlformats.org/officeDocument/2006/relationships/hyperlink" Target="http://force.com" TargetMode="External"/><Relationship Id="rId2271" Type="http://schemas.openxmlformats.org/officeDocument/2006/relationships/hyperlink" Target="http://force.com" TargetMode="External"/><Relationship Id="rId352" Type="http://schemas.openxmlformats.org/officeDocument/2006/relationships/hyperlink" Target="http://force.com" TargetMode="External"/><Relationship Id="rId2272" Type="http://schemas.openxmlformats.org/officeDocument/2006/relationships/hyperlink" Target="http://force.com" TargetMode="External"/><Relationship Id="rId351" Type="http://schemas.openxmlformats.org/officeDocument/2006/relationships/hyperlink" Target="http://force.com" TargetMode="External"/><Relationship Id="rId2273" Type="http://schemas.openxmlformats.org/officeDocument/2006/relationships/hyperlink" Target="http://force.com" TargetMode="External"/><Relationship Id="rId5300" Type="http://schemas.openxmlformats.org/officeDocument/2006/relationships/hyperlink" Target="http://force.com" TargetMode="External"/><Relationship Id="rId350" Type="http://schemas.openxmlformats.org/officeDocument/2006/relationships/hyperlink" Target="http://force.com" TargetMode="External"/><Relationship Id="rId2274" Type="http://schemas.openxmlformats.org/officeDocument/2006/relationships/hyperlink" Target="http://force.com" TargetMode="External"/><Relationship Id="rId2275" Type="http://schemas.openxmlformats.org/officeDocument/2006/relationships/hyperlink" Target="http://force.com" TargetMode="External"/><Relationship Id="rId356" Type="http://schemas.openxmlformats.org/officeDocument/2006/relationships/hyperlink" Target="http://force.com" TargetMode="External"/><Relationship Id="rId2276" Type="http://schemas.openxmlformats.org/officeDocument/2006/relationships/hyperlink" Target="http://force.com" TargetMode="External"/><Relationship Id="rId5303" Type="http://schemas.openxmlformats.org/officeDocument/2006/relationships/hyperlink" Target="http://force.com" TargetMode="External"/><Relationship Id="rId355" Type="http://schemas.openxmlformats.org/officeDocument/2006/relationships/hyperlink" Target="http://force.com" TargetMode="External"/><Relationship Id="rId2277" Type="http://schemas.openxmlformats.org/officeDocument/2006/relationships/hyperlink" Target="http://force.com" TargetMode="External"/><Relationship Id="rId5304" Type="http://schemas.openxmlformats.org/officeDocument/2006/relationships/hyperlink" Target="http://force.com" TargetMode="External"/><Relationship Id="rId354" Type="http://schemas.openxmlformats.org/officeDocument/2006/relationships/hyperlink" Target="http://force.com" TargetMode="External"/><Relationship Id="rId2278" Type="http://schemas.openxmlformats.org/officeDocument/2006/relationships/hyperlink" Target="http://force.com" TargetMode="External"/><Relationship Id="rId5301" Type="http://schemas.openxmlformats.org/officeDocument/2006/relationships/hyperlink" Target="http://force.com" TargetMode="External"/><Relationship Id="rId353" Type="http://schemas.openxmlformats.org/officeDocument/2006/relationships/hyperlink" Target="http://force.com" TargetMode="External"/><Relationship Id="rId2279" Type="http://schemas.openxmlformats.org/officeDocument/2006/relationships/hyperlink" Target="http://force.com" TargetMode="External"/><Relationship Id="rId5302" Type="http://schemas.openxmlformats.org/officeDocument/2006/relationships/hyperlink" Target="http://force.com" TargetMode="External"/><Relationship Id="rId2225" Type="http://schemas.openxmlformats.org/officeDocument/2006/relationships/hyperlink" Target="http://force.com" TargetMode="External"/><Relationship Id="rId3557" Type="http://schemas.openxmlformats.org/officeDocument/2006/relationships/hyperlink" Target="http://force.com" TargetMode="External"/><Relationship Id="rId4888" Type="http://schemas.openxmlformats.org/officeDocument/2006/relationships/hyperlink" Target="http://force.com" TargetMode="External"/><Relationship Id="rId2226" Type="http://schemas.openxmlformats.org/officeDocument/2006/relationships/hyperlink" Target="http://force.com" TargetMode="External"/><Relationship Id="rId3556" Type="http://schemas.openxmlformats.org/officeDocument/2006/relationships/hyperlink" Target="http://force.com" TargetMode="External"/><Relationship Id="rId4887" Type="http://schemas.openxmlformats.org/officeDocument/2006/relationships/hyperlink" Target="http://force.com" TargetMode="External"/><Relationship Id="rId2227" Type="http://schemas.openxmlformats.org/officeDocument/2006/relationships/hyperlink" Target="http://force.com" TargetMode="External"/><Relationship Id="rId3559" Type="http://schemas.openxmlformats.org/officeDocument/2006/relationships/hyperlink" Target="http://force.com" TargetMode="External"/><Relationship Id="rId2228" Type="http://schemas.openxmlformats.org/officeDocument/2006/relationships/hyperlink" Target="http://force.com" TargetMode="External"/><Relationship Id="rId3558" Type="http://schemas.openxmlformats.org/officeDocument/2006/relationships/hyperlink" Target="http://force.com" TargetMode="External"/><Relationship Id="rId4889" Type="http://schemas.openxmlformats.org/officeDocument/2006/relationships/hyperlink" Target="http://force.com" TargetMode="External"/><Relationship Id="rId2229" Type="http://schemas.openxmlformats.org/officeDocument/2006/relationships/hyperlink" Target="http://force.com" TargetMode="External"/><Relationship Id="rId305" Type="http://schemas.openxmlformats.org/officeDocument/2006/relationships/hyperlink" Target="http://force.com" TargetMode="External"/><Relationship Id="rId304" Type="http://schemas.openxmlformats.org/officeDocument/2006/relationships/hyperlink" Target="http://force.com" TargetMode="External"/><Relationship Id="rId303" Type="http://schemas.openxmlformats.org/officeDocument/2006/relationships/hyperlink" Target="http://force.com" TargetMode="External"/><Relationship Id="rId302" Type="http://schemas.openxmlformats.org/officeDocument/2006/relationships/hyperlink" Target="http://force.com" TargetMode="External"/><Relationship Id="rId309" Type="http://schemas.openxmlformats.org/officeDocument/2006/relationships/hyperlink" Target="http://force.com" TargetMode="External"/><Relationship Id="rId308" Type="http://schemas.openxmlformats.org/officeDocument/2006/relationships/hyperlink" Target="http://force.com" TargetMode="External"/><Relationship Id="rId307" Type="http://schemas.openxmlformats.org/officeDocument/2006/relationships/hyperlink" Target="http://force.com" TargetMode="External"/><Relationship Id="rId306" Type="http://schemas.openxmlformats.org/officeDocument/2006/relationships/hyperlink" Target="http://force.com" TargetMode="External"/><Relationship Id="rId4880" Type="http://schemas.openxmlformats.org/officeDocument/2006/relationships/hyperlink" Target="http://force.com" TargetMode="External"/><Relationship Id="rId3551" Type="http://schemas.openxmlformats.org/officeDocument/2006/relationships/hyperlink" Target="http://force.com" TargetMode="External"/><Relationship Id="rId4882" Type="http://schemas.openxmlformats.org/officeDocument/2006/relationships/hyperlink" Target="http://force.com" TargetMode="External"/><Relationship Id="rId2220" Type="http://schemas.openxmlformats.org/officeDocument/2006/relationships/hyperlink" Target="http://force.com" TargetMode="External"/><Relationship Id="rId3550" Type="http://schemas.openxmlformats.org/officeDocument/2006/relationships/hyperlink" Target="http://force.com" TargetMode="External"/><Relationship Id="rId4881" Type="http://schemas.openxmlformats.org/officeDocument/2006/relationships/hyperlink" Target="http://force.com" TargetMode="External"/><Relationship Id="rId301" Type="http://schemas.openxmlformats.org/officeDocument/2006/relationships/hyperlink" Target="http://force.com" TargetMode="External"/><Relationship Id="rId2221" Type="http://schemas.openxmlformats.org/officeDocument/2006/relationships/hyperlink" Target="http://force.com" TargetMode="External"/><Relationship Id="rId3553" Type="http://schemas.openxmlformats.org/officeDocument/2006/relationships/hyperlink" Target="http://force.com" TargetMode="External"/><Relationship Id="rId4884" Type="http://schemas.openxmlformats.org/officeDocument/2006/relationships/hyperlink" Target="http://force.com" TargetMode="External"/><Relationship Id="rId300" Type="http://schemas.openxmlformats.org/officeDocument/2006/relationships/hyperlink" Target="http://force.com" TargetMode="External"/><Relationship Id="rId2222" Type="http://schemas.openxmlformats.org/officeDocument/2006/relationships/hyperlink" Target="http://force.com" TargetMode="External"/><Relationship Id="rId3552" Type="http://schemas.openxmlformats.org/officeDocument/2006/relationships/hyperlink" Target="http://force.com" TargetMode="External"/><Relationship Id="rId4883" Type="http://schemas.openxmlformats.org/officeDocument/2006/relationships/hyperlink" Target="http://force.com" TargetMode="External"/><Relationship Id="rId2223" Type="http://schemas.openxmlformats.org/officeDocument/2006/relationships/hyperlink" Target="http://force.com" TargetMode="External"/><Relationship Id="rId3555" Type="http://schemas.openxmlformats.org/officeDocument/2006/relationships/hyperlink" Target="http://force.com" TargetMode="External"/><Relationship Id="rId4886" Type="http://schemas.openxmlformats.org/officeDocument/2006/relationships/hyperlink" Target="http://force.com" TargetMode="External"/><Relationship Id="rId2224" Type="http://schemas.openxmlformats.org/officeDocument/2006/relationships/hyperlink" Target="http://force.com" TargetMode="External"/><Relationship Id="rId3554" Type="http://schemas.openxmlformats.org/officeDocument/2006/relationships/hyperlink" Target="http://force.com" TargetMode="External"/><Relationship Id="rId4885" Type="http://schemas.openxmlformats.org/officeDocument/2006/relationships/hyperlink" Target="http://force.com" TargetMode="External"/><Relationship Id="rId2214" Type="http://schemas.openxmlformats.org/officeDocument/2006/relationships/hyperlink" Target="http://force.com" TargetMode="External"/><Relationship Id="rId3546" Type="http://schemas.openxmlformats.org/officeDocument/2006/relationships/hyperlink" Target="http://force.com" TargetMode="External"/><Relationship Id="rId4877" Type="http://schemas.openxmlformats.org/officeDocument/2006/relationships/hyperlink" Target="http://force.com" TargetMode="External"/><Relationship Id="rId2215" Type="http://schemas.openxmlformats.org/officeDocument/2006/relationships/hyperlink" Target="http://force.com" TargetMode="External"/><Relationship Id="rId3545" Type="http://schemas.openxmlformats.org/officeDocument/2006/relationships/hyperlink" Target="http://force.com" TargetMode="External"/><Relationship Id="rId4876" Type="http://schemas.openxmlformats.org/officeDocument/2006/relationships/hyperlink" Target="http://force.com" TargetMode="External"/><Relationship Id="rId2216" Type="http://schemas.openxmlformats.org/officeDocument/2006/relationships/hyperlink" Target="http://force.com" TargetMode="External"/><Relationship Id="rId3548" Type="http://schemas.openxmlformats.org/officeDocument/2006/relationships/hyperlink" Target="http://force.com" TargetMode="External"/><Relationship Id="rId4879" Type="http://schemas.openxmlformats.org/officeDocument/2006/relationships/hyperlink" Target="http://force.com" TargetMode="External"/><Relationship Id="rId2217" Type="http://schemas.openxmlformats.org/officeDocument/2006/relationships/hyperlink" Target="http://force.com" TargetMode="External"/><Relationship Id="rId3547" Type="http://schemas.openxmlformats.org/officeDocument/2006/relationships/hyperlink" Target="http://force.com" TargetMode="External"/><Relationship Id="rId4878" Type="http://schemas.openxmlformats.org/officeDocument/2006/relationships/hyperlink" Target="http://force.com" TargetMode="External"/><Relationship Id="rId2218" Type="http://schemas.openxmlformats.org/officeDocument/2006/relationships/hyperlink" Target="http://force.com" TargetMode="External"/><Relationship Id="rId2219" Type="http://schemas.openxmlformats.org/officeDocument/2006/relationships/hyperlink" Target="http://force.com" TargetMode="External"/><Relationship Id="rId3549" Type="http://schemas.openxmlformats.org/officeDocument/2006/relationships/hyperlink" Target="http://force.com" TargetMode="External"/><Relationship Id="rId3540" Type="http://schemas.openxmlformats.org/officeDocument/2006/relationships/hyperlink" Target="http://force.com" TargetMode="External"/><Relationship Id="rId4871" Type="http://schemas.openxmlformats.org/officeDocument/2006/relationships/hyperlink" Target="http://force.com" TargetMode="External"/><Relationship Id="rId4870" Type="http://schemas.openxmlformats.org/officeDocument/2006/relationships/hyperlink" Target="http://force.com" TargetMode="External"/><Relationship Id="rId2210" Type="http://schemas.openxmlformats.org/officeDocument/2006/relationships/hyperlink" Target="http://force.com" TargetMode="External"/><Relationship Id="rId3542" Type="http://schemas.openxmlformats.org/officeDocument/2006/relationships/hyperlink" Target="http://force.com" TargetMode="External"/><Relationship Id="rId4873" Type="http://schemas.openxmlformats.org/officeDocument/2006/relationships/hyperlink" Target="http://force.com" TargetMode="External"/><Relationship Id="rId2211" Type="http://schemas.openxmlformats.org/officeDocument/2006/relationships/hyperlink" Target="http://force.com" TargetMode="External"/><Relationship Id="rId3541" Type="http://schemas.openxmlformats.org/officeDocument/2006/relationships/hyperlink" Target="http://force.com" TargetMode="External"/><Relationship Id="rId4872" Type="http://schemas.openxmlformats.org/officeDocument/2006/relationships/hyperlink" Target="http://force.com" TargetMode="External"/><Relationship Id="rId2212" Type="http://schemas.openxmlformats.org/officeDocument/2006/relationships/hyperlink" Target="http://force.com" TargetMode="External"/><Relationship Id="rId3544" Type="http://schemas.openxmlformats.org/officeDocument/2006/relationships/hyperlink" Target="http://force.com" TargetMode="External"/><Relationship Id="rId4875" Type="http://schemas.openxmlformats.org/officeDocument/2006/relationships/hyperlink" Target="http://force.com" TargetMode="External"/><Relationship Id="rId2213" Type="http://schemas.openxmlformats.org/officeDocument/2006/relationships/hyperlink" Target="http://force.com" TargetMode="External"/><Relationship Id="rId3543" Type="http://schemas.openxmlformats.org/officeDocument/2006/relationships/hyperlink" Target="http://force.com" TargetMode="External"/><Relationship Id="rId4874" Type="http://schemas.openxmlformats.org/officeDocument/2006/relationships/hyperlink" Target="http://force.com" TargetMode="External"/><Relationship Id="rId2247" Type="http://schemas.openxmlformats.org/officeDocument/2006/relationships/hyperlink" Target="http://force.com" TargetMode="External"/><Relationship Id="rId3579" Type="http://schemas.openxmlformats.org/officeDocument/2006/relationships/hyperlink" Target="http://force.com" TargetMode="External"/><Relationship Id="rId2248" Type="http://schemas.openxmlformats.org/officeDocument/2006/relationships/hyperlink" Target="http://force.com" TargetMode="External"/><Relationship Id="rId3578" Type="http://schemas.openxmlformats.org/officeDocument/2006/relationships/hyperlink" Target="http://force.com" TargetMode="External"/><Relationship Id="rId2249" Type="http://schemas.openxmlformats.org/officeDocument/2006/relationships/hyperlink" Target="http://force.com" TargetMode="External"/><Relationship Id="rId327" Type="http://schemas.openxmlformats.org/officeDocument/2006/relationships/hyperlink" Target="http://force.com" TargetMode="External"/><Relationship Id="rId326" Type="http://schemas.openxmlformats.org/officeDocument/2006/relationships/hyperlink" Target="http://force.com" TargetMode="External"/><Relationship Id="rId325" Type="http://schemas.openxmlformats.org/officeDocument/2006/relationships/hyperlink" Target="http://force.com" TargetMode="External"/><Relationship Id="rId324" Type="http://schemas.openxmlformats.org/officeDocument/2006/relationships/hyperlink" Target="http://force.com" TargetMode="External"/><Relationship Id="rId329" Type="http://schemas.openxmlformats.org/officeDocument/2006/relationships/hyperlink" Target="http://force.com" TargetMode="External"/><Relationship Id="rId328" Type="http://schemas.openxmlformats.org/officeDocument/2006/relationships/hyperlink" Target="http://force.com" TargetMode="External"/><Relationship Id="rId3571" Type="http://schemas.openxmlformats.org/officeDocument/2006/relationships/hyperlink" Target="http://force.com" TargetMode="External"/><Relationship Id="rId2240" Type="http://schemas.openxmlformats.org/officeDocument/2006/relationships/hyperlink" Target="http://force.com" TargetMode="External"/><Relationship Id="rId3570" Type="http://schemas.openxmlformats.org/officeDocument/2006/relationships/hyperlink" Target="http://force.com" TargetMode="External"/><Relationship Id="rId2241" Type="http://schemas.openxmlformats.org/officeDocument/2006/relationships/hyperlink" Target="http://force.com" TargetMode="External"/><Relationship Id="rId3573" Type="http://schemas.openxmlformats.org/officeDocument/2006/relationships/hyperlink" Target="http://force.com" TargetMode="External"/><Relationship Id="rId2242" Type="http://schemas.openxmlformats.org/officeDocument/2006/relationships/hyperlink" Target="http://force.com" TargetMode="External"/><Relationship Id="rId3572" Type="http://schemas.openxmlformats.org/officeDocument/2006/relationships/hyperlink" Target="http://force.com" TargetMode="External"/><Relationship Id="rId323" Type="http://schemas.openxmlformats.org/officeDocument/2006/relationships/hyperlink" Target="http://force.com" TargetMode="External"/><Relationship Id="rId2243" Type="http://schemas.openxmlformats.org/officeDocument/2006/relationships/hyperlink" Target="http://force.com" TargetMode="External"/><Relationship Id="rId3575" Type="http://schemas.openxmlformats.org/officeDocument/2006/relationships/hyperlink" Target="http://force.com" TargetMode="External"/><Relationship Id="rId322" Type="http://schemas.openxmlformats.org/officeDocument/2006/relationships/hyperlink" Target="http://force.com" TargetMode="External"/><Relationship Id="rId2244" Type="http://schemas.openxmlformats.org/officeDocument/2006/relationships/hyperlink" Target="http://force.com" TargetMode="External"/><Relationship Id="rId3574" Type="http://schemas.openxmlformats.org/officeDocument/2006/relationships/hyperlink" Target="http://force.com" TargetMode="External"/><Relationship Id="rId321" Type="http://schemas.openxmlformats.org/officeDocument/2006/relationships/hyperlink" Target="http://force.com" TargetMode="External"/><Relationship Id="rId2245" Type="http://schemas.openxmlformats.org/officeDocument/2006/relationships/hyperlink" Target="http://force.com" TargetMode="External"/><Relationship Id="rId3577" Type="http://schemas.openxmlformats.org/officeDocument/2006/relationships/hyperlink" Target="http://force.com" TargetMode="External"/><Relationship Id="rId320" Type="http://schemas.openxmlformats.org/officeDocument/2006/relationships/hyperlink" Target="http://force.com" TargetMode="External"/><Relationship Id="rId2246" Type="http://schemas.openxmlformats.org/officeDocument/2006/relationships/hyperlink" Target="http://force.com" TargetMode="External"/><Relationship Id="rId3576" Type="http://schemas.openxmlformats.org/officeDocument/2006/relationships/hyperlink" Target="http://force.com" TargetMode="External"/><Relationship Id="rId2236" Type="http://schemas.openxmlformats.org/officeDocument/2006/relationships/hyperlink" Target="http://force.com" TargetMode="External"/><Relationship Id="rId3568" Type="http://schemas.openxmlformats.org/officeDocument/2006/relationships/hyperlink" Target="http://force.com" TargetMode="External"/><Relationship Id="rId4899" Type="http://schemas.openxmlformats.org/officeDocument/2006/relationships/hyperlink" Target="http://force.com" TargetMode="External"/><Relationship Id="rId2237" Type="http://schemas.openxmlformats.org/officeDocument/2006/relationships/hyperlink" Target="http://force.com" TargetMode="External"/><Relationship Id="rId3567" Type="http://schemas.openxmlformats.org/officeDocument/2006/relationships/hyperlink" Target="http://force.com" TargetMode="External"/><Relationship Id="rId4898" Type="http://schemas.openxmlformats.org/officeDocument/2006/relationships/hyperlink" Target="http://force.com" TargetMode="External"/><Relationship Id="rId2238" Type="http://schemas.openxmlformats.org/officeDocument/2006/relationships/hyperlink" Target="http://force.com" TargetMode="External"/><Relationship Id="rId2239" Type="http://schemas.openxmlformats.org/officeDocument/2006/relationships/hyperlink" Target="http://force.com" TargetMode="External"/><Relationship Id="rId3569" Type="http://schemas.openxmlformats.org/officeDocument/2006/relationships/hyperlink" Target="http://force.com" TargetMode="External"/><Relationship Id="rId316" Type="http://schemas.openxmlformats.org/officeDocument/2006/relationships/hyperlink" Target="http://force.com" TargetMode="External"/><Relationship Id="rId315" Type="http://schemas.openxmlformats.org/officeDocument/2006/relationships/hyperlink" Target="http://force.com" TargetMode="External"/><Relationship Id="rId314" Type="http://schemas.openxmlformats.org/officeDocument/2006/relationships/hyperlink" Target="http://force.com" TargetMode="External"/><Relationship Id="rId313" Type="http://schemas.openxmlformats.org/officeDocument/2006/relationships/hyperlink" Target="http://force.com" TargetMode="External"/><Relationship Id="rId319" Type="http://schemas.openxmlformats.org/officeDocument/2006/relationships/hyperlink" Target="http://force.com" TargetMode="External"/><Relationship Id="rId318" Type="http://schemas.openxmlformats.org/officeDocument/2006/relationships/hyperlink" Target="http://force.com" TargetMode="External"/><Relationship Id="rId317" Type="http://schemas.openxmlformats.org/officeDocument/2006/relationships/hyperlink" Target="http://force.com" TargetMode="External"/><Relationship Id="rId3560" Type="http://schemas.openxmlformats.org/officeDocument/2006/relationships/hyperlink" Target="http://force.com" TargetMode="External"/><Relationship Id="rId4891" Type="http://schemas.openxmlformats.org/officeDocument/2006/relationships/hyperlink" Target="http://force.com" TargetMode="External"/><Relationship Id="rId4890" Type="http://schemas.openxmlformats.org/officeDocument/2006/relationships/hyperlink" Target="http://force.com" TargetMode="External"/><Relationship Id="rId2230" Type="http://schemas.openxmlformats.org/officeDocument/2006/relationships/hyperlink" Target="http://force.com" TargetMode="External"/><Relationship Id="rId3562" Type="http://schemas.openxmlformats.org/officeDocument/2006/relationships/hyperlink" Target="http://force.com" TargetMode="External"/><Relationship Id="rId4893" Type="http://schemas.openxmlformats.org/officeDocument/2006/relationships/hyperlink" Target="http://force.com" TargetMode="External"/><Relationship Id="rId2231" Type="http://schemas.openxmlformats.org/officeDocument/2006/relationships/hyperlink" Target="http://force.com" TargetMode="External"/><Relationship Id="rId3561" Type="http://schemas.openxmlformats.org/officeDocument/2006/relationships/hyperlink" Target="http://force.com" TargetMode="External"/><Relationship Id="rId4892" Type="http://schemas.openxmlformats.org/officeDocument/2006/relationships/hyperlink" Target="http://force.com" TargetMode="External"/><Relationship Id="rId312" Type="http://schemas.openxmlformats.org/officeDocument/2006/relationships/hyperlink" Target="http://force.com" TargetMode="External"/><Relationship Id="rId2232" Type="http://schemas.openxmlformats.org/officeDocument/2006/relationships/hyperlink" Target="http://force.com" TargetMode="External"/><Relationship Id="rId3564" Type="http://schemas.openxmlformats.org/officeDocument/2006/relationships/hyperlink" Target="http://force.com" TargetMode="External"/><Relationship Id="rId4895" Type="http://schemas.openxmlformats.org/officeDocument/2006/relationships/hyperlink" Target="http://force.com" TargetMode="External"/><Relationship Id="rId311" Type="http://schemas.openxmlformats.org/officeDocument/2006/relationships/hyperlink" Target="http://force.com" TargetMode="External"/><Relationship Id="rId2233" Type="http://schemas.openxmlformats.org/officeDocument/2006/relationships/hyperlink" Target="http://force.com" TargetMode="External"/><Relationship Id="rId3563" Type="http://schemas.openxmlformats.org/officeDocument/2006/relationships/hyperlink" Target="http://force.com" TargetMode="External"/><Relationship Id="rId4894" Type="http://schemas.openxmlformats.org/officeDocument/2006/relationships/hyperlink" Target="http://force.com" TargetMode="External"/><Relationship Id="rId310" Type="http://schemas.openxmlformats.org/officeDocument/2006/relationships/hyperlink" Target="http://force.com" TargetMode="External"/><Relationship Id="rId2234" Type="http://schemas.openxmlformats.org/officeDocument/2006/relationships/hyperlink" Target="http://force.com" TargetMode="External"/><Relationship Id="rId3566" Type="http://schemas.openxmlformats.org/officeDocument/2006/relationships/hyperlink" Target="http://force.com" TargetMode="External"/><Relationship Id="rId4897" Type="http://schemas.openxmlformats.org/officeDocument/2006/relationships/hyperlink" Target="http://force.com" TargetMode="External"/><Relationship Id="rId2235" Type="http://schemas.openxmlformats.org/officeDocument/2006/relationships/hyperlink" Target="http://force.com" TargetMode="External"/><Relationship Id="rId3565" Type="http://schemas.openxmlformats.org/officeDocument/2006/relationships/hyperlink" Target="http://force.com" TargetMode="External"/><Relationship Id="rId4896" Type="http://schemas.openxmlformats.org/officeDocument/2006/relationships/hyperlink" Target="http://force.com" TargetMode="External"/><Relationship Id="rId4040" Type="http://schemas.openxmlformats.org/officeDocument/2006/relationships/hyperlink" Target="http://force.com" TargetMode="External"/><Relationship Id="rId5372" Type="http://schemas.openxmlformats.org/officeDocument/2006/relationships/hyperlink" Target="http://force.com" TargetMode="External"/><Relationship Id="rId5373" Type="http://schemas.openxmlformats.org/officeDocument/2006/relationships/hyperlink" Target="http://force.com" TargetMode="External"/><Relationship Id="rId4042" Type="http://schemas.openxmlformats.org/officeDocument/2006/relationships/hyperlink" Target="http://force.com" TargetMode="External"/><Relationship Id="rId5370" Type="http://schemas.openxmlformats.org/officeDocument/2006/relationships/hyperlink" Target="http://force.com" TargetMode="External"/><Relationship Id="rId4041" Type="http://schemas.openxmlformats.org/officeDocument/2006/relationships/hyperlink" Target="http://force.com" TargetMode="External"/><Relationship Id="rId5371" Type="http://schemas.openxmlformats.org/officeDocument/2006/relationships/hyperlink" Target="http://force.com" TargetMode="External"/><Relationship Id="rId4044" Type="http://schemas.openxmlformats.org/officeDocument/2006/relationships/hyperlink" Target="http://force.com" TargetMode="External"/><Relationship Id="rId5376" Type="http://schemas.openxmlformats.org/officeDocument/2006/relationships/hyperlink" Target="http://force.com" TargetMode="External"/><Relationship Id="rId4043" Type="http://schemas.openxmlformats.org/officeDocument/2006/relationships/hyperlink" Target="http://force.com" TargetMode="External"/><Relationship Id="rId5377" Type="http://schemas.openxmlformats.org/officeDocument/2006/relationships/hyperlink" Target="http://force.com" TargetMode="External"/><Relationship Id="rId4046" Type="http://schemas.openxmlformats.org/officeDocument/2006/relationships/hyperlink" Target="http://force.com" TargetMode="External"/><Relationship Id="rId5374" Type="http://schemas.openxmlformats.org/officeDocument/2006/relationships/hyperlink" Target="http://force.com" TargetMode="External"/><Relationship Id="rId4045" Type="http://schemas.openxmlformats.org/officeDocument/2006/relationships/hyperlink" Target="http://force.com" TargetMode="External"/><Relationship Id="rId5375" Type="http://schemas.openxmlformats.org/officeDocument/2006/relationships/hyperlink" Target="http://force.com" TargetMode="External"/><Relationship Id="rId4048" Type="http://schemas.openxmlformats.org/officeDocument/2006/relationships/hyperlink" Target="http://force.com" TargetMode="External"/><Relationship Id="rId4047" Type="http://schemas.openxmlformats.org/officeDocument/2006/relationships/hyperlink" Target="http://force.com" TargetMode="External"/><Relationship Id="rId5378" Type="http://schemas.openxmlformats.org/officeDocument/2006/relationships/hyperlink" Target="http://force.com" TargetMode="External"/><Relationship Id="rId4049" Type="http://schemas.openxmlformats.org/officeDocument/2006/relationships/hyperlink" Target="http://force.com" TargetMode="External"/><Relationship Id="rId5379" Type="http://schemas.openxmlformats.org/officeDocument/2006/relationships/hyperlink" Target="http://force.com" TargetMode="External"/><Relationship Id="rId5361" Type="http://schemas.openxmlformats.org/officeDocument/2006/relationships/hyperlink" Target="http://force.com" TargetMode="External"/><Relationship Id="rId5362" Type="http://schemas.openxmlformats.org/officeDocument/2006/relationships/hyperlink" Target="http://force.com" TargetMode="External"/><Relationship Id="rId4031" Type="http://schemas.openxmlformats.org/officeDocument/2006/relationships/hyperlink" Target="http://force.com" TargetMode="External"/><Relationship Id="rId4030" Type="http://schemas.openxmlformats.org/officeDocument/2006/relationships/hyperlink" Target="http://force.com" TargetMode="External"/><Relationship Id="rId5360" Type="http://schemas.openxmlformats.org/officeDocument/2006/relationships/hyperlink" Target="http://force.com" TargetMode="External"/><Relationship Id="rId297" Type="http://schemas.openxmlformats.org/officeDocument/2006/relationships/hyperlink" Target="http://force.com" TargetMode="External"/><Relationship Id="rId4033" Type="http://schemas.openxmlformats.org/officeDocument/2006/relationships/hyperlink" Target="http://force.com" TargetMode="External"/><Relationship Id="rId5365" Type="http://schemas.openxmlformats.org/officeDocument/2006/relationships/hyperlink" Target="http://force.com" TargetMode="External"/><Relationship Id="rId296" Type="http://schemas.openxmlformats.org/officeDocument/2006/relationships/hyperlink" Target="http://force.com" TargetMode="External"/><Relationship Id="rId4032" Type="http://schemas.openxmlformats.org/officeDocument/2006/relationships/hyperlink" Target="http://force.com" TargetMode="External"/><Relationship Id="rId5366" Type="http://schemas.openxmlformats.org/officeDocument/2006/relationships/hyperlink" Target="http://force.com" TargetMode="External"/><Relationship Id="rId295" Type="http://schemas.openxmlformats.org/officeDocument/2006/relationships/hyperlink" Target="http://force.com" TargetMode="External"/><Relationship Id="rId4035" Type="http://schemas.openxmlformats.org/officeDocument/2006/relationships/hyperlink" Target="http://force.com" TargetMode="External"/><Relationship Id="rId5363" Type="http://schemas.openxmlformats.org/officeDocument/2006/relationships/hyperlink" Target="http://force.com" TargetMode="External"/><Relationship Id="rId294" Type="http://schemas.openxmlformats.org/officeDocument/2006/relationships/hyperlink" Target="http://force.com" TargetMode="External"/><Relationship Id="rId4034" Type="http://schemas.openxmlformats.org/officeDocument/2006/relationships/hyperlink" Target="http://force.com" TargetMode="External"/><Relationship Id="rId5364" Type="http://schemas.openxmlformats.org/officeDocument/2006/relationships/hyperlink" Target="http://force.com" TargetMode="External"/><Relationship Id="rId4037" Type="http://schemas.openxmlformats.org/officeDocument/2006/relationships/hyperlink" Target="http://force.com" TargetMode="External"/><Relationship Id="rId5369" Type="http://schemas.openxmlformats.org/officeDocument/2006/relationships/hyperlink" Target="http://force.com" TargetMode="External"/><Relationship Id="rId4036" Type="http://schemas.openxmlformats.org/officeDocument/2006/relationships/hyperlink" Target="http://force.com" TargetMode="External"/><Relationship Id="rId299" Type="http://schemas.openxmlformats.org/officeDocument/2006/relationships/hyperlink" Target="http://force.com" TargetMode="External"/><Relationship Id="rId4039" Type="http://schemas.openxmlformats.org/officeDocument/2006/relationships/hyperlink" Target="http://force.com" TargetMode="External"/><Relationship Id="rId5367" Type="http://schemas.openxmlformats.org/officeDocument/2006/relationships/hyperlink" Target="http://force.com" TargetMode="External"/><Relationship Id="rId298" Type="http://schemas.openxmlformats.org/officeDocument/2006/relationships/hyperlink" Target="http://force.com" TargetMode="External"/><Relationship Id="rId4038" Type="http://schemas.openxmlformats.org/officeDocument/2006/relationships/hyperlink" Target="http://force.com" TargetMode="External"/><Relationship Id="rId5368" Type="http://schemas.openxmlformats.org/officeDocument/2006/relationships/hyperlink" Target="http://force.com" TargetMode="External"/><Relationship Id="rId5390" Type="http://schemas.openxmlformats.org/officeDocument/2006/relationships/hyperlink" Target="http://force.com" TargetMode="External"/><Relationship Id="rId5391" Type="http://schemas.openxmlformats.org/officeDocument/2006/relationships/hyperlink" Target="http://force.com" TargetMode="External"/><Relationship Id="rId4060" Type="http://schemas.openxmlformats.org/officeDocument/2006/relationships/hyperlink" Target="http://force.com" TargetMode="External"/><Relationship Id="rId4062" Type="http://schemas.openxmlformats.org/officeDocument/2006/relationships/hyperlink" Target="http://force.com" TargetMode="External"/><Relationship Id="rId5394" Type="http://schemas.openxmlformats.org/officeDocument/2006/relationships/hyperlink" Target="http://force.com" TargetMode="External"/><Relationship Id="rId4061" Type="http://schemas.openxmlformats.org/officeDocument/2006/relationships/hyperlink" Target="http://force.com" TargetMode="External"/><Relationship Id="rId5395" Type="http://schemas.openxmlformats.org/officeDocument/2006/relationships/hyperlink" Target="http://force.com" TargetMode="External"/><Relationship Id="rId4064" Type="http://schemas.openxmlformats.org/officeDocument/2006/relationships/hyperlink" Target="http://force.com" TargetMode="External"/><Relationship Id="rId5392" Type="http://schemas.openxmlformats.org/officeDocument/2006/relationships/hyperlink" Target="http://force.com" TargetMode="External"/><Relationship Id="rId4063" Type="http://schemas.openxmlformats.org/officeDocument/2006/relationships/hyperlink" Target="http://force.com" TargetMode="External"/><Relationship Id="rId5393" Type="http://schemas.openxmlformats.org/officeDocument/2006/relationships/hyperlink" Target="http://force.com" TargetMode="External"/><Relationship Id="rId4066" Type="http://schemas.openxmlformats.org/officeDocument/2006/relationships/hyperlink" Target="http://force.com" TargetMode="External"/><Relationship Id="rId5398" Type="http://schemas.openxmlformats.org/officeDocument/2006/relationships/hyperlink" Target="http://force.com" TargetMode="External"/><Relationship Id="rId4065" Type="http://schemas.openxmlformats.org/officeDocument/2006/relationships/hyperlink" Target="http://force.com" TargetMode="External"/><Relationship Id="rId5399" Type="http://schemas.openxmlformats.org/officeDocument/2006/relationships/hyperlink" Target="http://force.com" TargetMode="External"/><Relationship Id="rId4068" Type="http://schemas.openxmlformats.org/officeDocument/2006/relationships/hyperlink" Target="http://force.com" TargetMode="External"/><Relationship Id="rId5396" Type="http://schemas.openxmlformats.org/officeDocument/2006/relationships/hyperlink" Target="http://force.com" TargetMode="External"/><Relationship Id="rId4067" Type="http://schemas.openxmlformats.org/officeDocument/2006/relationships/hyperlink" Target="http://force.com" TargetMode="External"/><Relationship Id="rId5397" Type="http://schemas.openxmlformats.org/officeDocument/2006/relationships/hyperlink" Target="http://force.com" TargetMode="External"/><Relationship Id="rId4069" Type="http://schemas.openxmlformats.org/officeDocument/2006/relationships/hyperlink" Target="http://force.com" TargetMode="External"/><Relationship Id="rId5380" Type="http://schemas.openxmlformats.org/officeDocument/2006/relationships/hyperlink" Target="http://force.com" TargetMode="External"/><Relationship Id="rId4051" Type="http://schemas.openxmlformats.org/officeDocument/2006/relationships/hyperlink" Target="http://force.com" TargetMode="External"/><Relationship Id="rId5383" Type="http://schemas.openxmlformats.org/officeDocument/2006/relationships/hyperlink" Target="http://force.com" TargetMode="External"/><Relationship Id="rId4050" Type="http://schemas.openxmlformats.org/officeDocument/2006/relationships/hyperlink" Target="http://force.com" TargetMode="External"/><Relationship Id="rId5384" Type="http://schemas.openxmlformats.org/officeDocument/2006/relationships/hyperlink" Target="http://force.com" TargetMode="External"/><Relationship Id="rId4053" Type="http://schemas.openxmlformats.org/officeDocument/2006/relationships/hyperlink" Target="http://force.com" TargetMode="External"/><Relationship Id="rId5381" Type="http://schemas.openxmlformats.org/officeDocument/2006/relationships/hyperlink" Target="http://force.com" TargetMode="External"/><Relationship Id="rId4052" Type="http://schemas.openxmlformats.org/officeDocument/2006/relationships/hyperlink" Target="http://force.com" TargetMode="External"/><Relationship Id="rId5382" Type="http://schemas.openxmlformats.org/officeDocument/2006/relationships/hyperlink" Target="http://force.com" TargetMode="External"/><Relationship Id="rId4055" Type="http://schemas.openxmlformats.org/officeDocument/2006/relationships/hyperlink" Target="http://force.com" TargetMode="External"/><Relationship Id="rId5387" Type="http://schemas.openxmlformats.org/officeDocument/2006/relationships/hyperlink" Target="http://force.com" TargetMode="External"/><Relationship Id="rId4054" Type="http://schemas.openxmlformats.org/officeDocument/2006/relationships/hyperlink" Target="http://force.com" TargetMode="External"/><Relationship Id="rId5388" Type="http://schemas.openxmlformats.org/officeDocument/2006/relationships/hyperlink" Target="http://force.com" TargetMode="External"/><Relationship Id="rId4057" Type="http://schemas.openxmlformats.org/officeDocument/2006/relationships/hyperlink" Target="http://force.com" TargetMode="External"/><Relationship Id="rId5385" Type="http://schemas.openxmlformats.org/officeDocument/2006/relationships/hyperlink" Target="http://force.com" TargetMode="External"/><Relationship Id="rId4056" Type="http://schemas.openxmlformats.org/officeDocument/2006/relationships/hyperlink" Target="http://force.com" TargetMode="External"/><Relationship Id="rId5386" Type="http://schemas.openxmlformats.org/officeDocument/2006/relationships/hyperlink" Target="http://force.com" TargetMode="External"/><Relationship Id="rId4059" Type="http://schemas.openxmlformats.org/officeDocument/2006/relationships/hyperlink" Target="http://force.com" TargetMode="External"/><Relationship Id="rId4058" Type="http://schemas.openxmlformats.org/officeDocument/2006/relationships/hyperlink" Target="http://force.com" TargetMode="External"/><Relationship Id="rId5389" Type="http://schemas.openxmlformats.org/officeDocument/2006/relationships/hyperlink" Target="http://force.com" TargetMode="External"/><Relationship Id="rId4008" Type="http://schemas.openxmlformats.org/officeDocument/2006/relationships/hyperlink" Target="http://force.com" TargetMode="External"/><Relationship Id="rId4007" Type="http://schemas.openxmlformats.org/officeDocument/2006/relationships/hyperlink" Target="http://force.com" TargetMode="External"/><Relationship Id="rId5338" Type="http://schemas.openxmlformats.org/officeDocument/2006/relationships/hyperlink" Target="http://force.com" TargetMode="External"/><Relationship Id="rId4009" Type="http://schemas.openxmlformats.org/officeDocument/2006/relationships/hyperlink" Target="http://force.com" TargetMode="External"/><Relationship Id="rId5339" Type="http://schemas.openxmlformats.org/officeDocument/2006/relationships/hyperlink" Target="http://force.com" TargetMode="External"/><Relationship Id="rId271" Type="http://schemas.openxmlformats.org/officeDocument/2006/relationships/hyperlink" Target="http://force.com" TargetMode="External"/><Relationship Id="rId270" Type="http://schemas.openxmlformats.org/officeDocument/2006/relationships/hyperlink" Target="http://force.com" TargetMode="External"/><Relationship Id="rId269" Type="http://schemas.openxmlformats.org/officeDocument/2006/relationships/hyperlink" Target="http://force.com" TargetMode="External"/><Relationship Id="rId264" Type="http://schemas.openxmlformats.org/officeDocument/2006/relationships/hyperlink" Target="http://force.com" TargetMode="External"/><Relationship Id="rId4000" Type="http://schemas.openxmlformats.org/officeDocument/2006/relationships/hyperlink" Target="http://force.com" TargetMode="External"/><Relationship Id="rId5332" Type="http://schemas.openxmlformats.org/officeDocument/2006/relationships/hyperlink" Target="http://force.com" TargetMode="External"/><Relationship Id="rId263" Type="http://schemas.openxmlformats.org/officeDocument/2006/relationships/hyperlink" Target="http://force.com" TargetMode="External"/><Relationship Id="rId5333" Type="http://schemas.openxmlformats.org/officeDocument/2006/relationships/hyperlink" Target="http://force.com" TargetMode="External"/><Relationship Id="rId262" Type="http://schemas.openxmlformats.org/officeDocument/2006/relationships/hyperlink" Target="http://force.com" TargetMode="External"/><Relationship Id="rId4002" Type="http://schemas.openxmlformats.org/officeDocument/2006/relationships/hyperlink" Target="http://force.com" TargetMode="External"/><Relationship Id="rId5330" Type="http://schemas.openxmlformats.org/officeDocument/2006/relationships/hyperlink" Target="http://force.com" TargetMode="External"/><Relationship Id="rId261" Type="http://schemas.openxmlformats.org/officeDocument/2006/relationships/hyperlink" Target="http://force.com" TargetMode="External"/><Relationship Id="rId4001" Type="http://schemas.openxmlformats.org/officeDocument/2006/relationships/hyperlink" Target="http://force.com" TargetMode="External"/><Relationship Id="rId5331" Type="http://schemas.openxmlformats.org/officeDocument/2006/relationships/hyperlink" Target="http://force.com" TargetMode="External"/><Relationship Id="rId268" Type="http://schemas.openxmlformats.org/officeDocument/2006/relationships/hyperlink" Target="http://force.com" TargetMode="External"/><Relationship Id="rId4004" Type="http://schemas.openxmlformats.org/officeDocument/2006/relationships/hyperlink" Target="http://force.com" TargetMode="External"/><Relationship Id="rId5336" Type="http://schemas.openxmlformats.org/officeDocument/2006/relationships/hyperlink" Target="http://force.com" TargetMode="External"/><Relationship Id="rId267" Type="http://schemas.openxmlformats.org/officeDocument/2006/relationships/hyperlink" Target="http://force.com" TargetMode="External"/><Relationship Id="rId4003" Type="http://schemas.openxmlformats.org/officeDocument/2006/relationships/hyperlink" Target="http://force.com" TargetMode="External"/><Relationship Id="rId5337" Type="http://schemas.openxmlformats.org/officeDocument/2006/relationships/hyperlink" Target="http://force.com" TargetMode="External"/><Relationship Id="rId266" Type="http://schemas.openxmlformats.org/officeDocument/2006/relationships/hyperlink" Target="http://force.com" TargetMode="External"/><Relationship Id="rId4006" Type="http://schemas.openxmlformats.org/officeDocument/2006/relationships/hyperlink" Target="http://force.com" TargetMode="External"/><Relationship Id="rId5334" Type="http://schemas.openxmlformats.org/officeDocument/2006/relationships/hyperlink" Target="http://force.com" TargetMode="External"/><Relationship Id="rId265" Type="http://schemas.openxmlformats.org/officeDocument/2006/relationships/hyperlink" Target="http://force.com" TargetMode="External"/><Relationship Id="rId4005" Type="http://schemas.openxmlformats.org/officeDocument/2006/relationships/hyperlink" Target="http://force.com" TargetMode="External"/><Relationship Id="rId5335" Type="http://schemas.openxmlformats.org/officeDocument/2006/relationships/hyperlink" Target="http://force.com" TargetMode="External"/><Relationship Id="rId5329" Type="http://schemas.openxmlformats.org/officeDocument/2006/relationships/hyperlink" Target="http://force.com" TargetMode="External"/><Relationship Id="rId5327" Type="http://schemas.openxmlformats.org/officeDocument/2006/relationships/hyperlink" Target="http://force.com" TargetMode="External"/><Relationship Id="rId5328" Type="http://schemas.openxmlformats.org/officeDocument/2006/relationships/hyperlink" Target="http://force.com" TargetMode="External"/><Relationship Id="rId260" Type="http://schemas.openxmlformats.org/officeDocument/2006/relationships/hyperlink" Target="http://force.com" TargetMode="External"/><Relationship Id="rId259" Type="http://schemas.openxmlformats.org/officeDocument/2006/relationships/hyperlink" Target="http://force.com" TargetMode="External"/><Relationship Id="rId258" Type="http://schemas.openxmlformats.org/officeDocument/2006/relationships/hyperlink" Target="http://force.com" TargetMode="External"/><Relationship Id="rId2290" Type="http://schemas.openxmlformats.org/officeDocument/2006/relationships/hyperlink" Target="http://force.com" TargetMode="External"/><Relationship Id="rId2291" Type="http://schemas.openxmlformats.org/officeDocument/2006/relationships/hyperlink" Target="http://force.com" TargetMode="External"/><Relationship Id="rId2292" Type="http://schemas.openxmlformats.org/officeDocument/2006/relationships/hyperlink" Target="http://force.com" TargetMode="External"/><Relationship Id="rId2293" Type="http://schemas.openxmlformats.org/officeDocument/2006/relationships/hyperlink" Target="http://force.com" TargetMode="External"/><Relationship Id="rId253" Type="http://schemas.openxmlformats.org/officeDocument/2006/relationships/hyperlink" Target="http://force.com" TargetMode="External"/><Relationship Id="rId2294" Type="http://schemas.openxmlformats.org/officeDocument/2006/relationships/hyperlink" Target="http://force.com" TargetMode="External"/><Relationship Id="rId5321" Type="http://schemas.openxmlformats.org/officeDocument/2006/relationships/hyperlink" Target="http://force.com" TargetMode="External"/><Relationship Id="rId252" Type="http://schemas.openxmlformats.org/officeDocument/2006/relationships/hyperlink" Target="http://force.com" TargetMode="External"/><Relationship Id="rId2295" Type="http://schemas.openxmlformats.org/officeDocument/2006/relationships/hyperlink" Target="http://force.com" TargetMode="External"/><Relationship Id="rId5322" Type="http://schemas.openxmlformats.org/officeDocument/2006/relationships/hyperlink" Target="http://force.com" TargetMode="External"/><Relationship Id="rId251" Type="http://schemas.openxmlformats.org/officeDocument/2006/relationships/hyperlink" Target="http://force.com" TargetMode="External"/><Relationship Id="rId2296" Type="http://schemas.openxmlformats.org/officeDocument/2006/relationships/hyperlink" Target="http://force.com" TargetMode="External"/><Relationship Id="rId250" Type="http://schemas.openxmlformats.org/officeDocument/2006/relationships/hyperlink" Target="http://force.com" TargetMode="External"/><Relationship Id="rId2297" Type="http://schemas.openxmlformats.org/officeDocument/2006/relationships/hyperlink" Target="http://force.com" TargetMode="External"/><Relationship Id="rId5320" Type="http://schemas.openxmlformats.org/officeDocument/2006/relationships/hyperlink" Target="http://force.com" TargetMode="External"/><Relationship Id="rId257" Type="http://schemas.openxmlformats.org/officeDocument/2006/relationships/hyperlink" Target="http://force.com" TargetMode="External"/><Relationship Id="rId2298" Type="http://schemas.openxmlformats.org/officeDocument/2006/relationships/hyperlink" Target="http://force.com" TargetMode="External"/><Relationship Id="rId5325" Type="http://schemas.openxmlformats.org/officeDocument/2006/relationships/hyperlink" Target="http://force.com" TargetMode="External"/><Relationship Id="rId256" Type="http://schemas.openxmlformats.org/officeDocument/2006/relationships/hyperlink" Target="http://force.com" TargetMode="External"/><Relationship Id="rId2299" Type="http://schemas.openxmlformats.org/officeDocument/2006/relationships/hyperlink" Target="http://force.com" TargetMode="External"/><Relationship Id="rId5326" Type="http://schemas.openxmlformats.org/officeDocument/2006/relationships/hyperlink" Target="http://force.com" TargetMode="External"/><Relationship Id="rId255" Type="http://schemas.openxmlformats.org/officeDocument/2006/relationships/hyperlink" Target="http://force.com" TargetMode="External"/><Relationship Id="rId5323" Type="http://schemas.openxmlformats.org/officeDocument/2006/relationships/hyperlink" Target="http://force.com" TargetMode="External"/><Relationship Id="rId254" Type="http://schemas.openxmlformats.org/officeDocument/2006/relationships/hyperlink" Target="http://force.com" TargetMode="External"/><Relationship Id="rId5324" Type="http://schemas.openxmlformats.org/officeDocument/2006/relationships/hyperlink" Target="http://force.com" TargetMode="External"/><Relationship Id="rId4029" Type="http://schemas.openxmlformats.org/officeDocument/2006/relationships/hyperlink" Target="http://force.com" TargetMode="External"/><Relationship Id="rId293" Type="http://schemas.openxmlformats.org/officeDocument/2006/relationships/hyperlink" Target="http://force.com" TargetMode="External"/><Relationship Id="rId292" Type="http://schemas.openxmlformats.org/officeDocument/2006/relationships/hyperlink" Target="http://force.com" TargetMode="External"/><Relationship Id="rId291" Type="http://schemas.openxmlformats.org/officeDocument/2006/relationships/hyperlink" Target="http://force.com" TargetMode="External"/><Relationship Id="rId290" Type="http://schemas.openxmlformats.org/officeDocument/2006/relationships/hyperlink" Target="http://force.com" TargetMode="External"/><Relationship Id="rId5350" Type="http://schemas.openxmlformats.org/officeDocument/2006/relationships/hyperlink" Target="http://force.com" TargetMode="External"/><Relationship Id="rId5351" Type="http://schemas.openxmlformats.org/officeDocument/2006/relationships/hyperlink" Target="http://force.com" TargetMode="External"/><Relationship Id="rId4020" Type="http://schemas.openxmlformats.org/officeDocument/2006/relationships/hyperlink" Target="http://force.com" TargetMode="External"/><Relationship Id="rId286" Type="http://schemas.openxmlformats.org/officeDocument/2006/relationships/hyperlink" Target="http://force.com" TargetMode="External"/><Relationship Id="rId4022" Type="http://schemas.openxmlformats.org/officeDocument/2006/relationships/hyperlink" Target="http://force.com" TargetMode="External"/><Relationship Id="rId5354" Type="http://schemas.openxmlformats.org/officeDocument/2006/relationships/hyperlink" Target="http://force.com" TargetMode="External"/><Relationship Id="rId285" Type="http://schemas.openxmlformats.org/officeDocument/2006/relationships/hyperlink" Target="http://force.com" TargetMode="External"/><Relationship Id="rId4021" Type="http://schemas.openxmlformats.org/officeDocument/2006/relationships/hyperlink" Target="http://force.com" TargetMode="External"/><Relationship Id="rId5355" Type="http://schemas.openxmlformats.org/officeDocument/2006/relationships/hyperlink" Target="http://force.com" TargetMode="External"/><Relationship Id="rId284" Type="http://schemas.openxmlformats.org/officeDocument/2006/relationships/hyperlink" Target="http://force.com" TargetMode="External"/><Relationship Id="rId4024" Type="http://schemas.openxmlformats.org/officeDocument/2006/relationships/hyperlink" Target="http://force.com" TargetMode="External"/><Relationship Id="rId5352" Type="http://schemas.openxmlformats.org/officeDocument/2006/relationships/hyperlink" Target="http://force.com" TargetMode="External"/><Relationship Id="rId283" Type="http://schemas.openxmlformats.org/officeDocument/2006/relationships/hyperlink" Target="http://force.com" TargetMode="External"/><Relationship Id="rId4023" Type="http://schemas.openxmlformats.org/officeDocument/2006/relationships/hyperlink" Target="http://force.com" TargetMode="External"/><Relationship Id="rId5353" Type="http://schemas.openxmlformats.org/officeDocument/2006/relationships/hyperlink" Target="http://force.com" TargetMode="External"/><Relationship Id="rId4026" Type="http://schemas.openxmlformats.org/officeDocument/2006/relationships/hyperlink" Target="http://force.com" TargetMode="External"/><Relationship Id="rId5358" Type="http://schemas.openxmlformats.org/officeDocument/2006/relationships/hyperlink" Target="http://force.com" TargetMode="External"/><Relationship Id="rId289" Type="http://schemas.openxmlformats.org/officeDocument/2006/relationships/hyperlink" Target="http://force.com" TargetMode="External"/><Relationship Id="rId4025" Type="http://schemas.openxmlformats.org/officeDocument/2006/relationships/hyperlink" Target="http://force.com" TargetMode="External"/><Relationship Id="rId5359" Type="http://schemas.openxmlformats.org/officeDocument/2006/relationships/hyperlink" Target="http://force.com" TargetMode="External"/><Relationship Id="rId288" Type="http://schemas.openxmlformats.org/officeDocument/2006/relationships/hyperlink" Target="http://force.com" TargetMode="External"/><Relationship Id="rId4028" Type="http://schemas.openxmlformats.org/officeDocument/2006/relationships/hyperlink" Target="http://force.com" TargetMode="External"/><Relationship Id="rId5356" Type="http://schemas.openxmlformats.org/officeDocument/2006/relationships/hyperlink" Target="http://force.com" TargetMode="External"/><Relationship Id="rId287" Type="http://schemas.openxmlformats.org/officeDocument/2006/relationships/hyperlink" Target="http://force.com" TargetMode="External"/><Relationship Id="rId4027" Type="http://schemas.openxmlformats.org/officeDocument/2006/relationships/hyperlink" Target="http://force.com" TargetMode="External"/><Relationship Id="rId5357" Type="http://schemas.openxmlformats.org/officeDocument/2006/relationships/hyperlink" Target="http://force.com" TargetMode="External"/><Relationship Id="rId4019" Type="http://schemas.openxmlformats.org/officeDocument/2006/relationships/hyperlink" Target="http://force.com" TargetMode="External"/><Relationship Id="rId4018" Type="http://schemas.openxmlformats.org/officeDocument/2006/relationships/hyperlink" Target="http://force.com" TargetMode="External"/><Relationship Id="rId5349" Type="http://schemas.openxmlformats.org/officeDocument/2006/relationships/hyperlink" Target="http://force.com" TargetMode="External"/><Relationship Id="rId282" Type="http://schemas.openxmlformats.org/officeDocument/2006/relationships/hyperlink" Target="http://force.com" TargetMode="External"/><Relationship Id="rId281" Type="http://schemas.openxmlformats.org/officeDocument/2006/relationships/hyperlink" Target="http://force.com" TargetMode="External"/><Relationship Id="rId280" Type="http://schemas.openxmlformats.org/officeDocument/2006/relationships/hyperlink" Target="http://force.com" TargetMode="External"/><Relationship Id="rId5340" Type="http://schemas.openxmlformats.org/officeDocument/2006/relationships/hyperlink" Target="http://force.com" TargetMode="External"/><Relationship Id="rId275" Type="http://schemas.openxmlformats.org/officeDocument/2006/relationships/hyperlink" Target="http://force.com" TargetMode="External"/><Relationship Id="rId4011" Type="http://schemas.openxmlformats.org/officeDocument/2006/relationships/hyperlink" Target="http://force.com" TargetMode="External"/><Relationship Id="rId5343" Type="http://schemas.openxmlformats.org/officeDocument/2006/relationships/hyperlink" Target="http://force.com" TargetMode="External"/><Relationship Id="rId274" Type="http://schemas.openxmlformats.org/officeDocument/2006/relationships/hyperlink" Target="http://force.com" TargetMode="External"/><Relationship Id="rId4010" Type="http://schemas.openxmlformats.org/officeDocument/2006/relationships/hyperlink" Target="http://force.com" TargetMode="External"/><Relationship Id="rId5344" Type="http://schemas.openxmlformats.org/officeDocument/2006/relationships/hyperlink" Target="http://force.com" TargetMode="External"/><Relationship Id="rId273" Type="http://schemas.openxmlformats.org/officeDocument/2006/relationships/hyperlink" Target="http://force.com" TargetMode="External"/><Relationship Id="rId4013" Type="http://schemas.openxmlformats.org/officeDocument/2006/relationships/hyperlink" Target="http://force.com" TargetMode="External"/><Relationship Id="rId5341" Type="http://schemas.openxmlformats.org/officeDocument/2006/relationships/hyperlink" Target="http://force.com" TargetMode="External"/><Relationship Id="rId272" Type="http://schemas.openxmlformats.org/officeDocument/2006/relationships/hyperlink" Target="http://force.com" TargetMode="External"/><Relationship Id="rId4012" Type="http://schemas.openxmlformats.org/officeDocument/2006/relationships/hyperlink" Target="http://force.com" TargetMode="External"/><Relationship Id="rId5342" Type="http://schemas.openxmlformats.org/officeDocument/2006/relationships/hyperlink" Target="http://force.com" TargetMode="External"/><Relationship Id="rId279" Type="http://schemas.openxmlformats.org/officeDocument/2006/relationships/hyperlink" Target="http://force.com" TargetMode="External"/><Relationship Id="rId4015" Type="http://schemas.openxmlformats.org/officeDocument/2006/relationships/hyperlink" Target="http://force.com" TargetMode="External"/><Relationship Id="rId5347" Type="http://schemas.openxmlformats.org/officeDocument/2006/relationships/hyperlink" Target="http://force.com" TargetMode="External"/><Relationship Id="rId278" Type="http://schemas.openxmlformats.org/officeDocument/2006/relationships/hyperlink" Target="http://force.com" TargetMode="External"/><Relationship Id="rId4014" Type="http://schemas.openxmlformats.org/officeDocument/2006/relationships/hyperlink" Target="http://force.com" TargetMode="External"/><Relationship Id="rId5348" Type="http://schemas.openxmlformats.org/officeDocument/2006/relationships/hyperlink" Target="http://force.com" TargetMode="External"/><Relationship Id="rId277" Type="http://schemas.openxmlformats.org/officeDocument/2006/relationships/hyperlink" Target="http://force.com" TargetMode="External"/><Relationship Id="rId4017" Type="http://schemas.openxmlformats.org/officeDocument/2006/relationships/hyperlink" Target="http://force.com" TargetMode="External"/><Relationship Id="rId5345" Type="http://schemas.openxmlformats.org/officeDocument/2006/relationships/hyperlink" Target="http://force.com" TargetMode="External"/><Relationship Id="rId276" Type="http://schemas.openxmlformats.org/officeDocument/2006/relationships/hyperlink" Target="http://force.com" TargetMode="External"/><Relationship Id="rId4016" Type="http://schemas.openxmlformats.org/officeDocument/2006/relationships/hyperlink" Target="http://force.com" TargetMode="External"/><Relationship Id="rId5346" Type="http://schemas.openxmlformats.org/officeDocument/2006/relationships/hyperlink" Target="http://force.com" TargetMode="External"/><Relationship Id="rId1851" Type="http://schemas.openxmlformats.org/officeDocument/2006/relationships/hyperlink" Target="http://force.com" TargetMode="External"/><Relationship Id="rId1852" Type="http://schemas.openxmlformats.org/officeDocument/2006/relationships/hyperlink" Target="http://force.com" TargetMode="External"/><Relationship Id="rId1853" Type="http://schemas.openxmlformats.org/officeDocument/2006/relationships/hyperlink" Target="http://force.com" TargetMode="External"/><Relationship Id="rId1854" Type="http://schemas.openxmlformats.org/officeDocument/2006/relationships/hyperlink" Target="http://force.com" TargetMode="External"/><Relationship Id="rId1855" Type="http://schemas.openxmlformats.org/officeDocument/2006/relationships/hyperlink" Target="http://force.com" TargetMode="External"/><Relationship Id="rId1856" Type="http://schemas.openxmlformats.org/officeDocument/2006/relationships/hyperlink" Target="http://force.com" TargetMode="External"/><Relationship Id="rId1857" Type="http://schemas.openxmlformats.org/officeDocument/2006/relationships/hyperlink" Target="http://force.com" TargetMode="External"/><Relationship Id="rId1858" Type="http://schemas.openxmlformats.org/officeDocument/2006/relationships/hyperlink" Target="http://force.com" TargetMode="External"/><Relationship Id="rId1859" Type="http://schemas.openxmlformats.org/officeDocument/2006/relationships/hyperlink" Target="http://force.com" TargetMode="External"/><Relationship Id="rId1850" Type="http://schemas.openxmlformats.org/officeDocument/2006/relationships/hyperlink" Target="http://force.com" TargetMode="External"/><Relationship Id="rId1840" Type="http://schemas.openxmlformats.org/officeDocument/2006/relationships/hyperlink" Target="http://force.com" TargetMode="External"/><Relationship Id="rId1841" Type="http://schemas.openxmlformats.org/officeDocument/2006/relationships/hyperlink" Target="http://force.com" TargetMode="External"/><Relationship Id="rId1842" Type="http://schemas.openxmlformats.org/officeDocument/2006/relationships/hyperlink" Target="http://force.com" TargetMode="External"/><Relationship Id="rId1843" Type="http://schemas.openxmlformats.org/officeDocument/2006/relationships/hyperlink" Target="http://force.com" TargetMode="External"/><Relationship Id="rId1844" Type="http://schemas.openxmlformats.org/officeDocument/2006/relationships/hyperlink" Target="http://force.com" TargetMode="External"/><Relationship Id="rId1845" Type="http://schemas.openxmlformats.org/officeDocument/2006/relationships/hyperlink" Target="http://force.com" TargetMode="External"/><Relationship Id="rId1846" Type="http://schemas.openxmlformats.org/officeDocument/2006/relationships/hyperlink" Target="http://force.com" TargetMode="External"/><Relationship Id="rId1847" Type="http://schemas.openxmlformats.org/officeDocument/2006/relationships/hyperlink" Target="http://force.com" TargetMode="External"/><Relationship Id="rId1848" Type="http://schemas.openxmlformats.org/officeDocument/2006/relationships/hyperlink" Target="http://force.com" TargetMode="External"/><Relationship Id="rId1849" Type="http://schemas.openxmlformats.org/officeDocument/2006/relationships/hyperlink" Target="http://force.com" TargetMode="External"/><Relationship Id="rId1873" Type="http://schemas.openxmlformats.org/officeDocument/2006/relationships/hyperlink" Target="http://force.com" TargetMode="External"/><Relationship Id="rId1874" Type="http://schemas.openxmlformats.org/officeDocument/2006/relationships/hyperlink" Target="http://force.com" TargetMode="External"/><Relationship Id="rId1875" Type="http://schemas.openxmlformats.org/officeDocument/2006/relationships/hyperlink" Target="http://force.com" TargetMode="External"/><Relationship Id="rId4901" Type="http://schemas.openxmlformats.org/officeDocument/2006/relationships/hyperlink" Target="http://force.com" TargetMode="External"/><Relationship Id="rId1876" Type="http://schemas.openxmlformats.org/officeDocument/2006/relationships/hyperlink" Target="http://force.com" TargetMode="External"/><Relationship Id="rId4900" Type="http://schemas.openxmlformats.org/officeDocument/2006/relationships/hyperlink" Target="http://force.com" TargetMode="External"/><Relationship Id="rId1877" Type="http://schemas.openxmlformats.org/officeDocument/2006/relationships/hyperlink" Target="http://force.com" TargetMode="External"/><Relationship Id="rId4903" Type="http://schemas.openxmlformats.org/officeDocument/2006/relationships/hyperlink" Target="http://force.com" TargetMode="External"/><Relationship Id="rId1878" Type="http://schemas.openxmlformats.org/officeDocument/2006/relationships/hyperlink" Target="http://force.com" TargetMode="External"/><Relationship Id="rId4902" Type="http://schemas.openxmlformats.org/officeDocument/2006/relationships/hyperlink" Target="http://force.com" TargetMode="External"/><Relationship Id="rId1879" Type="http://schemas.openxmlformats.org/officeDocument/2006/relationships/hyperlink" Target="http://force.com" TargetMode="External"/><Relationship Id="rId4905" Type="http://schemas.openxmlformats.org/officeDocument/2006/relationships/hyperlink" Target="http://force.com" TargetMode="External"/><Relationship Id="rId4904" Type="http://schemas.openxmlformats.org/officeDocument/2006/relationships/hyperlink" Target="http://force.com" TargetMode="External"/><Relationship Id="rId4907" Type="http://schemas.openxmlformats.org/officeDocument/2006/relationships/hyperlink" Target="http://force.com" TargetMode="External"/><Relationship Id="rId4906" Type="http://schemas.openxmlformats.org/officeDocument/2006/relationships/hyperlink" Target="http://force.com" TargetMode="External"/><Relationship Id="rId4909" Type="http://schemas.openxmlformats.org/officeDocument/2006/relationships/hyperlink" Target="http://force.com" TargetMode="External"/><Relationship Id="rId4908" Type="http://schemas.openxmlformats.org/officeDocument/2006/relationships/hyperlink" Target="http://force.com" TargetMode="External"/><Relationship Id="rId1870" Type="http://schemas.openxmlformats.org/officeDocument/2006/relationships/hyperlink" Target="http://force.com" TargetMode="External"/><Relationship Id="rId1871" Type="http://schemas.openxmlformats.org/officeDocument/2006/relationships/hyperlink" Target="http://force.com" TargetMode="External"/><Relationship Id="rId1872" Type="http://schemas.openxmlformats.org/officeDocument/2006/relationships/hyperlink" Target="http://force.com" TargetMode="External"/><Relationship Id="rId1862" Type="http://schemas.openxmlformats.org/officeDocument/2006/relationships/hyperlink" Target="http://force.com" TargetMode="External"/><Relationship Id="rId1863" Type="http://schemas.openxmlformats.org/officeDocument/2006/relationships/hyperlink" Target="http://force.com" TargetMode="External"/><Relationship Id="rId1864" Type="http://schemas.openxmlformats.org/officeDocument/2006/relationships/hyperlink" Target="http://force.com" TargetMode="External"/><Relationship Id="rId1865" Type="http://schemas.openxmlformats.org/officeDocument/2006/relationships/hyperlink" Target="http://force.com" TargetMode="External"/><Relationship Id="rId1866" Type="http://schemas.openxmlformats.org/officeDocument/2006/relationships/hyperlink" Target="http://force.com" TargetMode="External"/><Relationship Id="rId1867" Type="http://schemas.openxmlformats.org/officeDocument/2006/relationships/hyperlink" Target="http://force.com" TargetMode="External"/><Relationship Id="rId1868" Type="http://schemas.openxmlformats.org/officeDocument/2006/relationships/hyperlink" Target="http://force.com" TargetMode="External"/><Relationship Id="rId1869" Type="http://schemas.openxmlformats.org/officeDocument/2006/relationships/hyperlink" Target="http://force.com" TargetMode="External"/><Relationship Id="rId1860" Type="http://schemas.openxmlformats.org/officeDocument/2006/relationships/hyperlink" Target="http://force.com" TargetMode="External"/><Relationship Id="rId1861" Type="http://schemas.openxmlformats.org/officeDocument/2006/relationships/hyperlink" Target="http://force.com" TargetMode="External"/><Relationship Id="rId1810" Type="http://schemas.openxmlformats.org/officeDocument/2006/relationships/hyperlink" Target="http://force.com" TargetMode="External"/><Relationship Id="rId1811" Type="http://schemas.openxmlformats.org/officeDocument/2006/relationships/hyperlink" Target="http://force.com" TargetMode="External"/><Relationship Id="rId1812" Type="http://schemas.openxmlformats.org/officeDocument/2006/relationships/hyperlink" Target="http://force.com" TargetMode="External"/><Relationship Id="rId1813" Type="http://schemas.openxmlformats.org/officeDocument/2006/relationships/hyperlink" Target="http://force.com" TargetMode="External"/><Relationship Id="rId1814" Type="http://schemas.openxmlformats.org/officeDocument/2006/relationships/hyperlink" Target="http://force.com" TargetMode="External"/><Relationship Id="rId1815" Type="http://schemas.openxmlformats.org/officeDocument/2006/relationships/hyperlink" Target="http://force.com" TargetMode="External"/><Relationship Id="rId1816" Type="http://schemas.openxmlformats.org/officeDocument/2006/relationships/hyperlink" Target="http://force.com" TargetMode="External"/><Relationship Id="rId1817" Type="http://schemas.openxmlformats.org/officeDocument/2006/relationships/hyperlink" Target="http://force.com" TargetMode="External"/><Relationship Id="rId1818" Type="http://schemas.openxmlformats.org/officeDocument/2006/relationships/hyperlink" Target="http://force.com" TargetMode="External"/><Relationship Id="rId1819" Type="http://schemas.openxmlformats.org/officeDocument/2006/relationships/hyperlink" Target="http://force.com" TargetMode="External"/><Relationship Id="rId4080" Type="http://schemas.openxmlformats.org/officeDocument/2006/relationships/hyperlink" Target="http://force.com" TargetMode="External"/><Relationship Id="rId4082" Type="http://schemas.openxmlformats.org/officeDocument/2006/relationships/hyperlink" Target="http://force.com" TargetMode="External"/><Relationship Id="rId4081" Type="http://schemas.openxmlformats.org/officeDocument/2006/relationships/hyperlink" Target="http://force.com" TargetMode="External"/><Relationship Id="rId4084" Type="http://schemas.openxmlformats.org/officeDocument/2006/relationships/hyperlink" Target="http://force.com" TargetMode="External"/><Relationship Id="rId4083" Type="http://schemas.openxmlformats.org/officeDocument/2006/relationships/hyperlink" Target="http://force.com" TargetMode="External"/><Relationship Id="rId4086" Type="http://schemas.openxmlformats.org/officeDocument/2006/relationships/hyperlink" Target="http://force.com" TargetMode="External"/><Relationship Id="rId4085" Type="http://schemas.openxmlformats.org/officeDocument/2006/relationships/hyperlink" Target="http://force.com" TargetMode="External"/><Relationship Id="rId4088" Type="http://schemas.openxmlformats.org/officeDocument/2006/relationships/hyperlink" Target="http://force.com" TargetMode="External"/><Relationship Id="rId4087" Type="http://schemas.openxmlformats.org/officeDocument/2006/relationships/hyperlink" Target="http://force.com" TargetMode="External"/><Relationship Id="rId4089" Type="http://schemas.openxmlformats.org/officeDocument/2006/relationships/hyperlink" Target="http://force.com" TargetMode="External"/><Relationship Id="rId1800" Type="http://schemas.openxmlformats.org/officeDocument/2006/relationships/hyperlink" Target="http://force.com" TargetMode="External"/><Relationship Id="rId1801" Type="http://schemas.openxmlformats.org/officeDocument/2006/relationships/hyperlink" Target="http://force.com" TargetMode="External"/><Relationship Id="rId1802" Type="http://schemas.openxmlformats.org/officeDocument/2006/relationships/hyperlink" Target="http://force.com" TargetMode="External"/><Relationship Id="rId1803" Type="http://schemas.openxmlformats.org/officeDocument/2006/relationships/hyperlink" Target="http://force.com" TargetMode="External"/><Relationship Id="rId1804" Type="http://schemas.openxmlformats.org/officeDocument/2006/relationships/hyperlink" Target="http://force.com" TargetMode="External"/><Relationship Id="rId1805" Type="http://schemas.openxmlformats.org/officeDocument/2006/relationships/hyperlink" Target="http://force.com" TargetMode="External"/><Relationship Id="rId1806" Type="http://schemas.openxmlformats.org/officeDocument/2006/relationships/hyperlink" Target="http://force.com" TargetMode="External"/><Relationship Id="rId1807" Type="http://schemas.openxmlformats.org/officeDocument/2006/relationships/hyperlink" Target="http://force.com" TargetMode="External"/><Relationship Id="rId1808" Type="http://schemas.openxmlformats.org/officeDocument/2006/relationships/hyperlink" Target="http://force.com" TargetMode="External"/><Relationship Id="rId1809" Type="http://schemas.openxmlformats.org/officeDocument/2006/relationships/hyperlink" Target="http://force.com" TargetMode="External"/><Relationship Id="rId4071" Type="http://schemas.openxmlformats.org/officeDocument/2006/relationships/hyperlink" Target="http://force.com" TargetMode="External"/><Relationship Id="rId4070" Type="http://schemas.openxmlformats.org/officeDocument/2006/relationships/hyperlink" Target="http://force.com" TargetMode="External"/><Relationship Id="rId4073" Type="http://schemas.openxmlformats.org/officeDocument/2006/relationships/hyperlink" Target="http://force.com" TargetMode="External"/><Relationship Id="rId4072" Type="http://schemas.openxmlformats.org/officeDocument/2006/relationships/hyperlink" Target="http://force.com" TargetMode="External"/><Relationship Id="rId4075" Type="http://schemas.openxmlformats.org/officeDocument/2006/relationships/hyperlink" Target="http://force.com" TargetMode="External"/><Relationship Id="rId4074" Type="http://schemas.openxmlformats.org/officeDocument/2006/relationships/hyperlink" Target="http://force.com" TargetMode="External"/><Relationship Id="rId4077" Type="http://schemas.openxmlformats.org/officeDocument/2006/relationships/hyperlink" Target="http://force.com" TargetMode="External"/><Relationship Id="rId4076" Type="http://schemas.openxmlformats.org/officeDocument/2006/relationships/hyperlink" Target="http://force.com" TargetMode="External"/><Relationship Id="rId4079" Type="http://schemas.openxmlformats.org/officeDocument/2006/relationships/hyperlink" Target="http://force.com" TargetMode="External"/><Relationship Id="rId4078" Type="http://schemas.openxmlformats.org/officeDocument/2006/relationships/hyperlink" Target="http://force.com" TargetMode="External"/><Relationship Id="rId1830" Type="http://schemas.openxmlformats.org/officeDocument/2006/relationships/hyperlink" Target="http://force.com" TargetMode="External"/><Relationship Id="rId1831" Type="http://schemas.openxmlformats.org/officeDocument/2006/relationships/hyperlink" Target="http://force.com" TargetMode="External"/><Relationship Id="rId1832" Type="http://schemas.openxmlformats.org/officeDocument/2006/relationships/hyperlink" Target="http://force.com" TargetMode="External"/><Relationship Id="rId1833" Type="http://schemas.openxmlformats.org/officeDocument/2006/relationships/hyperlink" Target="http://force.com" TargetMode="External"/><Relationship Id="rId1834" Type="http://schemas.openxmlformats.org/officeDocument/2006/relationships/hyperlink" Target="http://force.com" TargetMode="External"/><Relationship Id="rId1835" Type="http://schemas.openxmlformats.org/officeDocument/2006/relationships/hyperlink" Target="http://force.com" TargetMode="External"/><Relationship Id="rId1836" Type="http://schemas.openxmlformats.org/officeDocument/2006/relationships/hyperlink" Target="http://force.com" TargetMode="External"/><Relationship Id="rId1837" Type="http://schemas.openxmlformats.org/officeDocument/2006/relationships/hyperlink" Target="http://force.com" TargetMode="External"/><Relationship Id="rId1838" Type="http://schemas.openxmlformats.org/officeDocument/2006/relationships/hyperlink" Target="http://force.com" TargetMode="External"/><Relationship Id="rId1839" Type="http://schemas.openxmlformats.org/officeDocument/2006/relationships/hyperlink" Target="http://force.com" TargetMode="External"/><Relationship Id="rId1820" Type="http://schemas.openxmlformats.org/officeDocument/2006/relationships/hyperlink" Target="http://force.com" TargetMode="External"/><Relationship Id="rId1821" Type="http://schemas.openxmlformats.org/officeDocument/2006/relationships/hyperlink" Target="http://force.com" TargetMode="External"/><Relationship Id="rId1822" Type="http://schemas.openxmlformats.org/officeDocument/2006/relationships/hyperlink" Target="http://force.com" TargetMode="External"/><Relationship Id="rId1823" Type="http://schemas.openxmlformats.org/officeDocument/2006/relationships/hyperlink" Target="http://force.com" TargetMode="External"/><Relationship Id="rId1824" Type="http://schemas.openxmlformats.org/officeDocument/2006/relationships/hyperlink" Target="http://force.com" TargetMode="External"/><Relationship Id="rId1825" Type="http://schemas.openxmlformats.org/officeDocument/2006/relationships/hyperlink" Target="http://force.com" TargetMode="External"/><Relationship Id="rId1826" Type="http://schemas.openxmlformats.org/officeDocument/2006/relationships/hyperlink" Target="http://force.com" TargetMode="External"/><Relationship Id="rId1827" Type="http://schemas.openxmlformats.org/officeDocument/2006/relationships/hyperlink" Target="http://force.com" TargetMode="External"/><Relationship Id="rId1828" Type="http://schemas.openxmlformats.org/officeDocument/2006/relationships/hyperlink" Target="http://force.com" TargetMode="External"/><Relationship Id="rId1829" Type="http://schemas.openxmlformats.org/officeDocument/2006/relationships/hyperlink" Target="http://force.com" TargetMode="External"/><Relationship Id="rId4091" Type="http://schemas.openxmlformats.org/officeDocument/2006/relationships/hyperlink" Target="http://force.com" TargetMode="External"/><Relationship Id="rId4090" Type="http://schemas.openxmlformats.org/officeDocument/2006/relationships/hyperlink" Target="http://force.com" TargetMode="External"/><Relationship Id="rId4093" Type="http://schemas.openxmlformats.org/officeDocument/2006/relationships/hyperlink" Target="http://force.com" TargetMode="External"/><Relationship Id="rId4092" Type="http://schemas.openxmlformats.org/officeDocument/2006/relationships/hyperlink" Target="http://force.com" TargetMode="External"/><Relationship Id="rId4095" Type="http://schemas.openxmlformats.org/officeDocument/2006/relationships/hyperlink" Target="http://force.com" TargetMode="External"/><Relationship Id="rId4094" Type="http://schemas.openxmlformats.org/officeDocument/2006/relationships/hyperlink" Target="http://force.com" TargetMode="External"/><Relationship Id="rId4097" Type="http://schemas.openxmlformats.org/officeDocument/2006/relationships/hyperlink" Target="http://force.com" TargetMode="External"/><Relationship Id="rId4096" Type="http://schemas.openxmlformats.org/officeDocument/2006/relationships/hyperlink" Target="http://force.com" TargetMode="External"/><Relationship Id="rId4099" Type="http://schemas.openxmlformats.org/officeDocument/2006/relationships/hyperlink" Target="http://force.com" TargetMode="External"/><Relationship Id="rId4098" Type="http://schemas.openxmlformats.org/officeDocument/2006/relationships/hyperlink" Target="http://force.com" TargetMode="External"/><Relationship Id="rId2302" Type="http://schemas.openxmlformats.org/officeDocument/2006/relationships/hyperlink" Target="http://force.com" TargetMode="External"/><Relationship Id="rId3634" Type="http://schemas.openxmlformats.org/officeDocument/2006/relationships/hyperlink" Target="http://force.com" TargetMode="External"/><Relationship Id="rId4965" Type="http://schemas.openxmlformats.org/officeDocument/2006/relationships/hyperlink" Target="http://force.com" TargetMode="External"/><Relationship Id="rId2303" Type="http://schemas.openxmlformats.org/officeDocument/2006/relationships/hyperlink" Target="http://force.com" TargetMode="External"/><Relationship Id="rId3633" Type="http://schemas.openxmlformats.org/officeDocument/2006/relationships/hyperlink" Target="http://force.com" TargetMode="External"/><Relationship Id="rId4964" Type="http://schemas.openxmlformats.org/officeDocument/2006/relationships/hyperlink" Target="http://force.com" TargetMode="External"/><Relationship Id="rId2304" Type="http://schemas.openxmlformats.org/officeDocument/2006/relationships/hyperlink" Target="http://force.com" TargetMode="External"/><Relationship Id="rId3636" Type="http://schemas.openxmlformats.org/officeDocument/2006/relationships/hyperlink" Target="http://force.com" TargetMode="External"/><Relationship Id="rId4967" Type="http://schemas.openxmlformats.org/officeDocument/2006/relationships/hyperlink" Target="http://force.com" TargetMode="External"/><Relationship Id="rId2305" Type="http://schemas.openxmlformats.org/officeDocument/2006/relationships/hyperlink" Target="http://force.com" TargetMode="External"/><Relationship Id="rId3635" Type="http://schemas.openxmlformats.org/officeDocument/2006/relationships/hyperlink" Target="http://force.com" TargetMode="External"/><Relationship Id="rId4966" Type="http://schemas.openxmlformats.org/officeDocument/2006/relationships/hyperlink" Target="http://force.com" TargetMode="External"/><Relationship Id="rId2306" Type="http://schemas.openxmlformats.org/officeDocument/2006/relationships/hyperlink" Target="http://force.com" TargetMode="External"/><Relationship Id="rId3638" Type="http://schemas.openxmlformats.org/officeDocument/2006/relationships/hyperlink" Target="http://force.com" TargetMode="External"/><Relationship Id="rId4969" Type="http://schemas.openxmlformats.org/officeDocument/2006/relationships/hyperlink" Target="http://force.com" TargetMode="External"/><Relationship Id="rId2307" Type="http://schemas.openxmlformats.org/officeDocument/2006/relationships/hyperlink" Target="http://force.com" TargetMode="External"/><Relationship Id="rId3637" Type="http://schemas.openxmlformats.org/officeDocument/2006/relationships/hyperlink" Target="http://force.com" TargetMode="External"/><Relationship Id="rId4968" Type="http://schemas.openxmlformats.org/officeDocument/2006/relationships/hyperlink" Target="http://force.com" TargetMode="External"/><Relationship Id="rId2308" Type="http://schemas.openxmlformats.org/officeDocument/2006/relationships/hyperlink" Target="http://force.com" TargetMode="External"/><Relationship Id="rId2309" Type="http://schemas.openxmlformats.org/officeDocument/2006/relationships/hyperlink" Target="http://force.com" TargetMode="External"/><Relationship Id="rId3639" Type="http://schemas.openxmlformats.org/officeDocument/2006/relationships/hyperlink" Target="http://force.com" TargetMode="External"/><Relationship Id="rId3630" Type="http://schemas.openxmlformats.org/officeDocument/2006/relationships/hyperlink" Target="http://force.com" TargetMode="External"/><Relationship Id="rId4961" Type="http://schemas.openxmlformats.org/officeDocument/2006/relationships/hyperlink" Target="http://force.com" TargetMode="External"/><Relationship Id="rId4960" Type="http://schemas.openxmlformats.org/officeDocument/2006/relationships/hyperlink" Target="http://force.com" TargetMode="External"/><Relationship Id="rId2300" Type="http://schemas.openxmlformats.org/officeDocument/2006/relationships/hyperlink" Target="http://force.com" TargetMode="External"/><Relationship Id="rId3632" Type="http://schemas.openxmlformats.org/officeDocument/2006/relationships/hyperlink" Target="http://force.com" TargetMode="External"/><Relationship Id="rId4963" Type="http://schemas.openxmlformats.org/officeDocument/2006/relationships/hyperlink" Target="http://force.com" TargetMode="External"/><Relationship Id="rId2301" Type="http://schemas.openxmlformats.org/officeDocument/2006/relationships/hyperlink" Target="http://force.com" TargetMode="External"/><Relationship Id="rId3631" Type="http://schemas.openxmlformats.org/officeDocument/2006/relationships/hyperlink" Target="http://force.com" TargetMode="External"/><Relationship Id="rId4962" Type="http://schemas.openxmlformats.org/officeDocument/2006/relationships/hyperlink" Target="http://force.com" TargetMode="External"/><Relationship Id="rId3623" Type="http://schemas.openxmlformats.org/officeDocument/2006/relationships/hyperlink" Target="http://force.com" TargetMode="External"/><Relationship Id="rId4954" Type="http://schemas.openxmlformats.org/officeDocument/2006/relationships/hyperlink" Target="http://force.com" TargetMode="External"/><Relationship Id="rId3622" Type="http://schemas.openxmlformats.org/officeDocument/2006/relationships/hyperlink" Target="http://force.com" TargetMode="External"/><Relationship Id="rId4953" Type="http://schemas.openxmlformats.org/officeDocument/2006/relationships/hyperlink" Target="http://force.com" TargetMode="External"/><Relationship Id="rId3625" Type="http://schemas.openxmlformats.org/officeDocument/2006/relationships/hyperlink" Target="http://force.com" TargetMode="External"/><Relationship Id="rId4956" Type="http://schemas.openxmlformats.org/officeDocument/2006/relationships/hyperlink" Target="http://force.com" TargetMode="External"/><Relationship Id="rId3624" Type="http://schemas.openxmlformats.org/officeDocument/2006/relationships/hyperlink" Target="http://force.com" TargetMode="External"/><Relationship Id="rId4955" Type="http://schemas.openxmlformats.org/officeDocument/2006/relationships/hyperlink" Target="http://force.com" TargetMode="External"/><Relationship Id="rId3627" Type="http://schemas.openxmlformats.org/officeDocument/2006/relationships/hyperlink" Target="http://force.com" TargetMode="External"/><Relationship Id="rId4958" Type="http://schemas.openxmlformats.org/officeDocument/2006/relationships/hyperlink" Target="http://force.com" TargetMode="External"/><Relationship Id="rId3626" Type="http://schemas.openxmlformats.org/officeDocument/2006/relationships/hyperlink" Target="http://force.com" TargetMode="External"/><Relationship Id="rId4957" Type="http://schemas.openxmlformats.org/officeDocument/2006/relationships/hyperlink" Target="http://force.com" TargetMode="External"/><Relationship Id="rId3629" Type="http://schemas.openxmlformats.org/officeDocument/2006/relationships/hyperlink" Target="http://force.com" TargetMode="External"/><Relationship Id="rId3628" Type="http://schemas.openxmlformats.org/officeDocument/2006/relationships/hyperlink" Target="http://force.com" TargetMode="External"/><Relationship Id="rId4959" Type="http://schemas.openxmlformats.org/officeDocument/2006/relationships/hyperlink" Target="http://force.com" TargetMode="External"/><Relationship Id="rId4950" Type="http://schemas.openxmlformats.org/officeDocument/2006/relationships/hyperlink" Target="http://force.com" TargetMode="External"/><Relationship Id="rId3621" Type="http://schemas.openxmlformats.org/officeDocument/2006/relationships/hyperlink" Target="http://force.com" TargetMode="External"/><Relationship Id="rId4952" Type="http://schemas.openxmlformats.org/officeDocument/2006/relationships/hyperlink" Target="http://force.com" TargetMode="External"/><Relationship Id="rId3620" Type="http://schemas.openxmlformats.org/officeDocument/2006/relationships/hyperlink" Target="http://force.com" TargetMode="External"/><Relationship Id="rId4951" Type="http://schemas.openxmlformats.org/officeDocument/2006/relationships/hyperlink" Target="http://force.com" TargetMode="External"/><Relationship Id="rId2324" Type="http://schemas.openxmlformats.org/officeDocument/2006/relationships/hyperlink" Target="http://force.com" TargetMode="External"/><Relationship Id="rId3656" Type="http://schemas.openxmlformats.org/officeDocument/2006/relationships/hyperlink" Target="http://force.com" TargetMode="External"/><Relationship Id="rId4987" Type="http://schemas.openxmlformats.org/officeDocument/2006/relationships/hyperlink" Target="http://force.com" TargetMode="External"/><Relationship Id="rId2325" Type="http://schemas.openxmlformats.org/officeDocument/2006/relationships/hyperlink" Target="http://force.com" TargetMode="External"/><Relationship Id="rId3655" Type="http://schemas.openxmlformats.org/officeDocument/2006/relationships/hyperlink" Target="http://force.com" TargetMode="External"/><Relationship Id="rId4986" Type="http://schemas.openxmlformats.org/officeDocument/2006/relationships/hyperlink" Target="http://force.com" TargetMode="External"/><Relationship Id="rId2326" Type="http://schemas.openxmlformats.org/officeDocument/2006/relationships/hyperlink" Target="http://force.com" TargetMode="External"/><Relationship Id="rId3658" Type="http://schemas.openxmlformats.org/officeDocument/2006/relationships/hyperlink" Target="http://force.com" TargetMode="External"/><Relationship Id="rId4989" Type="http://schemas.openxmlformats.org/officeDocument/2006/relationships/hyperlink" Target="http://force.com" TargetMode="External"/><Relationship Id="rId2327" Type="http://schemas.openxmlformats.org/officeDocument/2006/relationships/hyperlink" Target="http://force.com" TargetMode="External"/><Relationship Id="rId3657" Type="http://schemas.openxmlformats.org/officeDocument/2006/relationships/hyperlink" Target="http://force.com" TargetMode="External"/><Relationship Id="rId4988" Type="http://schemas.openxmlformats.org/officeDocument/2006/relationships/hyperlink" Target="http://force.com" TargetMode="External"/><Relationship Id="rId2328" Type="http://schemas.openxmlformats.org/officeDocument/2006/relationships/hyperlink" Target="http://force.com" TargetMode="External"/><Relationship Id="rId2329" Type="http://schemas.openxmlformats.org/officeDocument/2006/relationships/hyperlink" Target="http://force.com" TargetMode="External"/><Relationship Id="rId3659" Type="http://schemas.openxmlformats.org/officeDocument/2006/relationships/hyperlink" Target="http://force.com" TargetMode="External"/><Relationship Id="rId3650" Type="http://schemas.openxmlformats.org/officeDocument/2006/relationships/hyperlink" Target="http://force.com" TargetMode="External"/><Relationship Id="rId4981" Type="http://schemas.openxmlformats.org/officeDocument/2006/relationships/hyperlink" Target="http://force.com" TargetMode="External"/><Relationship Id="rId4980" Type="http://schemas.openxmlformats.org/officeDocument/2006/relationships/hyperlink" Target="http://force.com" TargetMode="External"/><Relationship Id="rId2320" Type="http://schemas.openxmlformats.org/officeDocument/2006/relationships/hyperlink" Target="http://force.com" TargetMode="External"/><Relationship Id="rId3652" Type="http://schemas.openxmlformats.org/officeDocument/2006/relationships/hyperlink" Target="http://force.com" TargetMode="External"/><Relationship Id="rId4983" Type="http://schemas.openxmlformats.org/officeDocument/2006/relationships/hyperlink" Target="http://force.com" TargetMode="External"/><Relationship Id="rId2321" Type="http://schemas.openxmlformats.org/officeDocument/2006/relationships/hyperlink" Target="http://force.com" TargetMode="External"/><Relationship Id="rId3651" Type="http://schemas.openxmlformats.org/officeDocument/2006/relationships/hyperlink" Target="http://force.com" TargetMode="External"/><Relationship Id="rId4982" Type="http://schemas.openxmlformats.org/officeDocument/2006/relationships/hyperlink" Target="http://force.com" TargetMode="External"/><Relationship Id="rId2322" Type="http://schemas.openxmlformats.org/officeDocument/2006/relationships/hyperlink" Target="http://force.com" TargetMode="External"/><Relationship Id="rId3654" Type="http://schemas.openxmlformats.org/officeDocument/2006/relationships/hyperlink" Target="http://force.com" TargetMode="External"/><Relationship Id="rId4985" Type="http://schemas.openxmlformats.org/officeDocument/2006/relationships/hyperlink" Target="http://force.com" TargetMode="External"/><Relationship Id="rId2323" Type="http://schemas.openxmlformats.org/officeDocument/2006/relationships/hyperlink" Target="http://force.com" TargetMode="External"/><Relationship Id="rId3653" Type="http://schemas.openxmlformats.org/officeDocument/2006/relationships/hyperlink" Target="http://force.com" TargetMode="External"/><Relationship Id="rId4984" Type="http://schemas.openxmlformats.org/officeDocument/2006/relationships/hyperlink" Target="http://force.com" TargetMode="External"/><Relationship Id="rId2313" Type="http://schemas.openxmlformats.org/officeDocument/2006/relationships/hyperlink" Target="http://force.com" TargetMode="External"/><Relationship Id="rId3645" Type="http://schemas.openxmlformats.org/officeDocument/2006/relationships/hyperlink" Target="http://force.com" TargetMode="External"/><Relationship Id="rId4976" Type="http://schemas.openxmlformats.org/officeDocument/2006/relationships/hyperlink" Target="http://force.com" TargetMode="External"/><Relationship Id="rId2314" Type="http://schemas.openxmlformats.org/officeDocument/2006/relationships/hyperlink" Target="http://force.com" TargetMode="External"/><Relationship Id="rId3644" Type="http://schemas.openxmlformats.org/officeDocument/2006/relationships/hyperlink" Target="http://force.com" TargetMode="External"/><Relationship Id="rId4975" Type="http://schemas.openxmlformats.org/officeDocument/2006/relationships/hyperlink" Target="http://force.com" TargetMode="External"/><Relationship Id="rId2315" Type="http://schemas.openxmlformats.org/officeDocument/2006/relationships/hyperlink" Target="http://force.com" TargetMode="External"/><Relationship Id="rId3647" Type="http://schemas.openxmlformats.org/officeDocument/2006/relationships/hyperlink" Target="http://force.com" TargetMode="External"/><Relationship Id="rId4978" Type="http://schemas.openxmlformats.org/officeDocument/2006/relationships/hyperlink" Target="http://force.com" TargetMode="External"/><Relationship Id="rId2316" Type="http://schemas.openxmlformats.org/officeDocument/2006/relationships/hyperlink" Target="http://force.com" TargetMode="External"/><Relationship Id="rId3646" Type="http://schemas.openxmlformats.org/officeDocument/2006/relationships/hyperlink" Target="http://force.com" TargetMode="External"/><Relationship Id="rId4977" Type="http://schemas.openxmlformats.org/officeDocument/2006/relationships/hyperlink" Target="http://force.com" TargetMode="External"/><Relationship Id="rId2317" Type="http://schemas.openxmlformats.org/officeDocument/2006/relationships/hyperlink" Target="http://force.com" TargetMode="External"/><Relationship Id="rId3649" Type="http://schemas.openxmlformats.org/officeDocument/2006/relationships/hyperlink" Target="http://force.com" TargetMode="External"/><Relationship Id="rId2318" Type="http://schemas.openxmlformats.org/officeDocument/2006/relationships/hyperlink" Target="http://force.com" TargetMode="External"/><Relationship Id="rId3648" Type="http://schemas.openxmlformats.org/officeDocument/2006/relationships/hyperlink" Target="http://force.com" TargetMode="External"/><Relationship Id="rId4979" Type="http://schemas.openxmlformats.org/officeDocument/2006/relationships/hyperlink" Target="http://force.com" TargetMode="External"/><Relationship Id="rId2319" Type="http://schemas.openxmlformats.org/officeDocument/2006/relationships/hyperlink" Target="http://force.com" TargetMode="External"/><Relationship Id="rId4970" Type="http://schemas.openxmlformats.org/officeDocument/2006/relationships/hyperlink" Target="http://force.com" TargetMode="External"/><Relationship Id="rId3641" Type="http://schemas.openxmlformats.org/officeDocument/2006/relationships/hyperlink" Target="http://force.com" TargetMode="External"/><Relationship Id="rId4972" Type="http://schemas.openxmlformats.org/officeDocument/2006/relationships/hyperlink" Target="http://force.com" TargetMode="External"/><Relationship Id="rId2310" Type="http://schemas.openxmlformats.org/officeDocument/2006/relationships/hyperlink" Target="http://force.com" TargetMode="External"/><Relationship Id="rId3640" Type="http://schemas.openxmlformats.org/officeDocument/2006/relationships/hyperlink" Target="http://force.com" TargetMode="External"/><Relationship Id="rId4971" Type="http://schemas.openxmlformats.org/officeDocument/2006/relationships/hyperlink" Target="http://force.com" TargetMode="External"/><Relationship Id="rId2311" Type="http://schemas.openxmlformats.org/officeDocument/2006/relationships/hyperlink" Target="http://force.com" TargetMode="External"/><Relationship Id="rId3643" Type="http://schemas.openxmlformats.org/officeDocument/2006/relationships/hyperlink" Target="http://force.com" TargetMode="External"/><Relationship Id="rId4974" Type="http://schemas.openxmlformats.org/officeDocument/2006/relationships/hyperlink" Target="http://force.com" TargetMode="External"/><Relationship Id="rId2312" Type="http://schemas.openxmlformats.org/officeDocument/2006/relationships/hyperlink" Target="http://force.com" TargetMode="External"/><Relationship Id="rId3642" Type="http://schemas.openxmlformats.org/officeDocument/2006/relationships/hyperlink" Target="http://force.com" TargetMode="External"/><Relationship Id="rId4973" Type="http://schemas.openxmlformats.org/officeDocument/2006/relationships/hyperlink" Target="http://force.com" TargetMode="External"/><Relationship Id="rId1895" Type="http://schemas.openxmlformats.org/officeDocument/2006/relationships/hyperlink" Target="http://force.com" TargetMode="External"/><Relationship Id="rId4921" Type="http://schemas.openxmlformats.org/officeDocument/2006/relationships/hyperlink" Target="http://force.com" TargetMode="External"/><Relationship Id="rId1896" Type="http://schemas.openxmlformats.org/officeDocument/2006/relationships/hyperlink" Target="http://force.com" TargetMode="External"/><Relationship Id="rId4920" Type="http://schemas.openxmlformats.org/officeDocument/2006/relationships/hyperlink" Target="http://force.com" TargetMode="External"/><Relationship Id="rId1897" Type="http://schemas.openxmlformats.org/officeDocument/2006/relationships/hyperlink" Target="http://force.com" TargetMode="External"/><Relationship Id="rId4923" Type="http://schemas.openxmlformats.org/officeDocument/2006/relationships/hyperlink" Target="http://force.com" TargetMode="External"/><Relationship Id="rId1898" Type="http://schemas.openxmlformats.org/officeDocument/2006/relationships/hyperlink" Target="http://force.com" TargetMode="External"/><Relationship Id="rId4922" Type="http://schemas.openxmlformats.org/officeDocument/2006/relationships/hyperlink" Target="http://force.com" TargetMode="External"/><Relationship Id="rId1899" Type="http://schemas.openxmlformats.org/officeDocument/2006/relationships/hyperlink" Target="http://force.com" TargetMode="External"/><Relationship Id="rId4925" Type="http://schemas.openxmlformats.org/officeDocument/2006/relationships/hyperlink" Target="http://force.com" TargetMode="External"/><Relationship Id="rId4924" Type="http://schemas.openxmlformats.org/officeDocument/2006/relationships/hyperlink" Target="http://force.com" TargetMode="External"/><Relationship Id="rId4927" Type="http://schemas.openxmlformats.org/officeDocument/2006/relationships/hyperlink" Target="http://force.com" TargetMode="External"/><Relationship Id="rId4926" Type="http://schemas.openxmlformats.org/officeDocument/2006/relationships/hyperlink" Target="http://force.com" TargetMode="External"/><Relationship Id="rId4929" Type="http://schemas.openxmlformats.org/officeDocument/2006/relationships/hyperlink" Target="http://force.com" TargetMode="External"/><Relationship Id="rId4928" Type="http://schemas.openxmlformats.org/officeDocument/2006/relationships/hyperlink" Target="http://force.com" TargetMode="External"/><Relationship Id="rId1890" Type="http://schemas.openxmlformats.org/officeDocument/2006/relationships/hyperlink" Target="http://force.com" TargetMode="External"/><Relationship Id="rId1891" Type="http://schemas.openxmlformats.org/officeDocument/2006/relationships/hyperlink" Target="http://force.com" TargetMode="External"/><Relationship Id="rId1892" Type="http://schemas.openxmlformats.org/officeDocument/2006/relationships/hyperlink" Target="http://force.com" TargetMode="External"/><Relationship Id="rId1893" Type="http://schemas.openxmlformats.org/officeDocument/2006/relationships/hyperlink" Target="http://force.com" TargetMode="External"/><Relationship Id="rId1894" Type="http://schemas.openxmlformats.org/officeDocument/2006/relationships/hyperlink" Target="http://force.com" TargetMode="External"/><Relationship Id="rId1884" Type="http://schemas.openxmlformats.org/officeDocument/2006/relationships/hyperlink" Target="http://force.com" TargetMode="External"/><Relationship Id="rId4910" Type="http://schemas.openxmlformats.org/officeDocument/2006/relationships/hyperlink" Target="http://force.com" TargetMode="External"/><Relationship Id="rId1885" Type="http://schemas.openxmlformats.org/officeDocument/2006/relationships/hyperlink" Target="http://force.com" TargetMode="External"/><Relationship Id="rId1886" Type="http://schemas.openxmlformats.org/officeDocument/2006/relationships/hyperlink" Target="http://force.com" TargetMode="External"/><Relationship Id="rId4912" Type="http://schemas.openxmlformats.org/officeDocument/2006/relationships/hyperlink" Target="http://force.com" TargetMode="External"/><Relationship Id="rId1887" Type="http://schemas.openxmlformats.org/officeDocument/2006/relationships/hyperlink" Target="http://force.com" TargetMode="External"/><Relationship Id="rId4911" Type="http://schemas.openxmlformats.org/officeDocument/2006/relationships/hyperlink" Target="http://force.com" TargetMode="External"/><Relationship Id="rId1888" Type="http://schemas.openxmlformats.org/officeDocument/2006/relationships/hyperlink" Target="http://force.com" TargetMode="External"/><Relationship Id="rId4914" Type="http://schemas.openxmlformats.org/officeDocument/2006/relationships/hyperlink" Target="http://force.com" TargetMode="External"/><Relationship Id="rId1889" Type="http://schemas.openxmlformats.org/officeDocument/2006/relationships/hyperlink" Target="http://force.com" TargetMode="External"/><Relationship Id="rId4913" Type="http://schemas.openxmlformats.org/officeDocument/2006/relationships/hyperlink" Target="http://force.com" TargetMode="External"/><Relationship Id="rId4916" Type="http://schemas.openxmlformats.org/officeDocument/2006/relationships/hyperlink" Target="http://force.com" TargetMode="External"/><Relationship Id="rId4915" Type="http://schemas.openxmlformats.org/officeDocument/2006/relationships/hyperlink" Target="http://force.com" TargetMode="External"/><Relationship Id="rId4918" Type="http://schemas.openxmlformats.org/officeDocument/2006/relationships/hyperlink" Target="http://force.com" TargetMode="External"/><Relationship Id="rId4917" Type="http://schemas.openxmlformats.org/officeDocument/2006/relationships/hyperlink" Target="http://force.com" TargetMode="External"/><Relationship Id="rId4919" Type="http://schemas.openxmlformats.org/officeDocument/2006/relationships/hyperlink" Target="http://force.com" TargetMode="External"/><Relationship Id="rId1880" Type="http://schemas.openxmlformats.org/officeDocument/2006/relationships/hyperlink" Target="http://force.com" TargetMode="External"/><Relationship Id="rId1881" Type="http://schemas.openxmlformats.org/officeDocument/2006/relationships/hyperlink" Target="http://force.com" TargetMode="External"/><Relationship Id="rId1882" Type="http://schemas.openxmlformats.org/officeDocument/2006/relationships/hyperlink" Target="http://force.com" TargetMode="External"/><Relationship Id="rId1883" Type="http://schemas.openxmlformats.org/officeDocument/2006/relationships/hyperlink" Target="http://force.com" TargetMode="External"/><Relationship Id="rId3612" Type="http://schemas.openxmlformats.org/officeDocument/2006/relationships/hyperlink" Target="http://force.com" TargetMode="External"/><Relationship Id="rId4943" Type="http://schemas.openxmlformats.org/officeDocument/2006/relationships/hyperlink" Target="http://force.com" TargetMode="External"/><Relationship Id="rId3611" Type="http://schemas.openxmlformats.org/officeDocument/2006/relationships/hyperlink" Target="http://force.com" TargetMode="External"/><Relationship Id="rId4942" Type="http://schemas.openxmlformats.org/officeDocument/2006/relationships/hyperlink" Target="http://force.com" TargetMode="External"/><Relationship Id="rId3614" Type="http://schemas.openxmlformats.org/officeDocument/2006/relationships/hyperlink" Target="http://force.com" TargetMode="External"/><Relationship Id="rId4945" Type="http://schemas.openxmlformats.org/officeDocument/2006/relationships/hyperlink" Target="http://force.com" TargetMode="External"/><Relationship Id="rId3613" Type="http://schemas.openxmlformats.org/officeDocument/2006/relationships/hyperlink" Target="http://force.com" TargetMode="External"/><Relationship Id="rId4944" Type="http://schemas.openxmlformats.org/officeDocument/2006/relationships/hyperlink" Target="http://force.com" TargetMode="External"/><Relationship Id="rId3616" Type="http://schemas.openxmlformats.org/officeDocument/2006/relationships/hyperlink" Target="http://force.com" TargetMode="External"/><Relationship Id="rId4947" Type="http://schemas.openxmlformats.org/officeDocument/2006/relationships/hyperlink" Target="http://force.com" TargetMode="External"/><Relationship Id="rId3615" Type="http://schemas.openxmlformats.org/officeDocument/2006/relationships/hyperlink" Target="http://force.com" TargetMode="External"/><Relationship Id="rId4946" Type="http://schemas.openxmlformats.org/officeDocument/2006/relationships/hyperlink" Target="http://force.com" TargetMode="External"/><Relationship Id="rId3618" Type="http://schemas.openxmlformats.org/officeDocument/2006/relationships/hyperlink" Target="http://force.com" TargetMode="External"/><Relationship Id="rId4949" Type="http://schemas.openxmlformats.org/officeDocument/2006/relationships/hyperlink" Target="http://force.com" TargetMode="External"/><Relationship Id="rId3617" Type="http://schemas.openxmlformats.org/officeDocument/2006/relationships/hyperlink" Target="http://force.com" TargetMode="External"/><Relationship Id="rId4948" Type="http://schemas.openxmlformats.org/officeDocument/2006/relationships/hyperlink" Target="http://force.com" TargetMode="External"/><Relationship Id="rId3619" Type="http://schemas.openxmlformats.org/officeDocument/2006/relationships/hyperlink" Target="http://force.com" TargetMode="External"/><Relationship Id="rId3610" Type="http://schemas.openxmlformats.org/officeDocument/2006/relationships/hyperlink" Target="http://force.com" TargetMode="External"/><Relationship Id="rId4941" Type="http://schemas.openxmlformats.org/officeDocument/2006/relationships/hyperlink" Target="http://force.com" TargetMode="External"/><Relationship Id="rId4940" Type="http://schemas.openxmlformats.org/officeDocument/2006/relationships/hyperlink" Target="http://force.com" TargetMode="External"/><Relationship Id="rId3601" Type="http://schemas.openxmlformats.org/officeDocument/2006/relationships/hyperlink" Target="http://force.com" TargetMode="External"/><Relationship Id="rId4932" Type="http://schemas.openxmlformats.org/officeDocument/2006/relationships/hyperlink" Target="http://force.com" TargetMode="External"/><Relationship Id="rId3600" Type="http://schemas.openxmlformats.org/officeDocument/2006/relationships/hyperlink" Target="http://force.com" TargetMode="External"/><Relationship Id="rId4931" Type="http://schemas.openxmlformats.org/officeDocument/2006/relationships/hyperlink" Target="http://force.com" TargetMode="External"/><Relationship Id="rId3603" Type="http://schemas.openxmlformats.org/officeDocument/2006/relationships/hyperlink" Target="http://force.com" TargetMode="External"/><Relationship Id="rId4934" Type="http://schemas.openxmlformats.org/officeDocument/2006/relationships/hyperlink" Target="http://force.com" TargetMode="External"/><Relationship Id="rId3602" Type="http://schemas.openxmlformats.org/officeDocument/2006/relationships/hyperlink" Target="http://force.com" TargetMode="External"/><Relationship Id="rId4933" Type="http://schemas.openxmlformats.org/officeDocument/2006/relationships/hyperlink" Target="http://force.com" TargetMode="External"/><Relationship Id="rId3605" Type="http://schemas.openxmlformats.org/officeDocument/2006/relationships/hyperlink" Target="http://force.com" TargetMode="External"/><Relationship Id="rId4936" Type="http://schemas.openxmlformats.org/officeDocument/2006/relationships/hyperlink" Target="http://force.com" TargetMode="External"/><Relationship Id="rId3604" Type="http://schemas.openxmlformats.org/officeDocument/2006/relationships/hyperlink" Target="http://force.com" TargetMode="External"/><Relationship Id="rId4935" Type="http://schemas.openxmlformats.org/officeDocument/2006/relationships/hyperlink" Target="http://force.com" TargetMode="External"/><Relationship Id="rId3607" Type="http://schemas.openxmlformats.org/officeDocument/2006/relationships/hyperlink" Target="http://force.com" TargetMode="External"/><Relationship Id="rId4938" Type="http://schemas.openxmlformats.org/officeDocument/2006/relationships/hyperlink" Target="http://force.com" TargetMode="External"/><Relationship Id="rId3606" Type="http://schemas.openxmlformats.org/officeDocument/2006/relationships/hyperlink" Target="http://force.com" TargetMode="External"/><Relationship Id="rId4937" Type="http://schemas.openxmlformats.org/officeDocument/2006/relationships/hyperlink" Target="http://force.com" TargetMode="External"/><Relationship Id="rId3609" Type="http://schemas.openxmlformats.org/officeDocument/2006/relationships/hyperlink" Target="http://force.com" TargetMode="External"/><Relationship Id="rId3608" Type="http://schemas.openxmlformats.org/officeDocument/2006/relationships/hyperlink" Target="http://force.com" TargetMode="External"/><Relationship Id="rId4939" Type="http://schemas.openxmlformats.org/officeDocument/2006/relationships/hyperlink" Target="http://force.com" TargetMode="External"/><Relationship Id="rId4930" Type="http://schemas.openxmlformats.org/officeDocument/2006/relationships/hyperlink" Target="http://force.com" TargetMode="External"/><Relationship Id="rId1059" Type="http://schemas.openxmlformats.org/officeDocument/2006/relationships/hyperlink" Target="http://force.com" TargetMode="External"/><Relationship Id="rId5417" Type="http://schemas.openxmlformats.org/officeDocument/2006/relationships/hyperlink" Target="http://force.com" TargetMode="External"/><Relationship Id="rId5418" Type="http://schemas.openxmlformats.org/officeDocument/2006/relationships/hyperlink" Target="http://force.com" TargetMode="External"/><Relationship Id="rId5415" Type="http://schemas.openxmlformats.org/officeDocument/2006/relationships/hyperlink" Target="http://force.com" TargetMode="External"/><Relationship Id="rId5416" Type="http://schemas.openxmlformats.org/officeDocument/2006/relationships/hyperlink" Target="http://force.com" TargetMode="External"/><Relationship Id="rId5419" Type="http://schemas.openxmlformats.org/officeDocument/2006/relationships/hyperlink" Target="http://force.com" TargetMode="External"/><Relationship Id="rId228" Type="http://schemas.openxmlformats.org/officeDocument/2006/relationships/hyperlink" Target="http://force.com" TargetMode="External"/><Relationship Id="rId227" Type="http://schemas.openxmlformats.org/officeDocument/2006/relationships/hyperlink" Target="http://force.com" TargetMode="External"/><Relationship Id="rId226" Type="http://schemas.openxmlformats.org/officeDocument/2006/relationships/hyperlink" Target="http://force.com" TargetMode="External"/><Relationship Id="rId225" Type="http://schemas.openxmlformats.org/officeDocument/2006/relationships/hyperlink" Target="http://force.com" TargetMode="External"/><Relationship Id="rId2380" Type="http://schemas.openxmlformats.org/officeDocument/2006/relationships/hyperlink" Target="http://force.com" TargetMode="External"/><Relationship Id="rId229" Type="http://schemas.openxmlformats.org/officeDocument/2006/relationships/hyperlink" Target="http://force.com" TargetMode="External"/><Relationship Id="rId1050" Type="http://schemas.openxmlformats.org/officeDocument/2006/relationships/hyperlink" Target="http://force.com" TargetMode="External"/><Relationship Id="rId2381" Type="http://schemas.openxmlformats.org/officeDocument/2006/relationships/hyperlink" Target="http://force.com" TargetMode="External"/><Relationship Id="rId220" Type="http://schemas.openxmlformats.org/officeDocument/2006/relationships/hyperlink" Target="http://force.com" TargetMode="External"/><Relationship Id="rId1051" Type="http://schemas.openxmlformats.org/officeDocument/2006/relationships/hyperlink" Target="http://force.com" TargetMode="External"/><Relationship Id="rId2382" Type="http://schemas.openxmlformats.org/officeDocument/2006/relationships/hyperlink" Target="http://force.com" TargetMode="External"/><Relationship Id="rId1052" Type="http://schemas.openxmlformats.org/officeDocument/2006/relationships/hyperlink" Target="http://force.com" TargetMode="External"/><Relationship Id="rId2383" Type="http://schemas.openxmlformats.org/officeDocument/2006/relationships/hyperlink" Target="http://force.com" TargetMode="External"/><Relationship Id="rId5410" Type="http://schemas.openxmlformats.org/officeDocument/2006/relationships/hyperlink" Target="http://force.com" TargetMode="External"/><Relationship Id="rId1053" Type="http://schemas.openxmlformats.org/officeDocument/2006/relationships/hyperlink" Target="http://force.com" TargetMode="External"/><Relationship Id="rId2384" Type="http://schemas.openxmlformats.org/officeDocument/2006/relationships/hyperlink" Target="http://force.com" TargetMode="External"/><Relationship Id="rId1054" Type="http://schemas.openxmlformats.org/officeDocument/2006/relationships/hyperlink" Target="http://force.com" TargetMode="External"/><Relationship Id="rId2385" Type="http://schemas.openxmlformats.org/officeDocument/2006/relationships/hyperlink" Target="http://force.com" TargetMode="External"/><Relationship Id="rId224" Type="http://schemas.openxmlformats.org/officeDocument/2006/relationships/hyperlink" Target="http://force.com" TargetMode="External"/><Relationship Id="rId1055" Type="http://schemas.openxmlformats.org/officeDocument/2006/relationships/hyperlink" Target="http://force.com" TargetMode="External"/><Relationship Id="rId2386" Type="http://schemas.openxmlformats.org/officeDocument/2006/relationships/hyperlink" Target="http://force.com" TargetMode="External"/><Relationship Id="rId5413" Type="http://schemas.openxmlformats.org/officeDocument/2006/relationships/hyperlink" Target="http://force.com" TargetMode="External"/><Relationship Id="rId223" Type="http://schemas.openxmlformats.org/officeDocument/2006/relationships/hyperlink" Target="http://force.com" TargetMode="External"/><Relationship Id="rId1056" Type="http://schemas.openxmlformats.org/officeDocument/2006/relationships/hyperlink" Target="http://force.com" TargetMode="External"/><Relationship Id="rId2387" Type="http://schemas.openxmlformats.org/officeDocument/2006/relationships/hyperlink" Target="http://force.com" TargetMode="External"/><Relationship Id="rId5414" Type="http://schemas.openxmlformats.org/officeDocument/2006/relationships/hyperlink" Target="http://force.com" TargetMode="External"/><Relationship Id="rId222" Type="http://schemas.openxmlformats.org/officeDocument/2006/relationships/hyperlink" Target="http://force.com" TargetMode="External"/><Relationship Id="rId1057" Type="http://schemas.openxmlformats.org/officeDocument/2006/relationships/hyperlink" Target="http://force.com" TargetMode="External"/><Relationship Id="rId2388" Type="http://schemas.openxmlformats.org/officeDocument/2006/relationships/hyperlink" Target="http://force.com" TargetMode="External"/><Relationship Id="rId5411" Type="http://schemas.openxmlformats.org/officeDocument/2006/relationships/hyperlink" Target="http://force.com" TargetMode="External"/><Relationship Id="rId221" Type="http://schemas.openxmlformats.org/officeDocument/2006/relationships/hyperlink" Target="http://force.com" TargetMode="External"/><Relationship Id="rId1058" Type="http://schemas.openxmlformats.org/officeDocument/2006/relationships/hyperlink" Target="http://force.com" TargetMode="External"/><Relationship Id="rId2389" Type="http://schemas.openxmlformats.org/officeDocument/2006/relationships/hyperlink" Target="http://force.com" TargetMode="External"/><Relationship Id="rId5412" Type="http://schemas.openxmlformats.org/officeDocument/2006/relationships/hyperlink" Target="http://force.com" TargetMode="External"/><Relationship Id="rId1048" Type="http://schemas.openxmlformats.org/officeDocument/2006/relationships/hyperlink" Target="http://force.com" TargetMode="External"/><Relationship Id="rId2379" Type="http://schemas.openxmlformats.org/officeDocument/2006/relationships/hyperlink" Target="http://force.com" TargetMode="External"/><Relationship Id="rId5406" Type="http://schemas.openxmlformats.org/officeDocument/2006/relationships/hyperlink" Target="http://force.com" TargetMode="External"/><Relationship Id="rId1049" Type="http://schemas.openxmlformats.org/officeDocument/2006/relationships/hyperlink" Target="http://force.com" TargetMode="External"/><Relationship Id="rId5407" Type="http://schemas.openxmlformats.org/officeDocument/2006/relationships/hyperlink" Target="http://force.com" TargetMode="External"/><Relationship Id="rId5404" Type="http://schemas.openxmlformats.org/officeDocument/2006/relationships/hyperlink" Target="http://force.com" TargetMode="External"/><Relationship Id="rId5405" Type="http://schemas.openxmlformats.org/officeDocument/2006/relationships/hyperlink" Target="http://force.com" TargetMode="External"/><Relationship Id="rId5408" Type="http://schemas.openxmlformats.org/officeDocument/2006/relationships/hyperlink" Target="http://force.com" TargetMode="External"/><Relationship Id="rId5409" Type="http://schemas.openxmlformats.org/officeDocument/2006/relationships/hyperlink" Target="http://force.com" TargetMode="External"/><Relationship Id="rId217" Type="http://schemas.openxmlformats.org/officeDocument/2006/relationships/hyperlink" Target="http://force.com" TargetMode="External"/><Relationship Id="rId216" Type="http://schemas.openxmlformats.org/officeDocument/2006/relationships/hyperlink" Target="http://force.com" TargetMode="External"/><Relationship Id="rId215" Type="http://schemas.openxmlformats.org/officeDocument/2006/relationships/hyperlink" Target="http://force.com" TargetMode="External"/><Relationship Id="rId214" Type="http://schemas.openxmlformats.org/officeDocument/2006/relationships/hyperlink" Target="http://force.com" TargetMode="External"/><Relationship Id="rId219" Type="http://schemas.openxmlformats.org/officeDocument/2006/relationships/hyperlink" Target="http://force.com" TargetMode="External"/><Relationship Id="rId218" Type="http://schemas.openxmlformats.org/officeDocument/2006/relationships/hyperlink" Target="http://force.com" TargetMode="External"/><Relationship Id="rId2370" Type="http://schemas.openxmlformats.org/officeDocument/2006/relationships/hyperlink" Target="http://force.com" TargetMode="External"/><Relationship Id="rId1040" Type="http://schemas.openxmlformats.org/officeDocument/2006/relationships/hyperlink" Target="http://force.com" TargetMode="External"/><Relationship Id="rId2371" Type="http://schemas.openxmlformats.org/officeDocument/2006/relationships/hyperlink" Target="http://force.com" TargetMode="External"/><Relationship Id="rId1041" Type="http://schemas.openxmlformats.org/officeDocument/2006/relationships/hyperlink" Target="http://force.com" TargetMode="External"/><Relationship Id="rId2372" Type="http://schemas.openxmlformats.org/officeDocument/2006/relationships/hyperlink" Target="http://force.com" TargetMode="External"/><Relationship Id="rId1042" Type="http://schemas.openxmlformats.org/officeDocument/2006/relationships/hyperlink" Target="http://force.com" TargetMode="External"/><Relationship Id="rId2373" Type="http://schemas.openxmlformats.org/officeDocument/2006/relationships/hyperlink" Target="http://force.com" TargetMode="External"/><Relationship Id="rId1043" Type="http://schemas.openxmlformats.org/officeDocument/2006/relationships/hyperlink" Target="http://force.com" TargetMode="External"/><Relationship Id="rId2374" Type="http://schemas.openxmlformats.org/officeDocument/2006/relationships/hyperlink" Target="http://force.com" TargetMode="External"/><Relationship Id="rId213" Type="http://schemas.openxmlformats.org/officeDocument/2006/relationships/hyperlink" Target="http://force.com" TargetMode="External"/><Relationship Id="rId1044" Type="http://schemas.openxmlformats.org/officeDocument/2006/relationships/hyperlink" Target="http://force.com" TargetMode="External"/><Relationship Id="rId2375" Type="http://schemas.openxmlformats.org/officeDocument/2006/relationships/hyperlink" Target="http://force.com" TargetMode="External"/><Relationship Id="rId5402" Type="http://schemas.openxmlformats.org/officeDocument/2006/relationships/hyperlink" Target="http://force.com" TargetMode="External"/><Relationship Id="rId212" Type="http://schemas.openxmlformats.org/officeDocument/2006/relationships/hyperlink" Target="http://force.com" TargetMode="External"/><Relationship Id="rId1045" Type="http://schemas.openxmlformats.org/officeDocument/2006/relationships/hyperlink" Target="http://force.com" TargetMode="External"/><Relationship Id="rId2376" Type="http://schemas.openxmlformats.org/officeDocument/2006/relationships/hyperlink" Target="http://force.com" TargetMode="External"/><Relationship Id="rId5403" Type="http://schemas.openxmlformats.org/officeDocument/2006/relationships/hyperlink" Target="http://force.com" TargetMode="External"/><Relationship Id="rId211" Type="http://schemas.openxmlformats.org/officeDocument/2006/relationships/hyperlink" Target="http://force.com" TargetMode="External"/><Relationship Id="rId1046" Type="http://schemas.openxmlformats.org/officeDocument/2006/relationships/hyperlink" Target="http://force.com" TargetMode="External"/><Relationship Id="rId2377" Type="http://schemas.openxmlformats.org/officeDocument/2006/relationships/hyperlink" Target="http://force.com" TargetMode="External"/><Relationship Id="rId5400" Type="http://schemas.openxmlformats.org/officeDocument/2006/relationships/hyperlink" Target="http://force.com" TargetMode="External"/><Relationship Id="rId210" Type="http://schemas.openxmlformats.org/officeDocument/2006/relationships/hyperlink" Target="http://force.com" TargetMode="External"/><Relationship Id="rId1047" Type="http://schemas.openxmlformats.org/officeDocument/2006/relationships/hyperlink" Target="http://force.com" TargetMode="External"/><Relationship Id="rId2378" Type="http://schemas.openxmlformats.org/officeDocument/2006/relationships/hyperlink" Target="http://force.com" TargetMode="External"/><Relationship Id="rId5401" Type="http://schemas.openxmlformats.org/officeDocument/2006/relationships/hyperlink" Target="http://force.com" TargetMode="External"/><Relationship Id="rId4107" Type="http://schemas.openxmlformats.org/officeDocument/2006/relationships/hyperlink" Target="http://force.com" TargetMode="External"/><Relationship Id="rId5439" Type="http://schemas.openxmlformats.org/officeDocument/2006/relationships/hyperlink" Target="http://force.com" TargetMode="External"/><Relationship Id="rId4106" Type="http://schemas.openxmlformats.org/officeDocument/2006/relationships/hyperlink" Target="http://force.com" TargetMode="External"/><Relationship Id="rId4109" Type="http://schemas.openxmlformats.org/officeDocument/2006/relationships/hyperlink" Target="http://force.com" TargetMode="External"/><Relationship Id="rId5437" Type="http://schemas.openxmlformats.org/officeDocument/2006/relationships/hyperlink" Target="http://force.com" TargetMode="External"/><Relationship Id="rId4108" Type="http://schemas.openxmlformats.org/officeDocument/2006/relationships/hyperlink" Target="http://force.com" TargetMode="External"/><Relationship Id="rId5438" Type="http://schemas.openxmlformats.org/officeDocument/2006/relationships/hyperlink" Target="http://force.com" TargetMode="External"/><Relationship Id="rId249" Type="http://schemas.openxmlformats.org/officeDocument/2006/relationships/hyperlink" Target="http://force.com" TargetMode="External"/><Relationship Id="rId248" Type="http://schemas.openxmlformats.org/officeDocument/2006/relationships/hyperlink" Target="http://force.com" TargetMode="External"/><Relationship Id="rId247" Type="http://schemas.openxmlformats.org/officeDocument/2006/relationships/hyperlink" Target="http://force.com" TargetMode="External"/><Relationship Id="rId1070" Type="http://schemas.openxmlformats.org/officeDocument/2006/relationships/hyperlink" Target="http://force.com" TargetMode="External"/><Relationship Id="rId1071" Type="http://schemas.openxmlformats.org/officeDocument/2006/relationships/hyperlink" Target="http://force.com" TargetMode="External"/><Relationship Id="rId1072" Type="http://schemas.openxmlformats.org/officeDocument/2006/relationships/hyperlink" Target="http://force.com" TargetMode="External"/><Relationship Id="rId242" Type="http://schemas.openxmlformats.org/officeDocument/2006/relationships/hyperlink" Target="http://force.com" TargetMode="External"/><Relationship Id="rId1073" Type="http://schemas.openxmlformats.org/officeDocument/2006/relationships/hyperlink" Target="http://force.com" TargetMode="External"/><Relationship Id="rId5431" Type="http://schemas.openxmlformats.org/officeDocument/2006/relationships/hyperlink" Target="http://force.com" TargetMode="External"/><Relationship Id="rId241" Type="http://schemas.openxmlformats.org/officeDocument/2006/relationships/hyperlink" Target="http://force.com" TargetMode="External"/><Relationship Id="rId1074" Type="http://schemas.openxmlformats.org/officeDocument/2006/relationships/hyperlink" Target="http://force.com" TargetMode="External"/><Relationship Id="rId5432" Type="http://schemas.openxmlformats.org/officeDocument/2006/relationships/hyperlink" Target="http://force.com" TargetMode="External"/><Relationship Id="rId240" Type="http://schemas.openxmlformats.org/officeDocument/2006/relationships/hyperlink" Target="http://force.com" TargetMode="External"/><Relationship Id="rId1075" Type="http://schemas.openxmlformats.org/officeDocument/2006/relationships/hyperlink" Target="http://force.com" TargetMode="External"/><Relationship Id="rId4101" Type="http://schemas.openxmlformats.org/officeDocument/2006/relationships/hyperlink" Target="http://force.com" TargetMode="External"/><Relationship Id="rId1076" Type="http://schemas.openxmlformats.org/officeDocument/2006/relationships/hyperlink" Target="http://force.com" TargetMode="External"/><Relationship Id="rId4100" Type="http://schemas.openxmlformats.org/officeDocument/2006/relationships/hyperlink" Target="http://force.com" TargetMode="External"/><Relationship Id="rId5430" Type="http://schemas.openxmlformats.org/officeDocument/2006/relationships/hyperlink" Target="http://force.com" TargetMode="External"/><Relationship Id="rId246" Type="http://schemas.openxmlformats.org/officeDocument/2006/relationships/hyperlink" Target="http://force.com" TargetMode="External"/><Relationship Id="rId1077" Type="http://schemas.openxmlformats.org/officeDocument/2006/relationships/hyperlink" Target="http://force.com" TargetMode="External"/><Relationship Id="rId4103" Type="http://schemas.openxmlformats.org/officeDocument/2006/relationships/hyperlink" Target="http://force.com" TargetMode="External"/><Relationship Id="rId5435" Type="http://schemas.openxmlformats.org/officeDocument/2006/relationships/hyperlink" Target="http://force.com" TargetMode="External"/><Relationship Id="rId245" Type="http://schemas.openxmlformats.org/officeDocument/2006/relationships/hyperlink" Target="http://force.com" TargetMode="External"/><Relationship Id="rId1078" Type="http://schemas.openxmlformats.org/officeDocument/2006/relationships/hyperlink" Target="http://force.com" TargetMode="External"/><Relationship Id="rId4102" Type="http://schemas.openxmlformats.org/officeDocument/2006/relationships/hyperlink" Target="http://force.com" TargetMode="External"/><Relationship Id="rId5436" Type="http://schemas.openxmlformats.org/officeDocument/2006/relationships/hyperlink" Target="http://force.com" TargetMode="External"/><Relationship Id="rId244" Type="http://schemas.openxmlformats.org/officeDocument/2006/relationships/hyperlink" Target="http://force.com" TargetMode="External"/><Relationship Id="rId1079" Type="http://schemas.openxmlformats.org/officeDocument/2006/relationships/hyperlink" Target="http://force.com" TargetMode="External"/><Relationship Id="rId4105" Type="http://schemas.openxmlformats.org/officeDocument/2006/relationships/hyperlink" Target="http://force.com" TargetMode="External"/><Relationship Id="rId5433" Type="http://schemas.openxmlformats.org/officeDocument/2006/relationships/hyperlink" Target="http://force.com" TargetMode="External"/><Relationship Id="rId243" Type="http://schemas.openxmlformats.org/officeDocument/2006/relationships/hyperlink" Target="http://force.com" TargetMode="External"/><Relationship Id="rId4104" Type="http://schemas.openxmlformats.org/officeDocument/2006/relationships/hyperlink" Target="http://force.com" TargetMode="External"/><Relationship Id="rId5434" Type="http://schemas.openxmlformats.org/officeDocument/2006/relationships/hyperlink" Target="http://force.com" TargetMode="External"/><Relationship Id="rId5428" Type="http://schemas.openxmlformats.org/officeDocument/2006/relationships/hyperlink" Target="http://force.com" TargetMode="External"/><Relationship Id="rId5429" Type="http://schemas.openxmlformats.org/officeDocument/2006/relationships/hyperlink" Target="http://force.com" TargetMode="External"/><Relationship Id="rId5426" Type="http://schemas.openxmlformats.org/officeDocument/2006/relationships/hyperlink" Target="http://force.com" TargetMode="External"/><Relationship Id="rId5427" Type="http://schemas.openxmlformats.org/officeDocument/2006/relationships/hyperlink" Target="http://force.com" TargetMode="External"/><Relationship Id="rId239" Type="http://schemas.openxmlformats.org/officeDocument/2006/relationships/hyperlink" Target="http://force.com" TargetMode="External"/><Relationship Id="rId238" Type="http://schemas.openxmlformats.org/officeDocument/2006/relationships/hyperlink" Target="http://force.com" TargetMode="External"/><Relationship Id="rId237" Type="http://schemas.openxmlformats.org/officeDocument/2006/relationships/hyperlink" Target="http://force.com" TargetMode="External"/><Relationship Id="rId236" Type="http://schemas.openxmlformats.org/officeDocument/2006/relationships/hyperlink" Target="http://force.com" TargetMode="External"/><Relationship Id="rId2390" Type="http://schemas.openxmlformats.org/officeDocument/2006/relationships/hyperlink" Target="http://force.com" TargetMode="External"/><Relationship Id="rId1060" Type="http://schemas.openxmlformats.org/officeDocument/2006/relationships/hyperlink" Target="http://force.com" TargetMode="External"/><Relationship Id="rId2391" Type="http://schemas.openxmlformats.org/officeDocument/2006/relationships/hyperlink" Target="http://force.com" TargetMode="External"/><Relationship Id="rId1061" Type="http://schemas.openxmlformats.org/officeDocument/2006/relationships/hyperlink" Target="http://force.com" TargetMode="External"/><Relationship Id="rId2392" Type="http://schemas.openxmlformats.org/officeDocument/2006/relationships/hyperlink" Target="http://force.com" TargetMode="External"/><Relationship Id="rId231" Type="http://schemas.openxmlformats.org/officeDocument/2006/relationships/hyperlink" Target="http://force.com" TargetMode="External"/><Relationship Id="rId1062" Type="http://schemas.openxmlformats.org/officeDocument/2006/relationships/hyperlink" Target="http://force.com" TargetMode="External"/><Relationship Id="rId2393" Type="http://schemas.openxmlformats.org/officeDocument/2006/relationships/hyperlink" Target="http://force.com" TargetMode="External"/><Relationship Id="rId5420" Type="http://schemas.openxmlformats.org/officeDocument/2006/relationships/hyperlink" Target="http://force.com" TargetMode="External"/><Relationship Id="rId230" Type="http://schemas.openxmlformats.org/officeDocument/2006/relationships/hyperlink" Target="http://force.com" TargetMode="External"/><Relationship Id="rId1063" Type="http://schemas.openxmlformats.org/officeDocument/2006/relationships/hyperlink" Target="http://force.com" TargetMode="External"/><Relationship Id="rId2394" Type="http://schemas.openxmlformats.org/officeDocument/2006/relationships/hyperlink" Target="http://force.com" TargetMode="External"/><Relationship Id="rId5421" Type="http://schemas.openxmlformats.org/officeDocument/2006/relationships/hyperlink" Target="http://force.com" TargetMode="External"/><Relationship Id="rId1064" Type="http://schemas.openxmlformats.org/officeDocument/2006/relationships/hyperlink" Target="http://force.com" TargetMode="External"/><Relationship Id="rId2395" Type="http://schemas.openxmlformats.org/officeDocument/2006/relationships/hyperlink" Target="http://force.com" TargetMode="External"/><Relationship Id="rId1065" Type="http://schemas.openxmlformats.org/officeDocument/2006/relationships/hyperlink" Target="http://force.com" TargetMode="External"/><Relationship Id="rId2396" Type="http://schemas.openxmlformats.org/officeDocument/2006/relationships/hyperlink" Target="http://force.com" TargetMode="External"/><Relationship Id="rId235" Type="http://schemas.openxmlformats.org/officeDocument/2006/relationships/hyperlink" Target="http://force.com" TargetMode="External"/><Relationship Id="rId1066" Type="http://schemas.openxmlformats.org/officeDocument/2006/relationships/hyperlink" Target="http://force.com" TargetMode="External"/><Relationship Id="rId2397" Type="http://schemas.openxmlformats.org/officeDocument/2006/relationships/hyperlink" Target="http://force.com" TargetMode="External"/><Relationship Id="rId5424" Type="http://schemas.openxmlformats.org/officeDocument/2006/relationships/hyperlink" Target="http://force.com" TargetMode="External"/><Relationship Id="rId234" Type="http://schemas.openxmlformats.org/officeDocument/2006/relationships/hyperlink" Target="http://force.com" TargetMode="External"/><Relationship Id="rId1067" Type="http://schemas.openxmlformats.org/officeDocument/2006/relationships/hyperlink" Target="http://force.com" TargetMode="External"/><Relationship Id="rId2398" Type="http://schemas.openxmlformats.org/officeDocument/2006/relationships/hyperlink" Target="http://force.com" TargetMode="External"/><Relationship Id="rId5425" Type="http://schemas.openxmlformats.org/officeDocument/2006/relationships/hyperlink" Target="http://force.com" TargetMode="External"/><Relationship Id="rId233" Type="http://schemas.openxmlformats.org/officeDocument/2006/relationships/hyperlink" Target="http://force.com" TargetMode="External"/><Relationship Id="rId1068" Type="http://schemas.openxmlformats.org/officeDocument/2006/relationships/hyperlink" Target="http://force.com" TargetMode="External"/><Relationship Id="rId2399" Type="http://schemas.openxmlformats.org/officeDocument/2006/relationships/hyperlink" Target="http://force.com" TargetMode="External"/><Relationship Id="rId5422" Type="http://schemas.openxmlformats.org/officeDocument/2006/relationships/hyperlink" Target="http://force.com" TargetMode="External"/><Relationship Id="rId232" Type="http://schemas.openxmlformats.org/officeDocument/2006/relationships/hyperlink" Target="http://force.com" TargetMode="External"/><Relationship Id="rId1069" Type="http://schemas.openxmlformats.org/officeDocument/2006/relationships/hyperlink" Target="http://force.com" TargetMode="External"/><Relationship Id="rId5423" Type="http://schemas.openxmlformats.org/officeDocument/2006/relationships/hyperlink" Target="http://force.com" TargetMode="External"/><Relationship Id="rId1015" Type="http://schemas.openxmlformats.org/officeDocument/2006/relationships/hyperlink" Target="http://force.com" TargetMode="External"/><Relationship Id="rId2346" Type="http://schemas.openxmlformats.org/officeDocument/2006/relationships/hyperlink" Target="http://force.com" TargetMode="External"/><Relationship Id="rId3678" Type="http://schemas.openxmlformats.org/officeDocument/2006/relationships/hyperlink" Target="http://force.com" TargetMode="External"/><Relationship Id="rId1016" Type="http://schemas.openxmlformats.org/officeDocument/2006/relationships/hyperlink" Target="http://force.com" TargetMode="External"/><Relationship Id="rId2347" Type="http://schemas.openxmlformats.org/officeDocument/2006/relationships/hyperlink" Target="http://force.com" TargetMode="External"/><Relationship Id="rId3677" Type="http://schemas.openxmlformats.org/officeDocument/2006/relationships/hyperlink" Target="http://force.com" TargetMode="External"/><Relationship Id="rId1017" Type="http://schemas.openxmlformats.org/officeDocument/2006/relationships/hyperlink" Target="http://force.com" TargetMode="External"/><Relationship Id="rId2348" Type="http://schemas.openxmlformats.org/officeDocument/2006/relationships/hyperlink" Target="http://force.com" TargetMode="External"/><Relationship Id="rId1018" Type="http://schemas.openxmlformats.org/officeDocument/2006/relationships/hyperlink" Target="http://force.com" TargetMode="External"/><Relationship Id="rId2349" Type="http://schemas.openxmlformats.org/officeDocument/2006/relationships/hyperlink" Target="http://force.com" TargetMode="External"/><Relationship Id="rId3679" Type="http://schemas.openxmlformats.org/officeDocument/2006/relationships/hyperlink" Target="http://force.com" TargetMode="External"/><Relationship Id="rId1019" Type="http://schemas.openxmlformats.org/officeDocument/2006/relationships/hyperlink" Target="http://force.com" TargetMode="External"/><Relationship Id="rId3670" Type="http://schemas.openxmlformats.org/officeDocument/2006/relationships/hyperlink" Target="http://force.com" TargetMode="External"/><Relationship Id="rId2340" Type="http://schemas.openxmlformats.org/officeDocument/2006/relationships/hyperlink" Target="http://force.com" TargetMode="External"/><Relationship Id="rId3672" Type="http://schemas.openxmlformats.org/officeDocument/2006/relationships/hyperlink" Target="http://force.com" TargetMode="External"/><Relationship Id="rId1010" Type="http://schemas.openxmlformats.org/officeDocument/2006/relationships/hyperlink" Target="http://force.com" TargetMode="External"/><Relationship Id="rId2341" Type="http://schemas.openxmlformats.org/officeDocument/2006/relationships/hyperlink" Target="http://force.com" TargetMode="External"/><Relationship Id="rId3671" Type="http://schemas.openxmlformats.org/officeDocument/2006/relationships/hyperlink" Target="http://force.com" TargetMode="External"/><Relationship Id="rId1011" Type="http://schemas.openxmlformats.org/officeDocument/2006/relationships/hyperlink" Target="http://force.com" TargetMode="External"/><Relationship Id="rId2342" Type="http://schemas.openxmlformats.org/officeDocument/2006/relationships/hyperlink" Target="http://force.com" TargetMode="External"/><Relationship Id="rId3674" Type="http://schemas.openxmlformats.org/officeDocument/2006/relationships/hyperlink" Target="http://force.com" TargetMode="External"/><Relationship Id="rId1012" Type="http://schemas.openxmlformats.org/officeDocument/2006/relationships/hyperlink" Target="http://force.com" TargetMode="External"/><Relationship Id="rId2343" Type="http://schemas.openxmlformats.org/officeDocument/2006/relationships/hyperlink" Target="http://force.com" TargetMode="External"/><Relationship Id="rId3673" Type="http://schemas.openxmlformats.org/officeDocument/2006/relationships/hyperlink" Target="http://force.com" TargetMode="External"/><Relationship Id="rId1013" Type="http://schemas.openxmlformats.org/officeDocument/2006/relationships/hyperlink" Target="http://force.com" TargetMode="External"/><Relationship Id="rId2344" Type="http://schemas.openxmlformats.org/officeDocument/2006/relationships/hyperlink" Target="http://force.com" TargetMode="External"/><Relationship Id="rId3676" Type="http://schemas.openxmlformats.org/officeDocument/2006/relationships/hyperlink" Target="http://force.com" TargetMode="External"/><Relationship Id="rId1014" Type="http://schemas.openxmlformats.org/officeDocument/2006/relationships/hyperlink" Target="http://force.com" TargetMode="External"/><Relationship Id="rId2345" Type="http://schemas.openxmlformats.org/officeDocument/2006/relationships/hyperlink" Target="http://force.com" TargetMode="External"/><Relationship Id="rId3675" Type="http://schemas.openxmlformats.org/officeDocument/2006/relationships/hyperlink" Target="http://force.com" TargetMode="External"/><Relationship Id="rId1004" Type="http://schemas.openxmlformats.org/officeDocument/2006/relationships/hyperlink" Target="http://force.com" TargetMode="External"/><Relationship Id="rId2335" Type="http://schemas.openxmlformats.org/officeDocument/2006/relationships/hyperlink" Target="http://force.com" TargetMode="External"/><Relationship Id="rId3667" Type="http://schemas.openxmlformats.org/officeDocument/2006/relationships/hyperlink" Target="http://force.com" TargetMode="External"/><Relationship Id="rId4998" Type="http://schemas.openxmlformats.org/officeDocument/2006/relationships/hyperlink" Target="http://force.com" TargetMode="External"/><Relationship Id="rId1005" Type="http://schemas.openxmlformats.org/officeDocument/2006/relationships/hyperlink" Target="http://force.com" TargetMode="External"/><Relationship Id="rId2336" Type="http://schemas.openxmlformats.org/officeDocument/2006/relationships/hyperlink" Target="http://force.com" TargetMode="External"/><Relationship Id="rId3666" Type="http://schemas.openxmlformats.org/officeDocument/2006/relationships/hyperlink" Target="http://force.com" TargetMode="External"/><Relationship Id="rId4997" Type="http://schemas.openxmlformats.org/officeDocument/2006/relationships/hyperlink" Target="http://force.com" TargetMode="External"/><Relationship Id="rId1006" Type="http://schemas.openxmlformats.org/officeDocument/2006/relationships/hyperlink" Target="http://force.com" TargetMode="External"/><Relationship Id="rId2337" Type="http://schemas.openxmlformats.org/officeDocument/2006/relationships/hyperlink" Target="http://force.com" TargetMode="External"/><Relationship Id="rId3669" Type="http://schemas.openxmlformats.org/officeDocument/2006/relationships/hyperlink" Target="http://force.com" TargetMode="External"/><Relationship Id="rId1007" Type="http://schemas.openxmlformats.org/officeDocument/2006/relationships/hyperlink" Target="http://force.com" TargetMode="External"/><Relationship Id="rId2338" Type="http://schemas.openxmlformats.org/officeDocument/2006/relationships/hyperlink" Target="http://force.com" TargetMode="External"/><Relationship Id="rId3668" Type="http://schemas.openxmlformats.org/officeDocument/2006/relationships/hyperlink" Target="http://force.com" TargetMode="External"/><Relationship Id="rId4999" Type="http://schemas.openxmlformats.org/officeDocument/2006/relationships/hyperlink" Target="http://force.com" TargetMode="External"/><Relationship Id="rId1008" Type="http://schemas.openxmlformats.org/officeDocument/2006/relationships/hyperlink" Target="http://force.com" TargetMode="External"/><Relationship Id="rId2339" Type="http://schemas.openxmlformats.org/officeDocument/2006/relationships/hyperlink" Target="http://force.com" TargetMode="External"/><Relationship Id="rId1009" Type="http://schemas.openxmlformats.org/officeDocument/2006/relationships/hyperlink" Target="http://force.com" TargetMode="External"/><Relationship Id="rId4990" Type="http://schemas.openxmlformats.org/officeDocument/2006/relationships/hyperlink" Target="http://force.com" TargetMode="External"/><Relationship Id="rId3661" Type="http://schemas.openxmlformats.org/officeDocument/2006/relationships/hyperlink" Target="http://force.com" TargetMode="External"/><Relationship Id="rId4992" Type="http://schemas.openxmlformats.org/officeDocument/2006/relationships/hyperlink" Target="http://force.com" TargetMode="External"/><Relationship Id="rId2330" Type="http://schemas.openxmlformats.org/officeDocument/2006/relationships/hyperlink" Target="http://force.com" TargetMode="External"/><Relationship Id="rId3660" Type="http://schemas.openxmlformats.org/officeDocument/2006/relationships/hyperlink" Target="http://force.com" TargetMode="External"/><Relationship Id="rId4991" Type="http://schemas.openxmlformats.org/officeDocument/2006/relationships/hyperlink" Target="http://force.com" TargetMode="External"/><Relationship Id="rId1000" Type="http://schemas.openxmlformats.org/officeDocument/2006/relationships/hyperlink" Target="http://force.com" TargetMode="External"/><Relationship Id="rId2331" Type="http://schemas.openxmlformats.org/officeDocument/2006/relationships/hyperlink" Target="http://force.com" TargetMode="External"/><Relationship Id="rId3663" Type="http://schemas.openxmlformats.org/officeDocument/2006/relationships/hyperlink" Target="http://force.com" TargetMode="External"/><Relationship Id="rId4994" Type="http://schemas.openxmlformats.org/officeDocument/2006/relationships/hyperlink" Target="http://force.com" TargetMode="External"/><Relationship Id="rId1001" Type="http://schemas.openxmlformats.org/officeDocument/2006/relationships/hyperlink" Target="http://force.com" TargetMode="External"/><Relationship Id="rId2332" Type="http://schemas.openxmlformats.org/officeDocument/2006/relationships/hyperlink" Target="http://force.com" TargetMode="External"/><Relationship Id="rId3662" Type="http://schemas.openxmlformats.org/officeDocument/2006/relationships/hyperlink" Target="http://force.com" TargetMode="External"/><Relationship Id="rId4993" Type="http://schemas.openxmlformats.org/officeDocument/2006/relationships/hyperlink" Target="http://force.com" TargetMode="External"/><Relationship Id="rId1002" Type="http://schemas.openxmlformats.org/officeDocument/2006/relationships/hyperlink" Target="http://force.com" TargetMode="External"/><Relationship Id="rId2333" Type="http://schemas.openxmlformats.org/officeDocument/2006/relationships/hyperlink" Target="http://force.com" TargetMode="External"/><Relationship Id="rId3665" Type="http://schemas.openxmlformats.org/officeDocument/2006/relationships/hyperlink" Target="http://force.com" TargetMode="External"/><Relationship Id="rId4996" Type="http://schemas.openxmlformats.org/officeDocument/2006/relationships/hyperlink" Target="http://force.com" TargetMode="External"/><Relationship Id="rId1003" Type="http://schemas.openxmlformats.org/officeDocument/2006/relationships/hyperlink" Target="http://force.com" TargetMode="External"/><Relationship Id="rId2334" Type="http://schemas.openxmlformats.org/officeDocument/2006/relationships/hyperlink" Target="http://force.com" TargetMode="External"/><Relationship Id="rId3664" Type="http://schemas.openxmlformats.org/officeDocument/2006/relationships/hyperlink" Target="http://force.com" TargetMode="External"/><Relationship Id="rId4995" Type="http://schemas.openxmlformats.org/officeDocument/2006/relationships/hyperlink" Target="http://force.com" TargetMode="External"/><Relationship Id="rId1037" Type="http://schemas.openxmlformats.org/officeDocument/2006/relationships/hyperlink" Target="http://force.com" TargetMode="External"/><Relationship Id="rId2368" Type="http://schemas.openxmlformats.org/officeDocument/2006/relationships/hyperlink" Target="http://force.com" TargetMode="External"/><Relationship Id="rId1038" Type="http://schemas.openxmlformats.org/officeDocument/2006/relationships/hyperlink" Target="http://force.com" TargetMode="External"/><Relationship Id="rId2369" Type="http://schemas.openxmlformats.org/officeDocument/2006/relationships/hyperlink" Target="http://force.com" TargetMode="External"/><Relationship Id="rId3699" Type="http://schemas.openxmlformats.org/officeDocument/2006/relationships/hyperlink" Target="http://force.com" TargetMode="External"/><Relationship Id="rId1039" Type="http://schemas.openxmlformats.org/officeDocument/2006/relationships/hyperlink" Target="http://force.com" TargetMode="External"/><Relationship Id="rId206" Type="http://schemas.openxmlformats.org/officeDocument/2006/relationships/hyperlink" Target="http://force.com" TargetMode="External"/><Relationship Id="rId205" Type="http://schemas.openxmlformats.org/officeDocument/2006/relationships/hyperlink" Target="http://force.com" TargetMode="External"/><Relationship Id="rId204" Type="http://schemas.openxmlformats.org/officeDocument/2006/relationships/hyperlink" Target="http://force.com" TargetMode="External"/><Relationship Id="rId203" Type="http://schemas.openxmlformats.org/officeDocument/2006/relationships/hyperlink" Target="http://force.com" TargetMode="External"/><Relationship Id="rId209" Type="http://schemas.openxmlformats.org/officeDocument/2006/relationships/hyperlink" Target="http://force.com" TargetMode="External"/><Relationship Id="rId208" Type="http://schemas.openxmlformats.org/officeDocument/2006/relationships/hyperlink" Target="http://force.com" TargetMode="External"/><Relationship Id="rId3690" Type="http://schemas.openxmlformats.org/officeDocument/2006/relationships/hyperlink" Target="http://force.com" TargetMode="External"/><Relationship Id="rId207" Type="http://schemas.openxmlformats.org/officeDocument/2006/relationships/hyperlink" Target="http://force.com" TargetMode="External"/><Relationship Id="rId2360" Type="http://schemas.openxmlformats.org/officeDocument/2006/relationships/hyperlink" Target="http://force.com" TargetMode="External"/><Relationship Id="rId3692" Type="http://schemas.openxmlformats.org/officeDocument/2006/relationships/hyperlink" Target="http://force.com" TargetMode="External"/><Relationship Id="rId1030" Type="http://schemas.openxmlformats.org/officeDocument/2006/relationships/hyperlink" Target="http://force.com" TargetMode="External"/><Relationship Id="rId2361" Type="http://schemas.openxmlformats.org/officeDocument/2006/relationships/hyperlink" Target="http://force.com" TargetMode="External"/><Relationship Id="rId3691" Type="http://schemas.openxmlformats.org/officeDocument/2006/relationships/hyperlink" Target="http://force.com" TargetMode="External"/><Relationship Id="rId1031" Type="http://schemas.openxmlformats.org/officeDocument/2006/relationships/hyperlink" Target="http://force.com" TargetMode="External"/><Relationship Id="rId2362" Type="http://schemas.openxmlformats.org/officeDocument/2006/relationships/hyperlink" Target="http://force.com" TargetMode="External"/><Relationship Id="rId3694" Type="http://schemas.openxmlformats.org/officeDocument/2006/relationships/hyperlink" Target="http://force.com" TargetMode="External"/><Relationship Id="rId1032" Type="http://schemas.openxmlformats.org/officeDocument/2006/relationships/hyperlink" Target="http://force.com" TargetMode="External"/><Relationship Id="rId2363" Type="http://schemas.openxmlformats.org/officeDocument/2006/relationships/hyperlink" Target="http://force.com" TargetMode="External"/><Relationship Id="rId3693" Type="http://schemas.openxmlformats.org/officeDocument/2006/relationships/hyperlink" Target="http://force.com" TargetMode="External"/><Relationship Id="rId202" Type="http://schemas.openxmlformats.org/officeDocument/2006/relationships/hyperlink" Target="http://force.com" TargetMode="External"/><Relationship Id="rId1033" Type="http://schemas.openxmlformats.org/officeDocument/2006/relationships/hyperlink" Target="http://force.com" TargetMode="External"/><Relationship Id="rId2364" Type="http://schemas.openxmlformats.org/officeDocument/2006/relationships/hyperlink" Target="http://force.com" TargetMode="External"/><Relationship Id="rId3696" Type="http://schemas.openxmlformats.org/officeDocument/2006/relationships/hyperlink" Target="http://force.com" TargetMode="External"/><Relationship Id="rId201" Type="http://schemas.openxmlformats.org/officeDocument/2006/relationships/hyperlink" Target="http://force.com" TargetMode="External"/><Relationship Id="rId1034" Type="http://schemas.openxmlformats.org/officeDocument/2006/relationships/hyperlink" Target="http://force.com" TargetMode="External"/><Relationship Id="rId2365" Type="http://schemas.openxmlformats.org/officeDocument/2006/relationships/hyperlink" Target="http://force.com" TargetMode="External"/><Relationship Id="rId3695" Type="http://schemas.openxmlformats.org/officeDocument/2006/relationships/hyperlink" Target="http://force.com" TargetMode="External"/><Relationship Id="rId200" Type="http://schemas.openxmlformats.org/officeDocument/2006/relationships/hyperlink" Target="http://force.com" TargetMode="External"/><Relationship Id="rId1035" Type="http://schemas.openxmlformats.org/officeDocument/2006/relationships/hyperlink" Target="http://force.com" TargetMode="External"/><Relationship Id="rId2366" Type="http://schemas.openxmlformats.org/officeDocument/2006/relationships/hyperlink" Target="http://force.com" TargetMode="External"/><Relationship Id="rId3698" Type="http://schemas.openxmlformats.org/officeDocument/2006/relationships/hyperlink" Target="http://force.com" TargetMode="External"/><Relationship Id="rId1036" Type="http://schemas.openxmlformats.org/officeDocument/2006/relationships/hyperlink" Target="http://force.com" TargetMode="External"/><Relationship Id="rId2367" Type="http://schemas.openxmlformats.org/officeDocument/2006/relationships/hyperlink" Target="http://force.com" TargetMode="External"/><Relationship Id="rId3697" Type="http://schemas.openxmlformats.org/officeDocument/2006/relationships/hyperlink" Target="http://force.com" TargetMode="External"/><Relationship Id="rId1026" Type="http://schemas.openxmlformats.org/officeDocument/2006/relationships/hyperlink" Target="http://force.com" TargetMode="External"/><Relationship Id="rId2357" Type="http://schemas.openxmlformats.org/officeDocument/2006/relationships/hyperlink" Target="http://force.com" TargetMode="External"/><Relationship Id="rId3689" Type="http://schemas.openxmlformats.org/officeDocument/2006/relationships/hyperlink" Target="http://force.com" TargetMode="External"/><Relationship Id="rId1027" Type="http://schemas.openxmlformats.org/officeDocument/2006/relationships/hyperlink" Target="http://force.com" TargetMode="External"/><Relationship Id="rId2358" Type="http://schemas.openxmlformats.org/officeDocument/2006/relationships/hyperlink" Target="http://force.com" TargetMode="External"/><Relationship Id="rId3688" Type="http://schemas.openxmlformats.org/officeDocument/2006/relationships/hyperlink" Target="http://force.com" TargetMode="External"/><Relationship Id="rId1028" Type="http://schemas.openxmlformats.org/officeDocument/2006/relationships/hyperlink" Target="http://force.com" TargetMode="External"/><Relationship Id="rId2359" Type="http://schemas.openxmlformats.org/officeDocument/2006/relationships/hyperlink" Target="http://force.com" TargetMode="External"/><Relationship Id="rId1029" Type="http://schemas.openxmlformats.org/officeDocument/2006/relationships/hyperlink" Target="http://force.com" TargetMode="External"/><Relationship Id="rId3681" Type="http://schemas.openxmlformats.org/officeDocument/2006/relationships/hyperlink" Target="http://force.com" TargetMode="External"/><Relationship Id="rId2350" Type="http://schemas.openxmlformats.org/officeDocument/2006/relationships/hyperlink" Target="http://force.com" TargetMode="External"/><Relationship Id="rId3680" Type="http://schemas.openxmlformats.org/officeDocument/2006/relationships/hyperlink" Target="http://force.com" TargetMode="External"/><Relationship Id="rId1020" Type="http://schemas.openxmlformats.org/officeDocument/2006/relationships/hyperlink" Target="http://force.com" TargetMode="External"/><Relationship Id="rId2351" Type="http://schemas.openxmlformats.org/officeDocument/2006/relationships/hyperlink" Target="http://force.com" TargetMode="External"/><Relationship Id="rId3683" Type="http://schemas.openxmlformats.org/officeDocument/2006/relationships/hyperlink" Target="http://force.com" TargetMode="External"/><Relationship Id="rId1021" Type="http://schemas.openxmlformats.org/officeDocument/2006/relationships/hyperlink" Target="http://force.com" TargetMode="External"/><Relationship Id="rId2352" Type="http://schemas.openxmlformats.org/officeDocument/2006/relationships/hyperlink" Target="http://force.com" TargetMode="External"/><Relationship Id="rId3682" Type="http://schemas.openxmlformats.org/officeDocument/2006/relationships/hyperlink" Target="http://force.com" TargetMode="External"/><Relationship Id="rId1022" Type="http://schemas.openxmlformats.org/officeDocument/2006/relationships/hyperlink" Target="http://force.com" TargetMode="External"/><Relationship Id="rId2353" Type="http://schemas.openxmlformats.org/officeDocument/2006/relationships/hyperlink" Target="http://force.com" TargetMode="External"/><Relationship Id="rId3685" Type="http://schemas.openxmlformats.org/officeDocument/2006/relationships/hyperlink" Target="http://force.com" TargetMode="External"/><Relationship Id="rId1023" Type="http://schemas.openxmlformats.org/officeDocument/2006/relationships/hyperlink" Target="http://force.com" TargetMode="External"/><Relationship Id="rId2354" Type="http://schemas.openxmlformats.org/officeDocument/2006/relationships/hyperlink" Target="http://force.com" TargetMode="External"/><Relationship Id="rId3684" Type="http://schemas.openxmlformats.org/officeDocument/2006/relationships/hyperlink" Target="http://force.com" TargetMode="External"/><Relationship Id="rId1024" Type="http://schemas.openxmlformats.org/officeDocument/2006/relationships/hyperlink" Target="http://force.com" TargetMode="External"/><Relationship Id="rId2355" Type="http://schemas.openxmlformats.org/officeDocument/2006/relationships/hyperlink" Target="http://force.com" TargetMode="External"/><Relationship Id="rId3687" Type="http://schemas.openxmlformats.org/officeDocument/2006/relationships/hyperlink" Target="http://force.com" TargetMode="External"/><Relationship Id="rId1025" Type="http://schemas.openxmlformats.org/officeDocument/2006/relationships/hyperlink" Target="http://force.com" TargetMode="External"/><Relationship Id="rId2356" Type="http://schemas.openxmlformats.org/officeDocument/2006/relationships/hyperlink" Target="http://force.com" TargetMode="External"/><Relationship Id="rId3686" Type="http://schemas.openxmlformats.org/officeDocument/2006/relationships/hyperlink" Target="http://force.com" TargetMode="External"/><Relationship Id="rId5490" Type="http://schemas.openxmlformats.org/officeDocument/2006/relationships/hyperlink" Target="http://force.com" TargetMode="External"/><Relationship Id="rId4161" Type="http://schemas.openxmlformats.org/officeDocument/2006/relationships/hyperlink" Target="http://force.com" TargetMode="External"/><Relationship Id="rId5493" Type="http://schemas.openxmlformats.org/officeDocument/2006/relationships/hyperlink" Target="http://force.com" TargetMode="External"/><Relationship Id="rId4160" Type="http://schemas.openxmlformats.org/officeDocument/2006/relationships/hyperlink" Target="http://force.com" TargetMode="External"/><Relationship Id="rId5494" Type="http://schemas.openxmlformats.org/officeDocument/2006/relationships/hyperlink" Target="http://force.com" TargetMode="External"/><Relationship Id="rId4163" Type="http://schemas.openxmlformats.org/officeDocument/2006/relationships/hyperlink" Target="http://force.com" TargetMode="External"/><Relationship Id="rId5491" Type="http://schemas.openxmlformats.org/officeDocument/2006/relationships/hyperlink" Target="http://force.com" TargetMode="External"/><Relationship Id="rId4162" Type="http://schemas.openxmlformats.org/officeDocument/2006/relationships/hyperlink" Target="http://force.com" TargetMode="External"/><Relationship Id="rId5492" Type="http://schemas.openxmlformats.org/officeDocument/2006/relationships/hyperlink" Target="http://force.com" TargetMode="External"/><Relationship Id="rId4165" Type="http://schemas.openxmlformats.org/officeDocument/2006/relationships/hyperlink" Target="http://force.com" TargetMode="External"/><Relationship Id="rId5497" Type="http://schemas.openxmlformats.org/officeDocument/2006/relationships/hyperlink" Target="http://force.com" TargetMode="External"/><Relationship Id="rId4164" Type="http://schemas.openxmlformats.org/officeDocument/2006/relationships/hyperlink" Target="http://force.com" TargetMode="External"/><Relationship Id="rId5498" Type="http://schemas.openxmlformats.org/officeDocument/2006/relationships/hyperlink" Target="http://force.com" TargetMode="External"/><Relationship Id="rId4167" Type="http://schemas.openxmlformats.org/officeDocument/2006/relationships/hyperlink" Target="http://force.com" TargetMode="External"/><Relationship Id="rId5495" Type="http://schemas.openxmlformats.org/officeDocument/2006/relationships/hyperlink" Target="http://force.com" TargetMode="External"/><Relationship Id="rId4166" Type="http://schemas.openxmlformats.org/officeDocument/2006/relationships/hyperlink" Target="http://force.com" TargetMode="External"/><Relationship Id="rId5496" Type="http://schemas.openxmlformats.org/officeDocument/2006/relationships/hyperlink" Target="http://force.com" TargetMode="External"/><Relationship Id="rId4169" Type="http://schemas.openxmlformats.org/officeDocument/2006/relationships/hyperlink" Target="http://force.com" TargetMode="External"/><Relationship Id="rId4168" Type="http://schemas.openxmlformats.org/officeDocument/2006/relationships/hyperlink" Target="http://force.com" TargetMode="External"/><Relationship Id="rId5499" Type="http://schemas.openxmlformats.org/officeDocument/2006/relationships/hyperlink" Target="http://force.com" TargetMode="External"/><Relationship Id="rId4150" Type="http://schemas.openxmlformats.org/officeDocument/2006/relationships/hyperlink" Target="http://force.com" TargetMode="External"/><Relationship Id="rId5482" Type="http://schemas.openxmlformats.org/officeDocument/2006/relationships/hyperlink" Target="http://force.com" TargetMode="External"/><Relationship Id="rId5483" Type="http://schemas.openxmlformats.org/officeDocument/2006/relationships/hyperlink" Target="http://force.com" TargetMode="External"/><Relationship Id="rId4152" Type="http://schemas.openxmlformats.org/officeDocument/2006/relationships/hyperlink" Target="http://force.com" TargetMode="External"/><Relationship Id="rId5480" Type="http://schemas.openxmlformats.org/officeDocument/2006/relationships/hyperlink" Target="http://force.com" TargetMode="External"/><Relationship Id="rId4151" Type="http://schemas.openxmlformats.org/officeDocument/2006/relationships/hyperlink" Target="http://force.com" TargetMode="External"/><Relationship Id="rId5481" Type="http://schemas.openxmlformats.org/officeDocument/2006/relationships/hyperlink" Target="http://force.com" TargetMode="External"/><Relationship Id="rId4154" Type="http://schemas.openxmlformats.org/officeDocument/2006/relationships/hyperlink" Target="http://force.com" TargetMode="External"/><Relationship Id="rId5486" Type="http://schemas.openxmlformats.org/officeDocument/2006/relationships/hyperlink" Target="http://force.com" TargetMode="External"/><Relationship Id="rId4153" Type="http://schemas.openxmlformats.org/officeDocument/2006/relationships/hyperlink" Target="http://force.com" TargetMode="External"/><Relationship Id="rId5487" Type="http://schemas.openxmlformats.org/officeDocument/2006/relationships/hyperlink" Target="http://force.com" TargetMode="External"/><Relationship Id="rId4156" Type="http://schemas.openxmlformats.org/officeDocument/2006/relationships/hyperlink" Target="http://force.com" TargetMode="External"/><Relationship Id="rId5484" Type="http://schemas.openxmlformats.org/officeDocument/2006/relationships/hyperlink" Target="http://force.com" TargetMode="External"/><Relationship Id="rId4155" Type="http://schemas.openxmlformats.org/officeDocument/2006/relationships/hyperlink" Target="http://force.com" TargetMode="External"/><Relationship Id="rId5485" Type="http://schemas.openxmlformats.org/officeDocument/2006/relationships/hyperlink" Target="http://force.com" TargetMode="External"/><Relationship Id="rId4158" Type="http://schemas.openxmlformats.org/officeDocument/2006/relationships/hyperlink" Target="http://force.com" TargetMode="External"/><Relationship Id="rId4157" Type="http://schemas.openxmlformats.org/officeDocument/2006/relationships/hyperlink" Target="http://force.com" TargetMode="External"/><Relationship Id="rId5488" Type="http://schemas.openxmlformats.org/officeDocument/2006/relationships/hyperlink" Target="http://force.com" TargetMode="External"/><Relationship Id="rId4159" Type="http://schemas.openxmlformats.org/officeDocument/2006/relationships/hyperlink" Target="http://force.com" TargetMode="External"/><Relationship Id="rId5489" Type="http://schemas.openxmlformats.org/officeDocument/2006/relationships/hyperlink" Target="http://force.com" TargetMode="External"/><Relationship Id="rId1910" Type="http://schemas.openxmlformats.org/officeDocument/2006/relationships/hyperlink" Target="http://force.com" TargetMode="External"/><Relationship Id="rId1911" Type="http://schemas.openxmlformats.org/officeDocument/2006/relationships/hyperlink" Target="http://force.com" TargetMode="External"/><Relationship Id="rId1912" Type="http://schemas.openxmlformats.org/officeDocument/2006/relationships/hyperlink" Target="http://force.com" TargetMode="External"/><Relationship Id="rId1913" Type="http://schemas.openxmlformats.org/officeDocument/2006/relationships/hyperlink" Target="http://force.com" TargetMode="External"/><Relationship Id="rId1914" Type="http://schemas.openxmlformats.org/officeDocument/2006/relationships/hyperlink" Target="http://force.com" TargetMode="External"/><Relationship Id="rId1915" Type="http://schemas.openxmlformats.org/officeDocument/2006/relationships/hyperlink" Target="http://force.com" TargetMode="External"/><Relationship Id="rId1916" Type="http://schemas.openxmlformats.org/officeDocument/2006/relationships/hyperlink" Target="http://force.com" TargetMode="External"/><Relationship Id="rId1917" Type="http://schemas.openxmlformats.org/officeDocument/2006/relationships/hyperlink" Target="http://force.com" TargetMode="External"/><Relationship Id="rId1918" Type="http://schemas.openxmlformats.org/officeDocument/2006/relationships/hyperlink" Target="http://force.com" TargetMode="External"/><Relationship Id="rId1919" Type="http://schemas.openxmlformats.org/officeDocument/2006/relationships/hyperlink" Target="http://force.com" TargetMode="External"/><Relationship Id="rId4181" Type="http://schemas.openxmlformats.org/officeDocument/2006/relationships/hyperlink" Target="http://force.com" TargetMode="External"/><Relationship Id="rId4180" Type="http://schemas.openxmlformats.org/officeDocument/2006/relationships/hyperlink" Target="http://force.com" TargetMode="External"/><Relationship Id="rId4183" Type="http://schemas.openxmlformats.org/officeDocument/2006/relationships/hyperlink" Target="http://force.com" TargetMode="External"/><Relationship Id="rId4182" Type="http://schemas.openxmlformats.org/officeDocument/2006/relationships/hyperlink" Target="http://force.com" TargetMode="External"/><Relationship Id="rId4185" Type="http://schemas.openxmlformats.org/officeDocument/2006/relationships/hyperlink" Target="http://force.com" TargetMode="External"/><Relationship Id="rId4184" Type="http://schemas.openxmlformats.org/officeDocument/2006/relationships/hyperlink" Target="http://force.com" TargetMode="External"/><Relationship Id="rId4187" Type="http://schemas.openxmlformats.org/officeDocument/2006/relationships/hyperlink" Target="http://force.com" TargetMode="External"/><Relationship Id="rId4186" Type="http://schemas.openxmlformats.org/officeDocument/2006/relationships/hyperlink" Target="http://force.com" TargetMode="External"/><Relationship Id="rId4189" Type="http://schemas.openxmlformats.org/officeDocument/2006/relationships/hyperlink" Target="http://force.com" TargetMode="External"/><Relationship Id="rId4188" Type="http://schemas.openxmlformats.org/officeDocument/2006/relationships/hyperlink" Target="http://force.com" TargetMode="External"/><Relationship Id="rId1900" Type="http://schemas.openxmlformats.org/officeDocument/2006/relationships/hyperlink" Target="http://force.com" TargetMode="External"/><Relationship Id="rId1901" Type="http://schemas.openxmlformats.org/officeDocument/2006/relationships/hyperlink" Target="http://force.com" TargetMode="External"/><Relationship Id="rId1902" Type="http://schemas.openxmlformats.org/officeDocument/2006/relationships/hyperlink" Target="http://force.com" TargetMode="External"/><Relationship Id="rId1903" Type="http://schemas.openxmlformats.org/officeDocument/2006/relationships/hyperlink" Target="http://force.com" TargetMode="External"/><Relationship Id="rId1904" Type="http://schemas.openxmlformats.org/officeDocument/2006/relationships/hyperlink" Target="http://force.com" TargetMode="External"/><Relationship Id="rId1905" Type="http://schemas.openxmlformats.org/officeDocument/2006/relationships/hyperlink" Target="http://force.com" TargetMode="External"/><Relationship Id="rId1906" Type="http://schemas.openxmlformats.org/officeDocument/2006/relationships/hyperlink" Target="http://force.com" TargetMode="External"/><Relationship Id="rId1907" Type="http://schemas.openxmlformats.org/officeDocument/2006/relationships/hyperlink" Target="http://force.com" TargetMode="External"/><Relationship Id="rId1908" Type="http://schemas.openxmlformats.org/officeDocument/2006/relationships/hyperlink" Target="http://force.com" TargetMode="External"/><Relationship Id="rId1909" Type="http://schemas.openxmlformats.org/officeDocument/2006/relationships/hyperlink" Target="http://force.com" TargetMode="External"/><Relationship Id="rId4170" Type="http://schemas.openxmlformats.org/officeDocument/2006/relationships/hyperlink" Target="http://force.com" TargetMode="External"/><Relationship Id="rId4172" Type="http://schemas.openxmlformats.org/officeDocument/2006/relationships/hyperlink" Target="http://force.com" TargetMode="External"/><Relationship Id="rId4171" Type="http://schemas.openxmlformats.org/officeDocument/2006/relationships/hyperlink" Target="http://force.com" TargetMode="External"/><Relationship Id="rId4174" Type="http://schemas.openxmlformats.org/officeDocument/2006/relationships/hyperlink" Target="http://force.com" TargetMode="External"/><Relationship Id="rId4173" Type="http://schemas.openxmlformats.org/officeDocument/2006/relationships/hyperlink" Target="http://force.com" TargetMode="External"/><Relationship Id="rId4176" Type="http://schemas.openxmlformats.org/officeDocument/2006/relationships/hyperlink" Target="http://force.com" TargetMode="External"/><Relationship Id="rId4175" Type="http://schemas.openxmlformats.org/officeDocument/2006/relationships/hyperlink" Target="http://force.com" TargetMode="External"/><Relationship Id="rId4178" Type="http://schemas.openxmlformats.org/officeDocument/2006/relationships/hyperlink" Target="http://force.com" TargetMode="External"/><Relationship Id="rId4177" Type="http://schemas.openxmlformats.org/officeDocument/2006/relationships/hyperlink" Target="http://force.com" TargetMode="External"/><Relationship Id="rId4179" Type="http://schemas.openxmlformats.org/officeDocument/2006/relationships/hyperlink" Target="http://force.com" TargetMode="External"/><Relationship Id="rId4129" Type="http://schemas.openxmlformats.org/officeDocument/2006/relationships/hyperlink" Target="http://force.com" TargetMode="External"/><Relationship Id="rId4128" Type="http://schemas.openxmlformats.org/officeDocument/2006/relationships/hyperlink" Target="http://force.com" TargetMode="External"/><Relationship Id="rId5459" Type="http://schemas.openxmlformats.org/officeDocument/2006/relationships/hyperlink" Target="http://force.com" TargetMode="External"/><Relationship Id="rId1090" Type="http://schemas.openxmlformats.org/officeDocument/2006/relationships/hyperlink" Target="http://force.com" TargetMode="External"/><Relationship Id="rId1091" Type="http://schemas.openxmlformats.org/officeDocument/2006/relationships/hyperlink" Target="http://force.com" TargetMode="External"/><Relationship Id="rId1092" Type="http://schemas.openxmlformats.org/officeDocument/2006/relationships/hyperlink" Target="http://force.com" TargetMode="External"/><Relationship Id="rId5450" Type="http://schemas.openxmlformats.org/officeDocument/2006/relationships/hyperlink" Target="http://force.com" TargetMode="External"/><Relationship Id="rId1093" Type="http://schemas.openxmlformats.org/officeDocument/2006/relationships/hyperlink" Target="http://force.com" TargetMode="External"/><Relationship Id="rId1094" Type="http://schemas.openxmlformats.org/officeDocument/2006/relationships/hyperlink" Target="http://force.com" TargetMode="External"/><Relationship Id="rId1095" Type="http://schemas.openxmlformats.org/officeDocument/2006/relationships/hyperlink" Target="http://force.com" TargetMode="External"/><Relationship Id="rId4121" Type="http://schemas.openxmlformats.org/officeDocument/2006/relationships/hyperlink" Target="http://force.com" TargetMode="External"/><Relationship Id="rId5453" Type="http://schemas.openxmlformats.org/officeDocument/2006/relationships/hyperlink" Target="http://force.com" TargetMode="External"/><Relationship Id="rId1096" Type="http://schemas.openxmlformats.org/officeDocument/2006/relationships/hyperlink" Target="http://force.com" TargetMode="External"/><Relationship Id="rId4120" Type="http://schemas.openxmlformats.org/officeDocument/2006/relationships/hyperlink" Target="http://force.com" TargetMode="External"/><Relationship Id="rId5454" Type="http://schemas.openxmlformats.org/officeDocument/2006/relationships/hyperlink" Target="http://force.com" TargetMode="External"/><Relationship Id="rId1097" Type="http://schemas.openxmlformats.org/officeDocument/2006/relationships/hyperlink" Target="http://force.com" TargetMode="External"/><Relationship Id="rId4123" Type="http://schemas.openxmlformats.org/officeDocument/2006/relationships/hyperlink" Target="http://force.com" TargetMode="External"/><Relationship Id="rId5451" Type="http://schemas.openxmlformats.org/officeDocument/2006/relationships/hyperlink" Target="http://force.com" TargetMode="External"/><Relationship Id="rId1098" Type="http://schemas.openxmlformats.org/officeDocument/2006/relationships/hyperlink" Target="http://force.com" TargetMode="External"/><Relationship Id="rId4122" Type="http://schemas.openxmlformats.org/officeDocument/2006/relationships/hyperlink" Target="http://force.com" TargetMode="External"/><Relationship Id="rId5452" Type="http://schemas.openxmlformats.org/officeDocument/2006/relationships/hyperlink" Target="http://force.com" TargetMode="External"/><Relationship Id="rId1099" Type="http://schemas.openxmlformats.org/officeDocument/2006/relationships/hyperlink" Target="http://force.com" TargetMode="External"/><Relationship Id="rId4125" Type="http://schemas.openxmlformats.org/officeDocument/2006/relationships/hyperlink" Target="http://force.com" TargetMode="External"/><Relationship Id="rId5457" Type="http://schemas.openxmlformats.org/officeDocument/2006/relationships/hyperlink" Target="http://force.com" TargetMode="External"/><Relationship Id="rId4124" Type="http://schemas.openxmlformats.org/officeDocument/2006/relationships/hyperlink" Target="http://force.com" TargetMode="External"/><Relationship Id="rId5458" Type="http://schemas.openxmlformats.org/officeDocument/2006/relationships/hyperlink" Target="http://force.com" TargetMode="External"/><Relationship Id="rId4127" Type="http://schemas.openxmlformats.org/officeDocument/2006/relationships/hyperlink" Target="http://force.com" TargetMode="External"/><Relationship Id="rId5455" Type="http://schemas.openxmlformats.org/officeDocument/2006/relationships/hyperlink" Target="http://force.com" TargetMode="External"/><Relationship Id="rId4126" Type="http://schemas.openxmlformats.org/officeDocument/2006/relationships/hyperlink" Target="http://force.com" TargetMode="External"/><Relationship Id="rId5456" Type="http://schemas.openxmlformats.org/officeDocument/2006/relationships/hyperlink" Target="http://force.com" TargetMode="External"/><Relationship Id="rId4118" Type="http://schemas.openxmlformats.org/officeDocument/2006/relationships/hyperlink" Target="http://force.com" TargetMode="External"/><Relationship Id="rId4117" Type="http://schemas.openxmlformats.org/officeDocument/2006/relationships/hyperlink" Target="http://force.com" TargetMode="External"/><Relationship Id="rId5448" Type="http://schemas.openxmlformats.org/officeDocument/2006/relationships/hyperlink" Target="http://force.com" TargetMode="External"/><Relationship Id="rId4119" Type="http://schemas.openxmlformats.org/officeDocument/2006/relationships/hyperlink" Target="http://force.com" TargetMode="External"/><Relationship Id="rId5449" Type="http://schemas.openxmlformats.org/officeDocument/2006/relationships/hyperlink" Target="http://force.com" TargetMode="External"/><Relationship Id="rId1080" Type="http://schemas.openxmlformats.org/officeDocument/2006/relationships/hyperlink" Target="http://force.com" TargetMode="External"/><Relationship Id="rId1081" Type="http://schemas.openxmlformats.org/officeDocument/2006/relationships/hyperlink" Target="http://force.com" TargetMode="External"/><Relationship Id="rId1082" Type="http://schemas.openxmlformats.org/officeDocument/2006/relationships/hyperlink" Target="http://force.com" TargetMode="External"/><Relationship Id="rId1083" Type="http://schemas.openxmlformats.org/officeDocument/2006/relationships/hyperlink" Target="http://force.com" TargetMode="External"/><Relationship Id="rId1084" Type="http://schemas.openxmlformats.org/officeDocument/2006/relationships/hyperlink" Target="http://force.com" TargetMode="External"/><Relationship Id="rId4110" Type="http://schemas.openxmlformats.org/officeDocument/2006/relationships/hyperlink" Target="http://force.com" TargetMode="External"/><Relationship Id="rId5442" Type="http://schemas.openxmlformats.org/officeDocument/2006/relationships/hyperlink" Target="http://force.com" TargetMode="External"/><Relationship Id="rId1085" Type="http://schemas.openxmlformats.org/officeDocument/2006/relationships/hyperlink" Target="http://force.com" TargetMode="External"/><Relationship Id="rId5443" Type="http://schemas.openxmlformats.org/officeDocument/2006/relationships/hyperlink" Target="http://force.com" TargetMode="External"/><Relationship Id="rId1086" Type="http://schemas.openxmlformats.org/officeDocument/2006/relationships/hyperlink" Target="http://force.com" TargetMode="External"/><Relationship Id="rId4112" Type="http://schemas.openxmlformats.org/officeDocument/2006/relationships/hyperlink" Target="http://force.com" TargetMode="External"/><Relationship Id="rId5440" Type="http://schemas.openxmlformats.org/officeDocument/2006/relationships/hyperlink" Target="http://force.com" TargetMode="External"/><Relationship Id="rId1087" Type="http://schemas.openxmlformats.org/officeDocument/2006/relationships/hyperlink" Target="http://force.com" TargetMode="External"/><Relationship Id="rId4111" Type="http://schemas.openxmlformats.org/officeDocument/2006/relationships/hyperlink" Target="http://force.com" TargetMode="External"/><Relationship Id="rId5441" Type="http://schemas.openxmlformats.org/officeDocument/2006/relationships/hyperlink" Target="http://force.com" TargetMode="External"/><Relationship Id="rId1088" Type="http://schemas.openxmlformats.org/officeDocument/2006/relationships/hyperlink" Target="http://force.com" TargetMode="External"/><Relationship Id="rId4114" Type="http://schemas.openxmlformats.org/officeDocument/2006/relationships/hyperlink" Target="http://force.com" TargetMode="External"/><Relationship Id="rId5446" Type="http://schemas.openxmlformats.org/officeDocument/2006/relationships/hyperlink" Target="http://force.com" TargetMode="External"/><Relationship Id="rId1089" Type="http://schemas.openxmlformats.org/officeDocument/2006/relationships/hyperlink" Target="http://force.com" TargetMode="External"/><Relationship Id="rId4113" Type="http://schemas.openxmlformats.org/officeDocument/2006/relationships/hyperlink" Target="http://force.com" TargetMode="External"/><Relationship Id="rId5447" Type="http://schemas.openxmlformats.org/officeDocument/2006/relationships/hyperlink" Target="http://force.com" TargetMode="External"/><Relationship Id="rId4116" Type="http://schemas.openxmlformats.org/officeDocument/2006/relationships/hyperlink" Target="http://force.com" TargetMode="External"/><Relationship Id="rId5444" Type="http://schemas.openxmlformats.org/officeDocument/2006/relationships/hyperlink" Target="http://force.com" TargetMode="External"/><Relationship Id="rId4115" Type="http://schemas.openxmlformats.org/officeDocument/2006/relationships/hyperlink" Target="http://force.com" TargetMode="External"/><Relationship Id="rId5445" Type="http://schemas.openxmlformats.org/officeDocument/2006/relationships/hyperlink" Target="http://force.com" TargetMode="External"/><Relationship Id="rId5471" Type="http://schemas.openxmlformats.org/officeDocument/2006/relationships/hyperlink" Target="http://force.com" TargetMode="External"/><Relationship Id="rId5472" Type="http://schemas.openxmlformats.org/officeDocument/2006/relationships/hyperlink" Target="http://force.com" TargetMode="External"/><Relationship Id="rId4141" Type="http://schemas.openxmlformats.org/officeDocument/2006/relationships/hyperlink" Target="http://force.com" TargetMode="External"/><Relationship Id="rId4140" Type="http://schemas.openxmlformats.org/officeDocument/2006/relationships/hyperlink" Target="http://force.com" TargetMode="External"/><Relationship Id="rId5470" Type="http://schemas.openxmlformats.org/officeDocument/2006/relationships/hyperlink" Target="http://force.com" TargetMode="External"/><Relationship Id="rId4143" Type="http://schemas.openxmlformats.org/officeDocument/2006/relationships/hyperlink" Target="http://force.com" TargetMode="External"/><Relationship Id="rId5475" Type="http://schemas.openxmlformats.org/officeDocument/2006/relationships/hyperlink" Target="http://force.com" TargetMode="External"/><Relationship Id="rId4142" Type="http://schemas.openxmlformats.org/officeDocument/2006/relationships/hyperlink" Target="http://force.com" TargetMode="External"/><Relationship Id="rId5476" Type="http://schemas.openxmlformats.org/officeDocument/2006/relationships/hyperlink" Target="http://force.com" TargetMode="External"/><Relationship Id="rId4145" Type="http://schemas.openxmlformats.org/officeDocument/2006/relationships/hyperlink" Target="http://force.com" TargetMode="External"/><Relationship Id="rId5473" Type="http://schemas.openxmlformats.org/officeDocument/2006/relationships/hyperlink" Target="http://force.com" TargetMode="External"/><Relationship Id="rId4144" Type="http://schemas.openxmlformats.org/officeDocument/2006/relationships/hyperlink" Target="http://force.com" TargetMode="External"/><Relationship Id="rId5474" Type="http://schemas.openxmlformats.org/officeDocument/2006/relationships/hyperlink" Target="http://force.com" TargetMode="External"/><Relationship Id="rId4147" Type="http://schemas.openxmlformats.org/officeDocument/2006/relationships/hyperlink" Target="http://force.com" TargetMode="External"/><Relationship Id="rId5479" Type="http://schemas.openxmlformats.org/officeDocument/2006/relationships/hyperlink" Target="http://force.com" TargetMode="External"/><Relationship Id="rId4146" Type="http://schemas.openxmlformats.org/officeDocument/2006/relationships/hyperlink" Target="http://force.com" TargetMode="External"/><Relationship Id="rId4149" Type="http://schemas.openxmlformats.org/officeDocument/2006/relationships/hyperlink" Target="http://force.com" TargetMode="External"/><Relationship Id="rId5477" Type="http://schemas.openxmlformats.org/officeDocument/2006/relationships/hyperlink" Target="http://force.com" TargetMode="External"/><Relationship Id="rId4148" Type="http://schemas.openxmlformats.org/officeDocument/2006/relationships/hyperlink" Target="http://force.com" TargetMode="External"/><Relationship Id="rId5478" Type="http://schemas.openxmlformats.org/officeDocument/2006/relationships/hyperlink" Target="http://force.com" TargetMode="External"/><Relationship Id="rId4139" Type="http://schemas.openxmlformats.org/officeDocument/2006/relationships/hyperlink" Target="http://force.com" TargetMode="External"/><Relationship Id="rId5460" Type="http://schemas.openxmlformats.org/officeDocument/2006/relationships/hyperlink" Target="http://force.com" TargetMode="External"/><Relationship Id="rId5461" Type="http://schemas.openxmlformats.org/officeDocument/2006/relationships/hyperlink" Target="http://force.com" TargetMode="External"/><Relationship Id="rId4130" Type="http://schemas.openxmlformats.org/officeDocument/2006/relationships/hyperlink" Target="http://force.com" TargetMode="External"/><Relationship Id="rId4132" Type="http://schemas.openxmlformats.org/officeDocument/2006/relationships/hyperlink" Target="http://force.com" TargetMode="External"/><Relationship Id="rId5464" Type="http://schemas.openxmlformats.org/officeDocument/2006/relationships/hyperlink" Target="http://force.com" TargetMode="External"/><Relationship Id="rId4131" Type="http://schemas.openxmlformats.org/officeDocument/2006/relationships/hyperlink" Target="http://force.com" TargetMode="External"/><Relationship Id="rId5465" Type="http://schemas.openxmlformats.org/officeDocument/2006/relationships/hyperlink" Target="http://force.com" TargetMode="External"/><Relationship Id="rId4134" Type="http://schemas.openxmlformats.org/officeDocument/2006/relationships/hyperlink" Target="http://force.com" TargetMode="External"/><Relationship Id="rId5462" Type="http://schemas.openxmlformats.org/officeDocument/2006/relationships/hyperlink" Target="http://force.com" TargetMode="External"/><Relationship Id="rId4133" Type="http://schemas.openxmlformats.org/officeDocument/2006/relationships/hyperlink" Target="http://force.com" TargetMode="External"/><Relationship Id="rId5463" Type="http://schemas.openxmlformats.org/officeDocument/2006/relationships/hyperlink" Target="http://force.com" TargetMode="External"/><Relationship Id="rId4136" Type="http://schemas.openxmlformats.org/officeDocument/2006/relationships/hyperlink" Target="http://force.com" TargetMode="External"/><Relationship Id="rId5468" Type="http://schemas.openxmlformats.org/officeDocument/2006/relationships/hyperlink" Target="http://force.com" TargetMode="External"/><Relationship Id="rId4135" Type="http://schemas.openxmlformats.org/officeDocument/2006/relationships/hyperlink" Target="http://force.com" TargetMode="External"/><Relationship Id="rId5469" Type="http://schemas.openxmlformats.org/officeDocument/2006/relationships/hyperlink" Target="http://force.com" TargetMode="External"/><Relationship Id="rId4138" Type="http://schemas.openxmlformats.org/officeDocument/2006/relationships/hyperlink" Target="http://force.com" TargetMode="External"/><Relationship Id="rId5466" Type="http://schemas.openxmlformats.org/officeDocument/2006/relationships/hyperlink" Target="http://force.com" TargetMode="External"/><Relationship Id="rId4137" Type="http://schemas.openxmlformats.org/officeDocument/2006/relationships/hyperlink" Target="http://force.com" TargetMode="External"/><Relationship Id="rId5467" Type="http://schemas.openxmlformats.org/officeDocument/2006/relationships/hyperlink" Target="http://force.com" TargetMode="External"/><Relationship Id="rId1972" Type="http://schemas.openxmlformats.org/officeDocument/2006/relationships/hyperlink" Target="http://force.com" TargetMode="External"/><Relationship Id="rId1973" Type="http://schemas.openxmlformats.org/officeDocument/2006/relationships/hyperlink" Target="http://force.com" TargetMode="External"/><Relationship Id="rId1974" Type="http://schemas.openxmlformats.org/officeDocument/2006/relationships/hyperlink" Target="http://force.com" TargetMode="External"/><Relationship Id="rId1975" Type="http://schemas.openxmlformats.org/officeDocument/2006/relationships/hyperlink" Target="http://force.com" TargetMode="External"/><Relationship Id="rId1976" Type="http://schemas.openxmlformats.org/officeDocument/2006/relationships/hyperlink" Target="http://force.com" TargetMode="External"/><Relationship Id="rId1977" Type="http://schemas.openxmlformats.org/officeDocument/2006/relationships/hyperlink" Target="http://force.com" TargetMode="External"/><Relationship Id="rId1978" Type="http://schemas.openxmlformats.org/officeDocument/2006/relationships/hyperlink" Target="http://force.com" TargetMode="External"/><Relationship Id="rId1979" Type="http://schemas.openxmlformats.org/officeDocument/2006/relationships/hyperlink" Target="http://force.com" TargetMode="External"/><Relationship Id="rId1970" Type="http://schemas.openxmlformats.org/officeDocument/2006/relationships/hyperlink" Target="http://force.com" TargetMode="External"/><Relationship Id="rId1971" Type="http://schemas.openxmlformats.org/officeDocument/2006/relationships/hyperlink" Target="http://force.com" TargetMode="External"/><Relationship Id="rId1961" Type="http://schemas.openxmlformats.org/officeDocument/2006/relationships/hyperlink" Target="http://force.com" TargetMode="External"/><Relationship Id="rId1962" Type="http://schemas.openxmlformats.org/officeDocument/2006/relationships/hyperlink" Target="http://force.com" TargetMode="External"/><Relationship Id="rId1963" Type="http://schemas.openxmlformats.org/officeDocument/2006/relationships/hyperlink" Target="http://force.com" TargetMode="External"/><Relationship Id="rId1964" Type="http://schemas.openxmlformats.org/officeDocument/2006/relationships/hyperlink" Target="http://force.com" TargetMode="External"/><Relationship Id="rId1965" Type="http://schemas.openxmlformats.org/officeDocument/2006/relationships/hyperlink" Target="http://force.com" TargetMode="External"/><Relationship Id="rId1966" Type="http://schemas.openxmlformats.org/officeDocument/2006/relationships/hyperlink" Target="http://force.com" TargetMode="External"/><Relationship Id="rId1967" Type="http://schemas.openxmlformats.org/officeDocument/2006/relationships/hyperlink" Target="http://force.com" TargetMode="External"/><Relationship Id="rId1968" Type="http://schemas.openxmlformats.org/officeDocument/2006/relationships/hyperlink" Target="http://force.com" TargetMode="External"/><Relationship Id="rId1969" Type="http://schemas.openxmlformats.org/officeDocument/2006/relationships/hyperlink" Target="http://force.com" TargetMode="External"/><Relationship Id="rId1960" Type="http://schemas.openxmlformats.org/officeDocument/2006/relationships/hyperlink" Target="http://force.com" TargetMode="External"/><Relationship Id="rId1994" Type="http://schemas.openxmlformats.org/officeDocument/2006/relationships/hyperlink" Target="http://force.com" TargetMode="External"/><Relationship Id="rId1995" Type="http://schemas.openxmlformats.org/officeDocument/2006/relationships/hyperlink" Target="http://force.com" TargetMode="External"/><Relationship Id="rId1996" Type="http://schemas.openxmlformats.org/officeDocument/2006/relationships/hyperlink" Target="http://force.com" TargetMode="External"/><Relationship Id="rId1997" Type="http://schemas.openxmlformats.org/officeDocument/2006/relationships/hyperlink" Target="http://force.com" TargetMode="External"/><Relationship Id="rId1998" Type="http://schemas.openxmlformats.org/officeDocument/2006/relationships/hyperlink" Target="http://force.com" TargetMode="External"/><Relationship Id="rId1999" Type="http://schemas.openxmlformats.org/officeDocument/2006/relationships/hyperlink" Target="http://force.com" TargetMode="External"/><Relationship Id="rId1990" Type="http://schemas.openxmlformats.org/officeDocument/2006/relationships/hyperlink" Target="http://force.com" TargetMode="External"/><Relationship Id="rId1991" Type="http://schemas.openxmlformats.org/officeDocument/2006/relationships/hyperlink" Target="http://force.com" TargetMode="External"/><Relationship Id="rId1992" Type="http://schemas.openxmlformats.org/officeDocument/2006/relationships/hyperlink" Target="http://force.com" TargetMode="External"/><Relationship Id="rId1993" Type="http://schemas.openxmlformats.org/officeDocument/2006/relationships/hyperlink" Target="http://force.com" TargetMode="External"/><Relationship Id="rId1983" Type="http://schemas.openxmlformats.org/officeDocument/2006/relationships/hyperlink" Target="http://force.com" TargetMode="External"/><Relationship Id="rId1984" Type="http://schemas.openxmlformats.org/officeDocument/2006/relationships/hyperlink" Target="http://force.com" TargetMode="External"/><Relationship Id="rId1985" Type="http://schemas.openxmlformats.org/officeDocument/2006/relationships/hyperlink" Target="http://force.com" TargetMode="External"/><Relationship Id="rId1986" Type="http://schemas.openxmlformats.org/officeDocument/2006/relationships/hyperlink" Target="http://force.com" TargetMode="External"/><Relationship Id="rId1987" Type="http://schemas.openxmlformats.org/officeDocument/2006/relationships/hyperlink" Target="http://force.com" TargetMode="External"/><Relationship Id="rId1988" Type="http://schemas.openxmlformats.org/officeDocument/2006/relationships/hyperlink" Target="http://force.com" TargetMode="External"/><Relationship Id="rId1989" Type="http://schemas.openxmlformats.org/officeDocument/2006/relationships/hyperlink" Target="http://force.com" TargetMode="External"/><Relationship Id="rId1980" Type="http://schemas.openxmlformats.org/officeDocument/2006/relationships/hyperlink" Target="http://force.com" TargetMode="External"/><Relationship Id="rId1981" Type="http://schemas.openxmlformats.org/officeDocument/2006/relationships/hyperlink" Target="http://force.com" TargetMode="External"/><Relationship Id="rId1982" Type="http://schemas.openxmlformats.org/officeDocument/2006/relationships/hyperlink" Target="http://force.com" TargetMode="External"/><Relationship Id="rId1930" Type="http://schemas.openxmlformats.org/officeDocument/2006/relationships/hyperlink" Target="http://force.com" TargetMode="External"/><Relationship Id="rId1931" Type="http://schemas.openxmlformats.org/officeDocument/2006/relationships/hyperlink" Target="http://force.com" TargetMode="External"/><Relationship Id="rId1932" Type="http://schemas.openxmlformats.org/officeDocument/2006/relationships/hyperlink" Target="http://force.com" TargetMode="External"/><Relationship Id="rId1933" Type="http://schemas.openxmlformats.org/officeDocument/2006/relationships/hyperlink" Target="http://force.com" TargetMode="External"/><Relationship Id="rId1934" Type="http://schemas.openxmlformats.org/officeDocument/2006/relationships/hyperlink" Target="http://force.com" TargetMode="External"/><Relationship Id="rId1935" Type="http://schemas.openxmlformats.org/officeDocument/2006/relationships/hyperlink" Target="http://force.com" TargetMode="External"/><Relationship Id="rId1936" Type="http://schemas.openxmlformats.org/officeDocument/2006/relationships/hyperlink" Target="http://force.com" TargetMode="External"/><Relationship Id="rId1937" Type="http://schemas.openxmlformats.org/officeDocument/2006/relationships/hyperlink" Target="http://force.com" TargetMode="External"/><Relationship Id="rId1938" Type="http://schemas.openxmlformats.org/officeDocument/2006/relationships/hyperlink" Target="http://force.com" TargetMode="External"/><Relationship Id="rId1939" Type="http://schemas.openxmlformats.org/officeDocument/2006/relationships/hyperlink" Target="http://force.com" TargetMode="External"/><Relationship Id="rId1920" Type="http://schemas.openxmlformats.org/officeDocument/2006/relationships/hyperlink" Target="http://force.com" TargetMode="External"/><Relationship Id="rId1921" Type="http://schemas.openxmlformats.org/officeDocument/2006/relationships/hyperlink" Target="http://force.com" TargetMode="External"/><Relationship Id="rId1922" Type="http://schemas.openxmlformats.org/officeDocument/2006/relationships/hyperlink" Target="http://force.com" TargetMode="External"/><Relationship Id="rId1923" Type="http://schemas.openxmlformats.org/officeDocument/2006/relationships/hyperlink" Target="http://force.com" TargetMode="External"/><Relationship Id="rId1924" Type="http://schemas.openxmlformats.org/officeDocument/2006/relationships/hyperlink" Target="http://force.com" TargetMode="External"/><Relationship Id="rId1925" Type="http://schemas.openxmlformats.org/officeDocument/2006/relationships/hyperlink" Target="http://force.com" TargetMode="External"/><Relationship Id="rId1926" Type="http://schemas.openxmlformats.org/officeDocument/2006/relationships/hyperlink" Target="http://force.com" TargetMode="External"/><Relationship Id="rId1927" Type="http://schemas.openxmlformats.org/officeDocument/2006/relationships/hyperlink" Target="http://force.com" TargetMode="External"/><Relationship Id="rId1928" Type="http://schemas.openxmlformats.org/officeDocument/2006/relationships/hyperlink" Target="http://force.com" TargetMode="External"/><Relationship Id="rId1929" Type="http://schemas.openxmlformats.org/officeDocument/2006/relationships/hyperlink" Target="http://force.com" TargetMode="External"/><Relationship Id="rId4190" Type="http://schemas.openxmlformats.org/officeDocument/2006/relationships/hyperlink" Target="http://force.com" TargetMode="External"/><Relationship Id="rId4192" Type="http://schemas.openxmlformats.org/officeDocument/2006/relationships/hyperlink" Target="http://force.com" TargetMode="External"/><Relationship Id="rId4191" Type="http://schemas.openxmlformats.org/officeDocument/2006/relationships/hyperlink" Target="http://force.com" TargetMode="External"/><Relationship Id="rId4194" Type="http://schemas.openxmlformats.org/officeDocument/2006/relationships/hyperlink" Target="http://force.com" TargetMode="External"/><Relationship Id="rId4193" Type="http://schemas.openxmlformats.org/officeDocument/2006/relationships/hyperlink" Target="http://force.com" TargetMode="External"/><Relationship Id="rId4196" Type="http://schemas.openxmlformats.org/officeDocument/2006/relationships/hyperlink" Target="http://force.com" TargetMode="External"/><Relationship Id="rId4195" Type="http://schemas.openxmlformats.org/officeDocument/2006/relationships/hyperlink" Target="http://force.com" TargetMode="External"/><Relationship Id="rId4198" Type="http://schemas.openxmlformats.org/officeDocument/2006/relationships/hyperlink" Target="http://force.com" TargetMode="External"/><Relationship Id="rId4197" Type="http://schemas.openxmlformats.org/officeDocument/2006/relationships/hyperlink" Target="http://force.com" TargetMode="External"/><Relationship Id="rId4199" Type="http://schemas.openxmlformats.org/officeDocument/2006/relationships/hyperlink" Target="http://force.com" TargetMode="External"/><Relationship Id="rId1950" Type="http://schemas.openxmlformats.org/officeDocument/2006/relationships/hyperlink" Target="http://force.com" TargetMode="External"/><Relationship Id="rId1951" Type="http://schemas.openxmlformats.org/officeDocument/2006/relationships/hyperlink" Target="http://force.com" TargetMode="External"/><Relationship Id="rId1952" Type="http://schemas.openxmlformats.org/officeDocument/2006/relationships/hyperlink" Target="http://force.com" TargetMode="External"/><Relationship Id="rId1953" Type="http://schemas.openxmlformats.org/officeDocument/2006/relationships/hyperlink" Target="http://force.com" TargetMode="External"/><Relationship Id="rId1954" Type="http://schemas.openxmlformats.org/officeDocument/2006/relationships/hyperlink" Target="http://force.com" TargetMode="External"/><Relationship Id="rId1955" Type="http://schemas.openxmlformats.org/officeDocument/2006/relationships/hyperlink" Target="http://force.com" TargetMode="External"/><Relationship Id="rId1956" Type="http://schemas.openxmlformats.org/officeDocument/2006/relationships/hyperlink" Target="http://force.com" TargetMode="External"/><Relationship Id="rId1957" Type="http://schemas.openxmlformats.org/officeDocument/2006/relationships/hyperlink" Target="http://force.com" TargetMode="External"/><Relationship Id="rId1958" Type="http://schemas.openxmlformats.org/officeDocument/2006/relationships/hyperlink" Target="http://force.com" TargetMode="External"/><Relationship Id="rId1959" Type="http://schemas.openxmlformats.org/officeDocument/2006/relationships/hyperlink" Target="http://force.com" TargetMode="External"/><Relationship Id="rId1940" Type="http://schemas.openxmlformats.org/officeDocument/2006/relationships/hyperlink" Target="http://force.com" TargetMode="External"/><Relationship Id="rId1941" Type="http://schemas.openxmlformats.org/officeDocument/2006/relationships/hyperlink" Target="http://force.com" TargetMode="External"/><Relationship Id="rId1942" Type="http://schemas.openxmlformats.org/officeDocument/2006/relationships/hyperlink" Target="http://force.com" TargetMode="External"/><Relationship Id="rId1943" Type="http://schemas.openxmlformats.org/officeDocument/2006/relationships/hyperlink" Target="http://force.com" TargetMode="External"/><Relationship Id="rId1944" Type="http://schemas.openxmlformats.org/officeDocument/2006/relationships/hyperlink" Target="http://force.com" TargetMode="External"/><Relationship Id="rId1945" Type="http://schemas.openxmlformats.org/officeDocument/2006/relationships/hyperlink" Target="http://force.com" TargetMode="External"/><Relationship Id="rId1946" Type="http://schemas.openxmlformats.org/officeDocument/2006/relationships/hyperlink" Target="http://force.com" TargetMode="External"/><Relationship Id="rId1947" Type="http://schemas.openxmlformats.org/officeDocument/2006/relationships/hyperlink" Target="http://force.com" TargetMode="External"/><Relationship Id="rId1948" Type="http://schemas.openxmlformats.org/officeDocument/2006/relationships/hyperlink" Target="http://force.com" TargetMode="External"/><Relationship Id="rId1949" Type="http://schemas.openxmlformats.org/officeDocument/2006/relationships/hyperlink" Target="http://force.com" TargetMode="External"/><Relationship Id="rId2423" Type="http://schemas.openxmlformats.org/officeDocument/2006/relationships/hyperlink" Target="http://force.com" TargetMode="External"/><Relationship Id="rId3755" Type="http://schemas.openxmlformats.org/officeDocument/2006/relationships/hyperlink" Target="http://force.com" TargetMode="External"/><Relationship Id="rId2424" Type="http://schemas.openxmlformats.org/officeDocument/2006/relationships/hyperlink" Target="http://force.com" TargetMode="External"/><Relationship Id="rId3754" Type="http://schemas.openxmlformats.org/officeDocument/2006/relationships/hyperlink" Target="http://force.com" TargetMode="External"/><Relationship Id="rId2425" Type="http://schemas.openxmlformats.org/officeDocument/2006/relationships/hyperlink" Target="http://force.com" TargetMode="External"/><Relationship Id="rId3757" Type="http://schemas.openxmlformats.org/officeDocument/2006/relationships/hyperlink" Target="http://force.com" TargetMode="External"/><Relationship Id="rId2426" Type="http://schemas.openxmlformats.org/officeDocument/2006/relationships/hyperlink" Target="http://force.com" TargetMode="External"/><Relationship Id="rId3756" Type="http://schemas.openxmlformats.org/officeDocument/2006/relationships/hyperlink" Target="http://force.com" TargetMode="External"/><Relationship Id="rId2427" Type="http://schemas.openxmlformats.org/officeDocument/2006/relationships/hyperlink" Target="http://force.com" TargetMode="External"/><Relationship Id="rId3759" Type="http://schemas.openxmlformats.org/officeDocument/2006/relationships/hyperlink" Target="http://force.com" TargetMode="External"/><Relationship Id="rId2428" Type="http://schemas.openxmlformats.org/officeDocument/2006/relationships/hyperlink" Target="http://force.com" TargetMode="External"/><Relationship Id="rId3758" Type="http://schemas.openxmlformats.org/officeDocument/2006/relationships/hyperlink" Target="http://force.com" TargetMode="External"/><Relationship Id="rId2429" Type="http://schemas.openxmlformats.org/officeDocument/2006/relationships/hyperlink" Target="http://force.com" TargetMode="External"/><Relationship Id="rId509" Type="http://schemas.openxmlformats.org/officeDocument/2006/relationships/hyperlink" Target="http://force.com" TargetMode="External"/><Relationship Id="rId508" Type="http://schemas.openxmlformats.org/officeDocument/2006/relationships/hyperlink" Target="http://force.com" TargetMode="External"/><Relationship Id="rId503" Type="http://schemas.openxmlformats.org/officeDocument/2006/relationships/hyperlink" Target="http://force.com" TargetMode="External"/><Relationship Id="rId502" Type="http://schemas.openxmlformats.org/officeDocument/2006/relationships/hyperlink" Target="http://force.com" TargetMode="External"/><Relationship Id="rId501" Type="http://schemas.openxmlformats.org/officeDocument/2006/relationships/hyperlink" Target="http://force.com" TargetMode="External"/><Relationship Id="rId500" Type="http://schemas.openxmlformats.org/officeDocument/2006/relationships/hyperlink" Target="http://force.com" TargetMode="External"/><Relationship Id="rId507" Type="http://schemas.openxmlformats.org/officeDocument/2006/relationships/hyperlink" Target="http://force.com" TargetMode="External"/><Relationship Id="rId506" Type="http://schemas.openxmlformats.org/officeDocument/2006/relationships/hyperlink" Target="http://force.com" TargetMode="External"/><Relationship Id="rId505" Type="http://schemas.openxmlformats.org/officeDocument/2006/relationships/hyperlink" Target="http://force.com" TargetMode="External"/><Relationship Id="rId504" Type="http://schemas.openxmlformats.org/officeDocument/2006/relationships/hyperlink" Target="http://force.com" TargetMode="External"/><Relationship Id="rId3751" Type="http://schemas.openxmlformats.org/officeDocument/2006/relationships/hyperlink" Target="http://force.com" TargetMode="External"/><Relationship Id="rId2420" Type="http://schemas.openxmlformats.org/officeDocument/2006/relationships/hyperlink" Target="http://force.com" TargetMode="External"/><Relationship Id="rId3750" Type="http://schemas.openxmlformats.org/officeDocument/2006/relationships/hyperlink" Target="http://force.com" TargetMode="External"/><Relationship Id="rId2421" Type="http://schemas.openxmlformats.org/officeDocument/2006/relationships/hyperlink" Target="http://force.com" TargetMode="External"/><Relationship Id="rId3753" Type="http://schemas.openxmlformats.org/officeDocument/2006/relationships/hyperlink" Target="http://force.com" TargetMode="External"/><Relationship Id="rId2422" Type="http://schemas.openxmlformats.org/officeDocument/2006/relationships/hyperlink" Target="http://force.com" TargetMode="External"/><Relationship Id="rId3752" Type="http://schemas.openxmlformats.org/officeDocument/2006/relationships/hyperlink" Target="http://force.com" TargetMode="External"/><Relationship Id="rId2412" Type="http://schemas.openxmlformats.org/officeDocument/2006/relationships/hyperlink" Target="http://force.com" TargetMode="External"/><Relationship Id="rId3744" Type="http://schemas.openxmlformats.org/officeDocument/2006/relationships/hyperlink" Target="http://force.com" TargetMode="External"/><Relationship Id="rId2413" Type="http://schemas.openxmlformats.org/officeDocument/2006/relationships/hyperlink" Target="http://force.com" TargetMode="External"/><Relationship Id="rId3743" Type="http://schemas.openxmlformats.org/officeDocument/2006/relationships/hyperlink" Target="http://force.com" TargetMode="External"/><Relationship Id="rId2414" Type="http://schemas.openxmlformats.org/officeDocument/2006/relationships/hyperlink" Target="http://force.com" TargetMode="External"/><Relationship Id="rId3746" Type="http://schemas.openxmlformats.org/officeDocument/2006/relationships/hyperlink" Target="http://force.com" TargetMode="External"/><Relationship Id="rId2415" Type="http://schemas.openxmlformats.org/officeDocument/2006/relationships/hyperlink" Target="http://force.com" TargetMode="External"/><Relationship Id="rId3745" Type="http://schemas.openxmlformats.org/officeDocument/2006/relationships/hyperlink" Target="http://force.com" TargetMode="External"/><Relationship Id="rId2416" Type="http://schemas.openxmlformats.org/officeDocument/2006/relationships/hyperlink" Target="http://force.com" TargetMode="External"/><Relationship Id="rId3748" Type="http://schemas.openxmlformats.org/officeDocument/2006/relationships/hyperlink" Target="http://force.com" TargetMode="External"/><Relationship Id="rId2417" Type="http://schemas.openxmlformats.org/officeDocument/2006/relationships/hyperlink" Target="http://force.com" TargetMode="External"/><Relationship Id="rId3747" Type="http://schemas.openxmlformats.org/officeDocument/2006/relationships/hyperlink" Target="http://force.com" TargetMode="External"/><Relationship Id="rId2418" Type="http://schemas.openxmlformats.org/officeDocument/2006/relationships/hyperlink" Target="http://force.com" TargetMode="External"/><Relationship Id="rId2419" Type="http://schemas.openxmlformats.org/officeDocument/2006/relationships/hyperlink" Target="http://force.com" TargetMode="External"/><Relationship Id="rId3749" Type="http://schemas.openxmlformats.org/officeDocument/2006/relationships/hyperlink" Target="http://force.com" TargetMode="External"/><Relationship Id="rId3740" Type="http://schemas.openxmlformats.org/officeDocument/2006/relationships/hyperlink" Target="http://force.com" TargetMode="External"/><Relationship Id="rId2410" Type="http://schemas.openxmlformats.org/officeDocument/2006/relationships/hyperlink" Target="http://force.com" TargetMode="External"/><Relationship Id="rId3742" Type="http://schemas.openxmlformats.org/officeDocument/2006/relationships/hyperlink" Target="http://force.com" TargetMode="External"/><Relationship Id="rId2411" Type="http://schemas.openxmlformats.org/officeDocument/2006/relationships/hyperlink" Target="http://force.com" TargetMode="External"/><Relationship Id="rId3741" Type="http://schemas.openxmlformats.org/officeDocument/2006/relationships/hyperlink" Target="http://force.com" TargetMode="External"/><Relationship Id="rId1114" Type="http://schemas.openxmlformats.org/officeDocument/2006/relationships/hyperlink" Target="http://force.com" TargetMode="External"/><Relationship Id="rId2445" Type="http://schemas.openxmlformats.org/officeDocument/2006/relationships/hyperlink" Target="http://force.com" TargetMode="External"/><Relationship Id="rId3777" Type="http://schemas.openxmlformats.org/officeDocument/2006/relationships/hyperlink" Target="http://force.com" TargetMode="External"/><Relationship Id="rId1115" Type="http://schemas.openxmlformats.org/officeDocument/2006/relationships/hyperlink" Target="http://force.com" TargetMode="External"/><Relationship Id="rId2446" Type="http://schemas.openxmlformats.org/officeDocument/2006/relationships/hyperlink" Target="http://force.com" TargetMode="External"/><Relationship Id="rId3776" Type="http://schemas.openxmlformats.org/officeDocument/2006/relationships/hyperlink" Target="http://force.com" TargetMode="External"/><Relationship Id="rId1116" Type="http://schemas.openxmlformats.org/officeDocument/2006/relationships/hyperlink" Target="http://force.com" TargetMode="External"/><Relationship Id="rId2447" Type="http://schemas.openxmlformats.org/officeDocument/2006/relationships/hyperlink" Target="http://force.com" TargetMode="External"/><Relationship Id="rId3779" Type="http://schemas.openxmlformats.org/officeDocument/2006/relationships/hyperlink" Target="http://force.com" TargetMode="External"/><Relationship Id="rId1117" Type="http://schemas.openxmlformats.org/officeDocument/2006/relationships/hyperlink" Target="http://force.com" TargetMode="External"/><Relationship Id="rId2448" Type="http://schemas.openxmlformats.org/officeDocument/2006/relationships/hyperlink" Target="http://force.com" TargetMode="External"/><Relationship Id="rId3778" Type="http://schemas.openxmlformats.org/officeDocument/2006/relationships/hyperlink" Target="http://force.com" TargetMode="External"/><Relationship Id="rId1118" Type="http://schemas.openxmlformats.org/officeDocument/2006/relationships/hyperlink" Target="http://force.com" TargetMode="External"/><Relationship Id="rId2449" Type="http://schemas.openxmlformats.org/officeDocument/2006/relationships/hyperlink" Target="http://force.com" TargetMode="External"/><Relationship Id="rId1119" Type="http://schemas.openxmlformats.org/officeDocument/2006/relationships/hyperlink" Target="http://force.com" TargetMode="External"/><Relationship Id="rId525" Type="http://schemas.openxmlformats.org/officeDocument/2006/relationships/hyperlink" Target="http://force.com" TargetMode="External"/><Relationship Id="rId524" Type="http://schemas.openxmlformats.org/officeDocument/2006/relationships/hyperlink" Target="http://force.com" TargetMode="External"/><Relationship Id="rId523" Type="http://schemas.openxmlformats.org/officeDocument/2006/relationships/hyperlink" Target="http://force.com" TargetMode="External"/><Relationship Id="rId522" Type="http://schemas.openxmlformats.org/officeDocument/2006/relationships/hyperlink" Target="http://force.com" TargetMode="External"/><Relationship Id="rId529" Type="http://schemas.openxmlformats.org/officeDocument/2006/relationships/hyperlink" Target="http://force.com" TargetMode="External"/><Relationship Id="rId528" Type="http://schemas.openxmlformats.org/officeDocument/2006/relationships/hyperlink" Target="http://force.com" TargetMode="External"/><Relationship Id="rId527" Type="http://schemas.openxmlformats.org/officeDocument/2006/relationships/hyperlink" Target="http://force.com" TargetMode="External"/><Relationship Id="rId526" Type="http://schemas.openxmlformats.org/officeDocument/2006/relationships/hyperlink" Target="http://force.com" TargetMode="External"/><Relationship Id="rId3771" Type="http://schemas.openxmlformats.org/officeDocument/2006/relationships/hyperlink" Target="http://force.com" TargetMode="External"/><Relationship Id="rId2440" Type="http://schemas.openxmlformats.org/officeDocument/2006/relationships/hyperlink" Target="http://force.com" TargetMode="External"/><Relationship Id="rId3770" Type="http://schemas.openxmlformats.org/officeDocument/2006/relationships/hyperlink" Target="http://force.com" TargetMode="External"/><Relationship Id="rId521" Type="http://schemas.openxmlformats.org/officeDocument/2006/relationships/hyperlink" Target="http://force.com" TargetMode="External"/><Relationship Id="rId1110" Type="http://schemas.openxmlformats.org/officeDocument/2006/relationships/hyperlink" Target="http://force.com" TargetMode="External"/><Relationship Id="rId2441" Type="http://schemas.openxmlformats.org/officeDocument/2006/relationships/hyperlink" Target="http://force.com" TargetMode="External"/><Relationship Id="rId3773" Type="http://schemas.openxmlformats.org/officeDocument/2006/relationships/hyperlink" Target="http://force.com" TargetMode="External"/><Relationship Id="rId520" Type="http://schemas.openxmlformats.org/officeDocument/2006/relationships/hyperlink" Target="http://force.com" TargetMode="External"/><Relationship Id="rId1111" Type="http://schemas.openxmlformats.org/officeDocument/2006/relationships/hyperlink" Target="http://force.com" TargetMode="External"/><Relationship Id="rId2442" Type="http://schemas.openxmlformats.org/officeDocument/2006/relationships/hyperlink" Target="http://force.com" TargetMode="External"/><Relationship Id="rId3772" Type="http://schemas.openxmlformats.org/officeDocument/2006/relationships/hyperlink" Target="http://force.com" TargetMode="External"/><Relationship Id="rId1112" Type="http://schemas.openxmlformats.org/officeDocument/2006/relationships/hyperlink" Target="http://force.com" TargetMode="External"/><Relationship Id="rId2443" Type="http://schemas.openxmlformats.org/officeDocument/2006/relationships/hyperlink" Target="http://force.com" TargetMode="External"/><Relationship Id="rId3775" Type="http://schemas.openxmlformats.org/officeDocument/2006/relationships/hyperlink" Target="http://force.com" TargetMode="External"/><Relationship Id="rId1113" Type="http://schemas.openxmlformats.org/officeDocument/2006/relationships/hyperlink" Target="http://force.com" TargetMode="External"/><Relationship Id="rId2444" Type="http://schemas.openxmlformats.org/officeDocument/2006/relationships/hyperlink" Target="http://force.com" TargetMode="External"/><Relationship Id="rId3774" Type="http://schemas.openxmlformats.org/officeDocument/2006/relationships/hyperlink" Target="http://force.com" TargetMode="External"/><Relationship Id="rId1103" Type="http://schemas.openxmlformats.org/officeDocument/2006/relationships/hyperlink" Target="http://force.com" TargetMode="External"/><Relationship Id="rId2434" Type="http://schemas.openxmlformats.org/officeDocument/2006/relationships/hyperlink" Target="http://force.com" TargetMode="External"/><Relationship Id="rId3766" Type="http://schemas.openxmlformats.org/officeDocument/2006/relationships/hyperlink" Target="http://force.com" TargetMode="External"/><Relationship Id="rId1104" Type="http://schemas.openxmlformats.org/officeDocument/2006/relationships/hyperlink" Target="http://force.com" TargetMode="External"/><Relationship Id="rId2435" Type="http://schemas.openxmlformats.org/officeDocument/2006/relationships/hyperlink" Target="http://force.com" TargetMode="External"/><Relationship Id="rId3765" Type="http://schemas.openxmlformats.org/officeDocument/2006/relationships/hyperlink" Target="http://force.com" TargetMode="External"/><Relationship Id="rId1105" Type="http://schemas.openxmlformats.org/officeDocument/2006/relationships/hyperlink" Target="http://force.com" TargetMode="External"/><Relationship Id="rId2436" Type="http://schemas.openxmlformats.org/officeDocument/2006/relationships/hyperlink" Target="http://force.com" TargetMode="External"/><Relationship Id="rId3768" Type="http://schemas.openxmlformats.org/officeDocument/2006/relationships/hyperlink" Target="http://force.com" TargetMode="External"/><Relationship Id="rId1106" Type="http://schemas.openxmlformats.org/officeDocument/2006/relationships/hyperlink" Target="http://force.com" TargetMode="External"/><Relationship Id="rId2437" Type="http://schemas.openxmlformats.org/officeDocument/2006/relationships/hyperlink" Target="http://force.com" TargetMode="External"/><Relationship Id="rId3767" Type="http://schemas.openxmlformats.org/officeDocument/2006/relationships/hyperlink" Target="http://force.com" TargetMode="External"/><Relationship Id="rId1107" Type="http://schemas.openxmlformats.org/officeDocument/2006/relationships/hyperlink" Target="http://force.com" TargetMode="External"/><Relationship Id="rId2438" Type="http://schemas.openxmlformats.org/officeDocument/2006/relationships/hyperlink" Target="http://force.com" TargetMode="External"/><Relationship Id="rId1108" Type="http://schemas.openxmlformats.org/officeDocument/2006/relationships/hyperlink" Target="http://force.com" TargetMode="External"/><Relationship Id="rId2439" Type="http://schemas.openxmlformats.org/officeDocument/2006/relationships/hyperlink" Target="http://force.com" TargetMode="External"/><Relationship Id="rId3769" Type="http://schemas.openxmlformats.org/officeDocument/2006/relationships/hyperlink" Target="http://force.com" TargetMode="External"/><Relationship Id="rId1109" Type="http://schemas.openxmlformats.org/officeDocument/2006/relationships/hyperlink" Target="http://force.com" TargetMode="External"/><Relationship Id="rId519" Type="http://schemas.openxmlformats.org/officeDocument/2006/relationships/hyperlink" Target="http://force.com" TargetMode="External"/><Relationship Id="rId514" Type="http://schemas.openxmlformats.org/officeDocument/2006/relationships/hyperlink" Target="http://force.com" TargetMode="External"/><Relationship Id="rId513" Type="http://schemas.openxmlformats.org/officeDocument/2006/relationships/hyperlink" Target="http://force.com" TargetMode="External"/><Relationship Id="rId512" Type="http://schemas.openxmlformats.org/officeDocument/2006/relationships/hyperlink" Target="http://force.com" TargetMode="External"/><Relationship Id="rId511" Type="http://schemas.openxmlformats.org/officeDocument/2006/relationships/hyperlink" Target="http://force.com" TargetMode="External"/><Relationship Id="rId518" Type="http://schemas.openxmlformats.org/officeDocument/2006/relationships/hyperlink" Target="http://force.com" TargetMode="External"/><Relationship Id="rId517" Type="http://schemas.openxmlformats.org/officeDocument/2006/relationships/hyperlink" Target="http://force.com" TargetMode="External"/><Relationship Id="rId516" Type="http://schemas.openxmlformats.org/officeDocument/2006/relationships/hyperlink" Target="http://force.com" TargetMode="External"/><Relationship Id="rId515" Type="http://schemas.openxmlformats.org/officeDocument/2006/relationships/hyperlink" Target="http://force.com" TargetMode="External"/><Relationship Id="rId3760" Type="http://schemas.openxmlformats.org/officeDocument/2006/relationships/hyperlink" Target="http://force.com" TargetMode="External"/><Relationship Id="rId510" Type="http://schemas.openxmlformats.org/officeDocument/2006/relationships/hyperlink" Target="http://force.com" TargetMode="External"/><Relationship Id="rId2430" Type="http://schemas.openxmlformats.org/officeDocument/2006/relationships/hyperlink" Target="http://force.com" TargetMode="External"/><Relationship Id="rId3762" Type="http://schemas.openxmlformats.org/officeDocument/2006/relationships/hyperlink" Target="http://force.com" TargetMode="External"/><Relationship Id="rId1100" Type="http://schemas.openxmlformats.org/officeDocument/2006/relationships/hyperlink" Target="http://force.com" TargetMode="External"/><Relationship Id="rId2431" Type="http://schemas.openxmlformats.org/officeDocument/2006/relationships/hyperlink" Target="http://force.com" TargetMode="External"/><Relationship Id="rId3761" Type="http://schemas.openxmlformats.org/officeDocument/2006/relationships/hyperlink" Target="http://force.com" TargetMode="External"/><Relationship Id="rId1101" Type="http://schemas.openxmlformats.org/officeDocument/2006/relationships/hyperlink" Target="http://force.com" TargetMode="External"/><Relationship Id="rId2432" Type="http://schemas.openxmlformats.org/officeDocument/2006/relationships/hyperlink" Target="http://force.com" TargetMode="External"/><Relationship Id="rId3764" Type="http://schemas.openxmlformats.org/officeDocument/2006/relationships/hyperlink" Target="http://force.com" TargetMode="External"/><Relationship Id="rId1102" Type="http://schemas.openxmlformats.org/officeDocument/2006/relationships/hyperlink" Target="http://force.com" TargetMode="External"/><Relationship Id="rId2433" Type="http://schemas.openxmlformats.org/officeDocument/2006/relationships/hyperlink" Target="http://force.com" TargetMode="External"/><Relationship Id="rId3763" Type="http://schemas.openxmlformats.org/officeDocument/2006/relationships/hyperlink" Target="http://force.com" TargetMode="External"/><Relationship Id="rId3711" Type="http://schemas.openxmlformats.org/officeDocument/2006/relationships/hyperlink" Target="http://force.com" TargetMode="External"/><Relationship Id="rId3710" Type="http://schemas.openxmlformats.org/officeDocument/2006/relationships/hyperlink" Target="http://force.com" TargetMode="External"/><Relationship Id="rId3713" Type="http://schemas.openxmlformats.org/officeDocument/2006/relationships/hyperlink" Target="http://force.com" TargetMode="External"/><Relationship Id="rId3712" Type="http://schemas.openxmlformats.org/officeDocument/2006/relationships/hyperlink" Target="http://force.com" TargetMode="External"/><Relationship Id="rId3715" Type="http://schemas.openxmlformats.org/officeDocument/2006/relationships/hyperlink" Target="http://force.com" TargetMode="External"/><Relationship Id="rId3714" Type="http://schemas.openxmlformats.org/officeDocument/2006/relationships/hyperlink" Target="http://force.com" TargetMode="External"/><Relationship Id="rId3717" Type="http://schemas.openxmlformats.org/officeDocument/2006/relationships/hyperlink" Target="http://force.com" TargetMode="External"/><Relationship Id="rId3716" Type="http://schemas.openxmlformats.org/officeDocument/2006/relationships/hyperlink" Target="http://force.com" TargetMode="External"/><Relationship Id="rId3719" Type="http://schemas.openxmlformats.org/officeDocument/2006/relationships/hyperlink" Target="http://force.com" TargetMode="External"/><Relationship Id="rId3718" Type="http://schemas.openxmlformats.org/officeDocument/2006/relationships/hyperlink" Target="http://force.com" TargetMode="External"/><Relationship Id="rId3700" Type="http://schemas.openxmlformats.org/officeDocument/2006/relationships/hyperlink" Target="http://force.com" TargetMode="External"/><Relationship Id="rId3702" Type="http://schemas.openxmlformats.org/officeDocument/2006/relationships/hyperlink" Target="http://force.com" TargetMode="External"/><Relationship Id="rId3701" Type="http://schemas.openxmlformats.org/officeDocument/2006/relationships/hyperlink" Target="http://force.com" TargetMode="External"/><Relationship Id="rId3704" Type="http://schemas.openxmlformats.org/officeDocument/2006/relationships/hyperlink" Target="http://force.com" TargetMode="External"/><Relationship Id="rId3703" Type="http://schemas.openxmlformats.org/officeDocument/2006/relationships/hyperlink" Target="http://force.com" TargetMode="External"/><Relationship Id="rId3706" Type="http://schemas.openxmlformats.org/officeDocument/2006/relationships/hyperlink" Target="http://force.com" TargetMode="External"/><Relationship Id="rId3705" Type="http://schemas.openxmlformats.org/officeDocument/2006/relationships/hyperlink" Target="http://force.com" TargetMode="External"/><Relationship Id="rId3708" Type="http://schemas.openxmlformats.org/officeDocument/2006/relationships/hyperlink" Target="http://force.com" TargetMode="External"/><Relationship Id="rId3707" Type="http://schemas.openxmlformats.org/officeDocument/2006/relationships/hyperlink" Target="http://force.com" TargetMode="External"/><Relationship Id="rId3709" Type="http://schemas.openxmlformats.org/officeDocument/2006/relationships/hyperlink" Target="http://force.com" TargetMode="External"/><Relationship Id="rId2401" Type="http://schemas.openxmlformats.org/officeDocument/2006/relationships/hyperlink" Target="http://force.com" TargetMode="External"/><Relationship Id="rId3733" Type="http://schemas.openxmlformats.org/officeDocument/2006/relationships/hyperlink" Target="http://force.com" TargetMode="External"/><Relationship Id="rId2402" Type="http://schemas.openxmlformats.org/officeDocument/2006/relationships/hyperlink" Target="http://force.com" TargetMode="External"/><Relationship Id="rId3732" Type="http://schemas.openxmlformats.org/officeDocument/2006/relationships/hyperlink" Target="http://force.com" TargetMode="External"/><Relationship Id="rId2403" Type="http://schemas.openxmlformats.org/officeDocument/2006/relationships/hyperlink" Target="http://force.com" TargetMode="External"/><Relationship Id="rId3735" Type="http://schemas.openxmlformats.org/officeDocument/2006/relationships/hyperlink" Target="http://force.com" TargetMode="External"/><Relationship Id="rId2404" Type="http://schemas.openxmlformats.org/officeDocument/2006/relationships/hyperlink" Target="http://force.com" TargetMode="External"/><Relationship Id="rId3734" Type="http://schemas.openxmlformats.org/officeDocument/2006/relationships/hyperlink" Target="http://force.com" TargetMode="External"/><Relationship Id="rId2405" Type="http://schemas.openxmlformats.org/officeDocument/2006/relationships/hyperlink" Target="http://force.com" TargetMode="External"/><Relationship Id="rId3737" Type="http://schemas.openxmlformats.org/officeDocument/2006/relationships/hyperlink" Target="http://force.com" TargetMode="External"/><Relationship Id="rId2406" Type="http://schemas.openxmlformats.org/officeDocument/2006/relationships/hyperlink" Target="http://force.com" TargetMode="External"/><Relationship Id="rId3736" Type="http://schemas.openxmlformats.org/officeDocument/2006/relationships/hyperlink" Target="http://force.com" TargetMode="External"/><Relationship Id="rId2407" Type="http://schemas.openxmlformats.org/officeDocument/2006/relationships/hyperlink" Target="http://force.com" TargetMode="External"/><Relationship Id="rId3739" Type="http://schemas.openxmlformats.org/officeDocument/2006/relationships/hyperlink" Target="http://force.com" TargetMode="External"/><Relationship Id="rId2408" Type="http://schemas.openxmlformats.org/officeDocument/2006/relationships/hyperlink" Target="http://force.com" TargetMode="External"/><Relationship Id="rId3738" Type="http://schemas.openxmlformats.org/officeDocument/2006/relationships/hyperlink" Target="http://force.com" TargetMode="External"/><Relationship Id="rId2409" Type="http://schemas.openxmlformats.org/officeDocument/2006/relationships/hyperlink" Target="http://force.com" TargetMode="External"/><Relationship Id="rId3731" Type="http://schemas.openxmlformats.org/officeDocument/2006/relationships/hyperlink" Target="http://force.com" TargetMode="External"/><Relationship Id="rId2400" Type="http://schemas.openxmlformats.org/officeDocument/2006/relationships/hyperlink" Target="http://force.com" TargetMode="External"/><Relationship Id="rId3730" Type="http://schemas.openxmlformats.org/officeDocument/2006/relationships/hyperlink" Target="http://force.com" TargetMode="External"/><Relationship Id="rId3722" Type="http://schemas.openxmlformats.org/officeDocument/2006/relationships/hyperlink" Target="http://force.com" TargetMode="External"/><Relationship Id="rId3721" Type="http://schemas.openxmlformats.org/officeDocument/2006/relationships/hyperlink" Target="http://force.com" TargetMode="External"/><Relationship Id="rId3724" Type="http://schemas.openxmlformats.org/officeDocument/2006/relationships/hyperlink" Target="http://force.com" TargetMode="External"/><Relationship Id="rId3723" Type="http://schemas.openxmlformats.org/officeDocument/2006/relationships/hyperlink" Target="http://force.com" TargetMode="External"/><Relationship Id="rId3726" Type="http://schemas.openxmlformats.org/officeDocument/2006/relationships/hyperlink" Target="http://force.com" TargetMode="External"/><Relationship Id="rId3725" Type="http://schemas.openxmlformats.org/officeDocument/2006/relationships/hyperlink" Target="http://force.com" TargetMode="External"/><Relationship Id="rId3728" Type="http://schemas.openxmlformats.org/officeDocument/2006/relationships/hyperlink" Target="http://force.com" TargetMode="External"/><Relationship Id="rId3727" Type="http://schemas.openxmlformats.org/officeDocument/2006/relationships/hyperlink" Target="http://force.com" TargetMode="External"/><Relationship Id="rId3729" Type="http://schemas.openxmlformats.org/officeDocument/2006/relationships/hyperlink" Target="http://force.com" TargetMode="External"/><Relationship Id="rId3720" Type="http://schemas.openxmlformats.org/officeDocument/2006/relationships/hyperlink" Target="http://force.com" TargetMode="External"/><Relationship Id="rId4206" Type="http://schemas.openxmlformats.org/officeDocument/2006/relationships/hyperlink" Target="http://force.com" TargetMode="External"/><Relationship Id="rId5538" Type="http://schemas.openxmlformats.org/officeDocument/2006/relationships/hyperlink" Target="http://force.com" TargetMode="External"/><Relationship Id="rId4205" Type="http://schemas.openxmlformats.org/officeDocument/2006/relationships/hyperlink" Target="http://force.com" TargetMode="External"/><Relationship Id="rId5539" Type="http://schemas.openxmlformats.org/officeDocument/2006/relationships/hyperlink" Target="http://force.com" TargetMode="External"/><Relationship Id="rId4208" Type="http://schemas.openxmlformats.org/officeDocument/2006/relationships/hyperlink" Target="http://force.com" TargetMode="External"/><Relationship Id="rId5536" Type="http://schemas.openxmlformats.org/officeDocument/2006/relationships/hyperlink" Target="http://force.com" TargetMode="External"/><Relationship Id="rId4207" Type="http://schemas.openxmlformats.org/officeDocument/2006/relationships/hyperlink" Target="http://force.com" TargetMode="External"/><Relationship Id="rId5537" Type="http://schemas.openxmlformats.org/officeDocument/2006/relationships/hyperlink" Target="http://force.com" TargetMode="External"/><Relationship Id="rId590" Type="http://schemas.openxmlformats.org/officeDocument/2006/relationships/hyperlink" Target="http://force.com" TargetMode="External"/><Relationship Id="rId4209" Type="http://schemas.openxmlformats.org/officeDocument/2006/relationships/hyperlink" Target="http://force.com" TargetMode="External"/><Relationship Id="rId589" Type="http://schemas.openxmlformats.org/officeDocument/2006/relationships/hyperlink" Target="http://force.com" TargetMode="External"/><Relationship Id="rId588" Type="http://schemas.openxmlformats.org/officeDocument/2006/relationships/hyperlink" Target="http://force.com" TargetMode="External"/><Relationship Id="rId1170" Type="http://schemas.openxmlformats.org/officeDocument/2006/relationships/hyperlink" Target="http://force.com" TargetMode="External"/><Relationship Id="rId1171" Type="http://schemas.openxmlformats.org/officeDocument/2006/relationships/hyperlink" Target="http://force.com" TargetMode="External"/><Relationship Id="rId583" Type="http://schemas.openxmlformats.org/officeDocument/2006/relationships/hyperlink" Target="http://force.com" TargetMode="External"/><Relationship Id="rId1172" Type="http://schemas.openxmlformats.org/officeDocument/2006/relationships/hyperlink" Target="http://force.com" TargetMode="External"/><Relationship Id="rId5530" Type="http://schemas.openxmlformats.org/officeDocument/2006/relationships/hyperlink" Target="http://force.com" TargetMode="External"/><Relationship Id="rId582" Type="http://schemas.openxmlformats.org/officeDocument/2006/relationships/hyperlink" Target="http://force.com" TargetMode="External"/><Relationship Id="rId1173" Type="http://schemas.openxmlformats.org/officeDocument/2006/relationships/hyperlink" Target="http://force.com" TargetMode="External"/><Relationship Id="rId5531" Type="http://schemas.openxmlformats.org/officeDocument/2006/relationships/hyperlink" Target="http://force.com" TargetMode="External"/><Relationship Id="rId581" Type="http://schemas.openxmlformats.org/officeDocument/2006/relationships/hyperlink" Target="http://force.com" TargetMode="External"/><Relationship Id="rId1174" Type="http://schemas.openxmlformats.org/officeDocument/2006/relationships/hyperlink" Target="http://force.com" TargetMode="External"/><Relationship Id="rId4200" Type="http://schemas.openxmlformats.org/officeDocument/2006/relationships/hyperlink" Target="http://force.com" TargetMode="External"/><Relationship Id="rId580" Type="http://schemas.openxmlformats.org/officeDocument/2006/relationships/hyperlink" Target="http://force.com" TargetMode="External"/><Relationship Id="rId1175" Type="http://schemas.openxmlformats.org/officeDocument/2006/relationships/hyperlink" Target="http://force.com" TargetMode="External"/><Relationship Id="rId587" Type="http://schemas.openxmlformats.org/officeDocument/2006/relationships/hyperlink" Target="http://force.com" TargetMode="External"/><Relationship Id="rId1176" Type="http://schemas.openxmlformats.org/officeDocument/2006/relationships/hyperlink" Target="http://force.com" TargetMode="External"/><Relationship Id="rId4202" Type="http://schemas.openxmlformats.org/officeDocument/2006/relationships/hyperlink" Target="http://force.com" TargetMode="External"/><Relationship Id="rId5534" Type="http://schemas.openxmlformats.org/officeDocument/2006/relationships/hyperlink" Target="http://force.com" TargetMode="External"/><Relationship Id="rId586" Type="http://schemas.openxmlformats.org/officeDocument/2006/relationships/hyperlink" Target="http://force.com" TargetMode="External"/><Relationship Id="rId1177" Type="http://schemas.openxmlformats.org/officeDocument/2006/relationships/hyperlink" Target="http://force.com" TargetMode="External"/><Relationship Id="rId4201" Type="http://schemas.openxmlformats.org/officeDocument/2006/relationships/hyperlink" Target="http://force.com" TargetMode="External"/><Relationship Id="rId5535" Type="http://schemas.openxmlformats.org/officeDocument/2006/relationships/hyperlink" Target="http://force.com" TargetMode="External"/><Relationship Id="rId585" Type="http://schemas.openxmlformats.org/officeDocument/2006/relationships/hyperlink" Target="http://force.com" TargetMode="External"/><Relationship Id="rId1178" Type="http://schemas.openxmlformats.org/officeDocument/2006/relationships/hyperlink" Target="http://force.com" TargetMode="External"/><Relationship Id="rId4204" Type="http://schemas.openxmlformats.org/officeDocument/2006/relationships/hyperlink" Target="http://force.com" TargetMode="External"/><Relationship Id="rId5532" Type="http://schemas.openxmlformats.org/officeDocument/2006/relationships/hyperlink" Target="http://force.com" TargetMode="External"/><Relationship Id="rId584" Type="http://schemas.openxmlformats.org/officeDocument/2006/relationships/hyperlink" Target="http://force.com" TargetMode="External"/><Relationship Id="rId1179" Type="http://schemas.openxmlformats.org/officeDocument/2006/relationships/hyperlink" Target="http://force.com" TargetMode="External"/><Relationship Id="rId4203" Type="http://schemas.openxmlformats.org/officeDocument/2006/relationships/hyperlink" Target="http://force.com" TargetMode="External"/><Relationship Id="rId5533" Type="http://schemas.openxmlformats.org/officeDocument/2006/relationships/hyperlink" Target="http://force.com" TargetMode="External"/><Relationship Id="rId1169" Type="http://schemas.openxmlformats.org/officeDocument/2006/relationships/hyperlink" Target="http://force.com" TargetMode="External"/><Relationship Id="rId5527" Type="http://schemas.openxmlformats.org/officeDocument/2006/relationships/hyperlink" Target="http://force.com" TargetMode="External"/><Relationship Id="rId5528" Type="http://schemas.openxmlformats.org/officeDocument/2006/relationships/hyperlink" Target="http://force.com" TargetMode="External"/><Relationship Id="rId5525" Type="http://schemas.openxmlformats.org/officeDocument/2006/relationships/hyperlink" Target="http://force.com" TargetMode="External"/><Relationship Id="rId5526" Type="http://schemas.openxmlformats.org/officeDocument/2006/relationships/hyperlink" Target="http://force.com" TargetMode="External"/><Relationship Id="rId5529" Type="http://schemas.openxmlformats.org/officeDocument/2006/relationships/hyperlink" Target="http://force.com" TargetMode="External"/><Relationship Id="rId579" Type="http://schemas.openxmlformats.org/officeDocument/2006/relationships/hyperlink" Target="http://force.com" TargetMode="External"/><Relationship Id="rId578" Type="http://schemas.openxmlformats.org/officeDocument/2006/relationships/hyperlink" Target="http://force.com" TargetMode="External"/><Relationship Id="rId577" Type="http://schemas.openxmlformats.org/officeDocument/2006/relationships/hyperlink" Target="http://force.com" TargetMode="External"/><Relationship Id="rId2490" Type="http://schemas.openxmlformats.org/officeDocument/2006/relationships/hyperlink" Target="http://force.com" TargetMode="External"/><Relationship Id="rId1160" Type="http://schemas.openxmlformats.org/officeDocument/2006/relationships/hyperlink" Target="http://force.com" TargetMode="External"/><Relationship Id="rId2491" Type="http://schemas.openxmlformats.org/officeDocument/2006/relationships/hyperlink" Target="http://force.com" TargetMode="External"/><Relationship Id="rId572" Type="http://schemas.openxmlformats.org/officeDocument/2006/relationships/hyperlink" Target="http://force.com" TargetMode="External"/><Relationship Id="rId1161" Type="http://schemas.openxmlformats.org/officeDocument/2006/relationships/hyperlink" Target="http://force.com" TargetMode="External"/><Relationship Id="rId2492" Type="http://schemas.openxmlformats.org/officeDocument/2006/relationships/hyperlink" Target="http://force.com" TargetMode="External"/><Relationship Id="rId571" Type="http://schemas.openxmlformats.org/officeDocument/2006/relationships/hyperlink" Target="http://force.com" TargetMode="External"/><Relationship Id="rId1162" Type="http://schemas.openxmlformats.org/officeDocument/2006/relationships/hyperlink" Target="http://force.com" TargetMode="External"/><Relationship Id="rId2493" Type="http://schemas.openxmlformats.org/officeDocument/2006/relationships/hyperlink" Target="http://force.com" TargetMode="External"/><Relationship Id="rId5520" Type="http://schemas.openxmlformats.org/officeDocument/2006/relationships/hyperlink" Target="http://force.com" TargetMode="External"/><Relationship Id="rId570" Type="http://schemas.openxmlformats.org/officeDocument/2006/relationships/hyperlink" Target="http://force.com" TargetMode="External"/><Relationship Id="rId1163" Type="http://schemas.openxmlformats.org/officeDocument/2006/relationships/hyperlink" Target="http://force.com" TargetMode="External"/><Relationship Id="rId2494" Type="http://schemas.openxmlformats.org/officeDocument/2006/relationships/hyperlink" Target="http://force.com" TargetMode="External"/><Relationship Id="rId1164" Type="http://schemas.openxmlformats.org/officeDocument/2006/relationships/hyperlink" Target="http://force.com" TargetMode="External"/><Relationship Id="rId2495" Type="http://schemas.openxmlformats.org/officeDocument/2006/relationships/hyperlink" Target="http://force.com" TargetMode="External"/><Relationship Id="rId576" Type="http://schemas.openxmlformats.org/officeDocument/2006/relationships/hyperlink" Target="http://force.com" TargetMode="External"/><Relationship Id="rId1165" Type="http://schemas.openxmlformats.org/officeDocument/2006/relationships/hyperlink" Target="http://force.com" TargetMode="External"/><Relationship Id="rId2496" Type="http://schemas.openxmlformats.org/officeDocument/2006/relationships/hyperlink" Target="http://force.com" TargetMode="External"/><Relationship Id="rId5523" Type="http://schemas.openxmlformats.org/officeDocument/2006/relationships/hyperlink" Target="http://force.com" TargetMode="External"/><Relationship Id="rId575" Type="http://schemas.openxmlformats.org/officeDocument/2006/relationships/hyperlink" Target="http://force.com" TargetMode="External"/><Relationship Id="rId1166" Type="http://schemas.openxmlformats.org/officeDocument/2006/relationships/hyperlink" Target="http://force.com" TargetMode="External"/><Relationship Id="rId2497" Type="http://schemas.openxmlformats.org/officeDocument/2006/relationships/hyperlink" Target="http://force.com" TargetMode="External"/><Relationship Id="rId5524" Type="http://schemas.openxmlformats.org/officeDocument/2006/relationships/hyperlink" Target="http://force.com" TargetMode="External"/><Relationship Id="rId574" Type="http://schemas.openxmlformats.org/officeDocument/2006/relationships/hyperlink" Target="http://force.com" TargetMode="External"/><Relationship Id="rId1167" Type="http://schemas.openxmlformats.org/officeDocument/2006/relationships/hyperlink" Target="http://force.com" TargetMode="External"/><Relationship Id="rId2498" Type="http://schemas.openxmlformats.org/officeDocument/2006/relationships/hyperlink" Target="http://force.com" TargetMode="External"/><Relationship Id="rId5521" Type="http://schemas.openxmlformats.org/officeDocument/2006/relationships/hyperlink" Target="http://force.com" TargetMode="External"/><Relationship Id="rId573" Type="http://schemas.openxmlformats.org/officeDocument/2006/relationships/hyperlink" Target="http://force.com" TargetMode="External"/><Relationship Id="rId1168" Type="http://schemas.openxmlformats.org/officeDocument/2006/relationships/hyperlink" Target="http://force.com" TargetMode="External"/><Relationship Id="rId2499" Type="http://schemas.openxmlformats.org/officeDocument/2006/relationships/hyperlink" Target="http://force.com" TargetMode="External"/><Relationship Id="rId5522" Type="http://schemas.openxmlformats.org/officeDocument/2006/relationships/hyperlink" Target="http://force.com" TargetMode="External"/><Relationship Id="rId4228" Type="http://schemas.openxmlformats.org/officeDocument/2006/relationships/hyperlink" Target="http://force.com" TargetMode="External"/><Relationship Id="rId4227" Type="http://schemas.openxmlformats.org/officeDocument/2006/relationships/hyperlink" Target="http://force.com" TargetMode="External"/><Relationship Id="rId5558" Type="http://schemas.openxmlformats.org/officeDocument/2006/relationships/hyperlink" Target="http://force.com" TargetMode="External"/><Relationship Id="rId4229" Type="http://schemas.openxmlformats.org/officeDocument/2006/relationships/hyperlink" Target="http://force.com" TargetMode="External"/><Relationship Id="rId5559" Type="http://schemas.openxmlformats.org/officeDocument/2006/relationships/hyperlink" Target="http://force.com" TargetMode="External"/><Relationship Id="rId1190" Type="http://schemas.openxmlformats.org/officeDocument/2006/relationships/hyperlink" Target="http://force.com" TargetMode="External"/><Relationship Id="rId1191" Type="http://schemas.openxmlformats.org/officeDocument/2006/relationships/hyperlink" Target="http://force.com" TargetMode="External"/><Relationship Id="rId1192" Type="http://schemas.openxmlformats.org/officeDocument/2006/relationships/hyperlink" Target="http://force.com" TargetMode="External"/><Relationship Id="rId1193" Type="http://schemas.openxmlformats.org/officeDocument/2006/relationships/hyperlink" Target="http://force.com" TargetMode="External"/><Relationship Id="rId1194" Type="http://schemas.openxmlformats.org/officeDocument/2006/relationships/hyperlink" Target="http://force.com" TargetMode="External"/><Relationship Id="rId4220" Type="http://schemas.openxmlformats.org/officeDocument/2006/relationships/hyperlink" Target="http://force.com" TargetMode="External"/><Relationship Id="rId5552" Type="http://schemas.openxmlformats.org/officeDocument/2006/relationships/hyperlink" Target="http://force.com" TargetMode="External"/><Relationship Id="rId1195" Type="http://schemas.openxmlformats.org/officeDocument/2006/relationships/hyperlink" Target="http://force.com" TargetMode="External"/><Relationship Id="rId5553" Type="http://schemas.openxmlformats.org/officeDocument/2006/relationships/hyperlink" Target="http://force.com" TargetMode="External"/><Relationship Id="rId1196" Type="http://schemas.openxmlformats.org/officeDocument/2006/relationships/hyperlink" Target="http://force.com" TargetMode="External"/><Relationship Id="rId4222" Type="http://schemas.openxmlformats.org/officeDocument/2006/relationships/hyperlink" Target="http://force.com" TargetMode="External"/><Relationship Id="rId5550" Type="http://schemas.openxmlformats.org/officeDocument/2006/relationships/hyperlink" Target="http://force.com" TargetMode="External"/><Relationship Id="rId1197" Type="http://schemas.openxmlformats.org/officeDocument/2006/relationships/hyperlink" Target="http://force.com" TargetMode="External"/><Relationship Id="rId4221" Type="http://schemas.openxmlformats.org/officeDocument/2006/relationships/hyperlink" Target="http://force.com" TargetMode="External"/><Relationship Id="rId5551" Type="http://schemas.openxmlformats.org/officeDocument/2006/relationships/hyperlink" Target="http://force.com" TargetMode="External"/><Relationship Id="rId1198" Type="http://schemas.openxmlformats.org/officeDocument/2006/relationships/hyperlink" Target="http://force.com" TargetMode="External"/><Relationship Id="rId4224" Type="http://schemas.openxmlformats.org/officeDocument/2006/relationships/hyperlink" Target="http://force.com" TargetMode="External"/><Relationship Id="rId5556" Type="http://schemas.openxmlformats.org/officeDocument/2006/relationships/hyperlink" Target="http://force.com" TargetMode="External"/><Relationship Id="rId1199" Type="http://schemas.openxmlformats.org/officeDocument/2006/relationships/hyperlink" Target="http://force.com" TargetMode="External"/><Relationship Id="rId4223" Type="http://schemas.openxmlformats.org/officeDocument/2006/relationships/hyperlink" Target="http://force.com" TargetMode="External"/><Relationship Id="rId5557" Type="http://schemas.openxmlformats.org/officeDocument/2006/relationships/hyperlink" Target="http://force.com" TargetMode="External"/><Relationship Id="rId4226" Type="http://schemas.openxmlformats.org/officeDocument/2006/relationships/hyperlink" Target="http://force.com" TargetMode="External"/><Relationship Id="rId5554" Type="http://schemas.openxmlformats.org/officeDocument/2006/relationships/hyperlink" Target="http://force.com" TargetMode="External"/><Relationship Id="rId4225" Type="http://schemas.openxmlformats.org/officeDocument/2006/relationships/hyperlink" Target="http://force.com" TargetMode="External"/><Relationship Id="rId5555" Type="http://schemas.openxmlformats.org/officeDocument/2006/relationships/hyperlink" Target="http://force.com" TargetMode="External"/><Relationship Id="rId4217" Type="http://schemas.openxmlformats.org/officeDocument/2006/relationships/hyperlink" Target="http://force.com" TargetMode="External"/><Relationship Id="rId5549" Type="http://schemas.openxmlformats.org/officeDocument/2006/relationships/hyperlink" Target="http://force.com" TargetMode="External"/><Relationship Id="rId4216" Type="http://schemas.openxmlformats.org/officeDocument/2006/relationships/hyperlink" Target="http://force.com" TargetMode="External"/><Relationship Id="rId4219" Type="http://schemas.openxmlformats.org/officeDocument/2006/relationships/hyperlink" Target="http://force.com" TargetMode="External"/><Relationship Id="rId5547" Type="http://schemas.openxmlformats.org/officeDocument/2006/relationships/hyperlink" Target="http://force.com" TargetMode="External"/><Relationship Id="rId4218" Type="http://schemas.openxmlformats.org/officeDocument/2006/relationships/hyperlink" Target="http://force.com" TargetMode="External"/><Relationship Id="rId5548" Type="http://schemas.openxmlformats.org/officeDocument/2006/relationships/hyperlink" Target="http://force.com" TargetMode="External"/><Relationship Id="rId599" Type="http://schemas.openxmlformats.org/officeDocument/2006/relationships/hyperlink" Target="http://force.com" TargetMode="External"/><Relationship Id="rId1180" Type="http://schemas.openxmlformats.org/officeDocument/2006/relationships/hyperlink" Target="http://force.com" TargetMode="External"/><Relationship Id="rId1181" Type="http://schemas.openxmlformats.org/officeDocument/2006/relationships/hyperlink" Target="http://force.com" TargetMode="External"/><Relationship Id="rId1182" Type="http://schemas.openxmlformats.org/officeDocument/2006/relationships/hyperlink" Target="http://force.com" TargetMode="External"/><Relationship Id="rId594" Type="http://schemas.openxmlformats.org/officeDocument/2006/relationships/hyperlink" Target="http://force.com" TargetMode="External"/><Relationship Id="rId1183" Type="http://schemas.openxmlformats.org/officeDocument/2006/relationships/hyperlink" Target="http://force.com" TargetMode="External"/><Relationship Id="rId5541" Type="http://schemas.openxmlformats.org/officeDocument/2006/relationships/hyperlink" Target="http://force.com" TargetMode="External"/><Relationship Id="rId593" Type="http://schemas.openxmlformats.org/officeDocument/2006/relationships/hyperlink" Target="http://force.com" TargetMode="External"/><Relationship Id="rId1184" Type="http://schemas.openxmlformats.org/officeDocument/2006/relationships/hyperlink" Target="http://force.com" TargetMode="External"/><Relationship Id="rId5542" Type="http://schemas.openxmlformats.org/officeDocument/2006/relationships/hyperlink" Target="http://force.com" TargetMode="External"/><Relationship Id="rId592" Type="http://schemas.openxmlformats.org/officeDocument/2006/relationships/hyperlink" Target="http://force.com" TargetMode="External"/><Relationship Id="rId1185" Type="http://schemas.openxmlformats.org/officeDocument/2006/relationships/hyperlink" Target="http://force.com" TargetMode="External"/><Relationship Id="rId4211" Type="http://schemas.openxmlformats.org/officeDocument/2006/relationships/hyperlink" Target="http://force.com" TargetMode="External"/><Relationship Id="rId591" Type="http://schemas.openxmlformats.org/officeDocument/2006/relationships/hyperlink" Target="http://force.com" TargetMode="External"/><Relationship Id="rId1186" Type="http://schemas.openxmlformats.org/officeDocument/2006/relationships/hyperlink" Target="http://force.com" TargetMode="External"/><Relationship Id="rId4210" Type="http://schemas.openxmlformats.org/officeDocument/2006/relationships/hyperlink" Target="http://force.com" TargetMode="External"/><Relationship Id="rId5540" Type="http://schemas.openxmlformats.org/officeDocument/2006/relationships/hyperlink" Target="http://force.com" TargetMode="External"/><Relationship Id="rId598" Type="http://schemas.openxmlformats.org/officeDocument/2006/relationships/hyperlink" Target="http://force.com" TargetMode="External"/><Relationship Id="rId1187" Type="http://schemas.openxmlformats.org/officeDocument/2006/relationships/hyperlink" Target="http://force.com" TargetMode="External"/><Relationship Id="rId4213" Type="http://schemas.openxmlformats.org/officeDocument/2006/relationships/hyperlink" Target="http://force.com" TargetMode="External"/><Relationship Id="rId5545" Type="http://schemas.openxmlformats.org/officeDocument/2006/relationships/hyperlink" Target="http://force.com" TargetMode="External"/><Relationship Id="rId597" Type="http://schemas.openxmlformats.org/officeDocument/2006/relationships/hyperlink" Target="http://force.com" TargetMode="External"/><Relationship Id="rId1188" Type="http://schemas.openxmlformats.org/officeDocument/2006/relationships/hyperlink" Target="http://force.com" TargetMode="External"/><Relationship Id="rId4212" Type="http://schemas.openxmlformats.org/officeDocument/2006/relationships/hyperlink" Target="http://force.com" TargetMode="External"/><Relationship Id="rId5546" Type="http://schemas.openxmlformats.org/officeDocument/2006/relationships/hyperlink" Target="http://force.com" TargetMode="External"/><Relationship Id="rId596" Type="http://schemas.openxmlformats.org/officeDocument/2006/relationships/hyperlink" Target="http://force.com" TargetMode="External"/><Relationship Id="rId1189" Type="http://schemas.openxmlformats.org/officeDocument/2006/relationships/hyperlink" Target="http://force.com" TargetMode="External"/><Relationship Id="rId4215" Type="http://schemas.openxmlformats.org/officeDocument/2006/relationships/hyperlink" Target="http://force.com" TargetMode="External"/><Relationship Id="rId5543" Type="http://schemas.openxmlformats.org/officeDocument/2006/relationships/hyperlink" Target="http://force.com" TargetMode="External"/><Relationship Id="rId595" Type="http://schemas.openxmlformats.org/officeDocument/2006/relationships/hyperlink" Target="http://force.com" TargetMode="External"/><Relationship Id="rId4214" Type="http://schemas.openxmlformats.org/officeDocument/2006/relationships/hyperlink" Target="http://force.com" TargetMode="External"/><Relationship Id="rId5544" Type="http://schemas.openxmlformats.org/officeDocument/2006/relationships/hyperlink" Target="http://force.com" TargetMode="External"/><Relationship Id="rId1136" Type="http://schemas.openxmlformats.org/officeDocument/2006/relationships/hyperlink" Target="http://force.com" TargetMode="External"/><Relationship Id="rId2467" Type="http://schemas.openxmlformats.org/officeDocument/2006/relationships/hyperlink" Target="http://force.com" TargetMode="External"/><Relationship Id="rId3799" Type="http://schemas.openxmlformats.org/officeDocument/2006/relationships/hyperlink" Target="http://force.com" TargetMode="External"/><Relationship Id="rId1137" Type="http://schemas.openxmlformats.org/officeDocument/2006/relationships/hyperlink" Target="http://force.com" TargetMode="External"/><Relationship Id="rId2468" Type="http://schemas.openxmlformats.org/officeDocument/2006/relationships/hyperlink" Target="http://force.com" TargetMode="External"/><Relationship Id="rId3798" Type="http://schemas.openxmlformats.org/officeDocument/2006/relationships/hyperlink" Target="http://force.com" TargetMode="External"/><Relationship Id="rId1138" Type="http://schemas.openxmlformats.org/officeDocument/2006/relationships/hyperlink" Target="http://force.com" TargetMode="External"/><Relationship Id="rId2469" Type="http://schemas.openxmlformats.org/officeDocument/2006/relationships/hyperlink" Target="http://force.com" TargetMode="External"/><Relationship Id="rId1139" Type="http://schemas.openxmlformats.org/officeDocument/2006/relationships/hyperlink" Target="http://force.com" TargetMode="External"/><Relationship Id="rId547" Type="http://schemas.openxmlformats.org/officeDocument/2006/relationships/hyperlink" Target="http://force.com" TargetMode="External"/><Relationship Id="rId546" Type="http://schemas.openxmlformats.org/officeDocument/2006/relationships/hyperlink" Target="http://force.com" TargetMode="External"/><Relationship Id="rId545" Type="http://schemas.openxmlformats.org/officeDocument/2006/relationships/hyperlink" Target="http://force.com" TargetMode="External"/><Relationship Id="rId544" Type="http://schemas.openxmlformats.org/officeDocument/2006/relationships/hyperlink" Target="http://force.com" TargetMode="External"/><Relationship Id="rId549" Type="http://schemas.openxmlformats.org/officeDocument/2006/relationships/hyperlink" Target="http://force.com" TargetMode="External"/><Relationship Id="rId548" Type="http://schemas.openxmlformats.org/officeDocument/2006/relationships/hyperlink" Target="http://force.com" TargetMode="External"/><Relationship Id="rId3791" Type="http://schemas.openxmlformats.org/officeDocument/2006/relationships/hyperlink" Target="http://force.com" TargetMode="External"/><Relationship Id="rId2460" Type="http://schemas.openxmlformats.org/officeDocument/2006/relationships/hyperlink" Target="http://force.com" TargetMode="External"/><Relationship Id="rId3790" Type="http://schemas.openxmlformats.org/officeDocument/2006/relationships/hyperlink" Target="http://force.com" TargetMode="External"/><Relationship Id="rId1130" Type="http://schemas.openxmlformats.org/officeDocument/2006/relationships/hyperlink" Target="http://force.com" TargetMode="External"/><Relationship Id="rId2461" Type="http://schemas.openxmlformats.org/officeDocument/2006/relationships/hyperlink" Target="http://force.com" TargetMode="External"/><Relationship Id="rId3793" Type="http://schemas.openxmlformats.org/officeDocument/2006/relationships/hyperlink" Target="http://force.com" TargetMode="External"/><Relationship Id="rId1131" Type="http://schemas.openxmlformats.org/officeDocument/2006/relationships/hyperlink" Target="http://force.com" TargetMode="External"/><Relationship Id="rId2462" Type="http://schemas.openxmlformats.org/officeDocument/2006/relationships/hyperlink" Target="http://force.com" TargetMode="External"/><Relationship Id="rId3792" Type="http://schemas.openxmlformats.org/officeDocument/2006/relationships/hyperlink" Target="http://force.com" TargetMode="External"/><Relationship Id="rId543" Type="http://schemas.openxmlformats.org/officeDocument/2006/relationships/hyperlink" Target="http://force.com" TargetMode="External"/><Relationship Id="rId1132" Type="http://schemas.openxmlformats.org/officeDocument/2006/relationships/hyperlink" Target="http://force.com" TargetMode="External"/><Relationship Id="rId2463" Type="http://schemas.openxmlformats.org/officeDocument/2006/relationships/hyperlink" Target="http://force.com" TargetMode="External"/><Relationship Id="rId3795" Type="http://schemas.openxmlformats.org/officeDocument/2006/relationships/hyperlink" Target="http://force.com" TargetMode="External"/><Relationship Id="rId542" Type="http://schemas.openxmlformats.org/officeDocument/2006/relationships/hyperlink" Target="http://force.com" TargetMode="External"/><Relationship Id="rId1133" Type="http://schemas.openxmlformats.org/officeDocument/2006/relationships/hyperlink" Target="http://force.com" TargetMode="External"/><Relationship Id="rId2464" Type="http://schemas.openxmlformats.org/officeDocument/2006/relationships/hyperlink" Target="http://force.com" TargetMode="External"/><Relationship Id="rId3794" Type="http://schemas.openxmlformats.org/officeDocument/2006/relationships/hyperlink" Target="http://force.com" TargetMode="External"/><Relationship Id="rId541" Type="http://schemas.openxmlformats.org/officeDocument/2006/relationships/hyperlink" Target="http://force.com" TargetMode="External"/><Relationship Id="rId1134" Type="http://schemas.openxmlformats.org/officeDocument/2006/relationships/hyperlink" Target="http://force.com" TargetMode="External"/><Relationship Id="rId2465" Type="http://schemas.openxmlformats.org/officeDocument/2006/relationships/hyperlink" Target="http://force.com" TargetMode="External"/><Relationship Id="rId3797" Type="http://schemas.openxmlformats.org/officeDocument/2006/relationships/hyperlink" Target="http://force.com" TargetMode="External"/><Relationship Id="rId540" Type="http://schemas.openxmlformats.org/officeDocument/2006/relationships/hyperlink" Target="http://force.com" TargetMode="External"/><Relationship Id="rId1135" Type="http://schemas.openxmlformats.org/officeDocument/2006/relationships/hyperlink" Target="http://force.com" TargetMode="External"/><Relationship Id="rId2466" Type="http://schemas.openxmlformats.org/officeDocument/2006/relationships/hyperlink" Target="http://force.com" TargetMode="External"/><Relationship Id="rId3796" Type="http://schemas.openxmlformats.org/officeDocument/2006/relationships/hyperlink" Target="http://force.com" TargetMode="External"/><Relationship Id="rId1125" Type="http://schemas.openxmlformats.org/officeDocument/2006/relationships/hyperlink" Target="http://force.com" TargetMode="External"/><Relationship Id="rId2456" Type="http://schemas.openxmlformats.org/officeDocument/2006/relationships/hyperlink" Target="http://force.com" TargetMode="External"/><Relationship Id="rId3788" Type="http://schemas.openxmlformats.org/officeDocument/2006/relationships/hyperlink" Target="http://force.com" TargetMode="External"/><Relationship Id="rId1126" Type="http://schemas.openxmlformats.org/officeDocument/2006/relationships/hyperlink" Target="http://force.com" TargetMode="External"/><Relationship Id="rId2457" Type="http://schemas.openxmlformats.org/officeDocument/2006/relationships/hyperlink" Target="http://force.com" TargetMode="External"/><Relationship Id="rId3787" Type="http://schemas.openxmlformats.org/officeDocument/2006/relationships/hyperlink" Target="http://force.com" TargetMode="External"/><Relationship Id="rId1127" Type="http://schemas.openxmlformats.org/officeDocument/2006/relationships/hyperlink" Target="http://force.com" TargetMode="External"/><Relationship Id="rId2458" Type="http://schemas.openxmlformats.org/officeDocument/2006/relationships/hyperlink" Target="http://force.com" TargetMode="External"/><Relationship Id="rId1128" Type="http://schemas.openxmlformats.org/officeDocument/2006/relationships/hyperlink" Target="http://force.com" TargetMode="External"/><Relationship Id="rId2459" Type="http://schemas.openxmlformats.org/officeDocument/2006/relationships/hyperlink" Target="http://force.com" TargetMode="External"/><Relationship Id="rId3789" Type="http://schemas.openxmlformats.org/officeDocument/2006/relationships/hyperlink" Target="http://force.com" TargetMode="External"/><Relationship Id="rId1129" Type="http://schemas.openxmlformats.org/officeDocument/2006/relationships/hyperlink" Target="http://force.com" TargetMode="External"/><Relationship Id="rId536" Type="http://schemas.openxmlformats.org/officeDocument/2006/relationships/hyperlink" Target="http://force.com" TargetMode="External"/><Relationship Id="rId535" Type="http://schemas.openxmlformats.org/officeDocument/2006/relationships/hyperlink" Target="http://force.com" TargetMode="External"/><Relationship Id="rId534" Type="http://schemas.openxmlformats.org/officeDocument/2006/relationships/hyperlink" Target="http://force.com" TargetMode="External"/><Relationship Id="rId533" Type="http://schemas.openxmlformats.org/officeDocument/2006/relationships/hyperlink" Target="http://force.com" TargetMode="External"/><Relationship Id="rId539" Type="http://schemas.openxmlformats.org/officeDocument/2006/relationships/hyperlink" Target="http://force.com" TargetMode="External"/><Relationship Id="rId538" Type="http://schemas.openxmlformats.org/officeDocument/2006/relationships/hyperlink" Target="http://force.com" TargetMode="External"/><Relationship Id="rId537" Type="http://schemas.openxmlformats.org/officeDocument/2006/relationships/hyperlink" Target="http://force.com" TargetMode="External"/><Relationship Id="rId3780" Type="http://schemas.openxmlformats.org/officeDocument/2006/relationships/hyperlink" Target="http://force.com" TargetMode="External"/><Relationship Id="rId2450" Type="http://schemas.openxmlformats.org/officeDocument/2006/relationships/hyperlink" Target="http://force.com" TargetMode="External"/><Relationship Id="rId3782" Type="http://schemas.openxmlformats.org/officeDocument/2006/relationships/hyperlink" Target="http://force.com" TargetMode="External"/><Relationship Id="rId1120" Type="http://schemas.openxmlformats.org/officeDocument/2006/relationships/hyperlink" Target="http://force.com" TargetMode="External"/><Relationship Id="rId2451" Type="http://schemas.openxmlformats.org/officeDocument/2006/relationships/hyperlink" Target="http://force.com" TargetMode="External"/><Relationship Id="rId3781" Type="http://schemas.openxmlformats.org/officeDocument/2006/relationships/hyperlink" Target="http://force.com" TargetMode="External"/><Relationship Id="rId532" Type="http://schemas.openxmlformats.org/officeDocument/2006/relationships/hyperlink" Target="http://force.com" TargetMode="External"/><Relationship Id="rId1121" Type="http://schemas.openxmlformats.org/officeDocument/2006/relationships/hyperlink" Target="http://force.com" TargetMode="External"/><Relationship Id="rId2452" Type="http://schemas.openxmlformats.org/officeDocument/2006/relationships/hyperlink" Target="http://force.com" TargetMode="External"/><Relationship Id="rId3784" Type="http://schemas.openxmlformats.org/officeDocument/2006/relationships/hyperlink" Target="http://force.com" TargetMode="External"/><Relationship Id="rId531" Type="http://schemas.openxmlformats.org/officeDocument/2006/relationships/hyperlink" Target="http://force.com" TargetMode="External"/><Relationship Id="rId1122" Type="http://schemas.openxmlformats.org/officeDocument/2006/relationships/hyperlink" Target="http://force.com" TargetMode="External"/><Relationship Id="rId2453" Type="http://schemas.openxmlformats.org/officeDocument/2006/relationships/hyperlink" Target="http://force.com" TargetMode="External"/><Relationship Id="rId3783" Type="http://schemas.openxmlformats.org/officeDocument/2006/relationships/hyperlink" Target="http://force.com" TargetMode="External"/><Relationship Id="rId530" Type="http://schemas.openxmlformats.org/officeDocument/2006/relationships/hyperlink" Target="http://force.com" TargetMode="External"/><Relationship Id="rId1123" Type="http://schemas.openxmlformats.org/officeDocument/2006/relationships/hyperlink" Target="http://force.com" TargetMode="External"/><Relationship Id="rId2454" Type="http://schemas.openxmlformats.org/officeDocument/2006/relationships/hyperlink" Target="http://force.com" TargetMode="External"/><Relationship Id="rId3786" Type="http://schemas.openxmlformats.org/officeDocument/2006/relationships/hyperlink" Target="http://force.com" TargetMode="External"/><Relationship Id="rId1124" Type="http://schemas.openxmlformats.org/officeDocument/2006/relationships/hyperlink" Target="http://force.com" TargetMode="External"/><Relationship Id="rId2455" Type="http://schemas.openxmlformats.org/officeDocument/2006/relationships/hyperlink" Target="http://force.com" TargetMode="External"/><Relationship Id="rId3785" Type="http://schemas.openxmlformats.org/officeDocument/2006/relationships/hyperlink" Target="http://force.com" TargetMode="External"/><Relationship Id="rId1158" Type="http://schemas.openxmlformats.org/officeDocument/2006/relationships/hyperlink" Target="http://force.com" TargetMode="External"/><Relationship Id="rId2489" Type="http://schemas.openxmlformats.org/officeDocument/2006/relationships/hyperlink" Target="http://force.com" TargetMode="External"/><Relationship Id="rId5516" Type="http://schemas.openxmlformats.org/officeDocument/2006/relationships/hyperlink" Target="http://force.com" TargetMode="External"/><Relationship Id="rId1159" Type="http://schemas.openxmlformats.org/officeDocument/2006/relationships/hyperlink" Target="http://force.com" TargetMode="External"/><Relationship Id="rId5517" Type="http://schemas.openxmlformats.org/officeDocument/2006/relationships/hyperlink" Target="http://force.com" TargetMode="External"/><Relationship Id="rId5514" Type="http://schemas.openxmlformats.org/officeDocument/2006/relationships/hyperlink" Target="http://force.com" TargetMode="External"/><Relationship Id="rId5515" Type="http://schemas.openxmlformats.org/officeDocument/2006/relationships/hyperlink" Target="http://force.com" TargetMode="External"/><Relationship Id="rId5518" Type="http://schemas.openxmlformats.org/officeDocument/2006/relationships/hyperlink" Target="http://force.com" TargetMode="External"/><Relationship Id="rId5519" Type="http://schemas.openxmlformats.org/officeDocument/2006/relationships/hyperlink" Target="http://force.com" TargetMode="External"/><Relationship Id="rId569" Type="http://schemas.openxmlformats.org/officeDocument/2006/relationships/hyperlink" Target="http://force.com" TargetMode="External"/><Relationship Id="rId568" Type="http://schemas.openxmlformats.org/officeDocument/2006/relationships/hyperlink" Target="http://force.com" TargetMode="External"/><Relationship Id="rId567" Type="http://schemas.openxmlformats.org/officeDocument/2006/relationships/hyperlink" Target="http://force.com" TargetMode="External"/><Relationship Id="rId566" Type="http://schemas.openxmlformats.org/officeDocument/2006/relationships/hyperlink" Target="http://force.com" TargetMode="External"/><Relationship Id="rId2480" Type="http://schemas.openxmlformats.org/officeDocument/2006/relationships/hyperlink" Target="http://force.com" TargetMode="External"/><Relationship Id="rId561" Type="http://schemas.openxmlformats.org/officeDocument/2006/relationships/hyperlink" Target="http://force.com" TargetMode="External"/><Relationship Id="rId1150" Type="http://schemas.openxmlformats.org/officeDocument/2006/relationships/hyperlink" Target="http://force.com" TargetMode="External"/><Relationship Id="rId2481" Type="http://schemas.openxmlformats.org/officeDocument/2006/relationships/hyperlink" Target="http://force.com" TargetMode="External"/><Relationship Id="rId560" Type="http://schemas.openxmlformats.org/officeDocument/2006/relationships/hyperlink" Target="http://force.com" TargetMode="External"/><Relationship Id="rId1151" Type="http://schemas.openxmlformats.org/officeDocument/2006/relationships/hyperlink" Target="http://force.com" TargetMode="External"/><Relationship Id="rId2482" Type="http://schemas.openxmlformats.org/officeDocument/2006/relationships/hyperlink" Target="http://force.com" TargetMode="External"/><Relationship Id="rId1152" Type="http://schemas.openxmlformats.org/officeDocument/2006/relationships/hyperlink" Target="http://force.com" TargetMode="External"/><Relationship Id="rId2483" Type="http://schemas.openxmlformats.org/officeDocument/2006/relationships/hyperlink" Target="http://force.com" TargetMode="External"/><Relationship Id="rId1153" Type="http://schemas.openxmlformats.org/officeDocument/2006/relationships/hyperlink" Target="http://force.com" TargetMode="External"/><Relationship Id="rId2484" Type="http://schemas.openxmlformats.org/officeDocument/2006/relationships/hyperlink" Target="http://force.com" TargetMode="External"/><Relationship Id="rId565" Type="http://schemas.openxmlformats.org/officeDocument/2006/relationships/hyperlink" Target="http://force.com" TargetMode="External"/><Relationship Id="rId1154" Type="http://schemas.openxmlformats.org/officeDocument/2006/relationships/hyperlink" Target="http://force.com" TargetMode="External"/><Relationship Id="rId2485" Type="http://schemas.openxmlformats.org/officeDocument/2006/relationships/hyperlink" Target="http://force.com" TargetMode="External"/><Relationship Id="rId5512" Type="http://schemas.openxmlformats.org/officeDocument/2006/relationships/hyperlink" Target="http://force.com" TargetMode="External"/><Relationship Id="rId564" Type="http://schemas.openxmlformats.org/officeDocument/2006/relationships/hyperlink" Target="http://force.com" TargetMode="External"/><Relationship Id="rId1155" Type="http://schemas.openxmlformats.org/officeDocument/2006/relationships/hyperlink" Target="http://force.com" TargetMode="External"/><Relationship Id="rId2486" Type="http://schemas.openxmlformats.org/officeDocument/2006/relationships/hyperlink" Target="http://force.com" TargetMode="External"/><Relationship Id="rId5513" Type="http://schemas.openxmlformats.org/officeDocument/2006/relationships/hyperlink" Target="http://force.com" TargetMode="External"/><Relationship Id="rId563" Type="http://schemas.openxmlformats.org/officeDocument/2006/relationships/hyperlink" Target="http://force.com" TargetMode="External"/><Relationship Id="rId1156" Type="http://schemas.openxmlformats.org/officeDocument/2006/relationships/hyperlink" Target="http://force.com" TargetMode="External"/><Relationship Id="rId2487" Type="http://schemas.openxmlformats.org/officeDocument/2006/relationships/hyperlink" Target="http://force.com" TargetMode="External"/><Relationship Id="rId5510" Type="http://schemas.openxmlformats.org/officeDocument/2006/relationships/hyperlink" Target="http://force.com" TargetMode="External"/><Relationship Id="rId562" Type="http://schemas.openxmlformats.org/officeDocument/2006/relationships/hyperlink" Target="http://force.com" TargetMode="External"/><Relationship Id="rId1157" Type="http://schemas.openxmlformats.org/officeDocument/2006/relationships/hyperlink" Target="http://force.com" TargetMode="External"/><Relationship Id="rId2488" Type="http://schemas.openxmlformats.org/officeDocument/2006/relationships/hyperlink" Target="http://force.com" TargetMode="External"/><Relationship Id="rId5511" Type="http://schemas.openxmlformats.org/officeDocument/2006/relationships/hyperlink" Target="http://force.com" TargetMode="External"/><Relationship Id="rId1147" Type="http://schemas.openxmlformats.org/officeDocument/2006/relationships/hyperlink" Target="http://force.com" TargetMode="External"/><Relationship Id="rId2478" Type="http://schemas.openxmlformats.org/officeDocument/2006/relationships/hyperlink" Target="http://force.com" TargetMode="External"/><Relationship Id="rId5505" Type="http://schemas.openxmlformats.org/officeDocument/2006/relationships/hyperlink" Target="http://force.com" TargetMode="External"/><Relationship Id="rId1148" Type="http://schemas.openxmlformats.org/officeDocument/2006/relationships/hyperlink" Target="http://force.com" TargetMode="External"/><Relationship Id="rId2479" Type="http://schemas.openxmlformats.org/officeDocument/2006/relationships/hyperlink" Target="http://force.com" TargetMode="External"/><Relationship Id="rId5506" Type="http://schemas.openxmlformats.org/officeDocument/2006/relationships/hyperlink" Target="http://force.com" TargetMode="External"/><Relationship Id="rId1149" Type="http://schemas.openxmlformats.org/officeDocument/2006/relationships/hyperlink" Target="http://force.com" TargetMode="External"/><Relationship Id="rId5503" Type="http://schemas.openxmlformats.org/officeDocument/2006/relationships/hyperlink" Target="http://force.com" TargetMode="External"/><Relationship Id="rId5504" Type="http://schemas.openxmlformats.org/officeDocument/2006/relationships/hyperlink" Target="http://force.com" TargetMode="External"/><Relationship Id="rId5509" Type="http://schemas.openxmlformats.org/officeDocument/2006/relationships/hyperlink" Target="http://force.com" TargetMode="External"/><Relationship Id="rId5507" Type="http://schemas.openxmlformats.org/officeDocument/2006/relationships/hyperlink" Target="http://force.com" TargetMode="External"/><Relationship Id="rId5508" Type="http://schemas.openxmlformats.org/officeDocument/2006/relationships/hyperlink" Target="http://force.com" TargetMode="External"/><Relationship Id="rId558" Type="http://schemas.openxmlformats.org/officeDocument/2006/relationships/hyperlink" Target="http://force.com" TargetMode="External"/><Relationship Id="rId557" Type="http://schemas.openxmlformats.org/officeDocument/2006/relationships/hyperlink" Target="http://force.com" TargetMode="External"/><Relationship Id="rId556" Type="http://schemas.openxmlformats.org/officeDocument/2006/relationships/hyperlink" Target="http://force.com" TargetMode="External"/><Relationship Id="rId555" Type="http://schemas.openxmlformats.org/officeDocument/2006/relationships/hyperlink" Target="http://force.com" TargetMode="External"/><Relationship Id="rId559" Type="http://schemas.openxmlformats.org/officeDocument/2006/relationships/hyperlink" Target="http://force.com" TargetMode="External"/><Relationship Id="rId550" Type="http://schemas.openxmlformats.org/officeDocument/2006/relationships/hyperlink" Target="http://force.com" TargetMode="External"/><Relationship Id="rId2470" Type="http://schemas.openxmlformats.org/officeDocument/2006/relationships/hyperlink" Target="http://force.com" TargetMode="External"/><Relationship Id="rId1140" Type="http://schemas.openxmlformats.org/officeDocument/2006/relationships/hyperlink" Target="http://force.com" TargetMode="External"/><Relationship Id="rId2471" Type="http://schemas.openxmlformats.org/officeDocument/2006/relationships/hyperlink" Target="http://force.com" TargetMode="External"/><Relationship Id="rId1141" Type="http://schemas.openxmlformats.org/officeDocument/2006/relationships/hyperlink" Target="http://force.com" TargetMode="External"/><Relationship Id="rId2472" Type="http://schemas.openxmlformats.org/officeDocument/2006/relationships/hyperlink" Target="http://force.com" TargetMode="External"/><Relationship Id="rId1142" Type="http://schemas.openxmlformats.org/officeDocument/2006/relationships/hyperlink" Target="http://force.com" TargetMode="External"/><Relationship Id="rId2473" Type="http://schemas.openxmlformats.org/officeDocument/2006/relationships/hyperlink" Target="http://force.com" TargetMode="External"/><Relationship Id="rId554" Type="http://schemas.openxmlformats.org/officeDocument/2006/relationships/hyperlink" Target="http://force.com" TargetMode="External"/><Relationship Id="rId1143" Type="http://schemas.openxmlformats.org/officeDocument/2006/relationships/hyperlink" Target="http://force.com" TargetMode="External"/><Relationship Id="rId2474" Type="http://schemas.openxmlformats.org/officeDocument/2006/relationships/hyperlink" Target="http://force.com" TargetMode="External"/><Relationship Id="rId5501" Type="http://schemas.openxmlformats.org/officeDocument/2006/relationships/hyperlink" Target="http://force.com" TargetMode="External"/><Relationship Id="rId553" Type="http://schemas.openxmlformats.org/officeDocument/2006/relationships/hyperlink" Target="http://force.com" TargetMode="External"/><Relationship Id="rId1144" Type="http://schemas.openxmlformats.org/officeDocument/2006/relationships/hyperlink" Target="http://force.com" TargetMode="External"/><Relationship Id="rId2475" Type="http://schemas.openxmlformats.org/officeDocument/2006/relationships/hyperlink" Target="http://force.com" TargetMode="External"/><Relationship Id="rId5502" Type="http://schemas.openxmlformats.org/officeDocument/2006/relationships/hyperlink" Target="http://force.com" TargetMode="External"/><Relationship Id="rId552" Type="http://schemas.openxmlformats.org/officeDocument/2006/relationships/hyperlink" Target="http://force.com" TargetMode="External"/><Relationship Id="rId1145" Type="http://schemas.openxmlformats.org/officeDocument/2006/relationships/hyperlink" Target="http://force.com" TargetMode="External"/><Relationship Id="rId2476" Type="http://schemas.openxmlformats.org/officeDocument/2006/relationships/hyperlink" Target="http://force.com" TargetMode="External"/><Relationship Id="rId551" Type="http://schemas.openxmlformats.org/officeDocument/2006/relationships/hyperlink" Target="http://force.com" TargetMode="External"/><Relationship Id="rId1146" Type="http://schemas.openxmlformats.org/officeDocument/2006/relationships/hyperlink" Target="http://force.com" TargetMode="External"/><Relationship Id="rId2477" Type="http://schemas.openxmlformats.org/officeDocument/2006/relationships/hyperlink" Target="http://force.com" TargetMode="External"/><Relationship Id="rId5500" Type="http://schemas.openxmlformats.org/officeDocument/2006/relationships/hyperlink" Target="http://force.com" TargetMode="External"/><Relationship Id="rId4280" Type="http://schemas.openxmlformats.org/officeDocument/2006/relationships/hyperlink" Target="http://force.com" TargetMode="External"/><Relationship Id="rId4282" Type="http://schemas.openxmlformats.org/officeDocument/2006/relationships/hyperlink" Target="http://force.com" TargetMode="External"/><Relationship Id="rId4281" Type="http://schemas.openxmlformats.org/officeDocument/2006/relationships/hyperlink" Target="http://force.com" TargetMode="External"/><Relationship Id="rId4284" Type="http://schemas.openxmlformats.org/officeDocument/2006/relationships/hyperlink" Target="http://force.com" TargetMode="External"/><Relationship Id="rId4283" Type="http://schemas.openxmlformats.org/officeDocument/2006/relationships/hyperlink" Target="http://force.com" TargetMode="External"/><Relationship Id="rId4286" Type="http://schemas.openxmlformats.org/officeDocument/2006/relationships/hyperlink" Target="http://force.com" TargetMode="External"/><Relationship Id="rId4285" Type="http://schemas.openxmlformats.org/officeDocument/2006/relationships/hyperlink" Target="http://force.com" TargetMode="External"/><Relationship Id="rId4288" Type="http://schemas.openxmlformats.org/officeDocument/2006/relationships/hyperlink" Target="http://force.com" TargetMode="External"/><Relationship Id="rId4287" Type="http://schemas.openxmlformats.org/officeDocument/2006/relationships/hyperlink" Target="http://force.com" TargetMode="External"/><Relationship Id="rId4289" Type="http://schemas.openxmlformats.org/officeDocument/2006/relationships/hyperlink" Target="http://force.com" TargetMode="External"/><Relationship Id="rId4271" Type="http://schemas.openxmlformats.org/officeDocument/2006/relationships/hyperlink" Target="http://force.com" TargetMode="External"/><Relationship Id="rId4270" Type="http://schemas.openxmlformats.org/officeDocument/2006/relationships/hyperlink" Target="http://force.com" TargetMode="External"/><Relationship Id="rId4273" Type="http://schemas.openxmlformats.org/officeDocument/2006/relationships/hyperlink" Target="http://force.com" TargetMode="External"/><Relationship Id="rId4272" Type="http://schemas.openxmlformats.org/officeDocument/2006/relationships/hyperlink" Target="http://force.com" TargetMode="External"/><Relationship Id="rId4275" Type="http://schemas.openxmlformats.org/officeDocument/2006/relationships/hyperlink" Target="http://force.com" TargetMode="External"/><Relationship Id="rId4274" Type="http://schemas.openxmlformats.org/officeDocument/2006/relationships/hyperlink" Target="http://force.com" TargetMode="External"/><Relationship Id="rId4277" Type="http://schemas.openxmlformats.org/officeDocument/2006/relationships/hyperlink" Target="http://force.com" TargetMode="External"/><Relationship Id="rId4276" Type="http://schemas.openxmlformats.org/officeDocument/2006/relationships/hyperlink" Target="http://force.com" TargetMode="External"/><Relationship Id="rId4279" Type="http://schemas.openxmlformats.org/officeDocument/2006/relationships/hyperlink" Target="http://force.com" TargetMode="External"/><Relationship Id="rId4278" Type="http://schemas.openxmlformats.org/officeDocument/2006/relationships/hyperlink" Target="http://force.com" TargetMode="External"/><Relationship Id="rId6009" Type="http://schemas.openxmlformats.org/officeDocument/2006/relationships/hyperlink" Target="http://force.com" TargetMode="External"/><Relationship Id="rId6000" Type="http://schemas.openxmlformats.org/officeDocument/2006/relationships/hyperlink" Target="http://force.com" TargetMode="External"/><Relationship Id="rId6003" Type="http://schemas.openxmlformats.org/officeDocument/2006/relationships/hyperlink" Target="http://force.com" TargetMode="External"/><Relationship Id="rId6004" Type="http://schemas.openxmlformats.org/officeDocument/2006/relationships/hyperlink" Target="http://force.com" TargetMode="External"/><Relationship Id="rId6001" Type="http://schemas.openxmlformats.org/officeDocument/2006/relationships/hyperlink" Target="http://force.com" TargetMode="External"/><Relationship Id="rId6002" Type="http://schemas.openxmlformats.org/officeDocument/2006/relationships/hyperlink" Target="http://force.com" TargetMode="External"/><Relationship Id="rId6007" Type="http://schemas.openxmlformats.org/officeDocument/2006/relationships/hyperlink" Target="http://force.com" TargetMode="External"/><Relationship Id="rId6008" Type="http://schemas.openxmlformats.org/officeDocument/2006/relationships/hyperlink" Target="http://force.com" TargetMode="External"/><Relationship Id="rId6005" Type="http://schemas.openxmlformats.org/officeDocument/2006/relationships/hyperlink" Target="http://force.com" TargetMode="External"/><Relationship Id="rId6006" Type="http://schemas.openxmlformats.org/officeDocument/2006/relationships/hyperlink" Target="http://force.com" TargetMode="External"/><Relationship Id="rId4291" Type="http://schemas.openxmlformats.org/officeDocument/2006/relationships/hyperlink" Target="http://force.com" TargetMode="External"/><Relationship Id="rId4290" Type="http://schemas.openxmlformats.org/officeDocument/2006/relationships/hyperlink" Target="http://force.com" TargetMode="External"/><Relationship Id="rId4293" Type="http://schemas.openxmlformats.org/officeDocument/2006/relationships/hyperlink" Target="http://force.com" TargetMode="External"/><Relationship Id="rId4292" Type="http://schemas.openxmlformats.org/officeDocument/2006/relationships/hyperlink" Target="http://force.com" TargetMode="External"/><Relationship Id="rId4295" Type="http://schemas.openxmlformats.org/officeDocument/2006/relationships/hyperlink" Target="http://force.com" TargetMode="External"/><Relationship Id="rId4294" Type="http://schemas.openxmlformats.org/officeDocument/2006/relationships/hyperlink" Target="http://force.com" TargetMode="External"/><Relationship Id="rId4297" Type="http://schemas.openxmlformats.org/officeDocument/2006/relationships/hyperlink" Target="http://force.com" TargetMode="External"/><Relationship Id="rId4296" Type="http://schemas.openxmlformats.org/officeDocument/2006/relationships/hyperlink" Target="http://force.com" TargetMode="External"/><Relationship Id="rId4299" Type="http://schemas.openxmlformats.org/officeDocument/2006/relationships/hyperlink" Target="http://force.com" TargetMode="External"/><Relationship Id="rId4298" Type="http://schemas.openxmlformats.org/officeDocument/2006/relationships/hyperlink" Target="http://force.com" TargetMode="External"/><Relationship Id="rId4249" Type="http://schemas.openxmlformats.org/officeDocument/2006/relationships/hyperlink" Target="http://force.com" TargetMode="External"/><Relationship Id="rId5570" Type="http://schemas.openxmlformats.org/officeDocument/2006/relationships/hyperlink" Target="http://force.com" TargetMode="External"/><Relationship Id="rId5571" Type="http://schemas.openxmlformats.org/officeDocument/2006/relationships/hyperlink" Target="http://force.com" TargetMode="External"/><Relationship Id="rId4240" Type="http://schemas.openxmlformats.org/officeDocument/2006/relationships/hyperlink" Target="http://force.com" TargetMode="External"/><Relationship Id="rId4242" Type="http://schemas.openxmlformats.org/officeDocument/2006/relationships/hyperlink" Target="http://force.com" TargetMode="External"/><Relationship Id="rId5574" Type="http://schemas.openxmlformats.org/officeDocument/2006/relationships/hyperlink" Target="http://force.com" TargetMode="External"/><Relationship Id="rId4241" Type="http://schemas.openxmlformats.org/officeDocument/2006/relationships/hyperlink" Target="http://force.com" TargetMode="External"/><Relationship Id="rId5575" Type="http://schemas.openxmlformats.org/officeDocument/2006/relationships/hyperlink" Target="http://force.com" TargetMode="External"/><Relationship Id="rId4244" Type="http://schemas.openxmlformats.org/officeDocument/2006/relationships/hyperlink" Target="http://force.com" TargetMode="External"/><Relationship Id="rId5572" Type="http://schemas.openxmlformats.org/officeDocument/2006/relationships/hyperlink" Target="http://force.com" TargetMode="External"/><Relationship Id="rId4243" Type="http://schemas.openxmlformats.org/officeDocument/2006/relationships/hyperlink" Target="http://force.com" TargetMode="External"/><Relationship Id="rId5573" Type="http://schemas.openxmlformats.org/officeDocument/2006/relationships/hyperlink" Target="http://force.com" TargetMode="External"/><Relationship Id="rId4246" Type="http://schemas.openxmlformats.org/officeDocument/2006/relationships/hyperlink" Target="http://force.com" TargetMode="External"/><Relationship Id="rId5578" Type="http://schemas.openxmlformats.org/officeDocument/2006/relationships/hyperlink" Target="http://force.com" TargetMode="External"/><Relationship Id="rId4245" Type="http://schemas.openxmlformats.org/officeDocument/2006/relationships/hyperlink" Target="http://force.com" TargetMode="External"/><Relationship Id="rId5579" Type="http://schemas.openxmlformats.org/officeDocument/2006/relationships/hyperlink" Target="http://force.com" TargetMode="External"/><Relationship Id="rId4248" Type="http://schemas.openxmlformats.org/officeDocument/2006/relationships/hyperlink" Target="http://force.com" TargetMode="External"/><Relationship Id="rId5576" Type="http://schemas.openxmlformats.org/officeDocument/2006/relationships/hyperlink" Target="http://force.com" TargetMode="External"/><Relationship Id="rId4247" Type="http://schemas.openxmlformats.org/officeDocument/2006/relationships/hyperlink" Target="http://force.com" TargetMode="External"/><Relationship Id="rId5577" Type="http://schemas.openxmlformats.org/officeDocument/2006/relationships/hyperlink" Target="http://force.com" TargetMode="External"/><Relationship Id="rId4239" Type="http://schemas.openxmlformats.org/officeDocument/2006/relationships/hyperlink" Target="http://force.com" TargetMode="External"/><Relationship Id="rId4238" Type="http://schemas.openxmlformats.org/officeDocument/2006/relationships/hyperlink" Target="http://force.com" TargetMode="External"/><Relationship Id="rId5569" Type="http://schemas.openxmlformats.org/officeDocument/2006/relationships/hyperlink" Target="http://force.com" TargetMode="External"/><Relationship Id="rId5560" Type="http://schemas.openxmlformats.org/officeDocument/2006/relationships/hyperlink" Target="http://force.com" TargetMode="External"/><Relationship Id="rId495" Type="http://schemas.openxmlformats.org/officeDocument/2006/relationships/hyperlink" Target="http://force.com" TargetMode="External"/><Relationship Id="rId4231" Type="http://schemas.openxmlformats.org/officeDocument/2006/relationships/hyperlink" Target="http://force.com" TargetMode="External"/><Relationship Id="rId5563" Type="http://schemas.openxmlformats.org/officeDocument/2006/relationships/hyperlink" Target="http://force.com" TargetMode="External"/><Relationship Id="rId494" Type="http://schemas.openxmlformats.org/officeDocument/2006/relationships/hyperlink" Target="http://force.com" TargetMode="External"/><Relationship Id="rId4230" Type="http://schemas.openxmlformats.org/officeDocument/2006/relationships/hyperlink" Target="http://force.com" TargetMode="External"/><Relationship Id="rId5564" Type="http://schemas.openxmlformats.org/officeDocument/2006/relationships/hyperlink" Target="http://force.com" TargetMode="External"/><Relationship Id="rId493" Type="http://schemas.openxmlformats.org/officeDocument/2006/relationships/hyperlink" Target="http://force.com" TargetMode="External"/><Relationship Id="rId4233" Type="http://schemas.openxmlformats.org/officeDocument/2006/relationships/hyperlink" Target="http://force.com" TargetMode="External"/><Relationship Id="rId5561" Type="http://schemas.openxmlformats.org/officeDocument/2006/relationships/hyperlink" Target="http://force.com" TargetMode="External"/><Relationship Id="rId492" Type="http://schemas.openxmlformats.org/officeDocument/2006/relationships/hyperlink" Target="http://force.com" TargetMode="External"/><Relationship Id="rId4232" Type="http://schemas.openxmlformats.org/officeDocument/2006/relationships/hyperlink" Target="http://force.com" TargetMode="External"/><Relationship Id="rId5562" Type="http://schemas.openxmlformats.org/officeDocument/2006/relationships/hyperlink" Target="http://force.com" TargetMode="External"/><Relationship Id="rId499" Type="http://schemas.openxmlformats.org/officeDocument/2006/relationships/hyperlink" Target="http://force.com" TargetMode="External"/><Relationship Id="rId4235" Type="http://schemas.openxmlformats.org/officeDocument/2006/relationships/hyperlink" Target="http://force.com" TargetMode="External"/><Relationship Id="rId5567" Type="http://schemas.openxmlformats.org/officeDocument/2006/relationships/hyperlink" Target="http://force.com" TargetMode="External"/><Relationship Id="rId498" Type="http://schemas.openxmlformats.org/officeDocument/2006/relationships/hyperlink" Target="http://force.com" TargetMode="External"/><Relationship Id="rId4234" Type="http://schemas.openxmlformats.org/officeDocument/2006/relationships/hyperlink" Target="http://force.com" TargetMode="External"/><Relationship Id="rId5568" Type="http://schemas.openxmlformats.org/officeDocument/2006/relationships/hyperlink" Target="http://force.com" TargetMode="External"/><Relationship Id="rId497" Type="http://schemas.openxmlformats.org/officeDocument/2006/relationships/hyperlink" Target="http://force.com" TargetMode="External"/><Relationship Id="rId4237" Type="http://schemas.openxmlformats.org/officeDocument/2006/relationships/hyperlink" Target="http://force.com" TargetMode="External"/><Relationship Id="rId5565" Type="http://schemas.openxmlformats.org/officeDocument/2006/relationships/hyperlink" Target="http://force.com" TargetMode="External"/><Relationship Id="rId496" Type="http://schemas.openxmlformats.org/officeDocument/2006/relationships/hyperlink" Target="http://force.com" TargetMode="External"/><Relationship Id="rId4236" Type="http://schemas.openxmlformats.org/officeDocument/2006/relationships/hyperlink" Target="http://force.com" TargetMode="External"/><Relationship Id="rId5566" Type="http://schemas.openxmlformats.org/officeDocument/2006/relationships/hyperlink" Target="http://force.com" TargetMode="External"/><Relationship Id="rId4260" Type="http://schemas.openxmlformats.org/officeDocument/2006/relationships/hyperlink" Target="http://force.com" TargetMode="External"/><Relationship Id="rId5592" Type="http://schemas.openxmlformats.org/officeDocument/2006/relationships/hyperlink" Target="http://force.com" TargetMode="External"/><Relationship Id="rId5593" Type="http://schemas.openxmlformats.org/officeDocument/2006/relationships/hyperlink" Target="http://force.com" TargetMode="External"/><Relationship Id="rId4262" Type="http://schemas.openxmlformats.org/officeDocument/2006/relationships/hyperlink" Target="http://force.com" TargetMode="External"/><Relationship Id="rId5590" Type="http://schemas.openxmlformats.org/officeDocument/2006/relationships/hyperlink" Target="http://force.com" TargetMode="External"/><Relationship Id="rId4261" Type="http://schemas.openxmlformats.org/officeDocument/2006/relationships/hyperlink" Target="http://force.com" TargetMode="External"/><Relationship Id="rId5591" Type="http://schemas.openxmlformats.org/officeDocument/2006/relationships/hyperlink" Target="http://force.com" TargetMode="External"/><Relationship Id="rId4264" Type="http://schemas.openxmlformats.org/officeDocument/2006/relationships/hyperlink" Target="http://force.com" TargetMode="External"/><Relationship Id="rId5596" Type="http://schemas.openxmlformats.org/officeDocument/2006/relationships/hyperlink" Target="http://force.com" TargetMode="External"/><Relationship Id="rId4263" Type="http://schemas.openxmlformats.org/officeDocument/2006/relationships/hyperlink" Target="http://force.com" TargetMode="External"/><Relationship Id="rId5597" Type="http://schemas.openxmlformats.org/officeDocument/2006/relationships/hyperlink" Target="http://force.com" TargetMode="External"/><Relationship Id="rId4266" Type="http://schemas.openxmlformats.org/officeDocument/2006/relationships/hyperlink" Target="http://force.com" TargetMode="External"/><Relationship Id="rId5594" Type="http://schemas.openxmlformats.org/officeDocument/2006/relationships/hyperlink" Target="http://force.com" TargetMode="External"/><Relationship Id="rId4265" Type="http://schemas.openxmlformats.org/officeDocument/2006/relationships/hyperlink" Target="http://force.com" TargetMode="External"/><Relationship Id="rId5595" Type="http://schemas.openxmlformats.org/officeDocument/2006/relationships/hyperlink" Target="http://force.com" TargetMode="External"/><Relationship Id="rId4268" Type="http://schemas.openxmlformats.org/officeDocument/2006/relationships/hyperlink" Target="http://force.com" TargetMode="External"/><Relationship Id="rId4267" Type="http://schemas.openxmlformats.org/officeDocument/2006/relationships/hyperlink" Target="http://force.com" TargetMode="External"/><Relationship Id="rId5598" Type="http://schemas.openxmlformats.org/officeDocument/2006/relationships/hyperlink" Target="http://force.com" TargetMode="External"/><Relationship Id="rId4269" Type="http://schemas.openxmlformats.org/officeDocument/2006/relationships/hyperlink" Target="http://force.com" TargetMode="External"/><Relationship Id="rId5599" Type="http://schemas.openxmlformats.org/officeDocument/2006/relationships/hyperlink" Target="http://force.com" TargetMode="External"/><Relationship Id="rId5581" Type="http://schemas.openxmlformats.org/officeDocument/2006/relationships/hyperlink" Target="http://force.com" TargetMode="External"/><Relationship Id="rId5582" Type="http://schemas.openxmlformats.org/officeDocument/2006/relationships/hyperlink" Target="http://force.com" TargetMode="External"/><Relationship Id="rId4251" Type="http://schemas.openxmlformats.org/officeDocument/2006/relationships/hyperlink" Target="http://force.com" TargetMode="External"/><Relationship Id="rId4250" Type="http://schemas.openxmlformats.org/officeDocument/2006/relationships/hyperlink" Target="http://force.com" TargetMode="External"/><Relationship Id="rId5580" Type="http://schemas.openxmlformats.org/officeDocument/2006/relationships/hyperlink" Target="http://force.com" TargetMode="External"/><Relationship Id="rId4253" Type="http://schemas.openxmlformats.org/officeDocument/2006/relationships/hyperlink" Target="http://force.com" TargetMode="External"/><Relationship Id="rId5585" Type="http://schemas.openxmlformats.org/officeDocument/2006/relationships/hyperlink" Target="http://force.com" TargetMode="External"/><Relationship Id="rId4252" Type="http://schemas.openxmlformats.org/officeDocument/2006/relationships/hyperlink" Target="http://force.com" TargetMode="External"/><Relationship Id="rId5586" Type="http://schemas.openxmlformats.org/officeDocument/2006/relationships/hyperlink" Target="http://force.com" TargetMode="External"/><Relationship Id="rId4255" Type="http://schemas.openxmlformats.org/officeDocument/2006/relationships/hyperlink" Target="http://force.com" TargetMode="External"/><Relationship Id="rId5583" Type="http://schemas.openxmlformats.org/officeDocument/2006/relationships/hyperlink" Target="http://force.com" TargetMode="External"/><Relationship Id="rId4254" Type="http://schemas.openxmlformats.org/officeDocument/2006/relationships/hyperlink" Target="http://force.com" TargetMode="External"/><Relationship Id="rId5584" Type="http://schemas.openxmlformats.org/officeDocument/2006/relationships/hyperlink" Target="http://force.com" TargetMode="External"/><Relationship Id="rId4257" Type="http://schemas.openxmlformats.org/officeDocument/2006/relationships/hyperlink" Target="http://force.com" TargetMode="External"/><Relationship Id="rId5589" Type="http://schemas.openxmlformats.org/officeDocument/2006/relationships/hyperlink" Target="http://force.com" TargetMode="External"/><Relationship Id="rId4256" Type="http://schemas.openxmlformats.org/officeDocument/2006/relationships/hyperlink" Target="http://force.com" TargetMode="External"/><Relationship Id="rId4259" Type="http://schemas.openxmlformats.org/officeDocument/2006/relationships/hyperlink" Target="http://force.com" TargetMode="External"/><Relationship Id="rId5587" Type="http://schemas.openxmlformats.org/officeDocument/2006/relationships/hyperlink" Target="http://force.com" TargetMode="External"/><Relationship Id="rId4258" Type="http://schemas.openxmlformats.org/officeDocument/2006/relationships/hyperlink" Target="http://force.com" TargetMode="External"/><Relationship Id="rId5588" Type="http://schemas.openxmlformats.org/officeDocument/2006/relationships/hyperlink" Target="http://force.com" TargetMode="External"/><Relationship Id="rId6061" Type="http://schemas.openxmlformats.org/officeDocument/2006/relationships/hyperlink" Target="http://force.com" TargetMode="External"/><Relationship Id="rId6062" Type="http://schemas.openxmlformats.org/officeDocument/2006/relationships/hyperlink" Target="http://force.com" TargetMode="External"/><Relationship Id="rId6060" Type="http://schemas.openxmlformats.org/officeDocument/2006/relationships/hyperlink" Target="http://force.com" TargetMode="External"/><Relationship Id="rId6065" Type="http://schemas.openxmlformats.org/officeDocument/2006/relationships/hyperlink" Target="http://force.com" TargetMode="External"/><Relationship Id="rId6066" Type="http://schemas.openxmlformats.org/officeDocument/2006/relationships/hyperlink" Target="http://force.com" TargetMode="External"/><Relationship Id="rId6063" Type="http://schemas.openxmlformats.org/officeDocument/2006/relationships/hyperlink" Target="http://force.com" TargetMode="External"/><Relationship Id="rId6064" Type="http://schemas.openxmlformats.org/officeDocument/2006/relationships/hyperlink" Target="http://force.com" TargetMode="External"/><Relationship Id="rId6069" Type="http://schemas.openxmlformats.org/officeDocument/2006/relationships/hyperlink" Target="http://force.com" TargetMode="External"/><Relationship Id="rId6067" Type="http://schemas.openxmlformats.org/officeDocument/2006/relationships/hyperlink" Target="http://force.com" TargetMode="External"/><Relationship Id="rId6068" Type="http://schemas.openxmlformats.org/officeDocument/2006/relationships/hyperlink" Target="http://force.com" TargetMode="External"/><Relationship Id="rId6050" Type="http://schemas.openxmlformats.org/officeDocument/2006/relationships/hyperlink" Target="http://force.com" TargetMode="External"/><Relationship Id="rId6051" Type="http://schemas.openxmlformats.org/officeDocument/2006/relationships/hyperlink" Target="http://force.com" TargetMode="External"/><Relationship Id="rId6054" Type="http://schemas.openxmlformats.org/officeDocument/2006/relationships/hyperlink" Target="http://force.com" TargetMode="External"/><Relationship Id="rId6055" Type="http://schemas.openxmlformats.org/officeDocument/2006/relationships/hyperlink" Target="http://force.com" TargetMode="External"/><Relationship Id="rId6052" Type="http://schemas.openxmlformats.org/officeDocument/2006/relationships/hyperlink" Target="http://force.com" TargetMode="External"/><Relationship Id="rId6053" Type="http://schemas.openxmlformats.org/officeDocument/2006/relationships/hyperlink" Target="http://force.com" TargetMode="External"/><Relationship Id="rId6058" Type="http://schemas.openxmlformats.org/officeDocument/2006/relationships/hyperlink" Target="http://force.com" TargetMode="External"/><Relationship Id="rId6059" Type="http://schemas.openxmlformats.org/officeDocument/2006/relationships/hyperlink" Target="http://force.com" TargetMode="External"/><Relationship Id="rId6056" Type="http://schemas.openxmlformats.org/officeDocument/2006/relationships/hyperlink" Target="http://force.com" TargetMode="External"/><Relationship Id="rId6057" Type="http://schemas.openxmlformats.org/officeDocument/2006/relationships/hyperlink" Target="http://force.com" TargetMode="External"/><Relationship Id="rId3810" Type="http://schemas.openxmlformats.org/officeDocument/2006/relationships/hyperlink" Target="http://force.com" TargetMode="External"/><Relationship Id="rId3812" Type="http://schemas.openxmlformats.org/officeDocument/2006/relationships/hyperlink" Target="http://force.com" TargetMode="External"/><Relationship Id="rId3811" Type="http://schemas.openxmlformats.org/officeDocument/2006/relationships/hyperlink" Target="http://force.com" TargetMode="External"/><Relationship Id="rId3814" Type="http://schemas.openxmlformats.org/officeDocument/2006/relationships/hyperlink" Target="http://force.com" TargetMode="External"/><Relationship Id="rId3813" Type="http://schemas.openxmlformats.org/officeDocument/2006/relationships/hyperlink" Target="http://force.com" TargetMode="External"/><Relationship Id="rId3816" Type="http://schemas.openxmlformats.org/officeDocument/2006/relationships/hyperlink" Target="http://force.com" TargetMode="External"/><Relationship Id="rId3815" Type="http://schemas.openxmlformats.org/officeDocument/2006/relationships/hyperlink" Target="http://force.com" TargetMode="External"/><Relationship Id="rId3818" Type="http://schemas.openxmlformats.org/officeDocument/2006/relationships/hyperlink" Target="http://force.com" TargetMode="External"/><Relationship Id="rId3817" Type="http://schemas.openxmlformats.org/officeDocument/2006/relationships/hyperlink" Target="http://force.com" TargetMode="External"/><Relationship Id="rId3819" Type="http://schemas.openxmlformats.org/officeDocument/2006/relationships/hyperlink" Target="http://force.com" TargetMode="External"/><Relationship Id="rId6090" Type="http://schemas.openxmlformats.org/officeDocument/2006/relationships/hyperlink" Target="http://force.com" TargetMode="External"/><Relationship Id="rId6091" Type="http://schemas.openxmlformats.org/officeDocument/2006/relationships/hyperlink" Target="http://force.com" TargetMode="External"/><Relationship Id="rId6083" Type="http://schemas.openxmlformats.org/officeDocument/2006/relationships/hyperlink" Target="http://force.com" TargetMode="External"/><Relationship Id="rId6084" Type="http://schemas.openxmlformats.org/officeDocument/2006/relationships/hyperlink" Target="http://force.com" TargetMode="External"/><Relationship Id="rId6081" Type="http://schemas.openxmlformats.org/officeDocument/2006/relationships/hyperlink" Target="http://force.com" TargetMode="External"/><Relationship Id="rId6082" Type="http://schemas.openxmlformats.org/officeDocument/2006/relationships/hyperlink" Target="http://force.com" TargetMode="External"/><Relationship Id="rId6087" Type="http://schemas.openxmlformats.org/officeDocument/2006/relationships/hyperlink" Target="http://force.com" TargetMode="External"/><Relationship Id="rId6088" Type="http://schemas.openxmlformats.org/officeDocument/2006/relationships/hyperlink" Target="http://force.com" TargetMode="External"/><Relationship Id="rId6085" Type="http://schemas.openxmlformats.org/officeDocument/2006/relationships/hyperlink" Target="http://force.com" TargetMode="External"/><Relationship Id="rId6086" Type="http://schemas.openxmlformats.org/officeDocument/2006/relationships/hyperlink" Target="http://force.com" TargetMode="External"/><Relationship Id="rId6089" Type="http://schemas.openxmlformats.org/officeDocument/2006/relationships/hyperlink" Target="http://force.com" TargetMode="External"/><Relationship Id="rId3801" Type="http://schemas.openxmlformats.org/officeDocument/2006/relationships/hyperlink" Target="http://force.com" TargetMode="External"/><Relationship Id="rId3800" Type="http://schemas.openxmlformats.org/officeDocument/2006/relationships/hyperlink" Target="http://force.com" TargetMode="External"/><Relationship Id="rId3803" Type="http://schemas.openxmlformats.org/officeDocument/2006/relationships/hyperlink" Target="http://force.com" TargetMode="External"/><Relationship Id="rId3802" Type="http://schemas.openxmlformats.org/officeDocument/2006/relationships/hyperlink" Target="http://force.com" TargetMode="External"/><Relationship Id="rId3805" Type="http://schemas.openxmlformats.org/officeDocument/2006/relationships/hyperlink" Target="http://force.com" TargetMode="External"/><Relationship Id="rId3804" Type="http://schemas.openxmlformats.org/officeDocument/2006/relationships/hyperlink" Target="http://force.com" TargetMode="External"/><Relationship Id="rId3807" Type="http://schemas.openxmlformats.org/officeDocument/2006/relationships/hyperlink" Target="http://force.com" TargetMode="External"/><Relationship Id="rId3806" Type="http://schemas.openxmlformats.org/officeDocument/2006/relationships/hyperlink" Target="http://force.com" TargetMode="External"/><Relationship Id="rId3809" Type="http://schemas.openxmlformats.org/officeDocument/2006/relationships/hyperlink" Target="http://force.com" TargetMode="External"/><Relationship Id="rId3808" Type="http://schemas.openxmlformats.org/officeDocument/2006/relationships/hyperlink" Target="http://force.com" TargetMode="External"/><Relationship Id="rId6080" Type="http://schemas.openxmlformats.org/officeDocument/2006/relationships/hyperlink" Target="http://force.com" TargetMode="External"/><Relationship Id="rId6072" Type="http://schemas.openxmlformats.org/officeDocument/2006/relationships/hyperlink" Target="http://force.com" TargetMode="External"/><Relationship Id="rId6073" Type="http://schemas.openxmlformats.org/officeDocument/2006/relationships/hyperlink" Target="http://force.com" TargetMode="External"/><Relationship Id="rId6070" Type="http://schemas.openxmlformats.org/officeDocument/2006/relationships/hyperlink" Target="http://force.com" TargetMode="External"/><Relationship Id="rId6071" Type="http://schemas.openxmlformats.org/officeDocument/2006/relationships/hyperlink" Target="http://force.com" TargetMode="External"/><Relationship Id="rId6076" Type="http://schemas.openxmlformats.org/officeDocument/2006/relationships/hyperlink" Target="http://force.com" TargetMode="External"/><Relationship Id="rId6077" Type="http://schemas.openxmlformats.org/officeDocument/2006/relationships/hyperlink" Target="http://force.com" TargetMode="External"/><Relationship Id="rId6074" Type="http://schemas.openxmlformats.org/officeDocument/2006/relationships/hyperlink" Target="http://force.com" TargetMode="External"/><Relationship Id="rId6075" Type="http://schemas.openxmlformats.org/officeDocument/2006/relationships/hyperlink" Target="http://force.com" TargetMode="External"/><Relationship Id="rId6078" Type="http://schemas.openxmlformats.org/officeDocument/2006/relationships/hyperlink" Target="http://force.com" TargetMode="External"/><Relationship Id="rId6079" Type="http://schemas.openxmlformats.org/officeDocument/2006/relationships/hyperlink" Target="http://force.com" TargetMode="External"/><Relationship Id="rId6021" Type="http://schemas.openxmlformats.org/officeDocument/2006/relationships/hyperlink" Target="http://force.com" TargetMode="External"/><Relationship Id="rId6022" Type="http://schemas.openxmlformats.org/officeDocument/2006/relationships/hyperlink" Target="http://force.com" TargetMode="External"/><Relationship Id="rId6020" Type="http://schemas.openxmlformats.org/officeDocument/2006/relationships/hyperlink" Target="http://force.com" TargetMode="External"/><Relationship Id="rId6025" Type="http://schemas.openxmlformats.org/officeDocument/2006/relationships/hyperlink" Target="http://force.com" TargetMode="External"/><Relationship Id="rId6026" Type="http://schemas.openxmlformats.org/officeDocument/2006/relationships/hyperlink" Target="http://force.com" TargetMode="External"/><Relationship Id="rId6023" Type="http://schemas.openxmlformats.org/officeDocument/2006/relationships/hyperlink" Target="http://force.com" TargetMode="External"/><Relationship Id="rId6024" Type="http://schemas.openxmlformats.org/officeDocument/2006/relationships/hyperlink" Target="http://force.com" TargetMode="External"/><Relationship Id="rId6029" Type="http://schemas.openxmlformats.org/officeDocument/2006/relationships/hyperlink" Target="http://force.com" TargetMode="External"/><Relationship Id="rId6027" Type="http://schemas.openxmlformats.org/officeDocument/2006/relationships/hyperlink" Target="http://force.com" TargetMode="External"/><Relationship Id="rId6028" Type="http://schemas.openxmlformats.org/officeDocument/2006/relationships/hyperlink" Target="http://force.com" TargetMode="External"/><Relationship Id="rId6010" Type="http://schemas.openxmlformats.org/officeDocument/2006/relationships/hyperlink" Target="http://force.com" TargetMode="External"/><Relationship Id="rId6011" Type="http://schemas.openxmlformats.org/officeDocument/2006/relationships/hyperlink" Target="http://force.com" TargetMode="External"/><Relationship Id="rId6014" Type="http://schemas.openxmlformats.org/officeDocument/2006/relationships/hyperlink" Target="http://force.com" TargetMode="External"/><Relationship Id="rId6015" Type="http://schemas.openxmlformats.org/officeDocument/2006/relationships/hyperlink" Target="http://force.com" TargetMode="External"/><Relationship Id="rId6012" Type="http://schemas.openxmlformats.org/officeDocument/2006/relationships/hyperlink" Target="http://force.com" TargetMode="External"/><Relationship Id="rId6013" Type="http://schemas.openxmlformats.org/officeDocument/2006/relationships/hyperlink" Target="http://force.com" TargetMode="External"/><Relationship Id="rId6018" Type="http://schemas.openxmlformats.org/officeDocument/2006/relationships/hyperlink" Target="http://force.com" TargetMode="External"/><Relationship Id="rId6019" Type="http://schemas.openxmlformats.org/officeDocument/2006/relationships/hyperlink" Target="http://force.com" TargetMode="External"/><Relationship Id="rId6016" Type="http://schemas.openxmlformats.org/officeDocument/2006/relationships/hyperlink" Target="http://force.com" TargetMode="External"/><Relationship Id="rId6017" Type="http://schemas.openxmlformats.org/officeDocument/2006/relationships/hyperlink" Target="http://force.com" TargetMode="External"/><Relationship Id="rId6040" Type="http://schemas.openxmlformats.org/officeDocument/2006/relationships/hyperlink" Target="http://force.com" TargetMode="External"/><Relationship Id="rId6043" Type="http://schemas.openxmlformats.org/officeDocument/2006/relationships/hyperlink" Target="http://force.com" TargetMode="External"/><Relationship Id="rId6044" Type="http://schemas.openxmlformats.org/officeDocument/2006/relationships/hyperlink" Target="http://force.com" TargetMode="External"/><Relationship Id="rId6041" Type="http://schemas.openxmlformats.org/officeDocument/2006/relationships/hyperlink" Target="http://force.com" TargetMode="External"/><Relationship Id="rId6042" Type="http://schemas.openxmlformats.org/officeDocument/2006/relationships/hyperlink" Target="http://force.com" TargetMode="External"/><Relationship Id="rId6047" Type="http://schemas.openxmlformats.org/officeDocument/2006/relationships/hyperlink" Target="http://force.com" TargetMode="External"/><Relationship Id="rId6048" Type="http://schemas.openxmlformats.org/officeDocument/2006/relationships/hyperlink" Target="http://force.com" TargetMode="External"/><Relationship Id="rId6045" Type="http://schemas.openxmlformats.org/officeDocument/2006/relationships/hyperlink" Target="http://force.com" TargetMode="External"/><Relationship Id="rId6046" Type="http://schemas.openxmlformats.org/officeDocument/2006/relationships/hyperlink" Target="http://force.com" TargetMode="External"/><Relationship Id="rId6049" Type="http://schemas.openxmlformats.org/officeDocument/2006/relationships/hyperlink" Target="http://force.com" TargetMode="External"/><Relationship Id="rId6032" Type="http://schemas.openxmlformats.org/officeDocument/2006/relationships/hyperlink" Target="http://force.com" TargetMode="External"/><Relationship Id="rId6033" Type="http://schemas.openxmlformats.org/officeDocument/2006/relationships/hyperlink" Target="http://force.com" TargetMode="External"/><Relationship Id="rId6030" Type="http://schemas.openxmlformats.org/officeDocument/2006/relationships/hyperlink" Target="http://force.com" TargetMode="External"/><Relationship Id="rId6031" Type="http://schemas.openxmlformats.org/officeDocument/2006/relationships/hyperlink" Target="http://force.com" TargetMode="External"/><Relationship Id="rId6036" Type="http://schemas.openxmlformats.org/officeDocument/2006/relationships/hyperlink" Target="http://force.com" TargetMode="External"/><Relationship Id="rId6037" Type="http://schemas.openxmlformats.org/officeDocument/2006/relationships/hyperlink" Target="http://force.com" TargetMode="External"/><Relationship Id="rId6034" Type="http://schemas.openxmlformats.org/officeDocument/2006/relationships/hyperlink" Target="http://force.com" TargetMode="External"/><Relationship Id="rId6035" Type="http://schemas.openxmlformats.org/officeDocument/2006/relationships/hyperlink" Target="http://force.com" TargetMode="External"/><Relationship Id="rId6038" Type="http://schemas.openxmlformats.org/officeDocument/2006/relationships/hyperlink" Target="http://force.com" TargetMode="External"/><Relationship Id="rId6039" Type="http://schemas.openxmlformats.org/officeDocument/2006/relationships/hyperlink" Target="http://force.com" TargetMode="External"/><Relationship Id="rId1213" Type="http://schemas.openxmlformats.org/officeDocument/2006/relationships/hyperlink" Target="http://force.com" TargetMode="External"/><Relationship Id="rId2544" Type="http://schemas.openxmlformats.org/officeDocument/2006/relationships/hyperlink" Target="http://force.com" TargetMode="External"/><Relationship Id="rId3876" Type="http://schemas.openxmlformats.org/officeDocument/2006/relationships/hyperlink" Target="http://force.com" TargetMode="External"/><Relationship Id="rId1214" Type="http://schemas.openxmlformats.org/officeDocument/2006/relationships/hyperlink" Target="http://force.com" TargetMode="External"/><Relationship Id="rId2545" Type="http://schemas.openxmlformats.org/officeDocument/2006/relationships/hyperlink" Target="http://force.com" TargetMode="External"/><Relationship Id="rId3875" Type="http://schemas.openxmlformats.org/officeDocument/2006/relationships/hyperlink" Target="http://force.com" TargetMode="External"/><Relationship Id="rId1215" Type="http://schemas.openxmlformats.org/officeDocument/2006/relationships/hyperlink" Target="http://force.com" TargetMode="External"/><Relationship Id="rId2546" Type="http://schemas.openxmlformats.org/officeDocument/2006/relationships/hyperlink" Target="http://force.com" TargetMode="External"/><Relationship Id="rId3878" Type="http://schemas.openxmlformats.org/officeDocument/2006/relationships/hyperlink" Target="http://force.com" TargetMode="External"/><Relationship Id="rId1216" Type="http://schemas.openxmlformats.org/officeDocument/2006/relationships/hyperlink" Target="http://force.com" TargetMode="External"/><Relationship Id="rId2547" Type="http://schemas.openxmlformats.org/officeDocument/2006/relationships/hyperlink" Target="http://force.com" TargetMode="External"/><Relationship Id="rId3877" Type="http://schemas.openxmlformats.org/officeDocument/2006/relationships/hyperlink" Target="http://force.com" TargetMode="External"/><Relationship Id="rId1217" Type="http://schemas.openxmlformats.org/officeDocument/2006/relationships/hyperlink" Target="http://force.com" TargetMode="External"/><Relationship Id="rId2548" Type="http://schemas.openxmlformats.org/officeDocument/2006/relationships/hyperlink" Target="http://force.com" TargetMode="External"/><Relationship Id="rId1218" Type="http://schemas.openxmlformats.org/officeDocument/2006/relationships/hyperlink" Target="http://force.com" TargetMode="External"/><Relationship Id="rId2549" Type="http://schemas.openxmlformats.org/officeDocument/2006/relationships/hyperlink" Target="http://force.com" TargetMode="External"/><Relationship Id="rId3879" Type="http://schemas.openxmlformats.org/officeDocument/2006/relationships/hyperlink" Target="http://force.com" TargetMode="External"/><Relationship Id="rId1219" Type="http://schemas.openxmlformats.org/officeDocument/2006/relationships/hyperlink" Target="http://force.com" TargetMode="External"/><Relationship Id="rId3870" Type="http://schemas.openxmlformats.org/officeDocument/2006/relationships/hyperlink" Target="http://force.com" TargetMode="External"/><Relationship Id="rId2540" Type="http://schemas.openxmlformats.org/officeDocument/2006/relationships/hyperlink" Target="http://force.com" TargetMode="External"/><Relationship Id="rId3872" Type="http://schemas.openxmlformats.org/officeDocument/2006/relationships/hyperlink" Target="http://force.com" TargetMode="External"/><Relationship Id="rId1210" Type="http://schemas.openxmlformats.org/officeDocument/2006/relationships/hyperlink" Target="http://force.com" TargetMode="External"/><Relationship Id="rId2541" Type="http://schemas.openxmlformats.org/officeDocument/2006/relationships/hyperlink" Target="http://force.com" TargetMode="External"/><Relationship Id="rId3871" Type="http://schemas.openxmlformats.org/officeDocument/2006/relationships/hyperlink" Target="http://force.com" TargetMode="External"/><Relationship Id="rId1211" Type="http://schemas.openxmlformats.org/officeDocument/2006/relationships/hyperlink" Target="http://force.com" TargetMode="External"/><Relationship Id="rId2542" Type="http://schemas.openxmlformats.org/officeDocument/2006/relationships/hyperlink" Target="http://force.com" TargetMode="External"/><Relationship Id="rId3874" Type="http://schemas.openxmlformats.org/officeDocument/2006/relationships/hyperlink" Target="http://force.com" TargetMode="External"/><Relationship Id="rId1212" Type="http://schemas.openxmlformats.org/officeDocument/2006/relationships/hyperlink" Target="http://force.com" TargetMode="External"/><Relationship Id="rId2543" Type="http://schemas.openxmlformats.org/officeDocument/2006/relationships/hyperlink" Target="http://force.com" TargetMode="External"/><Relationship Id="rId3873" Type="http://schemas.openxmlformats.org/officeDocument/2006/relationships/hyperlink" Target="http://force.com" TargetMode="External"/><Relationship Id="rId1202" Type="http://schemas.openxmlformats.org/officeDocument/2006/relationships/hyperlink" Target="http://force.com" TargetMode="External"/><Relationship Id="rId2533" Type="http://schemas.openxmlformats.org/officeDocument/2006/relationships/hyperlink" Target="http://force.com" TargetMode="External"/><Relationship Id="rId3865" Type="http://schemas.openxmlformats.org/officeDocument/2006/relationships/hyperlink" Target="http://force.com" TargetMode="External"/><Relationship Id="rId1203" Type="http://schemas.openxmlformats.org/officeDocument/2006/relationships/hyperlink" Target="http://force.com" TargetMode="External"/><Relationship Id="rId2534" Type="http://schemas.openxmlformats.org/officeDocument/2006/relationships/hyperlink" Target="http://force.com" TargetMode="External"/><Relationship Id="rId3864" Type="http://schemas.openxmlformats.org/officeDocument/2006/relationships/hyperlink" Target="http://force.com" TargetMode="External"/><Relationship Id="rId1204" Type="http://schemas.openxmlformats.org/officeDocument/2006/relationships/hyperlink" Target="http://force.com" TargetMode="External"/><Relationship Id="rId2535" Type="http://schemas.openxmlformats.org/officeDocument/2006/relationships/hyperlink" Target="http://force.com" TargetMode="External"/><Relationship Id="rId3867" Type="http://schemas.openxmlformats.org/officeDocument/2006/relationships/hyperlink" Target="http://force.com" TargetMode="External"/><Relationship Id="rId1205" Type="http://schemas.openxmlformats.org/officeDocument/2006/relationships/hyperlink" Target="http://force.com" TargetMode="External"/><Relationship Id="rId2536" Type="http://schemas.openxmlformats.org/officeDocument/2006/relationships/hyperlink" Target="http://force.com" TargetMode="External"/><Relationship Id="rId3866" Type="http://schemas.openxmlformats.org/officeDocument/2006/relationships/hyperlink" Target="http://force.com" TargetMode="External"/><Relationship Id="rId1206" Type="http://schemas.openxmlformats.org/officeDocument/2006/relationships/hyperlink" Target="http://force.com" TargetMode="External"/><Relationship Id="rId2537" Type="http://schemas.openxmlformats.org/officeDocument/2006/relationships/hyperlink" Target="http://force.com" TargetMode="External"/><Relationship Id="rId3869" Type="http://schemas.openxmlformats.org/officeDocument/2006/relationships/hyperlink" Target="http://force.com" TargetMode="External"/><Relationship Id="rId1207" Type="http://schemas.openxmlformats.org/officeDocument/2006/relationships/hyperlink" Target="http://force.com" TargetMode="External"/><Relationship Id="rId2538" Type="http://schemas.openxmlformats.org/officeDocument/2006/relationships/hyperlink" Target="http://force.com" TargetMode="External"/><Relationship Id="rId3868" Type="http://schemas.openxmlformats.org/officeDocument/2006/relationships/hyperlink" Target="http://force.com" TargetMode="External"/><Relationship Id="rId1208" Type="http://schemas.openxmlformats.org/officeDocument/2006/relationships/hyperlink" Target="http://force.com" TargetMode="External"/><Relationship Id="rId2539" Type="http://schemas.openxmlformats.org/officeDocument/2006/relationships/hyperlink" Target="http://force.com" TargetMode="External"/><Relationship Id="rId1209" Type="http://schemas.openxmlformats.org/officeDocument/2006/relationships/hyperlink" Target="http://force.com" TargetMode="External"/><Relationship Id="rId3861" Type="http://schemas.openxmlformats.org/officeDocument/2006/relationships/hyperlink" Target="http://force.com" TargetMode="External"/><Relationship Id="rId2530" Type="http://schemas.openxmlformats.org/officeDocument/2006/relationships/hyperlink" Target="http://force.com" TargetMode="External"/><Relationship Id="rId3860" Type="http://schemas.openxmlformats.org/officeDocument/2006/relationships/hyperlink" Target="http://force.com" TargetMode="External"/><Relationship Id="rId1200" Type="http://schemas.openxmlformats.org/officeDocument/2006/relationships/hyperlink" Target="http://force.com" TargetMode="External"/><Relationship Id="rId2531" Type="http://schemas.openxmlformats.org/officeDocument/2006/relationships/hyperlink" Target="http://force.com" TargetMode="External"/><Relationship Id="rId3863" Type="http://schemas.openxmlformats.org/officeDocument/2006/relationships/hyperlink" Target="http://force.com" TargetMode="External"/><Relationship Id="rId1201" Type="http://schemas.openxmlformats.org/officeDocument/2006/relationships/hyperlink" Target="http://force.com" TargetMode="External"/><Relationship Id="rId2532" Type="http://schemas.openxmlformats.org/officeDocument/2006/relationships/hyperlink" Target="http://force.com" TargetMode="External"/><Relationship Id="rId3862" Type="http://schemas.openxmlformats.org/officeDocument/2006/relationships/hyperlink" Target="http://force.com" TargetMode="External"/><Relationship Id="rId1235" Type="http://schemas.openxmlformats.org/officeDocument/2006/relationships/hyperlink" Target="http://force.com" TargetMode="External"/><Relationship Id="rId2566" Type="http://schemas.openxmlformats.org/officeDocument/2006/relationships/hyperlink" Target="http://force.com" TargetMode="External"/><Relationship Id="rId3898" Type="http://schemas.openxmlformats.org/officeDocument/2006/relationships/hyperlink" Target="http://force.com" TargetMode="External"/><Relationship Id="rId1236" Type="http://schemas.openxmlformats.org/officeDocument/2006/relationships/hyperlink" Target="http://force.com" TargetMode="External"/><Relationship Id="rId2567" Type="http://schemas.openxmlformats.org/officeDocument/2006/relationships/hyperlink" Target="http://force.com" TargetMode="External"/><Relationship Id="rId3897" Type="http://schemas.openxmlformats.org/officeDocument/2006/relationships/hyperlink" Target="http://force.com" TargetMode="External"/><Relationship Id="rId1237" Type="http://schemas.openxmlformats.org/officeDocument/2006/relationships/hyperlink" Target="http://force.com" TargetMode="External"/><Relationship Id="rId2568" Type="http://schemas.openxmlformats.org/officeDocument/2006/relationships/hyperlink" Target="http://force.com" TargetMode="External"/><Relationship Id="rId1238" Type="http://schemas.openxmlformats.org/officeDocument/2006/relationships/hyperlink" Target="http://force.com" TargetMode="External"/><Relationship Id="rId2569" Type="http://schemas.openxmlformats.org/officeDocument/2006/relationships/hyperlink" Target="http://force.com" TargetMode="External"/><Relationship Id="rId3899" Type="http://schemas.openxmlformats.org/officeDocument/2006/relationships/hyperlink" Target="http://force.com" TargetMode="External"/><Relationship Id="rId1239" Type="http://schemas.openxmlformats.org/officeDocument/2006/relationships/hyperlink" Target="http://force.com" TargetMode="External"/><Relationship Id="rId409" Type="http://schemas.openxmlformats.org/officeDocument/2006/relationships/hyperlink" Target="http://force.com" TargetMode="External"/><Relationship Id="rId404" Type="http://schemas.openxmlformats.org/officeDocument/2006/relationships/hyperlink" Target="http://force.com" TargetMode="External"/><Relationship Id="rId403" Type="http://schemas.openxmlformats.org/officeDocument/2006/relationships/hyperlink" Target="http://force.com" TargetMode="External"/><Relationship Id="rId402" Type="http://schemas.openxmlformats.org/officeDocument/2006/relationships/hyperlink" Target="http://force.com" TargetMode="External"/><Relationship Id="rId401" Type="http://schemas.openxmlformats.org/officeDocument/2006/relationships/hyperlink" Target="http://force.com" TargetMode="External"/><Relationship Id="rId408" Type="http://schemas.openxmlformats.org/officeDocument/2006/relationships/hyperlink" Target="http://force.com" TargetMode="External"/><Relationship Id="rId407" Type="http://schemas.openxmlformats.org/officeDocument/2006/relationships/hyperlink" Target="http://force.com" TargetMode="External"/><Relationship Id="rId406" Type="http://schemas.openxmlformats.org/officeDocument/2006/relationships/hyperlink" Target="http://force.com" TargetMode="External"/><Relationship Id="rId405" Type="http://schemas.openxmlformats.org/officeDocument/2006/relationships/hyperlink" Target="http://force.com" TargetMode="External"/><Relationship Id="rId3890" Type="http://schemas.openxmlformats.org/officeDocument/2006/relationships/hyperlink" Target="http://force.com" TargetMode="External"/><Relationship Id="rId2560" Type="http://schemas.openxmlformats.org/officeDocument/2006/relationships/hyperlink" Target="http://force.com" TargetMode="External"/><Relationship Id="rId3892" Type="http://schemas.openxmlformats.org/officeDocument/2006/relationships/hyperlink" Target="http://force.com" TargetMode="External"/><Relationship Id="rId1230" Type="http://schemas.openxmlformats.org/officeDocument/2006/relationships/hyperlink" Target="http://force.com" TargetMode="External"/><Relationship Id="rId2561" Type="http://schemas.openxmlformats.org/officeDocument/2006/relationships/hyperlink" Target="http://force.com" TargetMode="External"/><Relationship Id="rId3891" Type="http://schemas.openxmlformats.org/officeDocument/2006/relationships/hyperlink" Target="http://force.com" TargetMode="External"/><Relationship Id="rId400" Type="http://schemas.openxmlformats.org/officeDocument/2006/relationships/hyperlink" Target="http://force.com" TargetMode="External"/><Relationship Id="rId1231" Type="http://schemas.openxmlformats.org/officeDocument/2006/relationships/hyperlink" Target="http://force.com" TargetMode="External"/><Relationship Id="rId2562" Type="http://schemas.openxmlformats.org/officeDocument/2006/relationships/hyperlink" Target="http://force.com" TargetMode="External"/><Relationship Id="rId3894" Type="http://schemas.openxmlformats.org/officeDocument/2006/relationships/hyperlink" Target="http://force.com" TargetMode="External"/><Relationship Id="rId1232" Type="http://schemas.openxmlformats.org/officeDocument/2006/relationships/hyperlink" Target="http://force.com" TargetMode="External"/><Relationship Id="rId2563" Type="http://schemas.openxmlformats.org/officeDocument/2006/relationships/hyperlink" Target="http://force.com" TargetMode="External"/><Relationship Id="rId3893" Type="http://schemas.openxmlformats.org/officeDocument/2006/relationships/hyperlink" Target="http://force.com" TargetMode="External"/><Relationship Id="rId1233" Type="http://schemas.openxmlformats.org/officeDocument/2006/relationships/hyperlink" Target="http://force.com" TargetMode="External"/><Relationship Id="rId2564" Type="http://schemas.openxmlformats.org/officeDocument/2006/relationships/hyperlink" Target="http://force.com" TargetMode="External"/><Relationship Id="rId3896" Type="http://schemas.openxmlformats.org/officeDocument/2006/relationships/hyperlink" Target="http://force.com" TargetMode="External"/><Relationship Id="rId1234" Type="http://schemas.openxmlformats.org/officeDocument/2006/relationships/hyperlink" Target="http://force.com" TargetMode="External"/><Relationship Id="rId2565" Type="http://schemas.openxmlformats.org/officeDocument/2006/relationships/hyperlink" Target="http://force.com" TargetMode="External"/><Relationship Id="rId3895" Type="http://schemas.openxmlformats.org/officeDocument/2006/relationships/hyperlink" Target="http://force.com" TargetMode="External"/><Relationship Id="rId1224" Type="http://schemas.openxmlformats.org/officeDocument/2006/relationships/hyperlink" Target="http://force.com" TargetMode="External"/><Relationship Id="rId2555" Type="http://schemas.openxmlformats.org/officeDocument/2006/relationships/hyperlink" Target="http://force.com" TargetMode="External"/><Relationship Id="rId3887" Type="http://schemas.openxmlformats.org/officeDocument/2006/relationships/hyperlink" Target="http://force.com" TargetMode="External"/><Relationship Id="rId1225" Type="http://schemas.openxmlformats.org/officeDocument/2006/relationships/hyperlink" Target="http://force.com" TargetMode="External"/><Relationship Id="rId2556" Type="http://schemas.openxmlformats.org/officeDocument/2006/relationships/hyperlink" Target="http://force.com" TargetMode="External"/><Relationship Id="rId3886" Type="http://schemas.openxmlformats.org/officeDocument/2006/relationships/hyperlink" Target="http://force.com" TargetMode="External"/><Relationship Id="rId1226" Type="http://schemas.openxmlformats.org/officeDocument/2006/relationships/hyperlink" Target="http://force.com" TargetMode="External"/><Relationship Id="rId2557" Type="http://schemas.openxmlformats.org/officeDocument/2006/relationships/hyperlink" Target="http://force.com" TargetMode="External"/><Relationship Id="rId3889" Type="http://schemas.openxmlformats.org/officeDocument/2006/relationships/hyperlink" Target="http://force.com" TargetMode="External"/><Relationship Id="rId1227" Type="http://schemas.openxmlformats.org/officeDocument/2006/relationships/hyperlink" Target="http://force.com" TargetMode="External"/><Relationship Id="rId2558" Type="http://schemas.openxmlformats.org/officeDocument/2006/relationships/hyperlink" Target="http://force.com" TargetMode="External"/><Relationship Id="rId3888" Type="http://schemas.openxmlformats.org/officeDocument/2006/relationships/hyperlink" Target="http://force.com" TargetMode="External"/><Relationship Id="rId1228" Type="http://schemas.openxmlformats.org/officeDocument/2006/relationships/hyperlink" Target="http://force.com" TargetMode="External"/><Relationship Id="rId2559" Type="http://schemas.openxmlformats.org/officeDocument/2006/relationships/hyperlink" Target="http://force.com" TargetMode="External"/><Relationship Id="rId1229" Type="http://schemas.openxmlformats.org/officeDocument/2006/relationships/hyperlink" Target="http://force.com" TargetMode="External"/><Relationship Id="rId3881" Type="http://schemas.openxmlformats.org/officeDocument/2006/relationships/hyperlink" Target="http://force.com" TargetMode="External"/><Relationship Id="rId2550" Type="http://schemas.openxmlformats.org/officeDocument/2006/relationships/hyperlink" Target="http://force.com" TargetMode="External"/><Relationship Id="rId3880" Type="http://schemas.openxmlformats.org/officeDocument/2006/relationships/hyperlink" Target="http://force.com" TargetMode="External"/><Relationship Id="rId1220" Type="http://schemas.openxmlformats.org/officeDocument/2006/relationships/hyperlink" Target="http://force.com" TargetMode="External"/><Relationship Id="rId2551" Type="http://schemas.openxmlformats.org/officeDocument/2006/relationships/hyperlink" Target="http://force.com" TargetMode="External"/><Relationship Id="rId3883" Type="http://schemas.openxmlformats.org/officeDocument/2006/relationships/hyperlink" Target="http://force.com" TargetMode="External"/><Relationship Id="rId1221" Type="http://schemas.openxmlformats.org/officeDocument/2006/relationships/hyperlink" Target="http://force.com" TargetMode="External"/><Relationship Id="rId2552" Type="http://schemas.openxmlformats.org/officeDocument/2006/relationships/hyperlink" Target="http://force.com" TargetMode="External"/><Relationship Id="rId3882" Type="http://schemas.openxmlformats.org/officeDocument/2006/relationships/hyperlink" Target="http://force.com" TargetMode="External"/><Relationship Id="rId1222" Type="http://schemas.openxmlformats.org/officeDocument/2006/relationships/hyperlink" Target="http://force.com" TargetMode="External"/><Relationship Id="rId2553" Type="http://schemas.openxmlformats.org/officeDocument/2006/relationships/hyperlink" Target="http://force.com" TargetMode="External"/><Relationship Id="rId3885" Type="http://schemas.openxmlformats.org/officeDocument/2006/relationships/hyperlink" Target="http://force.com" TargetMode="External"/><Relationship Id="rId1223" Type="http://schemas.openxmlformats.org/officeDocument/2006/relationships/hyperlink" Target="http://force.com" TargetMode="External"/><Relationship Id="rId2554" Type="http://schemas.openxmlformats.org/officeDocument/2006/relationships/hyperlink" Target="http://force.com" TargetMode="External"/><Relationship Id="rId3884" Type="http://schemas.openxmlformats.org/officeDocument/2006/relationships/hyperlink" Target="http://force.com" TargetMode="External"/><Relationship Id="rId2500" Type="http://schemas.openxmlformats.org/officeDocument/2006/relationships/hyperlink" Target="http://force.com" TargetMode="External"/><Relationship Id="rId3832" Type="http://schemas.openxmlformats.org/officeDocument/2006/relationships/hyperlink" Target="http://force.com" TargetMode="External"/><Relationship Id="rId2501" Type="http://schemas.openxmlformats.org/officeDocument/2006/relationships/hyperlink" Target="http://force.com" TargetMode="External"/><Relationship Id="rId3831" Type="http://schemas.openxmlformats.org/officeDocument/2006/relationships/hyperlink" Target="http://force.com" TargetMode="External"/><Relationship Id="rId2502" Type="http://schemas.openxmlformats.org/officeDocument/2006/relationships/hyperlink" Target="http://force.com" TargetMode="External"/><Relationship Id="rId3834" Type="http://schemas.openxmlformats.org/officeDocument/2006/relationships/hyperlink" Target="http://force.com" TargetMode="External"/><Relationship Id="rId2503" Type="http://schemas.openxmlformats.org/officeDocument/2006/relationships/hyperlink" Target="http://force.com" TargetMode="External"/><Relationship Id="rId3833" Type="http://schemas.openxmlformats.org/officeDocument/2006/relationships/hyperlink" Target="http://force.com" TargetMode="External"/><Relationship Id="rId2504" Type="http://schemas.openxmlformats.org/officeDocument/2006/relationships/hyperlink" Target="http://force.com" TargetMode="External"/><Relationship Id="rId3836" Type="http://schemas.openxmlformats.org/officeDocument/2006/relationships/hyperlink" Target="http://force.com" TargetMode="External"/><Relationship Id="rId2505" Type="http://schemas.openxmlformats.org/officeDocument/2006/relationships/hyperlink" Target="http://force.com" TargetMode="External"/><Relationship Id="rId3835" Type="http://schemas.openxmlformats.org/officeDocument/2006/relationships/hyperlink" Target="http://force.com" TargetMode="External"/><Relationship Id="rId2506" Type="http://schemas.openxmlformats.org/officeDocument/2006/relationships/hyperlink" Target="http://force.com" TargetMode="External"/><Relationship Id="rId3838" Type="http://schemas.openxmlformats.org/officeDocument/2006/relationships/hyperlink" Target="http://force.com" TargetMode="External"/><Relationship Id="rId2507" Type="http://schemas.openxmlformats.org/officeDocument/2006/relationships/hyperlink" Target="http://force.com" TargetMode="External"/><Relationship Id="rId3837" Type="http://schemas.openxmlformats.org/officeDocument/2006/relationships/hyperlink" Target="http://force.com" TargetMode="External"/><Relationship Id="rId2508" Type="http://schemas.openxmlformats.org/officeDocument/2006/relationships/hyperlink" Target="http://force.com" TargetMode="External"/><Relationship Id="rId2509" Type="http://schemas.openxmlformats.org/officeDocument/2006/relationships/hyperlink" Target="http://force.com" TargetMode="External"/><Relationship Id="rId3839" Type="http://schemas.openxmlformats.org/officeDocument/2006/relationships/hyperlink" Target="http://force.com" TargetMode="External"/><Relationship Id="rId3830" Type="http://schemas.openxmlformats.org/officeDocument/2006/relationships/hyperlink" Target="http://force.com" TargetMode="External"/><Relationship Id="rId3821" Type="http://schemas.openxmlformats.org/officeDocument/2006/relationships/hyperlink" Target="http://force.com" TargetMode="External"/><Relationship Id="rId3820" Type="http://schemas.openxmlformats.org/officeDocument/2006/relationships/hyperlink" Target="http://force.com" TargetMode="External"/><Relationship Id="rId3823" Type="http://schemas.openxmlformats.org/officeDocument/2006/relationships/hyperlink" Target="http://force.com" TargetMode="External"/><Relationship Id="rId3822" Type="http://schemas.openxmlformats.org/officeDocument/2006/relationships/hyperlink" Target="http://force.com" TargetMode="External"/><Relationship Id="rId3825" Type="http://schemas.openxmlformats.org/officeDocument/2006/relationships/hyperlink" Target="http://force.com" TargetMode="External"/><Relationship Id="rId3824" Type="http://schemas.openxmlformats.org/officeDocument/2006/relationships/hyperlink" Target="http://force.com" TargetMode="External"/><Relationship Id="rId3827" Type="http://schemas.openxmlformats.org/officeDocument/2006/relationships/hyperlink" Target="http://force.com" TargetMode="External"/><Relationship Id="rId3826" Type="http://schemas.openxmlformats.org/officeDocument/2006/relationships/hyperlink" Target="http://force.com" TargetMode="External"/><Relationship Id="rId3829" Type="http://schemas.openxmlformats.org/officeDocument/2006/relationships/hyperlink" Target="http://force.com" TargetMode="External"/><Relationship Id="rId3828" Type="http://schemas.openxmlformats.org/officeDocument/2006/relationships/hyperlink" Target="http://force.com" TargetMode="External"/><Relationship Id="rId6094" Type="http://schemas.openxmlformats.org/officeDocument/2006/relationships/hyperlink" Target="http://force.com" TargetMode="External"/><Relationship Id="rId6095" Type="http://schemas.openxmlformats.org/officeDocument/2006/relationships/hyperlink" Target="http://force.com" TargetMode="External"/><Relationship Id="rId6092" Type="http://schemas.openxmlformats.org/officeDocument/2006/relationships/hyperlink" Target="http://force.com" TargetMode="External"/><Relationship Id="rId6093" Type="http://schemas.openxmlformats.org/officeDocument/2006/relationships/hyperlink" Target="http://force.com" TargetMode="External"/><Relationship Id="rId6098" Type="http://schemas.openxmlformats.org/officeDocument/2006/relationships/hyperlink" Target="http://force.com" TargetMode="External"/><Relationship Id="rId6099" Type="http://schemas.openxmlformats.org/officeDocument/2006/relationships/hyperlink" Target="http://force.com" TargetMode="External"/><Relationship Id="rId6096" Type="http://schemas.openxmlformats.org/officeDocument/2006/relationships/hyperlink" Target="http://force.com" TargetMode="External"/><Relationship Id="rId6097" Type="http://schemas.openxmlformats.org/officeDocument/2006/relationships/hyperlink" Target="http://force.com" TargetMode="External"/><Relationship Id="rId2522" Type="http://schemas.openxmlformats.org/officeDocument/2006/relationships/hyperlink" Target="http://force.com" TargetMode="External"/><Relationship Id="rId3854" Type="http://schemas.openxmlformats.org/officeDocument/2006/relationships/hyperlink" Target="http://force.com" TargetMode="External"/><Relationship Id="rId2523" Type="http://schemas.openxmlformats.org/officeDocument/2006/relationships/hyperlink" Target="http://force.com" TargetMode="External"/><Relationship Id="rId3853" Type="http://schemas.openxmlformats.org/officeDocument/2006/relationships/hyperlink" Target="http://force.com" TargetMode="External"/><Relationship Id="rId2524" Type="http://schemas.openxmlformats.org/officeDocument/2006/relationships/hyperlink" Target="http://force.com" TargetMode="External"/><Relationship Id="rId3856" Type="http://schemas.openxmlformats.org/officeDocument/2006/relationships/hyperlink" Target="http://force.com" TargetMode="External"/><Relationship Id="rId2525" Type="http://schemas.openxmlformats.org/officeDocument/2006/relationships/hyperlink" Target="http://force.com" TargetMode="External"/><Relationship Id="rId3855" Type="http://schemas.openxmlformats.org/officeDocument/2006/relationships/hyperlink" Target="http://force.com" TargetMode="External"/><Relationship Id="rId2526" Type="http://schemas.openxmlformats.org/officeDocument/2006/relationships/hyperlink" Target="http://force.com" TargetMode="External"/><Relationship Id="rId3858" Type="http://schemas.openxmlformats.org/officeDocument/2006/relationships/hyperlink" Target="http://force.com" TargetMode="External"/><Relationship Id="rId2527" Type="http://schemas.openxmlformats.org/officeDocument/2006/relationships/hyperlink" Target="http://force.com" TargetMode="External"/><Relationship Id="rId3857" Type="http://schemas.openxmlformats.org/officeDocument/2006/relationships/hyperlink" Target="http://force.com" TargetMode="External"/><Relationship Id="rId2528" Type="http://schemas.openxmlformats.org/officeDocument/2006/relationships/hyperlink" Target="http://force.com" TargetMode="External"/><Relationship Id="rId2529" Type="http://schemas.openxmlformats.org/officeDocument/2006/relationships/hyperlink" Target="http://force.com" TargetMode="External"/><Relationship Id="rId3859" Type="http://schemas.openxmlformats.org/officeDocument/2006/relationships/hyperlink" Target="http://force.com" TargetMode="External"/><Relationship Id="rId3850" Type="http://schemas.openxmlformats.org/officeDocument/2006/relationships/hyperlink" Target="http://force.com" TargetMode="External"/><Relationship Id="rId2520" Type="http://schemas.openxmlformats.org/officeDocument/2006/relationships/hyperlink" Target="http://force.com" TargetMode="External"/><Relationship Id="rId3852" Type="http://schemas.openxmlformats.org/officeDocument/2006/relationships/hyperlink" Target="http://force.com" TargetMode="External"/><Relationship Id="rId2521" Type="http://schemas.openxmlformats.org/officeDocument/2006/relationships/hyperlink" Target="http://force.com" TargetMode="External"/><Relationship Id="rId3851" Type="http://schemas.openxmlformats.org/officeDocument/2006/relationships/hyperlink" Target="http://force.com" TargetMode="External"/><Relationship Id="rId2511" Type="http://schemas.openxmlformats.org/officeDocument/2006/relationships/hyperlink" Target="http://force.com" TargetMode="External"/><Relationship Id="rId3843" Type="http://schemas.openxmlformats.org/officeDocument/2006/relationships/hyperlink" Target="http://force.com" TargetMode="External"/><Relationship Id="rId2512" Type="http://schemas.openxmlformats.org/officeDocument/2006/relationships/hyperlink" Target="http://force.com" TargetMode="External"/><Relationship Id="rId3842" Type="http://schemas.openxmlformats.org/officeDocument/2006/relationships/hyperlink" Target="http://force.com" TargetMode="External"/><Relationship Id="rId2513" Type="http://schemas.openxmlformats.org/officeDocument/2006/relationships/hyperlink" Target="http://force.com" TargetMode="External"/><Relationship Id="rId3845" Type="http://schemas.openxmlformats.org/officeDocument/2006/relationships/hyperlink" Target="http://force.com" TargetMode="External"/><Relationship Id="rId2514" Type="http://schemas.openxmlformats.org/officeDocument/2006/relationships/hyperlink" Target="http://force.com" TargetMode="External"/><Relationship Id="rId3844" Type="http://schemas.openxmlformats.org/officeDocument/2006/relationships/hyperlink" Target="http://force.com" TargetMode="External"/><Relationship Id="rId2515" Type="http://schemas.openxmlformats.org/officeDocument/2006/relationships/hyperlink" Target="http://force.com" TargetMode="External"/><Relationship Id="rId3847" Type="http://schemas.openxmlformats.org/officeDocument/2006/relationships/hyperlink" Target="http://force.com" TargetMode="External"/><Relationship Id="rId2516" Type="http://schemas.openxmlformats.org/officeDocument/2006/relationships/hyperlink" Target="http://force.com" TargetMode="External"/><Relationship Id="rId3846" Type="http://schemas.openxmlformats.org/officeDocument/2006/relationships/hyperlink" Target="http://force.com" TargetMode="External"/><Relationship Id="rId2517" Type="http://schemas.openxmlformats.org/officeDocument/2006/relationships/hyperlink" Target="http://force.com" TargetMode="External"/><Relationship Id="rId3849" Type="http://schemas.openxmlformats.org/officeDocument/2006/relationships/hyperlink" Target="http://force.com" TargetMode="External"/><Relationship Id="rId2518" Type="http://schemas.openxmlformats.org/officeDocument/2006/relationships/hyperlink" Target="http://force.com" TargetMode="External"/><Relationship Id="rId3848" Type="http://schemas.openxmlformats.org/officeDocument/2006/relationships/hyperlink" Target="http://force.com" TargetMode="External"/><Relationship Id="rId2519" Type="http://schemas.openxmlformats.org/officeDocument/2006/relationships/hyperlink" Target="http://force.com" TargetMode="External"/><Relationship Id="rId3841" Type="http://schemas.openxmlformats.org/officeDocument/2006/relationships/hyperlink" Target="http://force.com" TargetMode="External"/><Relationship Id="rId2510" Type="http://schemas.openxmlformats.org/officeDocument/2006/relationships/hyperlink" Target="http://force.com" TargetMode="External"/><Relationship Id="rId3840" Type="http://schemas.openxmlformats.org/officeDocument/2006/relationships/hyperlink" Target="http://force.com" TargetMode="External"/><Relationship Id="rId4327" Type="http://schemas.openxmlformats.org/officeDocument/2006/relationships/hyperlink" Target="http://force.com" TargetMode="External"/><Relationship Id="rId5659" Type="http://schemas.openxmlformats.org/officeDocument/2006/relationships/hyperlink" Target="http://force.com" TargetMode="External"/><Relationship Id="rId4326" Type="http://schemas.openxmlformats.org/officeDocument/2006/relationships/hyperlink" Target="http://force.com" TargetMode="External"/><Relationship Id="rId4329" Type="http://schemas.openxmlformats.org/officeDocument/2006/relationships/hyperlink" Target="http://force.com" TargetMode="External"/><Relationship Id="rId5657" Type="http://schemas.openxmlformats.org/officeDocument/2006/relationships/hyperlink" Target="http://force.com" TargetMode="External"/><Relationship Id="rId4328" Type="http://schemas.openxmlformats.org/officeDocument/2006/relationships/hyperlink" Target="http://force.com" TargetMode="External"/><Relationship Id="rId5658" Type="http://schemas.openxmlformats.org/officeDocument/2006/relationships/hyperlink" Target="http://force.com" TargetMode="External"/><Relationship Id="rId469" Type="http://schemas.openxmlformats.org/officeDocument/2006/relationships/hyperlink" Target="http://force.com" TargetMode="External"/><Relationship Id="rId468" Type="http://schemas.openxmlformats.org/officeDocument/2006/relationships/hyperlink" Target="http://force.com" TargetMode="External"/><Relationship Id="rId467" Type="http://schemas.openxmlformats.org/officeDocument/2006/relationships/hyperlink" Target="http://force.com" TargetMode="External"/><Relationship Id="rId1290" Type="http://schemas.openxmlformats.org/officeDocument/2006/relationships/hyperlink" Target="http://force.com" TargetMode="External"/><Relationship Id="rId1291" Type="http://schemas.openxmlformats.org/officeDocument/2006/relationships/hyperlink" Target="http://force.com" TargetMode="External"/><Relationship Id="rId1292" Type="http://schemas.openxmlformats.org/officeDocument/2006/relationships/hyperlink" Target="http://force.com" TargetMode="External"/><Relationship Id="rId462" Type="http://schemas.openxmlformats.org/officeDocument/2006/relationships/hyperlink" Target="http://force.com" TargetMode="External"/><Relationship Id="rId1293" Type="http://schemas.openxmlformats.org/officeDocument/2006/relationships/hyperlink" Target="http://force.com" TargetMode="External"/><Relationship Id="rId5651" Type="http://schemas.openxmlformats.org/officeDocument/2006/relationships/hyperlink" Target="http://force.com" TargetMode="External"/><Relationship Id="rId461" Type="http://schemas.openxmlformats.org/officeDocument/2006/relationships/hyperlink" Target="http://force.com" TargetMode="External"/><Relationship Id="rId1294" Type="http://schemas.openxmlformats.org/officeDocument/2006/relationships/hyperlink" Target="http://force.com" TargetMode="External"/><Relationship Id="rId5652" Type="http://schemas.openxmlformats.org/officeDocument/2006/relationships/hyperlink" Target="http://force.com" TargetMode="External"/><Relationship Id="rId460" Type="http://schemas.openxmlformats.org/officeDocument/2006/relationships/hyperlink" Target="http://force.com" TargetMode="External"/><Relationship Id="rId1295" Type="http://schemas.openxmlformats.org/officeDocument/2006/relationships/hyperlink" Target="http://force.com" TargetMode="External"/><Relationship Id="rId4321" Type="http://schemas.openxmlformats.org/officeDocument/2006/relationships/hyperlink" Target="http://force.com" TargetMode="External"/><Relationship Id="rId1296" Type="http://schemas.openxmlformats.org/officeDocument/2006/relationships/hyperlink" Target="http://force.com" TargetMode="External"/><Relationship Id="rId4320" Type="http://schemas.openxmlformats.org/officeDocument/2006/relationships/hyperlink" Target="http://force.com" TargetMode="External"/><Relationship Id="rId5650" Type="http://schemas.openxmlformats.org/officeDocument/2006/relationships/hyperlink" Target="http://force.com" TargetMode="External"/><Relationship Id="rId466" Type="http://schemas.openxmlformats.org/officeDocument/2006/relationships/hyperlink" Target="http://force.com" TargetMode="External"/><Relationship Id="rId1297" Type="http://schemas.openxmlformats.org/officeDocument/2006/relationships/hyperlink" Target="http://force.com" TargetMode="External"/><Relationship Id="rId4323" Type="http://schemas.openxmlformats.org/officeDocument/2006/relationships/hyperlink" Target="http://force.com" TargetMode="External"/><Relationship Id="rId5655" Type="http://schemas.openxmlformats.org/officeDocument/2006/relationships/hyperlink" Target="http://force.com" TargetMode="External"/><Relationship Id="rId465" Type="http://schemas.openxmlformats.org/officeDocument/2006/relationships/hyperlink" Target="http://force.com" TargetMode="External"/><Relationship Id="rId1298" Type="http://schemas.openxmlformats.org/officeDocument/2006/relationships/hyperlink" Target="http://force.com" TargetMode="External"/><Relationship Id="rId4322" Type="http://schemas.openxmlformats.org/officeDocument/2006/relationships/hyperlink" Target="http://force.com" TargetMode="External"/><Relationship Id="rId5656" Type="http://schemas.openxmlformats.org/officeDocument/2006/relationships/hyperlink" Target="http://force.com" TargetMode="External"/><Relationship Id="rId464" Type="http://schemas.openxmlformats.org/officeDocument/2006/relationships/hyperlink" Target="http://force.com" TargetMode="External"/><Relationship Id="rId1299" Type="http://schemas.openxmlformats.org/officeDocument/2006/relationships/hyperlink" Target="http://force.com" TargetMode="External"/><Relationship Id="rId4325" Type="http://schemas.openxmlformats.org/officeDocument/2006/relationships/hyperlink" Target="http://force.com" TargetMode="External"/><Relationship Id="rId5653" Type="http://schemas.openxmlformats.org/officeDocument/2006/relationships/hyperlink" Target="http://force.com" TargetMode="External"/><Relationship Id="rId463" Type="http://schemas.openxmlformats.org/officeDocument/2006/relationships/hyperlink" Target="http://force.com" TargetMode="External"/><Relationship Id="rId4324" Type="http://schemas.openxmlformats.org/officeDocument/2006/relationships/hyperlink" Target="http://force.com" TargetMode="External"/><Relationship Id="rId5654" Type="http://schemas.openxmlformats.org/officeDocument/2006/relationships/hyperlink" Target="http://force.com" TargetMode="External"/><Relationship Id="rId4316" Type="http://schemas.openxmlformats.org/officeDocument/2006/relationships/hyperlink" Target="http://force.com" TargetMode="External"/><Relationship Id="rId5648" Type="http://schemas.openxmlformats.org/officeDocument/2006/relationships/hyperlink" Target="http://force.com" TargetMode="External"/><Relationship Id="rId4315" Type="http://schemas.openxmlformats.org/officeDocument/2006/relationships/hyperlink" Target="http://force.com" TargetMode="External"/><Relationship Id="rId5649" Type="http://schemas.openxmlformats.org/officeDocument/2006/relationships/hyperlink" Target="http://force.com" TargetMode="External"/><Relationship Id="rId4318" Type="http://schemas.openxmlformats.org/officeDocument/2006/relationships/hyperlink" Target="http://force.com" TargetMode="External"/><Relationship Id="rId5646" Type="http://schemas.openxmlformats.org/officeDocument/2006/relationships/hyperlink" Target="http://force.com" TargetMode="External"/><Relationship Id="rId4317" Type="http://schemas.openxmlformats.org/officeDocument/2006/relationships/hyperlink" Target="http://force.com" TargetMode="External"/><Relationship Id="rId5647" Type="http://schemas.openxmlformats.org/officeDocument/2006/relationships/hyperlink" Target="http://force.com" TargetMode="External"/><Relationship Id="rId4319" Type="http://schemas.openxmlformats.org/officeDocument/2006/relationships/hyperlink" Target="http://force.com" TargetMode="External"/><Relationship Id="rId459" Type="http://schemas.openxmlformats.org/officeDocument/2006/relationships/hyperlink" Target="http://force.com" TargetMode="External"/><Relationship Id="rId458" Type="http://schemas.openxmlformats.org/officeDocument/2006/relationships/hyperlink" Target="http://force.com" TargetMode="External"/><Relationship Id="rId457" Type="http://schemas.openxmlformats.org/officeDocument/2006/relationships/hyperlink" Target="http://force.com" TargetMode="External"/><Relationship Id="rId456" Type="http://schemas.openxmlformats.org/officeDocument/2006/relationships/hyperlink" Target="http://force.com" TargetMode="External"/><Relationship Id="rId1280" Type="http://schemas.openxmlformats.org/officeDocument/2006/relationships/hyperlink" Target="http://force.com" TargetMode="External"/><Relationship Id="rId1281" Type="http://schemas.openxmlformats.org/officeDocument/2006/relationships/hyperlink" Target="http://force.com" TargetMode="External"/><Relationship Id="rId451" Type="http://schemas.openxmlformats.org/officeDocument/2006/relationships/hyperlink" Target="http://force.com" TargetMode="External"/><Relationship Id="rId1282" Type="http://schemas.openxmlformats.org/officeDocument/2006/relationships/hyperlink" Target="http://force.com" TargetMode="External"/><Relationship Id="rId5640" Type="http://schemas.openxmlformats.org/officeDocument/2006/relationships/hyperlink" Target="http://force.com" TargetMode="External"/><Relationship Id="rId450" Type="http://schemas.openxmlformats.org/officeDocument/2006/relationships/hyperlink" Target="http://force.com" TargetMode="External"/><Relationship Id="rId1283" Type="http://schemas.openxmlformats.org/officeDocument/2006/relationships/hyperlink" Target="http://force.com" TargetMode="External"/><Relationship Id="rId5641" Type="http://schemas.openxmlformats.org/officeDocument/2006/relationships/hyperlink" Target="http://force.com" TargetMode="External"/><Relationship Id="rId1284" Type="http://schemas.openxmlformats.org/officeDocument/2006/relationships/hyperlink" Target="http://force.com" TargetMode="External"/><Relationship Id="rId4310" Type="http://schemas.openxmlformats.org/officeDocument/2006/relationships/hyperlink" Target="http://force.com" TargetMode="External"/><Relationship Id="rId1285" Type="http://schemas.openxmlformats.org/officeDocument/2006/relationships/hyperlink" Target="http://force.com" TargetMode="External"/><Relationship Id="rId455" Type="http://schemas.openxmlformats.org/officeDocument/2006/relationships/hyperlink" Target="http://force.com" TargetMode="External"/><Relationship Id="rId1286" Type="http://schemas.openxmlformats.org/officeDocument/2006/relationships/hyperlink" Target="http://force.com" TargetMode="External"/><Relationship Id="rId4312" Type="http://schemas.openxmlformats.org/officeDocument/2006/relationships/hyperlink" Target="http://force.com" TargetMode="External"/><Relationship Id="rId5644" Type="http://schemas.openxmlformats.org/officeDocument/2006/relationships/hyperlink" Target="http://force.com" TargetMode="External"/><Relationship Id="rId454" Type="http://schemas.openxmlformats.org/officeDocument/2006/relationships/hyperlink" Target="http://force.com" TargetMode="External"/><Relationship Id="rId1287" Type="http://schemas.openxmlformats.org/officeDocument/2006/relationships/hyperlink" Target="http://force.com" TargetMode="External"/><Relationship Id="rId4311" Type="http://schemas.openxmlformats.org/officeDocument/2006/relationships/hyperlink" Target="http://force.com" TargetMode="External"/><Relationship Id="rId5645" Type="http://schemas.openxmlformats.org/officeDocument/2006/relationships/hyperlink" Target="http://force.com" TargetMode="External"/><Relationship Id="rId453" Type="http://schemas.openxmlformats.org/officeDocument/2006/relationships/hyperlink" Target="http://force.com" TargetMode="External"/><Relationship Id="rId1288" Type="http://schemas.openxmlformats.org/officeDocument/2006/relationships/hyperlink" Target="http://force.com" TargetMode="External"/><Relationship Id="rId4314" Type="http://schemas.openxmlformats.org/officeDocument/2006/relationships/hyperlink" Target="http://force.com" TargetMode="External"/><Relationship Id="rId5642" Type="http://schemas.openxmlformats.org/officeDocument/2006/relationships/hyperlink" Target="http://force.com" TargetMode="External"/><Relationship Id="rId452" Type="http://schemas.openxmlformats.org/officeDocument/2006/relationships/hyperlink" Target="http://force.com" TargetMode="External"/><Relationship Id="rId1289" Type="http://schemas.openxmlformats.org/officeDocument/2006/relationships/hyperlink" Target="http://force.com" TargetMode="External"/><Relationship Id="rId4313" Type="http://schemas.openxmlformats.org/officeDocument/2006/relationships/hyperlink" Target="http://force.com" TargetMode="External"/><Relationship Id="rId5643" Type="http://schemas.openxmlformats.org/officeDocument/2006/relationships/hyperlink" Target="http://force.com" TargetMode="External"/><Relationship Id="rId3018" Type="http://schemas.openxmlformats.org/officeDocument/2006/relationships/hyperlink" Target="http://force.com" TargetMode="External"/><Relationship Id="rId4349" Type="http://schemas.openxmlformats.org/officeDocument/2006/relationships/hyperlink" Target="http://force.com" TargetMode="External"/><Relationship Id="rId3017" Type="http://schemas.openxmlformats.org/officeDocument/2006/relationships/hyperlink" Target="http://force.com" TargetMode="External"/><Relationship Id="rId4348" Type="http://schemas.openxmlformats.org/officeDocument/2006/relationships/hyperlink" Target="http://force.com" TargetMode="External"/><Relationship Id="rId5679" Type="http://schemas.openxmlformats.org/officeDocument/2006/relationships/hyperlink" Target="http://force.com" TargetMode="External"/><Relationship Id="rId3019" Type="http://schemas.openxmlformats.org/officeDocument/2006/relationships/hyperlink" Target="http://force.com" TargetMode="External"/><Relationship Id="rId491" Type="http://schemas.openxmlformats.org/officeDocument/2006/relationships/hyperlink" Target="http://force.com" TargetMode="External"/><Relationship Id="rId490" Type="http://schemas.openxmlformats.org/officeDocument/2006/relationships/hyperlink" Target="http://force.com" TargetMode="External"/><Relationship Id="rId489" Type="http://schemas.openxmlformats.org/officeDocument/2006/relationships/hyperlink" Target="http://force.com" TargetMode="External"/><Relationship Id="rId5670" Type="http://schemas.openxmlformats.org/officeDocument/2006/relationships/hyperlink" Target="http://force.com" TargetMode="External"/><Relationship Id="rId484" Type="http://schemas.openxmlformats.org/officeDocument/2006/relationships/hyperlink" Target="http://force.com" TargetMode="External"/><Relationship Id="rId3010" Type="http://schemas.openxmlformats.org/officeDocument/2006/relationships/hyperlink" Target="http://force.com" TargetMode="External"/><Relationship Id="rId4341" Type="http://schemas.openxmlformats.org/officeDocument/2006/relationships/hyperlink" Target="http://force.com" TargetMode="External"/><Relationship Id="rId5673" Type="http://schemas.openxmlformats.org/officeDocument/2006/relationships/hyperlink" Target="http://force.com" TargetMode="External"/><Relationship Id="rId483" Type="http://schemas.openxmlformats.org/officeDocument/2006/relationships/hyperlink" Target="http://force.com" TargetMode="External"/><Relationship Id="rId4340" Type="http://schemas.openxmlformats.org/officeDocument/2006/relationships/hyperlink" Target="http://force.com" TargetMode="External"/><Relationship Id="rId5674" Type="http://schemas.openxmlformats.org/officeDocument/2006/relationships/hyperlink" Target="http://force.com" TargetMode="External"/><Relationship Id="rId482" Type="http://schemas.openxmlformats.org/officeDocument/2006/relationships/hyperlink" Target="http://force.com" TargetMode="External"/><Relationship Id="rId3012" Type="http://schemas.openxmlformats.org/officeDocument/2006/relationships/hyperlink" Target="http://force.com" TargetMode="External"/><Relationship Id="rId4343" Type="http://schemas.openxmlformats.org/officeDocument/2006/relationships/hyperlink" Target="http://force.com" TargetMode="External"/><Relationship Id="rId5671" Type="http://schemas.openxmlformats.org/officeDocument/2006/relationships/hyperlink" Target="http://force.com" TargetMode="External"/><Relationship Id="rId481" Type="http://schemas.openxmlformats.org/officeDocument/2006/relationships/hyperlink" Target="http://force.com" TargetMode="External"/><Relationship Id="rId3011" Type="http://schemas.openxmlformats.org/officeDocument/2006/relationships/hyperlink" Target="http://force.com" TargetMode="External"/><Relationship Id="rId4342" Type="http://schemas.openxmlformats.org/officeDocument/2006/relationships/hyperlink" Target="http://force.com" TargetMode="External"/><Relationship Id="rId5672" Type="http://schemas.openxmlformats.org/officeDocument/2006/relationships/hyperlink" Target="http://force.com" TargetMode="External"/><Relationship Id="rId488" Type="http://schemas.openxmlformats.org/officeDocument/2006/relationships/hyperlink" Target="http://force.com" TargetMode="External"/><Relationship Id="rId3014" Type="http://schemas.openxmlformats.org/officeDocument/2006/relationships/hyperlink" Target="http://force.com" TargetMode="External"/><Relationship Id="rId4345" Type="http://schemas.openxmlformats.org/officeDocument/2006/relationships/hyperlink" Target="http://force.com" TargetMode="External"/><Relationship Id="rId5677" Type="http://schemas.openxmlformats.org/officeDocument/2006/relationships/hyperlink" Target="http://force.com" TargetMode="External"/><Relationship Id="rId487" Type="http://schemas.openxmlformats.org/officeDocument/2006/relationships/hyperlink" Target="http://force.com" TargetMode="External"/><Relationship Id="rId3013" Type="http://schemas.openxmlformats.org/officeDocument/2006/relationships/hyperlink" Target="http://force.com" TargetMode="External"/><Relationship Id="rId4344" Type="http://schemas.openxmlformats.org/officeDocument/2006/relationships/hyperlink" Target="http://force.com" TargetMode="External"/><Relationship Id="rId5678" Type="http://schemas.openxmlformats.org/officeDocument/2006/relationships/hyperlink" Target="http://force.com" TargetMode="External"/><Relationship Id="rId486" Type="http://schemas.openxmlformats.org/officeDocument/2006/relationships/hyperlink" Target="http://force.com" TargetMode="External"/><Relationship Id="rId3016" Type="http://schemas.openxmlformats.org/officeDocument/2006/relationships/hyperlink" Target="http://force.com" TargetMode="External"/><Relationship Id="rId4347" Type="http://schemas.openxmlformats.org/officeDocument/2006/relationships/hyperlink" Target="http://force.com" TargetMode="External"/><Relationship Id="rId5675" Type="http://schemas.openxmlformats.org/officeDocument/2006/relationships/hyperlink" Target="http://force.com" TargetMode="External"/><Relationship Id="rId485" Type="http://schemas.openxmlformats.org/officeDocument/2006/relationships/hyperlink" Target="http://force.com" TargetMode="External"/><Relationship Id="rId3015" Type="http://schemas.openxmlformats.org/officeDocument/2006/relationships/hyperlink" Target="http://force.com" TargetMode="External"/><Relationship Id="rId4346" Type="http://schemas.openxmlformats.org/officeDocument/2006/relationships/hyperlink" Target="http://force.com" TargetMode="External"/><Relationship Id="rId5676" Type="http://schemas.openxmlformats.org/officeDocument/2006/relationships/hyperlink" Target="http://force.com" TargetMode="External"/><Relationship Id="rId3007" Type="http://schemas.openxmlformats.org/officeDocument/2006/relationships/hyperlink" Target="http://force.com" TargetMode="External"/><Relationship Id="rId4338" Type="http://schemas.openxmlformats.org/officeDocument/2006/relationships/hyperlink" Target="http://force.com" TargetMode="External"/><Relationship Id="rId3006" Type="http://schemas.openxmlformats.org/officeDocument/2006/relationships/hyperlink" Target="http://force.com" TargetMode="External"/><Relationship Id="rId4337" Type="http://schemas.openxmlformats.org/officeDocument/2006/relationships/hyperlink" Target="http://force.com" TargetMode="External"/><Relationship Id="rId3009" Type="http://schemas.openxmlformats.org/officeDocument/2006/relationships/hyperlink" Target="http://force.com" TargetMode="External"/><Relationship Id="rId5668" Type="http://schemas.openxmlformats.org/officeDocument/2006/relationships/hyperlink" Target="http://force.com" TargetMode="External"/><Relationship Id="rId3008" Type="http://schemas.openxmlformats.org/officeDocument/2006/relationships/hyperlink" Target="http://force.com" TargetMode="External"/><Relationship Id="rId4339" Type="http://schemas.openxmlformats.org/officeDocument/2006/relationships/hyperlink" Target="http://force.com" TargetMode="External"/><Relationship Id="rId5669" Type="http://schemas.openxmlformats.org/officeDocument/2006/relationships/hyperlink" Target="http://force.com" TargetMode="External"/><Relationship Id="rId480" Type="http://schemas.openxmlformats.org/officeDocument/2006/relationships/hyperlink" Target="http://force.com" TargetMode="External"/><Relationship Id="rId479" Type="http://schemas.openxmlformats.org/officeDocument/2006/relationships/hyperlink" Target="http://force.com" TargetMode="External"/><Relationship Id="rId478" Type="http://schemas.openxmlformats.org/officeDocument/2006/relationships/hyperlink" Target="http://force.com" TargetMode="External"/><Relationship Id="rId473" Type="http://schemas.openxmlformats.org/officeDocument/2006/relationships/hyperlink" Target="http://force.com" TargetMode="External"/><Relationship Id="rId4330" Type="http://schemas.openxmlformats.org/officeDocument/2006/relationships/hyperlink" Target="http://force.com" TargetMode="External"/><Relationship Id="rId5662" Type="http://schemas.openxmlformats.org/officeDocument/2006/relationships/hyperlink" Target="http://force.com" TargetMode="External"/><Relationship Id="rId472" Type="http://schemas.openxmlformats.org/officeDocument/2006/relationships/hyperlink" Target="http://force.com" TargetMode="External"/><Relationship Id="rId5663" Type="http://schemas.openxmlformats.org/officeDocument/2006/relationships/hyperlink" Target="http://force.com" TargetMode="External"/><Relationship Id="rId471" Type="http://schemas.openxmlformats.org/officeDocument/2006/relationships/hyperlink" Target="http://force.com" TargetMode="External"/><Relationship Id="rId3001" Type="http://schemas.openxmlformats.org/officeDocument/2006/relationships/hyperlink" Target="http://force.com" TargetMode="External"/><Relationship Id="rId4332" Type="http://schemas.openxmlformats.org/officeDocument/2006/relationships/hyperlink" Target="http://force.com" TargetMode="External"/><Relationship Id="rId5660" Type="http://schemas.openxmlformats.org/officeDocument/2006/relationships/hyperlink" Target="http://force.com" TargetMode="External"/><Relationship Id="rId470" Type="http://schemas.openxmlformats.org/officeDocument/2006/relationships/hyperlink" Target="http://force.com" TargetMode="External"/><Relationship Id="rId3000" Type="http://schemas.openxmlformats.org/officeDocument/2006/relationships/hyperlink" Target="http://force.com" TargetMode="External"/><Relationship Id="rId4331" Type="http://schemas.openxmlformats.org/officeDocument/2006/relationships/hyperlink" Target="http://force.com" TargetMode="External"/><Relationship Id="rId5661" Type="http://schemas.openxmlformats.org/officeDocument/2006/relationships/hyperlink" Target="http://force.com" TargetMode="External"/><Relationship Id="rId477" Type="http://schemas.openxmlformats.org/officeDocument/2006/relationships/hyperlink" Target="http://force.com" TargetMode="External"/><Relationship Id="rId3003" Type="http://schemas.openxmlformats.org/officeDocument/2006/relationships/hyperlink" Target="http://force.com" TargetMode="External"/><Relationship Id="rId4334" Type="http://schemas.openxmlformats.org/officeDocument/2006/relationships/hyperlink" Target="http://force.com" TargetMode="External"/><Relationship Id="rId5666" Type="http://schemas.openxmlformats.org/officeDocument/2006/relationships/hyperlink" Target="http://force.com" TargetMode="External"/><Relationship Id="rId476" Type="http://schemas.openxmlformats.org/officeDocument/2006/relationships/hyperlink" Target="http://force.com" TargetMode="External"/><Relationship Id="rId3002" Type="http://schemas.openxmlformats.org/officeDocument/2006/relationships/hyperlink" Target="http://force.com" TargetMode="External"/><Relationship Id="rId4333" Type="http://schemas.openxmlformats.org/officeDocument/2006/relationships/hyperlink" Target="http://force.com" TargetMode="External"/><Relationship Id="rId5667" Type="http://schemas.openxmlformats.org/officeDocument/2006/relationships/hyperlink" Target="http://force.com" TargetMode="External"/><Relationship Id="rId475" Type="http://schemas.openxmlformats.org/officeDocument/2006/relationships/hyperlink" Target="http://force.com" TargetMode="External"/><Relationship Id="rId3005" Type="http://schemas.openxmlformats.org/officeDocument/2006/relationships/hyperlink" Target="http://force.com" TargetMode="External"/><Relationship Id="rId4336" Type="http://schemas.openxmlformats.org/officeDocument/2006/relationships/hyperlink" Target="http://force.com" TargetMode="External"/><Relationship Id="rId5664" Type="http://schemas.openxmlformats.org/officeDocument/2006/relationships/hyperlink" Target="http://force.com" TargetMode="External"/><Relationship Id="rId474" Type="http://schemas.openxmlformats.org/officeDocument/2006/relationships/hyperlink" Target="http://force.com" TargetMode="External"/><Relationship Id="rId3004" Type="http://schemas.openxmlformats.org/officeDocument/2006/relationships/hyperlink" Target="http://force.com" TargetMode="External"/><Relationship Id="rId4335" Type="http://schemas.openxmlformats.org/officeDocument/2006/relationships/hyperlink" Target="http://force.com" TargetMode="External"/><Relationship Id="rId5665" Type="http://schemas.openxmlformats.org/officeDocument/2006/relationships/hyperlink" Target="http://force.com" TargetMode="External"/><Relationship Id="rId1257" Type="http://schemas.openxmlformats.org/officeDocument/2006/relationships/hyperlink" Target="http://force.com" TargetMode="External"/><Relationship Id="rId2588" Type="http://schemas.openxmlformats.org/officeDocument/2006/relationships/hyperlink" Target="http://force.com" TargetMode="External"/><Relationship Id="rId5615" Type="http://schemas.openxmlformats.org/officeDocument/2006/relationships/hyperlink" Target="http://force.com" TargetMode="External"/><Relationship Id="rId1258" Type="http://schemas.openxmlformats.org/officeDocument/2006/relationships/hyperlink" Target="http://force.com" TargetMode="External"/><Relationship Id="rId2589" Type="http://schemas.openxmlformats.org/officeDocument/2006/relationships/hyperlink" Target="http://force.com" TargetMode="External"/><Relationship Id="rId5616" Type="http://schemas.openxmlformats.org/officeDocument/2006/relationships/hyperlink" Target="http://force.com" TargetMode="External"/><Relationship Id="rId1259" Type="http://schemas.openxmlformats.org/officeDocument/2006/relationships/hyperlink" Target="http://force.com" TargetMode="External"/><Relationship Id="rId5613" Type="http://schemas.openxmlformats.org/officeDocument/2006/relationships/hyperlink" Target="http://force.com" TargetMode="External"/><Relationship Id="rId5614" Type="http://schemas.openxmlformats.org/officeDocument/2006/relationships/hyperlink" Target="http://force.com" TargetMode="External"/><Relationship Id="rId5619" Type="http://schemas.openxmlformats.org/officeDocument/2006/relationships/hyperlink" Target="http://force.com" TargetMode="External"/><Relationship Id="rId5617" Type="http://schemas.openxmlformats.org/officeDocument/2006/relationships/hyperlink" Target="http://force.com" TargetMode="External"/><Relationship Id="rId5618" Type="http://schemas.openxmlformats.org/officeDocument/2006/relationships/hyperlink" Target="http://force.com" TargetMode="External"/><Relationship Id="rId426" Type="http://schemas.openxmlformats.org/officeDocument/2006/relationships/hyperlink" Target="http://force.com" TargetMode="External"/><Relationship Id="rId425" Type="http://schemas.openxmlformats.org/officeDocument/2006/relationships/hyperlink" Target="http://force.com" TargetMode="External"/><Relationship Id="rId424" Type="http://schemas.openxmlformats.org/officeDocument/2006/relationships/hyperlink" Target="http://force.com" TargetMode="External"/><Relationship Id="rId423" Type="http://schemas.openxmlformats.org/officeDocument/2006/relationships/hyperlink" Target="http://force.com" TargetMode="External"/><Relationship Id="rId429" Type="http://schemas.openxmlformats.org/officeDocument/2006/relationships/hyperlink" Target="http://force.com" TargetMode="External"/><Relationship Id="rId428" Type="http://schemas.openxmlformats.org/officeDocument/2006/relationships/hyperlink" Target="http://force.com" TargetMode="External"/><Relationship Id="rId427" Type="http://schemas.openxmlformats.org/officeDocument/2006/relationships/hyperlink" Target="http://force.com" TargetMode="External"/><Relationship Id="rId2580" Type="http://schemas.openxmlformats.org/officeDocument/2006/relationships/hyperlink" Target="http://force.com" TargetMode="External"/><Relationship Id="rId1250" Type="http://schemas.openxmlformats.org/officeDocument/2006/relationships/hyperlink" Target="http://force.com" TargetMode="External"/><Relationship Id="rId2581" Type="http://schemas.openxmlformats.org/officeDocument/2006/relationships/hyperlink" Target="http://force.com" TargetMode="External"/><Relationship Id="rId1251" Type="http://schemas.openxmlformats.org/officeDocument/2006/relationships/hyperlink" Target="http://force.com" TargetMode="External"/><Relationship Id="rId2582" Type="http://schemas.openxmlformats.org/officeDocument/2006/relationships/hyperlink" Target="http://force.com" TargetMode="External"/><Relationship Id="rId1252" Type="http://schemas.openxmlformats.org/officeDocument/2006/relationships/hyperlink" Target="http://force.com" TargetMode="External"/><Relationship Id="rId2583" Type="http://schemas.openxmlformats.org/officeDocument/2006/relationships/hyperlink" Target="http://force.com" TargetMode="External"/><Relationship Id="rId422" Type="http://schemas.openxmlformats.org/officeDocument/2006/relationships/hyperlink" Target="http://force.com" TargetMode="External"/><Relationship Id="rId1253" Type="http://schemas.openxmlformats.org/officeDocument/2006/relationships/hyperlink" Target="http://force.com" TargetMode="External"/><Relationship Id="rId2584" Type="http://schemas.openxmlformats.org/officeDocument/2006/relationships/hyperlink" Target="http://force.com" TargetMode="External"/><Relationship Id="rId5611" Type="http://schemas.openxmlformats.org/officeDocument/2006/relationships/hyperlink" Target="http://force.com" TargetMode="External"/><Relationship Id="rId421" Type="http://schemas.openxmlformats.org/officeDocument/2006/relationships/hyperlink" Target="http://force.com" TargetMode="External"/><Relationship Id="rId1254" Type="http://schemas.openxmlformats.org/officeDocument/2006/relationships/hyperlink" Target="http://force.com" TargetMode="External"/><Relationship Id="rId2585" Type="http://schemas.openxmlformats.org/officeDocument/2006/relationships/hyperlink" Target="http://force.com" TargetMode="External"/><Relationship Id="rId5612" Type="http://schemas.openxmlformats.org/officeDocument/2006/relationships/hyperlink" Target="http://force.com" TargetMode="External"/><Relationship Id="rId420" Type="http://schemas.openxmlformats.org/officeDocument/2006/relationships/hyperlink" Target="http://force.com" TargetMode="External"/><Relationship Id="rId1255" Type="http://schemas.openxmlformats.org/officeDocument/2006/relationships/hyperlink" Target="http://force.com" TargetMode="External"/><Relationship Id="rId2586" Type="http://schemas.openxmlformats.org/officeDocument/2006/relationships/hyperlink" Target="http://force.com" TargetMode="External"/><Relationship Id="rId1256" Type="http://schemas.openxmlformats.org/officeDocument/2006/relationships/hyperlink" Target="http://force.com" TargetMode="External"/><Relationship Id="rId2587" Type="http://schemas.openxmlformats.org/officeDocument/2006/relationships/hyperlink" Target="http://force.com" TargetMode="External"/><Relationship Id="rId5610" Type="http://schemas.openxmlformats.org/officeDocument/2006/relationships/hyperlink" Target="http://force.com" TargetMode="External"/><Relationship Id="rId1246" Type="http://schemas.openxmlformats.org/officeDocument/2006/relationships/hyperlink" Target="http://force.com" TargetMode="External"/><Relationship Id="rId2577" Type="http://schemas.openxmlformats.org/officeDocument/2006/relationships/hyperlink" Target="http://force.com" TargetMode="External"/><Relationship Id="rId5604" Type="http://schemas.openxmlformats.org/officeDocument/2006/relationships/hyperlink" Target="http://force.com" TargetMode="External"/><Relationship Id="rId1247" Type="http://schemas.openxmlformats.org/officeDocument/2006/relationships/hyperlink" Target="http://force.com" TargetMode="External"/><Relationship Id="rId2578" Type="http://schemas.openxmlformats.org/officeDocument/2006/relationships/hyperlink" Target="http://force.com" TargetMode="External"/><Relationship Id="rId5605" Type="http://schemas.openxmlformats.org/officeDocument/2006/relationships/hyperlink" Target="http://force.com" TargetMode="External"/><Relationship Id="rId1248" Type="http://schemas.openxmlformats.org/officeDocument/2006/relationships/hyperlink" Target="http://force.com" TargetMode="External"/><Relationship Id="rId2579" Type="http://schemas.openxmlformats.org/officeDocument/2006/relationships/hyperlink" Target="http://force.com" TargetMode="External"/><Relationship Id="rId5602" Type="http://schemas.openxmlformats.org/officeDocument/2006/relationships/hyperlink" Target="http://force.com" TargetMode="External"/><Relationship Id="rId1249" Type="http://schemas.openxmlformats.org/officeDocument/2006/relationships/hyperlink" Target="http://force.com" TargetMode="External"/><Relationship Id="rId5603" Type="http://schemas.openxmlformats.org/officeDocument/2006/relationships/hyperlink" Target="http://force.com" TargetMode="External"/><Relationship Id="rId5608" Type="http://schemas.openxmlformats.org/officeDocument/2006/relationships/hyperlink" Target="http://force.com" TargetMode="External"/><Relationship Id="rId5609" Type="http://schemas.openxmlformats.org/officeDocument/2006/relationships/hyperlink" Target="http://force.com" TargetMode="External"/><Relationship Id="rId5606" Type="http://schemas.openxmlformats.org/officeDocument/2006/relationships/hyperlink" Target="http://force.com" TargetMode="External"/><Relationship Id="rId5607" Type="http://schemas.openxmlformats.org/officeDocument/2006/relationships/hyperlink" Target="http://force.com" TargetMode="External"/><Relationship Id="rId415" Type="http://schemas.openxmlformats.org/officeDocument/2006/relationships/hyperlink" Target="http://force.com" TargetMode="External"/><Relationship Id="rId414" Type="http://schemas.openxmlformats.org/officeDocument/2006/relationships/hyperlink" Target="http://force.com" TargetMode="External"/><Relationship Id="rId413" Type="http://schemas.openxmlformats.org/officeDocument/2006/relationships/hyperlink" Target="http://force.com" TargetMode="External"/><Relationship Id="rId412" Type="http://schemas.openxmlformats.org/officeDocument/2006/relationships/hyperlink" Target="http://force.com" TargetMode="External"/><Relationship Id="rId419" Type="http://schemas.openxmlformats.org/officeDocument/2006/relationships/hyperlink" Target="http://force.com" TargetMode="External"/><Relationship Id="rId418" Type="http://schemas.openxmlformats.org/officeDocument/2006/relationships/hyperlink" Target="http://force.com" TargetMode="External"/><Relationship Id="rId417" Type="http://schemas.openxmlformats.org/officeDocument/2006/relationships/hyperlink" Target="http://force.com" TargetMode="External"/><Relationship Id="rId416" Type="http://schemas.openxmlformats.org/officeDocument/2006/relationships/hyperlink" Target="http://force.com" TargetMode="External"/><Relationship Id="rId2570" Type="http://schemas.openxmlformats.org/officeDocument/2006/relationships/hyperlink" Target="http://force.com" TargetMode="External"/><Relationship Id="rId1240" Type="http://schemas.openxmlformats.org/officeDocument/2006/relationships/hyperlink" Target="http://force.com" TargetMode="External"/><Relationship Id="rId2571" Type="http://schemas.openxmlformats.org/officeDocument/2006/relationships/hyperlink" Target="http://force.com" TargetMode="External"/><Relationship Id="rId1241" Type="http://schemas.openxmlformats.org/officeDocument/2006/relationships/hyperlink" Target="http://force.com" TargetMode="External"/><Relationship Id="rId2572" Type="http://schemas.openxmlformats.org/officeDocument/2006/relationships/hyperlink" Target="http://force.com" TargetMode="External"/><Relationship Id="rId411" Type="http://schemas.openxmlformats.org/officeDocument/2006/relationships/hyperlink" Target="http://force.com" TargetMode="External"/><Relationship Id="rId1242" Type="http://schemas.openxmlformats.org/officeDocument/2006/relationships/hyperlink" Target="http://force.com" TargetMode="External"/><Relationship Id="rId2573" Type="http://schemas.openxmlformats.org/officeDocument/2006/relationships/hyperlink" Target="http://force.com" TargetMode="External"/><Relationship Id="rId5600" Type="http://schemas.openxmlformats.org/officeDocument/2006/relationships/hyperlink" Target="http://force.com" TargetMode="External"/><Relationship Id="rId410" Type="http://schemas.openxmlformats.org/officeDocument/2006/relationships/hyperlink" Target="http://force.com" TargetMode="External"/><Relationship Id="rId1243" Type="http://schemas.openxmlformats.org/officeDocument/2006/relationships/hyperlink" Target="http://force.com" TargetMode="External"/><Relationship Id="rId2574" Type="http://schemas.openxmlformats.org/officeDocument/2006/relationships/hyperlink" Target="http://force.com" TargetMode="External"/><Relationship Id="rId5601" Type="http://schemas.openxmlformats.org/officeDocument/2006/relationships/hyperlink" Target="http://force.com" TargetMode="External"/><Relationship Id="rId1244" Type="http://schemas.openxmlformats.org/officeDocument/2006/relationships/hyperlink" Target="http://force.com" TargetMode="External"/><Relationship Id="rId2575" Type="http://schemas.openxmlformats.org/officeDocument/2006/relationships/hyperlink" Target="http://force.com" TargetMode="External"/><Relationship Id="rId1245" Type="http://schemas.openxmlformats.org/officeDocument/2006/relationships/hyperlink" Target="http://force.com" TargetMode="External"/><Relationship Id="rId2576" Type="http://schemas.openxmlformats.org/officeDocument/2006/relationships/hyperlink" Target="http://force.com" TargetMode="External"/><Relationship Id="rId1279" Type="http://schemas.openxmlformats.org/officeDocument/2006/relationships/hyperlink" Target="http://force.com" TargetMode="External"/><Relationship Id="rId4305" Type="http://schemas.openxmlformats.org/officeDocument/2006/relationships/hyperlink" Target="http://force.com" TargetMode="External"/><Relationship Id="rId5637" Type="http://schemas.openxmlformats.org/officeDocument/2006/relationships/hyperlink" Target="http://force.com" TargetMode="External"/><Relationship Id="rId4304" Type="http://schemas.openxmlformats.org/officeDocument/2006/relationships/hyperlink" Target="http://force.com" TargetMode="External"/><Relationship Id="rId5638" Type="http://schemas.openxmlformats.org/officeDocument/2006/relationships/hyperlink" Target="http://force.com" TargetMode="External"/><Relationship Id="rId4307" Type="http://schemas.openxmlformats.org/officeDocument/2006/relationships/hyperlink" Target="http://force.com" TargetMode="External"/><Relationship Id="rId5635" Type="http://schemas.openxmlformats.org/officeDocument/2006/relationships/hyperlink" Target="http://force.com" TargetMode="External"/><Relationship Id="rId4306" Type="http://schemas.openxmlformats.org/officeDocument/2006/relationships/hyperlink" Target="http://force.com" TargetMode="External"/><Relationship Id="rId5636" Type="http://schemas.openxmlformats.org/officeDocument/2006/relationships/hyperlink" Target="http://force.com" TargetMode="External"/><Relationship Id="rId4309" Type="http://schemas.openxmlformats.org/officeDocument/2006/relationships/hyperlink" Target="http://force.com" TargetMode="External"/><Relationship Id="rId4308" Type="http://schemas.openxmlformats.org/officeDocument/2006/relationships/hyperlink" Target="http://force.com" TargetMode="External"/><Relationship Id="rId5639" Type="http://schemas.openxmlformats.org/officeDocument/2006/relationships/hyperlink" Target="http://force.com" TargetMode="External"/><Relationship Id="rId448" Type="http://schemas.openxmlformats.org/officeDocument/2006/relationships/hyperlink" Target="http://force.com" TargetMode="External"/><Relationship Id="rId447" Type="http://schemas.openxmlformats.org/officeDocument/2006/relationships/hyperlink" Target="http://force.com" TargetMode="External"/><Relationship Id="rId446" Type="http://schemas.openxmlformats.org/officeDocument/2006/relationships/hyperlink" Target="http://force.com" TargetMode="External"/><Relationship Id="rId445" Type="http://schemas.openxmlformats.org/officeDocument/2006/relationships/hyperlink" Target="http://force.com" TargetMode="External"/><Relationship Id="rId449" Type="http://schemas.openxmlformats.org/officeDocument/2006/relationships/hyperlink" Target="http://force.com" TargetMode="External"/><Relationship Id="rId1270" Type="http://schemas.openxmlformats.org/officeDocument/2006/relationships/hyperlink" Target="http://force.com" TargetMode="External"/><Relationship Id="rId440" Type="http://schemas.openxmlformats.org/officeDocument/2006/relationships/hyperlink" Target="http://force.com" TargetMode="External"/><Relationship Id="rId1271" Type="http://schemas.openxmlformats.org/officeDocument/2006/relationships/hyperlink" Target="http://force.com" TargetMode="External"/><Relationship Id="rId1272" Type="http://schemas.openxmlformats.org/officeDocument/2006/relationships/hyperlink" Target="http://force.com" TargetMode="External"/><Relationship Id="rId5630" Type="http://schemas.openxmlformats.org/officeDocument/2006/relationships/hyperlink" Target="http://force.com" TargetMode="External"/><Relationship Id="rId1273" Type="http://schemas.openxmlformats.org/officeDocument/2006/relationships/hyperlink" Target="http://force.com" TargetMode="External"/><Relationship Id="rId1274" Type="http://schemas.openxmlformats.org/officeDocument/2006/relationships/hyperlink" Target="http://force.com" TargetMode="External"/><Relationship Id="rId444" Type="http://schemas.openxmlformats.org/officeDocument/2006/relationships/hyperlink" Target="http://force.com" TargetMode="External"/><Relationship Id="rId1275" Type="http://schemas.openxmlformats.org/officeDocument/2006/relationships/hyperlink" Target="http://force.com" TargetMode="External"/><Relationship Id="rId4301" Type="http://schemas.openxmlformats.org/officeDocument/2006/relationships/hyperlink" Target="http://force.com" TargetMode="External"/><Relationship Id="rId5633" Type="http://schemas.openxmlformats.org/officeDocument/2006/relationships/hyperlink" Target="http://force.com" TargetMode="External"/><Relationship Id="rId443" Type="http://schemas.openxmlformats.org/officeDocument/2006/relationships/hyperlink" Target="http://force.com" TargetMode="External"/><Relationship Id="rId1276" Type="http://schemas.openxmlformats.org/officeDocument/2006/relationships/hyperlink" Target="http://force.com" TargetMode="External"/><Relationship Id="rId4300" Type="http://schemas.openxmlformats.org/officeDocument/2006/relationships/hyperlink" Target="http://force.com" TargetMode="External"/><Relationship Id="rId5634" Type="http://schemas.openxmlformats.org/officeDocument/2006/relationships/hyperlink" Target="http://force.com" TargetMode="External"/><Relationship Id="rId442" Type="http://schemas.openxmlformats.org/officeDocument/2006/relationships/hyperlink" Target="http://force.com" TargetMode="External"/><Relationship Id="rId1277" Type="http://schemas.openxmlformats.org/officeDocument/2006/relationships/hyperlink" Target="http://force.com" TargetMode="External"/><Relationship Id="rId4303" Type="http://schemas.openxmlformats.org/officeDocument/2006/relationships/hyperlink" Target="http://force.com" TargetMode="External"/><Relationship Id="rId5631" Type="http://schemas.openxmlformats.org/officeDocument/2006/relationships/hyperlink" Target="http://force.com" TargetMode="External"/><Relationship Id="rId441" Type="http://schemas.openxmlformats.org/officeDocument/2006/relationships/hyperlink" Target="http://force.com" TargetMode="External"/><Relationship Id="rId1278" Type="http://schemas.openxmlformats.org/officeDocument/2006/relationships/hyperlink" Target="http://force.com" TargetMode="External"/><Relationship Id="rId4302" Type="http://schemas.openxmlformats.org/officeDocument/2006/relationships/hyperlink" Target="http://force.com" TargetMode="External"/><Relationship Id="rId5632" Type="http://schemas.openxmlformats.org/officeDocument/2006/relationships/hyperlink" Target="http://force.com" TargetMode="External"/><Relationship Id="rId1268" Type="http://schemas.openxmlformats.org/officeDocument/2006/relationships/hyperlink" Target="http://force.com" TargetMode="External"/><Relationship Id="rId2599" Type="http://schemas.openxmlformats.org/officeDocument/2006/relationships/hyperlink" Target="http://force.com" TargetMode="External"/><Relationship Id="rId5626" Type="http://schemas.openxmlformats.org/officeDocument/2006/relationships/hyperlink" Target="http://force.com" TargetMode="External"/><Relationship Id="rId1269" Type="http://schemas.openxmlformats.org/officeDocument/2006/relationships/hyperlink" Target="http://force.com" TargetMode="External"/><Relationship Id="rId5627" Type="http://schemas.openxmlformats.org/officeDocument/2006/relationships/hyperlink" Target="http://force.com" TargetMode="External"/><Relationship Id="rId5624" Type="http://schemas.openxmlformats.org/officeDocument/2006/relationships/hyperlink" Target="http://force.com" TargetMode="External"/><Relationship Id="rId5625" Type="http://schemas.openxmlformats.org/officeDocument/2006/relationships/hyperlink" Target="http://force.com" TargetMode="External"/><Relationship Id="rId5628" Type="http://schemas.openxmlformats.org/officeDocument/2006/relationships/hyperlink" Target="http://force.com" TargetMode="External"/><Relationship Id="rId5629" Type="http://schemas.openxmlformats.org/officeDocument/2006/relationships/hyperlink" Target="http://force.com" TargetMode="External"/><Relationship Id="rId437" Type="http://schemas.openxmlformats.org/officeDocument/2006/relationships/hyperlink" Target="http://force.com" TargetMode="External"/><Relationship Id="rId436" Type="http://schemas.openxmlformats.org/officeDocument/2006/relationships/hyperlink" Target="http://force.com" TargetMode="External"/><Relationship Id="rId435" Type="http://schemas.openxmlformats.org/officeDocument/2006/relationships/hyperlink" Target="http://force.com" TargetMode="External"/><Relationship Id="rId434" Type="http://schemas.openxmlformats.org/officeDocument/2006/relationships/hyperlink" Target="http://force.com" TargetMode="External"/><Relationship Id="rId439" Type="http://schemas.openxmlformats.org/officeDocument/2006/relationships/hyperlink" Target="http://force.com" TargetMode="External"/><Relationship Id="rId438" Type="http://schemas.openxmlformats.org/officeDocument/2006/relationships/hyperlink" Target="http://force.com" TargetMode="External"/><Relationship Id="rId2590" Type="http://schemas.openxmlformats.org/officeDocument/2006/relationships/hyperlink" Target="http://force.com" TargetMode="External"/><Relationship Id="rId1260" Type="http://schemas.openxmlformats.org/officeDocument/2006/relationships/hyperlink" Target="http://force.com" TargetMode="External"/><Relationship Id="rId2591" Type="http://schemas.openxmlformats.org/officeDocument/2006/relationships/hyperlink" Target="http://force.com" TargetMode="External"/><Relationship Id="rId1261" Type="http://schemas.openxmlformats.org/officeDocument/2006/relationships/hyperlink" Target="http://force.com" TargetMode="External"/><Relationship Id="rId2592" Type="http://schemas.openxmlformats.org/officeDocument/2006/relationships/hyperlink" Target="http://force.com" TargetMode="External"/><Relationship Id="rId1262" Type="http://schemas.openxmlformats.org/officeDocument/2006/relationships/hyperlink" Target="http://force.com" TargetMode="External"/><Relationship Id="rId2593" Type="http://schemas.openxmlformats.org/officeDocument/2006/relationships/hyperlink" Target="http://force.com" TargetMode="External"/><Relationship Id="rId1263" Type="http://schemas.openxmlformats.org/officeDocument/2006/relationships/hyperlink" Target="http://force.com" TargetMode="External"/><Relationship Id="rId2594" Type="http://schemas.openxmlformats.org/officeDocument/2006/relationships/hyperlink" Target="http://force.com" TargetMode="External"/><Relationship Id="rId433" Type="http://schemas.openxmlformats.org/officeDocument/2006/relationships/hyperlink" Target="http://force.com" TargetMode="External"/><Relationship Id="rId1264" Type="http://schemas.openxmlformats.org/officeDocument/2006/relationships/hyperlink" Target="http://force.com" TargetMode="External"/><Relationship Id="rId2595" Type="http://schemas.openxmlformats.org/officeDocument/2006/relationships/hyperlink" Target="http://force.com" TargetMode="External"/><Relationship Id="rId5622" Type="http://schemas.openxmlformats.org/officeDocument/2006/relationships/hyperlink" Target="http://force.com" TargetMode="External"/><Relationship Id="rId432" Type="http://schemas.openxmlformats.org/officeDocument/2006/relationships/hyperlink" Target="http://force.com" TargetMode="External"/><Relationship Id="rId1265" Type="http://schemas.openxmlformats.org/officeDocument/2006/relationships/hyperlink" Target="http://force.com" TargetMode="External"/><Relationship Id="rId2596" Type="http://schemas.openxmlformats.org/officeDocument/2006/relationships/hyperlink" Target="http://force.com" TargetMode="External"/><Relationship Id="rId5623" Type="http://schemas.openxmlformats.org/officeDocument/2006/relationships/hyperlink" Target="http://force.com" TargetMode="External"/><Relationship Id="rId431" Type="http://schemas.openxmlformats.org/officeDocument/2006/relationships/hyperlink" Target="http://force.com" TargetMode="External"/><Relationship Id="rId1266" Type="http://schemas.openxmlformats.org/officeDocument/2006/relationships/hyperlink" Target="http://force.com" TargetMode="External"/><Relationship Id="rId2597" Type="http://schemas.openxmlformats.org/officeDocument/2006/relationships/hyperlink" Target="http://force.com" TargetMode="External"/><Relationship Id="rId5620" Type="http://schemas.openxmlformats.org/officeDocument/2006/relationships/hyperlink" Target="http://force.com" TargetMode="External"/><Relationship Id="rId430" Type="http://schemas.openxmlformats.org/officeDocument/2006/relationships/hyperlink" Target="http://force.com" TargetMode="External"/><Relationship Id="rId1267" Type="http://schemas.openxmlformats.org/officeDocument/2006/relationships/hyperlink" Target="http://force.com" TargetMode="External"/><Relationship Id="rId2598" Type="http://schemas.openxmlformats.org/officeDocument/2006/relationships/hyperlink" Target="http://force.com" TargetMode="External"/><Relationship Id="rId5621" Type="http://schemas.openxmlformats.org/officeDocument/2006/relationships/hyperlink" Target="http://force.com" TargetMode="External"/><Relationship Id="rId6108" Type="http://schemas.openxmlformats.org/officeDocument/2006/relationships/hyperlink" Target="http://force.com" TargetMode="External"/><Relationship Id="rId6109" Type="http://schemas.openxmlformats.org/officeDocument/2006/relationships/hyperlink" Target="http://force.com" TargetMode="External"/><Relationship Id="rId3070" Type="http://schemas.openxmlformats.org/officeDocument/2006/relationships/hyperlink" Target="http://force.com" TargetMode="External"/><Relationship Id="rId3072" Type="http://schemas.openxmlformats.org/officeDocument/2006/relationships/hyperlink" Target="http://force.com" TargetMode="External"/><Relationship Id="rId3071" Type="http://schemas.openxmlformats.org/officeDocument/2006/relationships/hyperlink" Target="http://force.com" TargetMode="External"/><Relationship Id="rId3074" Type="http://schemas.openxmlformats.org/officeDocument/2006/relationships/hyperlink" Target="http://force.com" TargetMode="External"/><Relationship Id="rId3073" Type="http://schemas.openxmlformats.org/officeDocument/2006/relationships/hyperlink" Target="http://force.com" TargetMode="External"/><Relationship Id="rId3076" Type="http://schemas.openxmlformats.org/officeDocument/2006/relationships/hyperlink" Target="http://force.com" TargetMode="External"/><Relationship Id="rId6102" Type="http://schemas.openxmlformats.org/officeDocument/2006/relationships/hyperlink" Target="http://force.com" TargetMode="External"/><Relationship Id="rId3075" Type="http://schemas.openxmlformats.org/officeDocument/2006/relationships/hyperlink" Target="http://force.com" TargetMode="External"/><Relationship Id="rId6103" Type="http://schemas.openxmlformats.org/officeDocument/2006/relationships/hyperlink" Target="http://force.com" TargetMode="External"/><Relationship Id="rId3078" Type="http://schemas.openxmlformats.org/officeDocument/2006/relationships/hyperlink" Target="http://force.com" TargetMode="External"/><Relationship Id="rId6100" Type="http://schemas.openxmlformats.org/officeDocument/2006/relationships/hyperlink" Target="http://force.com" TargetMode="External"/><Relationship Id="rId3077" Type="http://schemas.openxmlformats.org/officeDocument/2006/relationships/hyperlink" Target="http://force.com" TargetMode="External"/><Relationship Id="rId6101" Type="http://schemas.openxmlformats.org/officeDocument/2006/relationships/hyperlink" Target="http://force.com" TargetMode="External"/><Relationship Id="rId6106" Type="http://schemas.openxmlformats.org/officeDocument/2006/relationships/hyperlink" Target="http://force.com" TargetMode="External"/><Relationship Id="rId3079" Type="http://schemas.openxmlformats.org/officeDocument/2006/relationships/hyperlink" Target="http://force.com" TargetMode="External"/><Relationship Id="rId6107" Type="http://schemas.openxmlformats.org/officeDocument/2006/relationships/hyperlink" Target="http://force.com" TargetMode="External"/><Relationship Id="rId6104" Type="http://schemas.openxmlformats.org/officeDocument/2006/relationships/hyperlink" Target="http://force.com" TargetMode="External"/><Relationship Id="rId6105" Type="http://schemas.openxmlformats.org/officeDocument/2006/relationships/hyperlink" Target="http://force.com" TargetMode="External"/><Relationship Id="rId4390" Type="http://schemas.openxmlformats.org/officeDocument/2006/relationships/hyperlink" Target="http://force.com" TargetMode="External"/><Relationship Id="rId3061" Type="http://schemas.openxmlformats.org/officeDocument/2006/relationships/hyperlink" Target="http://force.com" TargetMode="External"/><Relationship Id="rId4392" Type="http://schemas.openxmlformats.org/officeDocument/2006/relationships/hyperlink" Target="http://force.com" TargetMode="External"/><Relationship Id="rId3060" Type="http://schemas.openxmlformats.org/officeDocument/2006/relationships/hyperlink" Target="http://force.com" TargetMode="External"/><Relationship Id="rId4391" Type="http://schemas.openxmlformats.org/officeDocument/2006/relationships/hyperlink" Target="http://force.com" TargetMode="External"/><Relationship Id="rId3063" Type="http://schemas.openxmlformats.org/officeDocument/2006/relationships/hyperlink" Target="http://force.com" TargetMode="External"/><Relationship Id="rId4394" Type="http://schemas.openxmlformats.org/officeDocument/2006/relationships/hyperlink" Target="http://force.com" TargetMode="External"/><Relationship Id="rId3062" Type="http://schemas.openxmlformats.org/officeDocument/2006/relationships/hyperlink" Target="http://force.com" TargetMode="External"/><Relationship Id="rId4393" Type="http://schemas.openxmlformats.org/officeDocument/2006/relationships/hyperlink" Target="http://force.com" TargetMode="External"/><Relationship Id="rId3065" Type="http://schemas.openxmlformats.org/officeDocument/2006/relationships/hyperlink" Target="http://force.com" TargetMode="External"/><Relationship Id="rId4396" Type="http://schemas.openxmlformats.org/officeDocument/2006/relationships/hyperlink" Target="http://force.com" TargetMode="External"/><Relationship Id="rId3064" Type="http://schemas.openxmlformats.org/officeDocument/2006/relationships/hyperlink" Target="http://force.com" TargetMode="External"/><Relationship Id="rId4395" Type="http://schemas.openxmlformats.org/officeDocument/2006/relationships/hyperlink" Target="http://force.com" TargetMode="External"/><Relationship Id="rId3067" Type="http://schemas.openxmlformats.org/officeDocument/2006/relationships/hyperlink" Target="http://force.com" TargetMode="External"/><Relationship Id="rId4398" Type="http://schemas.openxmlformats.org/officeDocument/2006/relationships/hyperlink" Target="http://force.com" TargetMode="External"/><Relationship Id="rId3066" Type="http://schemas.openxmlformats.org/officeDocument/2006/relationships/hyperlink" Target="http://force.com" TargetMode="External"/><Relationship Id="rId4397" Type="http://schemas.openxmlformats.org/officeDocument/2006/relationships/hyperlink" Target="http://force.com" TargetMode="External"/><Relationship Id="rId3069" Type="http://schemas.openxmlformats.org/officeDocument/2006/relationships/hyperlink" Target="http://force.com" TargetMode="External"/><Relationship Id="rId3068" Type="http://schemas.openxmlformats.org/officeDocument/2006/relationships/hyperlink" Target="http://force.com" TargetMode="External"/><Relationship Id="rId4399" Type="http://schemas.openxmlformats.org/officeDocument/2006/relationships/hyperlink" Target="http://force.com" TargetMode="External"/><Relationship Id="rId3090" Type="http://schemas.openxmlformats.org/officeDocument/2006/relationships/hyperlink" Target="http://force.com" TargetMode="External"/><Relationship Id="rId3092" Type="http://schemas.openxmlformats.org/officeDocument/2006/relationships/hyperlink" Target="http://force.com" TargetMode="External"/><Relationship Id="rId3091" Type="http://schemas.openxmlformats.org/officeDocument/2006/relationships/hyperlink" Target="http://force.com" TargetMode="External"/><Relationship Id="rId3094" Type="http://schemas.openxmlformats.org/officeDocument/2006/relationships/hyperlink" Target="http://force.com" TargetMode="External"/><Relationship Id="rId3093" Type="http://schemas.openxmlformats.org/officeDocument/2006/relationships/hyperlink" Target="http://force.com" TargetMode="External"/><Relationship Id="rId3096" Type="http://schemas.openxmlformats.org/officeDocument/2006/relationships/hyperlink" Target="http://force.com" TargetMode="External"/><Relationship Id="rId3095" Type="http://schemas.openxmlformats.org/officeDocument/2006/relationships/hyperlink" Target="http://force.com" TargetMode="External"/><Relationship Id="rId3098" Type="http://schemas.openxmlformats.org/officeDocument/2006/relationships/hyperlink" Target="http://force.com" TargetMode="External"/><Relationship Id="rId3097" Type="http://schemas.openxmlformats.org/officeDocument/2006/relationships/hyperlink" Target="http://force.com" TargetMode="External"/><Relationship Id="rId3099" Type="http://schemas.openxmlformats.org/officeDocument/2006/relationships/hyperlink" Target="http://force.com" TargetMode="External"/><Relationship Id="rId6119" Type="http://schemas.openxmlformats.org/officeDocument/2006/relationships/drawing" Target="../drawings/drawing5.xml"/><Relationship Id="rId3081" Type="http://schemas.openxmlformats.org/officeDocument/2006/relationships/hyperlink" Target="http://force.com" TargetMode="External"/><Relationship Id="rId3080" Type="http://schemas.openxmlformats.org/officeDocument/2006/relationships/hyperlink" Target="http://force.com" TargetMode="External"/><Relationship Id="rId3083" Type="http://schemas.openxmlformats.org/officeDocument/2006/relationships/hyperlink" Target="http://force.com" TargetMode="External"/><Relationship Id="rId3082" Type="http://schemas.openxmlformats.org/officeDocument/2006/relationships/hyperlink" Target="http://force.com" TargetMode="External"/><Relationship Id="rId6110" Type="http://schemas.openxmlformats.org/officeDocument/2006/relationships/hyperlink" Target="http://force.com" TargetMode="External"/><Relationship Id="rId3085" Type="http://schemas.openxmlformats.org/officeDocument/2006/relationships/hyperlink" Target="http://force.com" TargetMode="External"/><Relationship Id="rId3084" Type="http://schemas.openxmlformats.org/officeDocument/2006/relationships/hyperlink" Target="http://force.com" TargetMode="External"/><Relationship Id="rId3087" Type="http://schemas.openxmlformats.org/officeDocument/2006/relationships/hyperlink" Target="http://force.com" TargetMode="External"/><Relationship Id="rId6113" Type="http://schemas.openxmlformats.org/officeDocument/2006/relationships/hyperlink" Target="http://force.com" TargetMode="External"/><Relationship Id="rId3086" Type="http://schemas.openxmlformats.org/officeDocument/2006/relationships/hyperlink" Target="http://force.com" TargetMode="External"/><Relationship Id="rId6114" Type="http://schemas.openxmlformats.org/officeDocument/2006/relationships/hyperlink" Target="http://force.com" TargetMode="External"/><Relationship Id="rId3089" Type="http://schemas.openxmlformats.org/officeDocument/2006/relationships/hyperlink" Target="http://force.com" TargetMode="External"/><Relationship Id="rId6111" Type="http://schemas.openxmlformats.org/officeDocument/2006/relationships/hyperlink" Target="http://force.com" TargetMode="External"/><Relationship Id="rId3088" Type="http://schemas.openxmlformats.org/officeDocument/2006/relationships/hyperlink" Target="http://force.com" TargetMode="External"/><Relationship Id="rId6112" Type="http://schemas.openxmlformats.org/officeDocument/2006/relationships/hyperlink" Target="http://force.com" TargetMode="External"/><Relationship Id="rId6117" Type="http://schemas.openxmlformats.org/officeDocument/2006/relationships/hyperlink" Target="http://force.com" TargetMode="External"/><Relationship Id="rId6118" Type="http://schemas.openxmlformats.org/officeDocument/2006/relationships/hyperlink" Target="http://force.com" TargetMode="External"/><Relationship Id="rId6115" Type="http://schemas.openxmlformats.org/officeDocument/2006/relationships/hyperlink" Target="http://force.com" TargetMode="External"/><Relationship Id="rId6116" Type="http://schemas.openxmlformats.org/officeDocument/2006/relationships/hyperlink" Target="http://force.com" TargetMode="External"/><Relationship Id="rId3039" Type="http://schemas.openxmlformats.org/officeDocument/2006/relationships/hyperlink" Target="http://force.com" TargetMode="External"/><Relationship Id="rId1" Type="http://schemas.openxmlformats.org/officeDocument/2006/relationships/hyperlink" Target="http://force.com" TargetMode="External"/><Relationship Id="rId2" Type="http://schemas.openxmlformats.org/officeDocument/2006/relationships/hyperlink" Target="http://force.com" TargetMode="External"/><Relationship Id="rId3" Type="http://schemas.openxmlformats.org/officeDocument/2006/relationships/hyperlink" Target="http://force.com" TargetMode="External"/><Relationship Id="rId4" Type="http://schemas.openxmlformats.org/officeDocument/2006/relationships/hyperlink" Target="http://force.com" TargetMode="External"/><Relationship Id="rId5691" Type="http://schemas.openxmlformats.org/officeDocument/2006/relationships/hyperlink" Target="http://force.com" TargetMode="External"/><Relationship Id="rId5692" Type="http://schemas.openxmlformats.org/officeDocument/2006/relationships/hyperlink" Target="http://force.com" TargetMode="External"/><Relationship Id="rId3030" Type="http://schemas.openxmlformats.org/officeDocument/2006/relationships/hyperlink" Target="http://force.com" TargetMode="External"/><Relationship Id="rId4361" Type="http://schemas.openxmlformats.org/officeDocument/2006/relationships/hyperlink" Target="http://force.com" TargetMode="External"/><Relationship Id="rId4360" Type="http://schemas.openxmlformats.org/officeDocument/2006/relationships/hyperlink" Target="http://force.com" TargetMode="External"/><Relationship Id="rId5690" Type="http://schemas.openxmlformats.org/officeDocument/2006/relationships/hyperlink" Target="http://force.com" TargetMode="External"/><Relationship Id="rId9" Type="http://schemas.openxmlformats.org/officeDocument/2006/relationships/hyperlink" Target="http://force.com" TargetMode="External"/><Relationship Id="rId3032" Type="http://schemas.openxmlformats.org/officeDocument/2006/relationships/hyperlink" Target="http://force.com" TargetMode="External"/><Relationship Id="rId4363" Type="http://schemas.openxmlformats.org/officeDocument/2006/relationships/hyperlink" Target="http://force.com" TargetMode="External"/><Relationship Id="rId5695" Type="http://schemas.openxmlformats.org/officeDocument/2006/relationships/hyperlink" Target="http://force.com" TargetMode="External"/><Relationship Id="rId3031" Type="http://schemas.openxmlformats.org/officeDocument/2006/relationships/hyperlink" Target="http://force.com" TargetMode="External"/><Relationship Id="rId4362" Type="http://schemas.openxmlformats.org/officeDocument/2006/relationships/hyperlink" Target="http://force.com" TargetMode="External"/><Relationship Id="rId5696" Type="http://schemas.openxmlformats.org/officeDocument/2006/relationships/hyperlink" Target="http://force.com" TargetMode="External"/><Relationship Id="rId3034" Type="http://schemas.openxmlformats.org/officeDocument/2006/relationships/hyperlink" Target="http://force.com" TargetMode="External"/><Relationship Id="rId4365" Type="http://schemas.openxmlformats.org/officeDocument/2006/relationships/hyperlink" Target="http://force.com" TargetMode="External"/><Relationship Id="rId5693" Type="http://schemas.openxmlformats.org/officeDocument/2006/relationships/hyperlink" Target="http://force.com" TargetMode="External"/><Relationship Id="rId3033" Type="http://schemas.openxmlformats.org/officeDocument/2006/relationships/hyperlink" Target="http://force.com" TargetMode="External"/><Relationship Id="rId4364" Type="http://schemas.openxmlformats.org/officeDocument/2006/relationships/hyperlink" Target="http://force.com" TargetMode="External"/><Relationship Id="rId5694" Type="http://schemas.openxmlformats.org/officeDocument/2006/relationships/hyperlink" Target="http://force.com" TargetMode="External"/><Relationship Id="rId5" Type="http://schemas.openxmlformats.org/officeDocument/2006/relationships/hyperlink" Target="http://force.com" TargetMode="External"/><Relationship Id="rId3036" Type="http://schemas.openxmlformats.org/officeDocument/2006/relationships/hyperlink" Target="http://force.com" TargetMode="External"/><Relationship Id="rId4367" Type="http://schemas.openxmlformats.org/officeDocument/2006/relationships/hyperlink" Target="http://force.com" TargetMode="External"/><Relationship Id="rId5699" Type="http://schemas.openxmlformats.org/officeDocument/2006/relationships/hyperlink" Target="http://force.com" TargetMode="External"/><Relationship Id="rId6" Type="http://schemas.openxmlformats.org/officeDocument/2006/relationships/hyperlink" Target="http://force.com" TargetMode="External"/><Relationship Id="rId3035" Type="http://schemas.openxmlformats.org/officeDocument/2006/relationships/hyperlink" Target="http://force.com" TargetMode="External"/><Relationship Id="rId4366" Type="http://schemas.openxmlformats.org/officeDocument/2006/relationships/hyperlink" Target="http://force.com" TargetMode="External"/><Relationship Id="rId7" Type="http://schemas.openxmlformats.org/officeDocument/2006/relationships/hyperlink" Target="http://force.com" TargetMode="External"/><Relationship Id="rId3038" Type="http://schemas.openxmlformats.org/officeDocument/2006/relationships/hyperlink" Target="http://force.com" TargetMode="External"/><Relationship Id="rId4369" Type="http://schemas.openxmlformats.org/officeDocument/2006/relationships/hyperlink" Target="http://force.com" TargetMode="External"/><Relationship Id="rId5697" Type="http://schemas.openxmlformats.org/officeDocument/2006/relationships/hyperlink" Target="http://force.com" TargetMode="External"/><Relationship Id="rId8" Type="http://schemas.openxmlformats.org/officeDocument/2006/relationships/hyperlink" Target="http://force.com" TargetMode="External"/><Relationship Id="rId3037" Type="http://schemas.openxmlformats.org/officeDocument/2006/relationships/hyperlink" Target="http://force.com" TargetMode="External"/><Relationship Id="rId4368" Type="http://schemas.openxmlformats.org/officeDocument/2006/relationships/hyperlink" Target="http://force.com" TargetMode="External"/><Relationship Id="rId5698" Type="http://schemas.openxmlformats.org/officeDocument/2006/relationships/hyperlink" Target="http://force.com" TargetMode="External"/><Relationship Id="rId3029" Type="http://schemas.openxmlformats.org/officeDocument/2006/relationships/hyperlink" Target="http://force.com" TargetMode="External"/><Relationship Id="rId3028" Type="http://schemas.openxmlformats.org/officeDocument/2006/relationships/hyperlink" Target="http://force.com" TargetMode="External"/><Relationship Id="rId4359" Type="http://schemas.openxmlformats.org/officeDocument/2006/relationships/hyperlink" Target="http://force.com" TargetMode="External"/><Relationship Id="rId5680" Type="http://schemas.openxmlformats.org/officeDocument/2006/relationships/hyperlink" Target="http://force.com" TargetMode="External"/><Relationship Id="rId5681" Type="http://schemas.openxmlformats.org/officeDocument/2006/relationships/hyperlink" Target="http://force.com" TargetMode="External"/><Relationship Id="rId4350" Type="http://schemas.openxmlformats.org/officeDocument/2006/relationships/hyperlink" Target="http://force.com" TargetMode="External"/><Relationship Id="rId3021" Type="http://schemas.openxmlformats.org/officeDocument/2006/relationships/hyperlink" Target="http://force.com" TargetMode="External"/><Relationship Id="rId4352" Type="http://schemas.openxmlformats.org/officeDocument/2006/relationships/hyperlink" Target="http://force.com" TargetMode="External"/><Relationship Id="rId5684" Type="http://schemas.openxmlformats.org/officeDocument/2006/relationships/hyperlink" Target="http://force.com" TargetMode="External"/><Relationship Id="rId3020" Type="http://schemas.openxmlformats.org/officeDocument/2006/relationships/hyperlink" Target="http://force.com" TargetMode="External"/><Relationship Id="rId4351" Type="http://schemas.openxmlformats.org/officeDocument/2006/relationships/hyperlink" Target="http://force.com" TargetMode="External"/><Relationship Id="rId5685" Type="http://schemas.openxmlformats.org/officeDocument/2006/relationships/hyperlink" Target="http://force.com" TargetMode="External"/><Relationship Id="rId3023" Type="http://schemas.openxmlformats.org/officeDocument/2006/relationships/hyperlink" Target="http://force.com" TargetMode="External"/><Relationship Id="rId4354" Type="http://schemas.openxmlformats.org/officeDocument/2006/relationships/hyperlink" Target="http://force.com" TargetMode="External"/><Relationship Id="rId5682" Type="http://schemas.openxmlformats.org/officeDocument/2006/relationships/hyperlink" Target="http://force.com" TargetMode="External"/><Relationship Id="rId3022" Type="http://schemas.openxmlformats.org/officeDocument/2006/relationships/hyperlink" Target="http://force.com" TargetMode="External"/><Relationship Id="rId4353" Type="http://schemas.openxmlformats.org/officeDocument/2006/relationships/hyperlink" Target="http://force.com" TargetMode="External"/><Relationship Id="rId5683" Type="http://schemas.openxmlformats.org/officeDocument/2006/relationships/hyperlink" Target="http://force.com" TargetMode="External"/><Relationship Id="rId3025" Type="http://schemas.openxmlformats.org/officeDocument/2006/relationships/hyperlink" Target="http://force.com" TargetMode="External"/><Relationship Id="rId4356" Type="http://schemas.openxmlformats.org/officeDocument/2006/relationships/hyperlink" Target="http://force.com" TargetMode="External"/><Relationship Id="rId5688" Type="http://schemas.openxmlformats.org/officeDocument/2006/relationships/hyperlink" Target="http://force.com" TargetMode="External"/><Relationship Id="rId3024" Type="http://schemas.openxmlformats.org/officeDocument/2006/relationships/hyperlink" Target="http://force.com" TargetMode="External"/><Relationship Id="rId4355" Type="http://schemas.openxmlformats.org/officeDocument/2006/relationships/hyperlink" Target="http://force.com" TargetMode="External"/><Relationship Id="rId5689" Type="http://schemas.openxmlformats.org/officeDocument/2006/relationships/hyperlink" Target="http://force.com" TargetMode="External"/><Relationship Id="rId3027" Type="http://schemas.openxmlformats.org/officeDocument/2006/relationships/hyperlink" Target="http://force.com" TargetMode="External"/><Relationship Id="rId4358" Type="http://schemas.openxmlformats.org/officeDocument/2006/relationships/hyperlink" Target="http://force.com" TargetMode="External"/><Relationship Id="rId5686" Type="http://schemas.openxmlformats.org/officeDocument/2006/relationships/hyperlink" Target="http://force.com" TargetMode="External"/><Relationship Id="rId3026" Type="http://schemas.openxmlformats.org/officeDocument/2006/relationships/hyperlink" Target="http://force.com" TargetMode="External"/><Relationship Id="rId4357" Type="http://schemas.openxmlformats.org/officeDocument/2006/relationships/hyperlink" Target="http://force.com" TargetMode="External"/><Relationship Id="rId5687" Type="http://schemas.openxmlformats.org/officeDocument/2006/relationships/hyperlink" Target="http://force.com" TargetMode="External"/><Relationship Id="rId3050" Type="http://schemas.openxmlformats.org/officeDocument/2006/relationships/hyperlink" Target="http://force.com" TargetMode="External"/><Relationship Id="rId4381" Type="http://schemas.openxmlformats.org/officeDocument/2006/relationships/hyperlink" Target="http://force.com" TargetMode="External"/><Relationship Id="rId4380" Type="http://schemas.openxmlformats.org/officeDocument/2006/relationships/hyperlink" Target="http://force.com" TargetMode="External"/><Relationship Id="rId3052" Type="http://schemas.openxmlformats.org/officeDocument/2006/relationships/hyperlink" Target="http://force.com" TargetMode="External"/><Relationship Id="rId4383" Type="http://schemas.openxmlformats.org/officeDocument/2006/relationships/hyperlink" Target="http://force.com" TargetMode="External"/><Relationship Id="rId3051" Type="http://schemas.openxmlformats.org/officeDocument/2006/relationships/hyperlink" Target="http://force.com" TargetMode="External"/><Relationship Id="rId4382" Type="http://schemas.openxmlformats.org/officeDocument/2006/relationships/hyperlink" Target="http://force.com" TargetMode="External"/><Relationship Id="rId3054" Type="http://schemas.openxmlformats.org/officeDocument/2006/relationships/hyperlink" Target="http://force.com" TargetMode="External"/><Relationship Id="rId4385" Type="http://schemas.openxmlformats.org/officeDocument/2006/relationships/hyperlink" Target="http://force.com" TargetMode="External"/><Relationship Id="rId3053" Type="http://schemas.openxmlformats.org/officeDocument/2006/relationships/hyperlink" Target="http://force.com" TargetMode="External"/><Relationship Id="rId4384" Type="http://schemas.openxmlformats.org/officeDocument/2006/relationships/hyperlink" Target="http://force.com" TargetMode="External"/><Relationship Id="rId3056" Type="http://schemas.openxmlformats.org/officeDocument/2006/relationships/hyperlink" Target="http://force.com" TargetMode="External"/><Relationship Id="rId4387" Type="http://schemas.openxmlformats.org/officeDocument/2006/relationships/hyperlink" Target="http://force.com" TargetMode="External"/><Relationship Id="rId3055" Type="http://schemas.openxmlformats.org/officeDocument/2006/relationships/hyperlink" Target="http://force.com" TargetMode="External"/><Relationship Id="rId4386" Type="http://schemas.openxmlformats.org/officeDocument/2006/relationships/hyperlink" Target="http://force.com" TargetMode="External"/><Relationship Id="rId3058" Type="http://schemas.openxmlformats.org/officeDocument/2006/relationships/hyperlink" Target="http://force.com" TargetMode="External"/><Relationship Id="rId4389" Type="http://schemas.openxmlformats.org/officeDocument/2006/relationships/hyperlink" Target="http://force.com" TargetMode="External"/><Relationship Id="rId3057" Type="http://schemas.openxmlformats.org/officeDocument/2006/relationships/hyperlink" Target="http://force.com" TargetMode="External"/><Relationship Id="rId4388" Type="http://schemas.openxmlformats.org/officeDocument/2006/relationships/hyperlink" Target="http://force.com" TargetMode="External"/><Relationship Id="rId3059" Type="http://schemas.openxmlformats.org/officeDocument/2006/relationships/hyperlink" Target="http://force.com" TargetMode="External"/><Relationship Id="rId4370" Type="http://schemas.openxmlformats.org/officeDocument/2006/relationships/hyperlink" Target="http://force.com" TargetMode="External"/><Relationship Id="rId3041" Type="http://schemas.openxmlformats.org/officeDocument/2006/relationships/hyperlink" Target="http://force.com" TargetMode="External"/><Relationship Id="rId4372" Type="http://schemas.openxmlformats.org/officeDocument/2006/relationships/hyperlink" Target="http://force.com" TargetMode="External"/><Relationship Id="rId3040" Type="http://schemas.openxmlformats.org/officeDocument/2006/relationships/hyperlink" Target="http://force.com" TargetMode="External"/><Relationship Id="rId4371" Type="http://schemas.openxmlformats.org/officeDocument/2006/relationships/hyperlink" Target="http://force.com" TargetMode="External"/><Relationship Id="rId3043" Type="http://schemas.openxmlformats.org/officeDocument/2006/relationships/hyperlink" Target="http://force.com" TargetMode="External"/><Relationship Id="rId4374" Type="http://schemas.openxmlformats.org/officeDocument/2006/relationships/hyperlink" Target="http://force.com" TargetMode="External"/><Relationship Id="rId3042" Type="http://schemas.openxmlformats.org/officeDocument/2006/relationships/hyperlink" Target="http://force.com" TargetMode="External"/><Relationship Id="rId4373" Type="http://schemas.openxmlformats.org/officeDocument/2006/relationships/hyperlink" Target="http://force.com" TargetMode="External"/><Relationship Id="rId3045" Type="http://schemas.openxmlformats.org/officeDocument/2006/relationships/hyperlink" Target="http://force.com" TargetMode="External"/><Relationship Id="rId4376" Type="http://schemas.openxmlformats.org/officeDocument/2006/relationships/hyperlink" Target="http://force.com" TargetMode="External"/><Relationship Id="rId3044" Type="http://schemas.openxmlformats.org/officeDocument/2006/relationships/hyperlink" Target="http://force.com" TargetMode="External"/><Relationship Id="rId4375" Type="http://schemas.openxmlformats.org/officeDocument/2006/relationships/hyperlink" Target="http://force.com" TargetMode="External"/><Relationship Id="rId3047" Type="http://schemas.openxmlformats.org/officeDocument/2006/relationships/hyperlink" Target="http://force.com" TargetMode="External"/><Relationship Id="rId4378" Type="http://schemas.openxmlformats.org/officeDocument/2006/relationships/hyperlink" Target="http://force.com" TargetMode="External"/><Relationship Id="rId3046" Type="http://schemas.openxmlformats.org/officeDocument/2006/relationships/hyperlink" Target="http://force.com" TargetMode="External"/><Relationship Id="rId4377" Type="http://schemas.openxmlformats.org/officeDocument/2006/relationships/hyperlink" Target="http://force.com" TargetMode="External"/><Relationship Id="rId3049" Type="http://schemas.openxmlformats.org/officeDocument/2006/relationships/hyperlink" Target="http://force.com" TargetMode="External"/><Relationship Id="rId3048" Type="http://schemas.openxmlformats.org/officeDocument/2006/relationships/hyperlink" Target="http://force.com" TargetMode="External"/><Relationship Id="rId4379" Type="http://schemas.openxmlformats.org/officeDocument/2006/relationships/hyperlink" Target="http://force.com" TargetMode="External"/><Relationship Id="rId3911" Type="http://schemas.openxmlformats.org/officeDocument/2006/relationships/hyperlink" Target="http://force.com" TargetMode="External"/><Relationship Id="rId3910" Type="http://schemas.openxmlformats.org/officeDocument/2006/relationships/hyperlink" Target="http://force.com" TargetMode="External"/><Relationship Id="rId3913" Type="http://schemas.openxmlformats.org/officeDocument/2006/relationships/hyperlink" Target="http://force.com" TargetMode="External"/><Relationship Id="rId3912" Type="http://schemas.openxmlformats.org/officeDocument/2006/relationships/hyperlink" Target="http://force.com" TargetMode="External"/><Relationship Id="rId3915" Type="http://schemas.openxmlformats.org/officeDocument/2006/relationships/hyperlink" Target="http://force.com" TargetMode="External"/><Relationship Id="rId3914" Type="http://schemas.openxmlformats.org/officeDocument/2006/relationships/hyperlink" Target="http://force.com" TargetMode="External"/><Relationship Id="rId3917" Type="http://schemas.openxmlformats.org/officeDocument/2006/relationships/hyperlink" Target="http://force.com" TargetMode="External"/><Relationship Id="rId3916" Type="http://schemas.openxmlformats.org/officeDocument/2006/relationships/hyperlink" Target="http://force.com" TargetMode="External"/><Relationship Id="rId3919" Type="http://schemas.openxmlformats.org/officeDocument/2006/relationships/hyperlink" Target="http://force.com" TargetMode="External"/><Relationship Id="rId3918" Type="http://schemas.openxmlformats.org/officeDocument/2006/relationships/hyperlink" Target="http://force.com" TargetMode="External"/><Relationship Id="rId3900" Type="http://schemas.openxmlformats.org/officeDocument/2006/relationships/hyperlink" Target="http://force.com" TargetMode="External"/><Relationship Id="rId3902" Type="http://schemas.openxmlformats.org/officeDocument/2006/relationships/hyperlink" Target="http://force.com" TargetMode="External"/><Relationship Id="rId3901" Type="http://schemas.openxmlformats.org/officeDocument/2006/relationships/hyperlink" Target="http://force.com" TargetMode="External"/><Relationship Id="rId3904" Type="http://schemas.openxmlformats.org/officeDocument/2006/relationships/hyperlink" Target="http://force.com" TargetMode="External"/><Relationship Id="rId3903" Type="http://schemas.openxmlformats.org/officeDocument/2006/relationships/hyperlink" Target="http://force.com" TargetMode="External"/><Relationship Id="rId3906" Type="http://schemas.openxmlformats.org/officeDocument/2006/relationships/hyperlink" Target="http://force.com" TargetMode="External"/><Relationship Id="rId3905" Type="http://schemas.openxmlformats.org/officeDocument/2006/relationships/hyperlink" Target="http://force.com" TargetMode="External"/><Relationship Id="rId3908" Type="http://schemas.openxmlformats.org/officeDocument/2006/relationships/hyperlink" Target="http://force.com" TargetMode="External"/><Relationship Id="rId3907" Type="http://schemas.openxmlformats.org/officeDocument/2006/relationships/hyperlink" Target="http://force.com" TargetMode="External"/><Relationship Id="rId3909" Type="http://schemas.openxmlformats.org/officeDocument/2006/relationships/hyperlink" Target="http://force.com" TargetMode="External"/><Relationship Id="rId3931" Type="http://schemas.openxmlformats.org/officeDocument/2006/relationships/hyperlink" Target="http://force.com" TargetMode="External"/><Relationship Id="rId2600" Type="http://schemas.openxmlformats.org/officeDocument/2006/relationships/hyperlink" Target="http://force.com" TargetMode="External"/><Relationship Id="rId3930" Type="http://schemas.openxmlformats.org/officeDocument/2006/relationships/hyperlink" Target="http://force.com" TargetMode="External"/><Relationship Id="rId2601" Type="http://schemas.openxmlformats.org/officeDocument/2006/relationships/hyperlink" Target="http://force.com" TargetMode="External"/><Relationship Id="rId3933" Type="http://schemas.openxmlformats.org/officeDocument/2006/relationships/hyperlink" Target="http://force.com" TargetMode="External"/><Relationship Id="rId2602" Type="http://schemas.openxmlformats.org/officeDocument/2006/relationships/hyperlink" Target="http://force.com" TargetMode="External"/><Relationship Id="rId3932" Type="http://schemas.openxmlformats.org/officeDocument/2006/relationships/hyperlink" Target="http://force.com" TargetMode="External"/><Relationship Id="rId2603" Type="http://schemas.openxmlformats.org/officeDocument/2006/relationships/hyperlink" Target="http://force.com" TargetMode="External"/><Relationship Id="rId3935" Type="http://schemas.openxmlformats.org/officeDocument/2006/relationships/hyperlink" Target="http://force.com" TargetMode="External"/><Relationship Id="rId2604" Type="http://schemas.openxmlformats.org/officeDocument/2006/relationships/hyperlink" Target="http://force.com" TargetMode="External"/><Relationship Id="rId3934" Type="http://schemas.openxmlformats.org/officeDocument/2006/relationships/hyperlink" Target="http://force.com" TargetMode="External"/><Relationship Id="rId2605" Type="http://schemas.openxmlformats.org/officeDocument/2006/relationships/hyperlink" Target="http://force.com" TargetMode="External"/><Relationship Id="rId3937" Type="http://schemas.openxmlformats.org/officeDocument/2006/relationships/hyperlink" Target="http://force.com" TargetMode="External"/><Relationship Id="rId2606" Type="http://schemas.openxmlformats.org/officeDocument/2006/relationships/hyperlink" Target="http://force.com" TargetMode="External"/><Relationship Id="rId3936" Type="http://schemas.openxmlformats.org/officeDocument/2006/relationships/hyperlink" Target="http://force.com" TargetMode="External"/><Relationship Id="rId808" Type="http://schemas.openxmlformats.org/officeDocument/2006/relationships/hyperlink" Target="http://force.com" TargetMode="External"/><Relationship Id="rId2607" Type="http://schemas.openxmlformats.org/officeDocument/2006/relationships/hyperlink" Target="http://force.com" TargetMode="External"/><Relationship Id="rId3939" Type="http://schemas.openxmlformats.org/officeDocument/2006/relationships/hyperlink" Target="http://force.com" TargetMode="External"/><Relationship Id="rId807" Type="http://schemas.openxmlformats.org/officeDocument/2006/relationships/hyperlink" Target="http://force.com" TargetMode="External"/><Relationship Id="rId2608" Type="http://schemas.openxmlformats.org/officeDocument/2006/relationships/hyperlink" Target="http://force.com" TargetMode="External"/><Relationship Id="rId3938" Type="http://schemas.openxmlformats.org/officeDocument/2006/relationships/hyperlink" Target="http://force.com" TargetMode="External"/><Relationship Id="rId806" Type="http://schemas.openxmlformats.org/officeDocument/2006/relationships/hyperlink" Target="http://force.com" TargetMode="External"/><Relationship Id="rId2609" Type="http://schemas.openxmlformats.org/officeDocument/2006/relationships/hyperlink" Target="http://force.com" TargetMode="External"/><Relationship Id="rId805" Type="http://schemas.openxmlformats.org/officeDocument/2006/relationships/hyperlink" Target="http://force.com" TargetMode="External"/><Relationship Id="rId809" Type="http://schemas.openxmlformats.org/officeDocument/2006/relationships/hyperlink" Target="http://force.com" TargetMode="External"/><Relationship Id="rId800" Type="http://schemas.openxmlformats.org/officeDocument/2006/relationships/hyperlink" Target="http://force.com" TargetMode="External"/><Relationship Id="rId804" Type="http://schemas.openxmlformats.org/officeDocument/2006/relationships/hyperlink" Target="http://force.com" TargetMode="External"/><Relationship Id="rId803" Type="http://schemas.openxmlformats.org/officeDocument/2006/relationships/hyperlink" Target="http://force.com" TargetMode="External"/><Relationship Id="rId802" Type="http://schemas.openxmlformats.org/officeDocument/2006/relationships/hyperlink" Target="http://force.com" TargetMode="External"/><Relationship Id="rId801" Type="http://schemas.openxmlformats.org/officeDocument/2006/relationships/hyperlink" Target="http://force.com" TargetMode="External"/><Relationship Id="rId3920" Type="http://schemas.openxmlformats.org/officeDocument/2006/relationships/hyperlink" Target="http://force.com" TargetMode="External"/><Relationship Id="rId3922" Type="http://schemas.openxmlformats.org/officeDocument/2006/relationships/hyperlink" Target="http://force.com" TargetMode="External"/><Relationship Id="rId3921" Type="http://schemas.openxmlformats.org/officeDocument/2006/relationships/hyperlink" Target="http://force.com" TargetMode="External"/><Relationship Id="rId3924" Type="http://schemas.openxmlformats.org/officeDocument/2006/relationships/hyperlink" Target="http://force.com" TargetMode="External"/><Relationship Id="rId3923" Type="http://schemas.openxmlformats.org/officeDocument/2006/relationships/hyperlink" Target="http://force.com" TargetMode="External"/><Relationship Id="rId3926" Type="http://schemas.openxmlformats.org/officeDocument/2006/relationships/hyperlink" Target="http://force.com" TargetMode="External"/><Relationship Id="rId3925" Type="http://schemas.openxmlformats.org/officeDocument/2006/relationships/hyperlink" Target="http://force.com" TargetMode="External"/><Relationship Id="rId3928" Type="http://schemas.openxmlformats.org/officeDocument/2006/relationships/hyperlink" Target="http://force.com" TargetMode="External"/><Relationship Id="rId3927" Type="http://schemas.openxmlformats.org/officeDocument/2006/relationships/hyperlink" Target="http://force.com" TargetMode="External"/><Relationship Id="rId3929" Type="http://schemas.openxmlformats.org/officeDocument/2006/relationships/hyperlink" Target="http://force.com" TargetMode="External"/><Relationship Id="rId1334" Type="http://schemas.openxmlformats.org/officeDocument/2006/relationships/hyperlink" Target="http://force.com" TargetMode="External"/><Relationship Id="rId2665" Type="http://schemas.openxmlformats.org/officeDocument/2006/relationships/hyperlink" Target="http://force.com" TargetMode="External"/><Relationship Id="rId3997" Type="http://schemas.openxmlformats.org/officeDocument/2006/relationships/hyperlink" Target="http://force.com" TargetMode="External"/><Relationship Id="rId1335" Type="http://schemas.openxmlformats.org/officeDocument/2006/relationships/hyperlink" Target="http://force.com" TargetMode="External"/><Relationship Id="rId2666" Type="http://schemas.openxmlformats.org/officeDocument/2006/relationships/hyperlink" Target="http://force.com" TargetMode="External"/><Relationship Id="rId3996" Type="http://schemas.openxmlformats.org/officeDocument/2006/relationships/hyperlink" Target="http://force.com" TargetMode="External"/><Relationship Id="rId1336" Type="http://schemas.openxmlformats.org/officeDocument/2006/relationships/hyperlink" Target="http://force.com" TargetMode="External"/><Relationship Id="rId2667" Type="http://schemas.openxmlformats.org/officeDocument/2006/relationships/hyperlink" Target="http://force.com" TargetMode="External"/><Relationship Id="rId3999" Type="http://schemas.openxmlformats.org/officeDocument/2006/relationships/hyperlink" Target="http://force.com" TargetMode="External"/><Relationship Id="rId1337" Type="http://schemas.openxmlformats.org/officeDocument/2006/relationships/hyperlink" Target="http://force.com" TargetMode="External"/><Relationship Id="rId2668" Type="http://schemas.openxmlformats.org/officeDocument/2006/relationships/hyperlink" Target="http://force.com" TargetMode="External"/><Relationship Id="rId3998" Type="http://schemas.openxmlformats.org/officeDocument/2006/relationships/hyperlink" Target="http://force.com" TargetMode="External"/><Relationship Id="rId1338" Type="http://schemas.openxmlformats.org/officeDocument/2006/relationships/hyperlink" Target="http://force.com" TargetMode="External"/><Relationship Id="rId2669" Type="http://schemas.openxmlformats.org/officeDocument/2006/relationships/hyperlink" Target="http://force.com" TargetMode="External"/><Relationship Id="rId1339" Type="http://schemas.openxmlformats.org/officeDocument/2006/relationships/hyperlink" Target="http://force.com" TargetMode="External"/><Relationship Id="rId745" Type="http://schemas.openxmlformats.org/officeDocument/2006/relationships/hyperlink" Target="http://force.com" TargetMode="External"/><Relationship Id="rId744" Type="http://schemas.openxmlformats.org/officeDocument/2006/relationships/hyperlink" Target="http://force.com" TargetMode="External"/><Relationship Id="rId743" Type="http://schemas.openxmlformats.org/officeDocument/2006/relationships/hyperlink" Target="http://force.com" TargetMode="External"/><Relationship Id="rId742" Type="http://schemas.openxmlformats.org/officeDocument/2006/relationships/hyperlink" Target="http://force.com" TargetMode="External"/><Relationship Id="rId749" Type="http://schemas.openxmlformats.org/officeDocument/2006/relationships/hyperlink" Target="http://force.com" TargetMode="External"/><Relationship Id="rId748" Type="http://schemas.openxmlformats.org/officeDocument/2006/relationships/hyperlink" Target="http://force.com" TargetMode="External"/><Relationship Id="rId747" Type="http://schemas.openxmlformats.org/officeDocument/2006/relationships/hyperlink" Target="http://force.com" TargetMode="External"/><Relationship Id="rId746" Type="http://schemas.openxmlformats.org/officeDocument/2006/relationships/hyperlink" Target="http://force.com" TargetMode="External"/><Relationship Id="rId3991" Type="http://schemas.openxmlformats.org/officeDocument/2006/relationships/hyperlink" Target="http://force.com" TargetMode="External"/><Relationship Id="rId2660" Type="http://schemas.openxmlformats.org/officeDocument/2006/relationships/hyperlink" Target="http://force.com" TargetMode="External"/><Relationship Id="rId3990" Type="http://schemas.openxmlformats.org/officeDocument/2006/relationships/hyperlink" Target="http://force.com" TargetMode="External"/><Relationship Id="rId741" Type="http://schemas.openxmlformats.org/officeDocument/2006/relationships/hyperlink" Target="http://force.com" TargetMode="External"/><Relationship Id="rId1330" Type="http://schemas.openxmlformats.org/officeDocument/2006/relationships/hyperlink" Target="http://force.com" TargetMode="External"/><Relationship Id="rId2661" Type="http://schemas.openxmlformats.org/officeDocument/2006/relationships/hyperlink" Target="http://force.com" TargetMode="External"/><Relationship Id="rId3993" Type="http://schemas.openxmlformats.org/officeDocument/2006/relationships/hyperlink" Target="http://force.com" TargetMode="External"/><Relationship Id="rId740" Type="http://schemas.openxmlformats.org/officeDocument/2006/relationships/hyperlink" Target="http://force.com" TargetMode="External"/><Relationship Id="rId1331" Type="http://schemas.openxmlformats.org/officeDocument/2006/relationships/hyperlink" Target="http://force.com" TargetMode="External"/><Relationship Id="rId2662" Type="http://schemas.openxmlformats.org/officeDocument/2006/relationships/hyperlink" Target="http://force.com" TargetMode="External"/><Relationship Id="rId3992" Type="http://schemas.openxmlformats.org/officeDocument/2006/relationships/hyperlink" Target="http://force.com" TargetMode="External"/><Relationship Id="rId1332" Type="http://schemas.openxmlformats.org/officeDocument/2006/relationships/hyperlink" Target="http://force.com" TargetMode="External"/><Relationship Id="rId2663" Type="http://schemas.openxmlformats.org/officeDocument/2006/relationships/hyperlink" Target="http://force.com" TargetMode="External"/><Relationship Id="rId3995" Type="http://schemas.openxmlformats.org/officeDocument/2006/relationships/hyperlink" Target="http://force.com" TargetMode="External"/><Relationship Id="rId1333" Type="http://schemas.openxmlformats.org/officeDocument/2006/relationships/hyperlink" Target="http://force.com" TargetMode="External"/><Relationship Id="rId2664" Type="http://schemas.openxmlformats.org/officeDocument/2006/relationships/hyperlink" Target="http://force.com" TargetMode="External"/><Relationship Id="rId3994" Type="http://schemas.openxmlformats.org/officeDocument/2006/relationships/hyperlink" Target="http://force.com" TargetMode="External"/><Relationship Id="rId1323" Type="http://schemas.openxmlformats.org/officeDocument/2006/relationships/hyperlink" Target="http://force.com" TargetMode="External"/><Relationship Id="rId2654" Type="http://schemas.openxmlformats.org/officeDocument/2006/relationships/hyperlink" Target="http://force.com" TargetMode="External"/><Relationship Id="rId3986" Type="http://schemas.openxmlformats.org/officeDocument/2006/relationships/hyperlink" Target="http://force.com" TargetMode="External"/><Relationship Id="rId1324" Type="http://schemas.openxmlformats.org/officeDocument/2006/relationships/hyperlink" Target="http://force.com" TargetMode="External"/><Relationship Id="rId2655" Type="http://schemas.openxmlformats.org/officeDocument/2006/relationships/hyperlink" Target="http://force.com" TargetMode="External"/><Relationship Id="rId3985" Type="http://schemas.openxmlformats.org/officeDocument/2006/relationships/hyperlink" Target="http://force.com" TargetMode="External"/><Relationship Id="rId1325" Type="http://schemas.openxmlformats.org/officeDocument/2006/relationships/hyperlink" Target="http://force.com" TargetMode="External"/><Relationship Id="rId2656" Type="http://schemas.openxmlformats.org/officeDocument/2006/relationships/hyperlink" Target="http://force.com" TargetMode="External"/><Relationship Id="rId3988" Type="http://schemas.openxmlformats.org/officeDocument/2006/relationships/hyperlink" Target="http://force.com" TargetMode="External"/><Relationship Id="rId1326" Type="http://schemas.openxmlformats.org/officeDocument/2006/relationships/hyperlink" Target="http://force.com" TargetMode="External"/><Relationship Id="rId2657" Type="http://schemas.openxmlformats.org/officeDocument/2006/relationships/hyperlink" Target="http://force.com" TargetMode="External"/><Relationship Id="rId3987" Type="http://schemas.openxmlformats.org/officeDocument/2006/relationships/hyperlink" Target="http://force.com" TargetMode="External"/><Relationship Id="rId1327" Type="http://schemas.openxmlformats.org/officeDocument/2006/relationships/hyperlink" Target="http://force.com" TargetMode="External"/><Relationship Id="rId2658" Type="http://schemas.openxmlformats.org/officeDocument/2006/relationships/hyperlink" Target="http://force.com" TargetMode="External"/><Relationship Id="rId1328" Type="http://schemas.openxmlformats.org/officeDocument/2006/relationships/hyperlink" Target="http://force.com" TargetMode="External"/><Relationship Id="rId2659" Type="http://schemas.openxmlformats.org/officeDocument/2006/relationships/hyperlink" Target="http://force.com" TargetMode="External"/><Relationship Id="rId3989" Type="http://schemas.openxmlformats.org/officeDocument/2006/relationships/hyperlink" Target="http://force.com" TargetMode="External"/><Relationship Id="rId1329" Type="http://schemas.openxmlformats.org/officeDocument/2006/relationships/hyperlink" Target="http://force.com" TargetMode="External"/><Relationship Id="rId739" Type="http://schemas.openxmlformats.org/officeDocument/2006/relationships/hyperlink" Target="http://force.com" TargetMode="External"/><Relationship Id="rId734" Type="http://schemas.openxmlformats.org/officeDocument/2006/relationships/hyperlink" Target="http://force.com" TargetMode="External"/><Relationship Id="rId733" Type="http://schemas.openxmlformats.org/officeDocument/2006/relationships/hyperlink" Target="http://force.com" TargetMode="External"/><Relationship Id="rId732" Type="http://schemas.openxmlformats.org/officeDocument/2006/relationships/hyperlink" Target="http://force.com" TargetMode="External"/><Relationship Id="rId731" Type="http://schemas.openxmlformats.org/officeDocument/2006/relationships/hyperlink" Target="http://force.com" TargetMode="External"/><Relationship Id="rId738" Type="http://schemas.openxmlformats.org/officeDocument/2006/relationships/hyperlink" Target="http://force.com" TargetMode="External"/><Relationship Id="rId737" Type="http://schemas.openxmlformats.org/officeDocument/2006/relationships/hyperlink" Target="http://force.com" TargetMode="External"/><Relationship Id="rId736" Type="http://schemas.openxmlformats.org/officeDocument/2006/relationships/hyperlink" Target="http://force.com" TargetMode="External"/><Relationship Id="rId735" Type="http://schemas.openxmlformats.org/officeDocument/2006/relationships/hyperlink" Target="http://force.com" TargetMode="External"/><Relationship Id="rId3980" Type="http://schemas.openxmlformats.org/officeDocument/2006/relationships/hyperlink" Target="http://force.com" TargetMode="External"/><Relationship Id="rId730" Type="http://schemas.openxmlformats.org/officeDocument/2006/relationships/hyperlink" Target="http://force.com" TargetMode="External"/><Relationship Id="rId2650" Type="http://schemas.openxmlformats.org/officeDocument/2006/relationships/hyperlink" Target="http://force.com" TargetMode="External"/><Relationship Id="rId3982" Type="http://schemas.openxmlformats.org/officeDocument/2006/relationships/hyperlink" Target="http://force.com" TargetMode="External"/><Relationship Id="rId1320" Type="http://schemas.openxmlformats.org/officeDocument/2006/relationships/hyperlink" Target="http://force.com" TargetMode="External"/><Relationship Id="rId2651" Type="http://schemas.openxmlformats.org/officeDocument/2006/relationships/hyperlink" Target="http://force.com" TargetMode="External"/><Relationship Id="rId3981" Type="http://schemas.openxmlformats.org/officeDocument/2006/relationships/hyperlink" Target="http://force.com" TargetMode="External"/><Relationship Id="rId1321" Type="http://schemas.openxmlformats.org/officeDocument/2006/relationships/hyperlink" Target="http://force.com" TargetMode="External"/><Relationship Id="rId2652" Type="http://schemas.openxmlformats.org/officeDocument/2006/relationships/hyperlink" Target="http://force.com" TargetMode="External"/><Relationship Id="rId3984" Type="http://schemas.openxmlformats.org/officeDocument/2006/relationships/hyperlink" Target="http://force.com" TargetMode="External"/><Relationship Id="rId1322" Type="http://schemas.openxmlformats.org/officeDocument/2006/relationships/hyperlink" Target="http://force.com" TargetMode="External"/><Relationship Id="rId2653" Type="http://schemas.openxmlformats.org/officeDocument/2006/relationships/hyperlink" Target="http://force.com" TargetMode="External"/><Relationship Id="rId3983" Type="http://schemas.openxmlformats.org/officeDocument/2006/relationships/hyperlink" Target="http://force.com" TargetMode="External"/><Relationship Id="rId1356" Type="http://schemas.openxmlformats.org/officeDocument/2006/relationships/hyperlink" Target="http://force.com" TargetMode="External"/><Relationship Id="rId2687" Type="http://schemas.openxmlformats.org/officeDocument/2006/relationships/hyperlink" Target="http://force.com" TargetMode="External"/><Relationship Id="rId5714" Type="http://schemas.openxmlformats.org/officeDocument/2006/relationships/hyperlink" Target="http://force.com" TargetMode="External"/><Relationship Id="rId1357" Type="http://schemas.openxmlformats.org/officeDocument/2006/relationships/hyperlink" Target="http://force.com" TargetMode="External"/><Relationship Id="rId2688" Type="http://schemas.openxmlformats.org/officeDocument/2006/relationships/hyperlink" Target="http://force.com" TargetMode="External"/><Relationship Id="rId5715" Type="http://schemas.openxmlformats.org/officeDocument/2006/relationships/hyperlink" Target="http://force.com" TargetMode="External"/><Relationship Id="rId1358" Type="http://schemas.openxmlformats.org/officeDocument/2006/relationships/hyperlink" Target="http://force.com" TargetMode="External"/><Relationship Id="rId2689" Type="http://schemas.openxmlformats.org/officeDocument/2006/relationships/hyperlink" Target="http://force.com" TargetMode="External"/><Relationship Id="rId5712" Type="http://schemas.openxmlformats.org/officeDocument/2006/relationships/hyperlink" Target="http://force.com" TargetMode="External"/><Relationship Id="rId1359" Type="http://schemas.openxmlformats.org/officeDocument/2006/relationships/hyperlink" Target="http://force.com" TargetMode="External"/><Relationship Id="rId5713" Type="http://schemas.openxmlformats.org/officeDocument/2006/relationships/hyperlink" Target="http://force.com" TargetMode="External"/><Relationship Id="rId5718" Type="http://schemas.openxmlformats.org/officeDocument/2006/relationships/hyperlink" Target="http://force.com" TargetMode="External"/><Relationship Id="rId5719" Type="http://schemas.openxmlformats.org/officeDocument/2006/relationships/hyperlink" Target="http://force.com" TargetMode="External"/><Relationship Id="rId5716" Type="http://schemas.openxmlformats.org/officeDocument/2006/relationships/hyperlink" Target="http://force.com" TargetMode="External"/><Relationship Id="rId5717" Type="http://schemas.openxmlformats.org/officeDocument/2006/relationships/hyperlink" Target="http://force.com" TargetMode="External"/><Relationship Id="rId767" Type="http://schemas.openxmlformats.org/officeDocument/2006/relationships/hyperlink" Target="http://force.com" TargetMode="External"/><Relationship Id="rId766" Type="http://schemas.openxmlformats.org/officeDocument/2006/relationships/hyperlink" Target="http://force.com" TargetMode="External"/><Relationship Id="rId765" Type="http://schemas.openxmlformats.org/officeDocument/2006/relationships/hyperlink" Target="http://force.com" TargetMode="External"/><Relationship Id="rId764" Type="http://schemas.openxmlformats.org/officeDocument/2006/relationships/hyperlink" Target="http://force.com" TargetMode="External"/><Relationship Id="rId769" Type="http://schemas.openxmlformats.org/officeDocument/2006/relationships/hyperlink" Target="http://force.com" TargetMode="External"/><Relationship Id="rId768" Type="http://schemas.openxmlformats.org/officeDocument/2006/relationships/hyperlink" Target="http://force.com" TargetMode="External"/><Relationship Id="rId2680" Type="http://schemas.openxmlformats.org/officeDocument/2006/relationships/hyperlink" Target="http://force.com" TargetMode="External"/><Relationship Id="rId1350" Type="http://schemas.openxmlformats.org/officeDocument/2006/relationships/hyperlink" Target="http://force.com" TargetMode="External"/><Relationship Id="rId2681" Type="http://schemas.openxmlformats.org/officeDocument/2006/relationships/hyperlink" Target="http://force.com" TargetMode="External"/><Relationship Id="rId1351" Type="http://schemas.openxmlformats.org/officeDocument/2006/relationships/hyperlink" Target="http://force.com" TargetMode="External"/><Relationship Id="rId2682" Type="http://schemas.openxmlformats.org/officeDocument/2006/relationships/hyperlink" Target="http://force.com" TargetMode="External"/><Relationship Id="rId763" Type="http://schemas.openxmlformats.org/officeDocument/2006/relationships/hyperlink" Target="http://force.com" TargetMode="External"/><Relationship Id="rId1352" Type="http://schemas.openxmlformats.org/officeDocument/2006/relationships/hyperlink" Target="http://force.com" TargetMode="External"/><Relationship Id="rId2683" Type="http://schemas.openxmlformats.org/officeDocument/2006/relationships/hyperlink" Target="http://force.com" TargetMode="External"/><Relationship Id="rId5710" Type="http://schemas.openxmlformats.org/officeDocument/2006/relationships/hyperlink" Target="http://force.com" TargetMode="External"/><Relationship Id="rId762" Type="http://schemas.openxmlformats.org/officeDocument/2006/relationships/hyperlink" Target="http://force.com" TargetMode="External"/><Relationship Id="rId1353" Type="http://schemas.openxmlformats.org/officeDocument/2006/relationships/hyperlink" Target="http://force.com" TargetMode="External"/><Relationship Id="rId2684" Type="http://schemas.openxmlformats.org/officeDocument/2006/relationships/hyperlink" Target="http://force.com" TargetMode="External"/><Relationship Id="rId5711" Type="http://schemas.openxmlformats.org/officeDocument/2006/relationships/hyperlink" Target="http://force.com" TargetMode="External"/><Relationship Id="rId761" Type="http://schemas.openxmlformats.org/officeDocument/2006/relationships/hyperlink" Target="http://force.com" TargetMode="External"/><Relationship Id="rId1354" Type="http://schemas.openxmlformats.org/officeDocument/2006/relationships/hyperlink" Target="http://force.com" TargetMode="External"/><Relationship Id="rId2685" Type="http://schemas.openxmlformats.org/officeDocument/2006/relationships/hyperlink" Target="http://force.com" TargetMode="External"/><Relationship Id="rId760" Type="http://schemas.openxmlformats.org/officeDocument/2006/relationships/hyperlink" Target="http://force.com" TargetMode="External"/><Relationship Id="rId1355" Type="http://schemas.openxmlformats.org/officeDocument/2006/relationships/hyperlink" Target="http://force.com" TargetMode="External"/><Relationship Id="rId2686" Type="http://schemas.openxmlformats.org/officeDocument/2006/relationships/hyperlink" Target="http://force.com" TargetMode="External"/><Relationship Id="rId1345" Type="http://schemas.openxmlformats.org/officeDocument/2006/relationships/hyperlink" Target="http://force.com" TargetMode="External"/><Relationship Id="rId2676" Type="http://schemas.openxmlformats.org/officeDocument/2006/relationships/hyperlink" Target="http://force.com" TargetMode="External"/><Relationship Id="rId5703" Type="http://schemas.openxmlformats.org/officeDocument/2006/relationships/hyperlink" Target="http://force.com" TargetMode="External"/><Relationship Id="rId1346" Type="http://schemas.openxmlformats.org/officeDocument/2006/relationships/hyperlink" Target="http://force.com" TargetMode="External"/><Relationship Id="rId2677" Type="http://schemas.openxmlformats.org/officeDocument/2006/relationships/hyperlink" Target="http://force.com" TargetMode="External"/><Relationship Id="rId5704" Type="http://schemas.openxmlformats.org/officeDocument/2006/relationships/hyperlink" Target="http://force.com" TargetMode="External"/><Relationship Id="rId1347" Type="http://schemas.openxmlformats.org/officeDocument/2006/relationships/hyperlink" Target="http://force.com" TargetMode="External"/><Relationship Id="rId2678" Type="http://schemas.openxmlformats.org/officeDocument/2006/relationships/hyperlink" Target="http://force.com" TargetMode="External"/><Relationship Id="rId5701" Type="http://schemas.openxmlformats.org/officeDocument/2006/relationships/hyperlink" Target="http://force.com" TargetMode="External"/><Relationship Id="rId1348" Type="http://schemas.openxmlformats.org/officeDocument/2006/relationships/hyperlink" Target="http://force.com" TargetMode="External"/><Relationship Id="rId2679" Type="http://schemas.openxmlformats.org/officeDocument/2006/relationships/hyperlink" Target="http://force.com" TargetMode="External"/><Relationship Id="rId5702" Type="http://schemas.openxmlformats.org/officeDocument/2006/relationships/hyperlink" Target="http://force.com" TargetMode="External"/><Relationship Id="rId1349" Type="http://schemas.openxmlformats.org/officeDocument/2006/relationships/hyperlink" Target="http://force.com" TargetMode="External"/><Relationship Id="rId5707" Type="http://schemas.openxmlformats.org/officeDocument/2006/relationships/hyperlink" Target="http://force.com" TargetMode="External"/><Relationship Id="rId5708" Type="http://schemas.openxmlformats.org/officeDocument/2006/relationships/hyperlink" Target="http://force.com" TargetMode="External"/><Relationship Id="rId5705" Type="http://schemas.openxmlformats.org/officeDocument/2006/relationships/hyperlink" Target="http://force.com" TargetMode="External"/><Relationship Id="rId5706" Type="http://schemas.openxmlformats.org/officeDocument/2006/relationships/hyperlink" Target="http://force.com" TargetMode="External"/><Relationship Id="rId5709" Type="http://schemas.openxmlformats.org/officeDocument/2006/relationships/hyperlink" Target="http://force.com" TargetMode="External"/><Relationship Id="rId756" Type="http://schemas.openxmlformats.org/officeDocument/2006/relationships/hyperlink" Target="http://force.com" TargetMode="External"/><Relationship Id="rId755" Type="http://schemas.openxmlformats.org/officeDocument/2006/relationships/hyperlink" Target="http://force.com" TargetMode="External"/><Relationship Id="rId754" Type="http://schemas.openxmlformats.org/officeDocument/2006/relationships/hyperlink" Target="http://force.com" TargetMode="External"/><Relationship Id="rId753" Type="http://schemas.openxmlformats.org/officeDocument/2006/relationships/hyperlink" Target="http://force.com" TargetMode="External"/><Relationship Id="rId759" Type="http://schemas.openxmlformats.org/officeDocument/2006/relationships/hyperlink" Target="http://force.com" TargetMode="External"/><Relationship Id="rId758" Type="http://schemas.openxmlformats.org/officeDocument/2006/relationships/hyperlink" Target="http://force.com" TargetMode="External"/><Relationship Id="rId757" Type="http://schemas.openxmlformats.org/officeDocument/2006/relationships/hyperlink" Target="http://force.com" TargetMode="External"/><Relationship Id="rId2670" Type="http://schemas.openxmlformats.org/officeDocument/2006/relationships/hyperlink" Target="http://force.com" TargetMode="External"/><Relationship Id="rId1340" Type="http://schemas.openxmlformats.org/officeDocument/2006/relationships/hyperlink" Target="http://force.com" TargetMode="External"/><Relationship Id="rId2671" Type="http://schemas.openxmlformats.org/officeDocument/2006/relationships/hyperlink" Target="http://force.com" TargetMode="External"/><Relationship Id="rId752" Type="http://schemas.openxmlformats.org/officeDocument/2006/relationships/hyperlink" Target="http://force.com" TargetMode="External"/><Relationship Id="rId1341" Type="http://schemas.openxmlformats.org/officeDocument/2006/relationships/hyperlink" Target="http://force.com" TargetMode="External"/><Relationship Id="rId2672" Type="http://schemas.openxmlformats.org/officeDocument/2006/relationships/hyperlink" Target="http://force.com" TargetMode="External"/><Relationship Id="rId751" Type="http://schemas.openxmlformats.org/officeDocument/2006/relationships/hyperlink" Target="http://force.com" TargetMode="External"/><Relationship Id="rId1342" Type="http://schemas.openxmlformats.org/officeDocument/2006/relationships/hyperlink" Target="http://force.com" TargetMode="External"/><Relationship Id="rId2673" Type="http://schemas.openxmlformats.org/officeDocument/2006/relationships/hyperlink" Target="http://force.com" TargetMode="External"/><Relationship Id="rId5700" Type="http://schemas.openxmlformats.org/officeDocument/2006/relationships/hyperlink" Target="http://force.com" TargetMode="External"/><Relationship Id="rId750" Type="http://schemas.openxmlformats.org/officeDocument/2006/relationships/hyperlink" Target="http://force.com" TargetMode="External"/><Relationship Id="rId1343" Type="http://schemas.openxmlformats.org/officeDocument/2006/relationships/hyperlink" Target="http://force.com" TargetMode="External"/><Relationship Id="rId2674" Type="http://schemas.openxmlformats.org/officeDocument/2006/relationships/hyperlink" Target="http://force.com" TargetMode="External"/><Relationship Id="rId1344" Type="http://schemas.openxmlformats.org/officeDocument/2006/relationships/hyperlink" Target="http://force.com" TargetMode="External"/><Relationship Id="rId2675" Type="http://schemas.openxmlformats.org/officeDocument/2006/relationships/hyperlink" Target="http://force.com" TargetMode="External"/><Relationship Id="rId2621" Type="http://schemas.openxmlformats.org/officeDocument/2006/relationships/hyperlink" Target="http://force.com" TargetMode="External"/><Relationship Id="rId3953" Type="http://schemas.openxmlformats.org/officeDocument/2006/relationships/hyperlink" Target="http://force.com" TargetMode="External"/><Relationship Id="rId2622" Type="http://schemas.openxmlformats.org/officeDocument/2006/relationships/hyperlink" Target="http://force.com" TargetMode="External"/><Relationship Id="rId3952" Type="http://schemas.openxmlformats.org/officeDocument/2006/relationships/hyperlink" Target="http://force.com" TargetMode="External"/><Relationship Id="rId2623" Type="http://schemas.openxmlformats.org/officeDocument/2006/relationships/hyperlink" Target="http://force.com" TargetMode="External"/><Relationship Id="rId3955" Type="http://schemas.openxmlformats.org/officeDocument/2006/relationships/hyperlink" Target="http://force.com" TargetMode="External"/><Relationship Id="rId2624" Type="http://schemas.openxmlformats.org/officeDocument/2006/relationships/hyperlink" Target="http://force.com" TargetMode="External"/><Relationship Id="rId3954" Type="http://schemas.openxmlformats.org/officeDocument/2006/relationships/hyperlink" Target="http://force.com" TargetMode="External"/><Relationship Id="rId2625" Type="http://schemas.openxmlformats.org/officeDocument/2006/relationships/hyperlink" Target="http://force.com" TargetMode="External"/><Relationship Id="rId3957" Type="http://schemas.openxmlformats.org/officeDocument/2006/relationships/hyperlink" Target="http://force.com" TargetMode="External"/><Relationship Id="rId2626" Type="http://schemas.openxmlformats.org/officeDocument/2006/relationships/hyperlink" Target="http://force.com" TargetMode="External"/><Relationship Id="rId3956" Type="http://schemas.openxmlformats.org/officeDocument/2006/relationships/hyperlink" Target="http://force.com" TargetMode="External"/><Relationship Id="rId2627" Type="http://schemas.openxmlformats.org/officeDocument/2006/relationships/hyperlink" Target="http://force.com" TargetMode="External"/><Relationship Id="rId3959" Type="http://schemas.openxmlformats.org/officeDocument/2006/relationships/hyperlink" Target="http://force.com" TargetMode="External"/><Relationship Id="rId2628" Type="http://schemas.openxmlformats.org/officeDocument/2006/relationships/hyperlink" Target="http://force.com" TargetMode="External"/><Relationship Id="rId3958" Type="http://schemas.openxmlformats.org/officeDocument/2006/relationships/hyperlink" Target="http://force.com" TargetMode="External"/><Relationship Id="rId709" Type="http://schemas.openxmlformats.org/officeDocument/2006/relationships/hyperlink" Target="http://force.com" TargetMode="External"/><Relationship Id="rId2629" Type="http://schemas.openxmlformats.org/officeDocument/2006/relationships/hyperlink" Target="http://force.com" TargetMode="External"/><Relationship Id="rId708" Type="http://schemas.openxmlformats.org/officeDocument/2006/relationships/hyperlink" Target="http://force.com" TargetMode="External"/><Relationship Id="rId707" Type="http://schemas.openxmlformats.org/officeDocument/2006/relationships/hyperlink" Target="http://force.com" TargetMode="External"/><Relationship Id="rId706" Type="http://schemas.openxmlformats.org/officeDocument/2006/relationships/hyperlink" Target="http://force.com" TargetMode="External"/><Relationship Id="rId701" Type="http://schemas.openxmlformats.org/officeDocument/2006/relationships/hyperlink" Target="http://force.com" TargetMode="External"/><Relationship Id="rId700" Type="http://schemas.openxmlformats.org/officeDocument/2006/relationships/hyperlink" Target="http://force.com" TargetMode="External"/><Relationship Id="rId705" Type="http://schemas.openxmlformats.org/officeDocument/2006/relationships/hyperlink" Target="http://force.com" TargetMode="External"/><Relationship Id="rId704" Type="http://schemas.openxmlformats.org/officeDocument/2006/relationships/hyperlink" Target="http://force.com" TargetMode="External"/><Relationship Id="rId703" Type="http://schemas.openxmlformats.org/officeDocument/2006/relationships/hyperlink" Target="http://force.com" TargetMode="External"/><Relationship Id="rId702" Type="http://schemas.openxmlformats.org/officeDocument/2006/relationships/hyperlink" Target="http://force.com" TargetMode="External"/><Relationship Id="rId3951" Type="http://schemas.openxmlformats.org/officeDocument/2006/relationships/hyperlink" Target="http://force.com" TargetMode="External"/><Relationship Id="rId2620" Type="http://schemas.openxmlformats.org/officeDocument/2006/relationships/hyperlink" Target="http://force.com" TargetMode="External"/><Relationship Id="rId3950" Type="http://schemas.openxmlformats.org/officeDocument/2006/relationships/hyperlink" Target="http://force.com" TargetMode="External"/><Relationship Id="rId2610" Type="http://schemas.openxmlformats.org/officeDocument/2006/relationships/hyperlink" Target="http://force.com" TargetMode="External"/><Relationship Id="rId3942" Type="http://schemas.openxmlformats.org/officeDocument/2006/relationships/hyperlink" Target="http://force.com" TargetMode="External"/><Relationship Id="rId2611" Type="http://schemas.openxmlformats.org/officeDocument/2006/relationships/hyperlink" Target="http://force.com" TargetMode="External"/><Relationship Id="rId3941" Type="http://schemas.openxmlformats.org/officeDocument/2006/relationships/hyperlink" Target="http://force.com" TargetMode="External"/><Relationship Id="rId2612" Type="http://schemas.openxmlformats.org/officeDocument/2006/relationships/hyperlink" Target="http://force.com" TargetMode="External"/><Relationship Id="rId3944" Type="http://schemas.openxmlformats.org/officeDocument/2006/relationships/hyperlink" Target="http://force.com" TargetMode="External"/><Relationship Id="rId2613" Type="http://schemas.openxmlformats.org/officeDocument/2006/relationships/hyperlink" Target="http://force.com" TargetMode="External"/><Relationship Id="rId3943" Type="http://schemas.openxmlformats.org/officeDocument/2006/relationships/hyperlink" Target="http://force.com" TargetMode="External"/><Relationship Id="rId2614" Type="http://schemas.openxmlformats.org/officeDocument/2006/relationships/hyperlink" Target="http://force.com" TargetMode="External"/><Relationship Id="rId3946" Type="http://schemas.openxmlformats.org/officeDocument/2006/relationships/hyperlink" Target="http://force.com" TargetMode="External"/><Relationship Id="rId2615" Type="http://schemas.openxmlformats.org/officeDocument/2006/relationships/hyperlink" Target="http://force.com" TargetMode="External"/><Relationship Id="rId3945" Type="http://schemas.openxmlformats.org/officeDocument/2006/relationships/hyperlink" Target="http://force.com" TargetMode="External"/><Relationship Id="rId2616" Type="http://schemas.openxmlformats.org/officeDocument/2006/relationships/hyperlink" Target="http://force.com" TargetMode="External"/><Relationship Id="rId3948" Type="http://schemas.openxmlformats.org/officeDocument/2006/relationships/hyperlink" Target="http://force.com" TargetMode="External"/><Relationship Id="rId2617" Type="http://schemas.openxmlformats.org/officeDocument/2006/relationships/hyperlink" Target="http://force.com" TargetMode="External"/><Relationship Id="rId3947" Type="http://schemas.openxmlformats.org/officeDocument/2006/relationships/hyperlink" Target="http://force.com" TargetMode="External"/><Relationship Id="rId2618" Type="http://schemas.openxmlformats.org/officeDocument/2006/relationships/hyperlink" Target="http://force.com" TargetMode="External"/><Relationship Id="rId2619" Type="http://schemas.openxmlformats.org/officeDocument/2006/relationships/hyperlink" Target="http://force.com" TargetMode="External"/><Relationship Id="rId3949" Type="http://schemas.openxmlformats.org/officeDocument/2006/relationships/hyperlink" Target="http://force.com" TargetMode="External"/><Relationship Id="rId3940" Type="http://schemas.openxmlformats.org/officeDocument/2006/relationships/hyperlink" Target="http://force.com" TargetMode="External"/><Relationship Id="rId1312" Type="http://schemas.openxmlformats.org/officeDocument/2006/relationships/hyperlink" Target="http://force.com" TargetMode="External"/><Relationship Id="rId2643" Type="http://schemas.openxmlformats.org/officeDocument/2006/relationships/hyperlink" Target="http://force.com" TargetMode="External"/><Relationship Id="rId3975" Type="http://schemas.openxmlformats.org/officeDocument/2006/relationships/hyperlink" Target="http://force.com" TargetMode="External"/><Relationship Id="rId1313" Type="http://schemas.openxmlformats.org/officeDocument/2006/relationships/hyperlink" Target="http://force.com" TargetMode="External"/><Relationship Id="rId2644" Type="http://schemas.openxmlformats.org/officeDocument/2006/relationships/hyperlink" Target="http://force.com" TargetMode="External"/><Relationship Id="rId3974" Type="http://schemas.openxmlformats.org/officeDocument/2006/relationships/hyperlink" Target="http://force.com" TargetMode="External"/><Relationship Id="rId1314" Type="http://schemas.openxmlformats.org/officeDocument/2006/relationships/hyperlink" Target="http://force.com" TargetMode="External"/><Relationship Id="rId2645" Type="http://schemas.openxmlformats.org/officeDocument/2006/relationships/hyperlink" Target="http://force.com" TargetMode="External"/><Relationship Id="rId3977" Type="http://schemas.openxmlformats.org/officeDocument/2006/relationships/hyperlink" Target="http://force.com" TargetMode="External"/><Relationship Id="rId1315" Type="http://schemas.openxmlformats.org/officeDocument/2006/relationships/hyperlink" Target="http://force.com" TargetMode="External"/><Relationship Id="rId2646" Type="http://schemas.openxmlformats.org/officeDocument/2006/relationships/hyperlink" Target="http://force.com" TargetMode="External"/><Relationship Id="rId3976" Type="http://schemas.openxmlformats.org/officeDocument/2006/relationships/hyperlink" Target="http://force.com" TargetMode="External"/><Relationship Id="rId1316" Type="http://schemas.openxmlformats.org/officeDocument/2006/relationships/hyperlink" Target="http://force.com" TargetMode="External"/><Relationship Id="rId2647" Type="http://schemas.openxmlformats.org/officeDocument/2006/relationships/hyperlink" Target="http://force.com" TargetMode="External"/><Relationship Id="rId3979" Type="http://schemas.openxmlformats.org/officeDocument/2006/relationships/hyperlink" Target="http://force.com" TargetMode="External"/><Relationship Id="rId1317" Type="http://schemas.openxmlformats.org/officeDocument/2006/relationships/hyperlink" Target="http://force.com" TargetMode="External"/><Relationship Id="rId2648" Type="http://schemas.openxmlformats.org/officeDocument/2006/relationships/hyperlink" Target="http://force.com" TargetMode="External"/><Relationship Id="rId3978" Type="http://schemas.openxmlformats.org/officeDocument/2006/relationships/hyperlink" Target="http://force.com" TargetMode="External"/><Relationship Id="rId1318" Type="http://schemas.openxmlformats.org/officeDocument/2006/relationships/hyperlink" Target="http://force.com" TargetMode="External"/><Relationship Id="rId2649" Type="http://schemas.openxmlformats.org/officeDocument/2006/relationships/hyperlink" Target="http://force.com" TargetMode="External"/><Relationship Id="rId1319" Type="http://schemas.openxmlformats.org/officeDocument/2006/relationships/hyperlink" Target="http://force.com" TargetMode="External"/><Relationship Id="rId729" Type="http://schemas.openxmlformats.org/officeDocument/2006/relationships/hyperlink" Target="http://force.com" TargetMode="External"/><Relationship Id="rId728" Type="http://schemas.openxmlformats.org/officeDocument/2006/relationships/hyperlink" Target="http://force.com" TargetMode="External"/><Relationship Id="rId723" Type="http://schemas.openxmlformats.org/officeDocument/2006/relationships/hyperlink" Target="http://force.com" TargetMode="External"/><Relationship Id="rId722" Type="http://schemas.openxmlformats.org/officeDocument/2006/relationships/hyperlink" Target="http://force.com" TargetMode="External"/><Relationship Id="rId721" Type="http://schemas.openxmlformats.org/officeDocument/2006/relationships/hyperlink" Target="http://force.com" TargetMode="External"/><Relationship Id="rId720" Type="http://schemas.openxmlformats.org/officeDocument/2006/relationships/hyperlink" Target="http://force.com" TargetMode="External"/><Relationship Id="rId727" Type="http://schemas.openxmlformats.org/officeDocument/2006/relationships/hyperlink" Target="http://force.com" TargetMode="External"/><Relationship Id="rId726" Type="http://schemas.openxmlformats.org/officeDocument/2006/relationships/hyperlink" Target="http://force.com" TargetMode="External"/><Relationship Id="rId725" Type="http://schemas.openxmlformats.org/officeDocument/2006/relationships/hyperlink" Target="http://force.com" TargetMode="External"/><Relationship Id="rId724" Type="http://schemas.openxmlformats.org/officeDocument/2006/relationships/hyperlink" Target="http://force.com" TargetMode="External"/><Relationship Id="rId3971" Type="http://schemas.openxmlformats.org/officeDocument/2006/relationships/hyperlink" Target="http://force.com" TargetMode="External"/><Relationship Id="rId2640" Type="http://schemas.openxmlformats.org/officeDocument/2006/relationships/hyperlink" Target="http://force.com" TargetMode="External"/><Relationship Id="rId3970" Type="http://schemas.openxmlformats.org/officeDocument/2006/relationships/hyperlink" Target="http://force.com" TargetMode="External"/><Relationship Id="rId1310" Type="http://schemas.openxmlformats.org/officeDocument/2006/relationships/hyperlink" Target="http://force.com" TargetMode="External"/><Relationship Id="rId2641" Type="http://schemas.openxmlformats.org/officeDocument/2006/relationships/hyperlink" Target="http://force.com" TargetMode="External"/><Relationship Id="rId3973" Type="http://schemas.openxmlformats.org/officeDocument/2006/relationships/hyperlink" Target="http://force.com" TargetMode="External"/><Relationship Id="rId1311" Type="http://schemas.openxmlformats.org/officeDocument/2006/relationships/hyperlink" Target="http://force.com" TargetMode="External"/><Relationship Id="rId2642" Type="http://schemas.openxmlformats.org/officeDocument/2006/relationships/hyperlink" Target="http://force.com" TargetMode="External"/><Relationship Id="rId3972" Type="http://schemas.openxmlformats.org/officeDocument/2006/relationships/hyperlink" Target="http://force.com" TargetMode="External"/><Relationship Id="rId1301" Type="http://schemas.openxmlformats.org/officeDocument/2006/relationships/hyperlink" Target="http://force.com" TargetMode="External"/><Relationship Id="rId2632" Type="http://schemas.openxmlformats.org/officeDocument/2006/relationships/hyperlink" Target="http://force.com" TargetMode="External"/><Relationship Id="rId3964" Type="http://schemas.openxmlformats.org/officeDocument/2006/relationships/hyperlink" Target="http://force.com" TargetMode="External"/><Relationship Id="rId1302" Type="http://schemas.openxmlformats.org/officeDocument/2006/relationships/hyperlink" Target="http://force.com" TargetMode="External"/><Relationship Id="rId2633" Type="http://schemas.openxmlformats.org/officeDocument/2006/relationships/hyperlink" Target="http://force.com" TargetMode="External"/><Relationship Id="rId3963" Type="http://schemas.openxmlformats.org/officeDocument/2006/relationships/hyperlink" Target="http://force.com" TargetMode="External"/><Relationship Id="rId1303" Type="http://schemas.openxmlformats.org/officeDocument/2006/relationships/hyperlink" Target="http://force.com" TargetMode="External"/><Relationship Id="rId2634" Type="http://schemas.openxmlformats.org/officeDocument/2006/relationships/hyperlink" Target="http://force.com" TargetMode="External"/><Relationship Id="rId3966" Type="http://schemas.openxmlformats.org/officeDocument/2006/relationships/hyperlink" Target="http://force.com" TargetMode="External"/><Relationship Id="rId1304" Type="http://schemas.openxmlformats.org/officeDocument/2006/relationships/hyperlink" Target="http://force.com" TargetMode="External"/><Relationship Id="rId2635" Type="http://schemas.openxmlformats.org/officeDocument/2006/relationships/hyperlink" Target="http://force.com" TargetMode="External"/><Relationship Id="rId3965" Type="http://schemas.openxmlformats.org/officeDocument/2006/relationships/hyperlink" Target="http://force.com" TargetMode="External"/><Relationship Id="rId1305" Type="http://schemas.openxmlformats.org/officeDocument/2006/relationships/hyperlink" Target="http://force.com" TargetMode="External"/><Relationship Id="rId2636" Type="http://schemas.openxmlformats.org/officeDocument/2006/relationships/hyperlink" Target="http://force.com" TargetMode="External"/><Relationship Id="rId3968" Type="http://schemas.openxmlformats.org/officeDocument/2006/relationships/hyperlink" Target="http://force.com" TargetMode="External"/><Relationship Id="rId1306" Type="http://schemas.openxmlformats.org/officeDocument/2006/relationships/hyperlink" Target="http://force.com" TargetMode="External"/><Relationship Id="rId2637" Type="http://schemas.openxmlformats.org/officeDocument/2006/relationships/hyperlink" Target="http://force.com" TargetMode="External"/><Relationship Id="rId3967" Type="http://schemas.openxmlformats.org/officeDocument/2006/relationships/hyperlink" Target="http://force.com" TargetMode="External"/><Relationship Id="rId1307" Type="http://schemas.openxmlformats.org/officeDocument/2006/relationships/hyperlink" Target="http://force.com" TargetMode="External"/><Relationship Id="rId2638" Type="http://schemas.openxmlformats.org/officeDocument/2006/relationships/hyperlink" Target="http://force.com" TargetMode="External"/><Relationship Id="rId1308" Type="http://schemas.openxmlformats.org/officeDocument/2006/relationships/hyperlink" Target="http://force.com" TargetMode="External"/><Relationship Id="rId2639" Type="http://schemas.openxmlformats.org/officeDocument/2006/relationships/hyperlink" Target="http://force.com" TargetMode="External"/><Relationship Id="rId3969" Type="http://schemas.openxmlformats.org/officeDocument/2006/relationships/hyperlink" Target="http://force.com" TargetMode="External"/><Relationship Id="rId1309" Type="http://schemas.openxmlformats.org/officeDocument/2006/relationships/hyperlink" Target="http://force.com" TargetMode="External"/><Relationship Id="rId719" Type="http://schemas.openxmlformats.org/officeDocument/2006/relationships/hyperlink" Target="http://force.com" TargetMode="External"/><Relationship Id="rId718" Type="http://schemas.openxmlformats.org/officeDocument/2006/relationships/hyperlink" Target="http://force.com" TargetMode="External"/><Relationship Id="rId717" Type="http://schemas.openxmlformats.org/officeDocument/2006/relationships/hyperlink" Target="http://force.com" TargetMode="External"/><Relationship Id="rId712" Type="http://schemas.openxmlformats.org/officeDocument/2006/relationships/hyperlink" Target="http://force.com" TargetMode="External"/><Relationship Id="rId711" Type="http://schemas.openxmlformats.org/officeDocument/2006/relationships/hyperlink" Target="http://force.com" TargetMode="External"/><Relationship Id="rId710" Type="http://schemas.openxmlformats.org/officeDocument/2006/relationships/hyperlink" Target="http://force.com" TargetMode="External"/><Relationship Id="rId716" Type="http://schemas.openxmlformats.org/officeDocument/2006/relationships/hyperlink" Target="http://force.com" TargetMode="External"/><Relationship Id="rId715" Type="http://schemas.openxmlformats.org/officeDocument/2006/relationships/hyperlink" Target="http://force.com" TargetMode="External"/><Relationship Id="rId714" Type="http://schemas.openxmlformats.org/officeDocument/2006/relationships/hyperlink" Target="http://force.com" TargetMode="External"/><Relationship Id="rId713" Type="http://schemas.openxmlformats.org/officeDocument/2006/relationships/hyperlink" Target="http://force.com" TargetMode="External"/><Relationship Id="rId3960" Type="http://schemas.openxmlformats.org/officeDocument/2006/relationships/hyperlink" Target="http://force.com" TargetMode="External"/><Relationship Id="rId2630" Type="http://schemas.openxmlformats.org/officeDocument/2006/relationships/hyperlink" Target="http://force.com" TargetMode="External"/><Relationship Id="rId3962" Type="http://schemas.openxmlformats.org/officeDocument/2006/relationships/hyperlink" Target="http://force.com" TargetMode="External"/><Relationship Id="rId1300" Type="http://schemas.openxmlformats.org/officeDocument/2006/relationships/hyperlink" Target="http://force.com" TargetMode="External"/><Relationship Id="rId2631" Type="http://schemas.openxmlformats.org/officeDocument/2006/relationships/hyperlink" Target="http://force.com" TargetMode="External"/><Relationship Id="rId3961" Type="http://schemas.openxmlformats.org/officeDocument/2006/relationships/hyperlink" Target="http://force.com" TargetMode="External"/><Relationship Id="rId3117" Type="http://schemas.openxmlformats.org/officeDocument/2006/relationships/hyperlink" Target="http://force.com" TargetMode="External"/><Relationship Id="rId4448" Type="http://schemas.openxmlformats.org/officeDocument/2006/relationships/hyperlink" Target="http://force.com" TargetMode="External"/><Relationship Id="rId3116" Type="http://schemas.openxmlformats.org/officeDocument/2006/relationships/hyperlink" Target="http://force.com" TargetMode="External"/><Relationship Id="rId4447" Type="http://schemas.openxmlformats.org/officeDocument/2006/relationships/hyperlink" Target="http://force.com" TargetMode="External"/><Relationship Id="rId3119" Type="http://schemas.openxmlformats.org/officeDocument/2006/relationships/hyperlink" Target="http://force.com" TargetMode="External"/><Relationship Id="rId5778" Type="http://schemas.openxmlformats.org/officeDocument/2006/relationships/hyperlink" Target="http://force.com" TargetMode="External"/><Relationship Id="rId3118" Type="http://schemas.openxmlformats.org/officeDocument/2006/relationships/hyperlink" Target="http://force.com" TargetMode="External"/><Relationship Id="rId4449" Type="http://schemas.openxmlformats.org/officeDocument/2006/relationships/hyperlink" Target="http://force.com" TargetMode="External"/><Relationship Id="rId5779" Type="http://schemas.openxmlformats.org/officeDocument/2006/relationships/hyperlink" Target="http://force.com" TargetMode="External"/><Relationship Id="rId4440" Type="http://schemas.openxmlformats.org/officeDocument/2006/relationships/hyperlink" Target="http://force.com" TargetMode="External"/><Relationship Id="rId5772" Type="http://schemas.openxmlformats.org/officeDocument/2006/relationships/hyperlink" Target="http://force.com" TargetMode="External"/><Relationship Id="rId5773" Type="http://schemas.openxmlformats.org/officeDocument/2006/relationships/hyperlink" Target="http://force.com" TargetMode="External"/><Relationship Id="rId3111" Type="http://schemas.openxmlformats.org/officeDocument/2006/relationships/hyperlink" Target="http://force.com" TargetMode="External"/><Relationship Id="rId4442" Type="http://schemas.openxmlformats.org/officeDocument/2006/relationships/hyperlink" Target="http://force.com" TargetMode="External"/><Relationship Id="rId5770" Type="http://schemas.openxmlformats.org/officeDocument/2006/relationships/hyperlink" Target="http://force.com" TargetMode="External"/><Relationship Id="rId3110" Type="http://schemas.openxmlformats.org/officeDocument/2006/relationships/hyperlink" Target="http://force.com" TargetMode="External"/><Relationship Id="rId4441" Type="http://schemas.openxmlformats.org/officeDocument/2006/relationships/hyperlink" Target="http://force.com" TargetMode="External"/><Relationship Id="rId5771" Type="http://schemas.openxmlformats.org/officeDocument/2006/relationships/hyperlink" Target="http://force.com" TargetMode="External"/><Relationship Id="rId3113" Type="http://schemas.openxmlformats.org/officeDocument/2006/relationships/hyperlink" Target="http://force.com" TargetMode="External"/><Relationship Id="rId4444" Type="http://schemas.openxmlformats.org/officeDocument/2006/relationships/hyperlink" Target="http://force.com" TargetMode="External"/><Relationship Id="rId5776" Type="http://schemas.openxmlformats.org/officeDocument/2006/relationships/hyperlink" Target="http://force.com" TargetMode="External"/><Relationship Id="rId3112" Type="http://schemas.openxmlformats.org/officeDocument/2006/relationships/hyperlink" Target="http://force.com" TargetMode="External"/><Relationship Id="rId4443" Type="http://schemas.openxmlformats.org/officeDocument/2006/relationships/hyperlink" Target="http://force.com" TargetMode="External"/><Relationship Id="rId5777" Type="http://schemas.openxmlformats.org/officeDocument/2006/relationships/hyperlink" Target="http://force.com" TargetMode="External"/><Relationship Id="rId3115" Type="http://schemas.openxmlformats.org/officeDocument/2006/relationships/hyperlink" Target="http://force.com" TargetMode="External"/><Relationship Id="rId4446" Type="http://schemas.openxmlformats.org/officeDocument/2006/relationships/hyperlink" Target="http://force.com" TargetMode="External"/><Relationship Id="rId5774" Type="http://schemas.openxmlformats.org/officeDocument/2006/relationships/hyperlink" Target="http://force.com" TargetMode="External"/><Relationship Id="rId3114" Type="http://schemas.openxmlformats.org/officeDocument/2006/relationships/hyperlink" Target="http://force.com" TargetMode="External"/><Relationship Id="rId4445" Type="http://schemas.openxmlformats.org/officeDocument/2006/relationships/hyperlink" Target="http://force.com" TargetMode="External"/><Relationship Id="rId5775" Type="http://schemas.openxmlformats.org/officeDocument/2006/relationships/hyperlink" Target="http://force.com" TargetMode="External"/><Relationship Id="rId3106" Type="http://schemas.openxmlformats.org/officeDocument/2006/relationships/hyperlink" Target="http://force.com" TargetMode="External"/><Relationship Id="rId4437" Type="http://schemas.openxmlformats.org/officeDocument/2006/relationships/hyperlink" Target="http://force.com" TargetMode="External"/><Relationship Id="rId5769" Type="http://schemas.openxmlformats.org/officeDocument/2006/relationships/hyperlink" Target="http://force.com" TargetMode="External"/><Relationship Id="rId3105" Type="http://schemas.openxmlformats.org/officeDocument/2006/relationships/hyperlink" Target="http://force.com" TargetMode="External"/><Relationship Id="rId4436" Type="http://schemas.openxmlformats.org/officeDocument/2006/relationships/hyperlink" Target="http://force.com" TargetMode="External"/><Relationship Id="rId3108" Type="http://schemas.openxmlformats.org/officeDocument/2006/relationships/hyperlink" Target="http://force.com" TargetMode="External"/><Relationship Id="rId4439" Type="http://schemas.openxmlformats.org/officeDocument/2006/relationships/hyperlink" Target="http://force.com" TargetMode="External"/><Relationship Id="rId5767" Type="http://schemas.openxmlformats.org/officeDocument/2006/relationships/hyperlink" Target="http://force.com" TargetMode="External"/><Relationship Id="rId3107" Type="http://schemas.openxmlformats.org/officeDocument/2006/relationships/hyperlink" Target="http://force.com" TargetMode="External"/><Relationship Id="rId4438" Type="http://schemas.openxmlformats.org/officeDocument/2006/relationships/hyperlink" Target="http://force.com" TargetMode="External"/><Relationship Id="rId5768" Type="http://schemas.openxmlformats.org/officeDocument/2006/relationships/hyperlink" Target="http://force.com" TargetMode="External"/><Relationship Id="rId3109" Type="http://schemas.openxmlformats.org/officeDocument/2006/relationships/hyperlink" Target="http://force.com" TargetMode="External"/><Relationship Id="rId5761" Type="http://schemas.openxmlformats.org/officeDocument/2006/relationships/hyperlink" Target="http://force.com" TargetMode="External"/><Relationship Id="rId5762" Type="http://schemas.openxmlformats.org/officeDocument/2006/relationships/hyperlink" Target="http://force.com" TargetMode="External"/><Relationship Id="rId3100" Type="http://schemas.openxmlformats.org/officeDocument/2006/relationships/hyperlink" Target="http://force.com" TargetMode="External"/><Relationship Id="rId4431" Type="http://schemas.openxmlformats.org/officeDocument/2006/relationships/hyperlink" Target="http://force.com" TargetMode="External"/><Relationship Id="rId4430" Type="http://schemas.openxmlformats.org/officeDocument/2006/relationships/hyperlink" Target="http://force.com" TargetMode="External"/><Relationship Id="rId5760" Type="http://schemas.openxmlformats.org/officeDocument/2006/relationships/hyperlink" Target="http://force.com" TargetMode="External"/><Relationship Id="rId3102" Type="http://schemas.openxmlformats.org/officeDocument/2006/relationships/hyperlink" Target="http://force.com" TargetMode="External"/><Relationship Id="rId4433" Type="http://schemas.openxmlformats.org/officeDocument/2006/relationships/hyperlink" Target="http://force.com" TargetMode="External"/><Relationship Id="rId5765" Type="http://schemas.openxmlformats.org/officeDocument/2006/relationships/hyperlink" Target="http://force.com" TargetMode="External"/><Relationship Id="rId3101" Type="http://schemas.openxmlformats.org/officeDocument/2006/relationships/hyperlink" Target="http://force.com" TargetMode="External"/><Relationship Id="rId4432" Type="http://schemas.openxmlformats.org/officeDocument/2006/relationships/hyperlink" Target="http://force.com" TargetMode="External"/><Relationship Id="rId5766" Type="http://schemas.openxmlformats.org/officeDocument/2006/relationships/hyperlink" Target="http://force.com" TargetMode="External"/><Relationship Id="rId3104" Type="http://schemas.openxmlformats.org/officeDocument/2006/relationships/hyperlink" Target="http://force.com" TargetMode="External"/><Relationship Id="rId4435" Type="http://schemas.openxmlformats.org/officeDocument/2006/relationships/hyperlink" Target="http://force.com" TargetMode="External"/><Relationship Id="rId5763" Type="http://schemas.openxmlformats.org/officeDocument/2006/relationships/hyperlink" Target="http://force.com" TargetMode="External"/><Relationship Id="rId3103" Type="http://schemas.openxmlformats.org/officeDocument/2006/relationships/hyperlink" Target="http://force.com" TargetMode="External"/><Relationship Id="rId4434" Type="http://schemas.openxmlformats.org/officeDocument/2006/relationships/hyperlink" Target="http://force.com" TargetMode="External"/><Relationship Id="rId5764" Type="http://schemas.openxmlformats.org/officeDocument/2006/relationships/hyperlink" Target="http://force.com" TargetMode="External"/><Relationship Id="rId3139" Type="http://schemas.openxmlformats.org/officeDocument/2006/relationships/hyperlink" Target="http://force.com" TargetMode="External"/><Relationship Id="rId3138" Type="http://schemas.openxmlformats.org/officeDocument/2006/relationships/hyperlink" Target="http://force.com" TargetMode="External"/><Relationship Id="rId4469" Type="http://schemas.openxmlformats.org/officeDocument/2006/relationships/hyperlink" Target="http://force.com" TargetMode="External"/><Relationship Id="rId5790" Type="http://schemas.openxmlformats.org/officeDocument/2006/relationships/hyperlink" Target="http://force.com" TargetMode="External"/><Relationship Id="rId5791" Type="http://schemas.openxmlformats.org/officeDocument/2006/relationships/hyperlink" Target="http://force.com" TargetMode="External"/><Relationship Id="rId4460" Type="http://schemas.openxmlformats.org/officeDocument/2006/relationships/hyperlink" Target="http://force.com" TargetMode="External"/><Relationship Id="rId3131" Type="http://schemas.openxmlformats.org/officeDocument/2006/relationships/hyperlink" Target="http://force.com" TargetMode="External"/><Relationship Id="rId4462" Type="http://schemas.openxmlformats.org/officeDocument/2006/relationships/hyperlink" Target="http://force.com" TargetMode="External"/><Relationship Id="rId5794" Type="http://schemas.openxmlformats.org/officeDocument/2006/relationships/hyperlink" Target="http://force.com" TargetMode="External"/><Relationship Id="rId3130" Type="http://schemas.openxmlformats.org/officeDocument/2006/relationships/hyperlink" Target="http://force.com" TargetMode="External"/><Relationship Id="rId4461" Type="http://schemas.openxmlformats.org/officeDocument/2006/relationships/hyperlink" Target="http://force.com" TargetMode="External"/><Relationship Id="rId5795" Type="http://schemas.openxmlformats.org/officeDocument/2006/relationships/hyperlink" Target="http://force.com" TargetMode="External"/><Relationship Id="rId3133" Type="http://schemas.openxmlformats.org/officeDocument/2006/relationships/hyperlink" Target="http://force.com" TargetMode="External"/><Relationship Id="rId4464" Type="http://schemas.openxmlformats.org/officeDocument/2006/relationships/hyperlink" Target="http://force.com" TargetMode="External"/><Relationship Id="rId5792" Type="http://schemas.openxmlformats.org/officeDocument/2006/relationships/hyperlink" Target="http://force.com" TargetMode="External"/><Relationship Id="rId3132" Type="http://schemas.openxmlformats.org/officeDocument/2006/relationships/hyperlink" Target="http://force.com" TargetMode="External"/><Relationship Id="rId4463" Type="http://schemas.openxmlformats.org/officeDocument/2006/relationships/hyperlink" Target="http://force.com" TargetMode="External"/><Relationship Id="rId5793" Type="http://schemas.openxmlformats.org/officeDocument/2006/relationships/hyperlink" Target="http://force.com" TargetMode="External"/><Relationship Id="rId3135" Type="http://schemas.openxmlformats.org/officeDocument/2006/relationships/hyperlink" Target="http://force.com" TargetMode="External"/><Relationship Id="rId4466" Type="http://schemas.openxmlformats.org/officeDocument/2006/relationships/hyperlink" Target="http://force.com" TargetMode="External"/><Relationship Id="rId5798" Type="http://schemas.openxmlformats.org/officeDocument/2006/relationships/hyperlink" Target="http://force.com" TargetMode="External"/><Relationship Id="rId3134" Type="http://schemas.openxmlformats.org/officeDocument/2006/relationships/hyperlink" Target="http://force.com" TargetMode="External"/><Relationship Id="rId4465" Type="http://schemas.openxmlformats.org/officeDocument/2006/relationships/hyperlink" Target="http://force.com" TargetMode="External"/><Relationship Id="rId5799" Type="http://schemas.openxmlformats.org/officeDocument/2006/relationships/hyperlink" Target="http://force.com" TargetMode="External"/><Relationship Id="rId3137" Type="http://schemas.openxmlformats.org/officeDocument/2006/relationships/hyperlink" Target="http://force.com" TargetMode="External"/><Relationship Id="rId4468" Type="http://schemas.openxmlformats.org/officeDocument/2006/relationships/hyperlink" Target="http://force.com" TargetMode="External"/><Relationship Id="rId5796" Type="http://schemas.openxmlformats.org/officeDocument/2006/relationships/hyperlink" Target="http://force.com" TargetMode="External"/><Relationship Id="rId3136" Type="http://schemas.openxmlformats.org/officeDocument/2006/relationships/hyperlink" Target="http://force.com" TargetMode="External"/><Relationship Id="rId4467" Type="http://schemas.openxmlformats.org/officeDocument/2006/relationships/hyperlink" Target="http://force.com" TargetMode="External"/><Relationship Id="rId5797" Type="http://schemas.openxmlformats.org/officeDocument/2006/relationships/hyperlink" Target="http://force.com" TargetMode="External"/><Relationship Id="rId3128" Type="http://schemas.openxmlformats.org/officeDocument/2006/relationships/hyperlink" Target="http://force.com" TargetMode="External"/><Relationship Id="rId4459" Type="http://schemas.openxmlformats.org/officeDocument/2006/relationships/hyperlink" Target="http://force.com" TargetMode="External"/><Relationship Id="rId3127" Type="http://schemas.openxmlformats.org/officeDocument/2006/relationships/hyperlink" Target="http://force.com" TargetMode="External"/><Relationship Id="rId4458" Type="http://schemas.openxmlformats.org/officeDocument/2006/relationships/hyperlink" Target="http://force.com" TargetMode="External"/><Relationship Id="rId5789" Type="http://schemas.openxmlformats.org/officeDocument/2006/relationships/hyperlink" Target="http://force.com" TargetMode="External"/><Relationship Id="rId3129" Type="http://schemas.openxmlformats.org/officeDocument/2006/relationships/hyperlink" Target="http://force.com" TargetMode="External"/><Relationship Id="rId5780" Type="http://schemas.openxmlformats.org/officeDocument/2006/relationships/hyperlink" Target="http://force.com" TargetMode="External"/><Relationship Id="rId3120" Type="http://schemas.openxmlformats.org/officeDocument/2006/relationships/hyperlink" Target="http://force.com" TargetMode="External"/><Relationship Id="rId4451" Type="http://schemas.openxmlformats.org/officeDocument/2006/relationships/hyperlink" Target="http://force.com" TargetMode="External"/><Relationship Id="rId5783" Type="http://schemas.openxmlformats.org/officeDocument/2006/relationships/hyperlink" Target="http://force.com" TargetMode="External"/><Relationship Id="rId4450" Type="http://schemas.openxmlformats.org/officeDocument/2006/relationships/hyperlink" Target="http://force.com" TargetMode="External"/><Relationship Id="rId5784" Type="http://schemas.openxmlformats.org/officeDocument/2006/relationships/hyperlink" Target="http://force.com" TargetMode="External"/><Relationship Id="rId3122" Type="http://schemas.openxmlformats.org/officeDocument/2006/relationships/hyperlink" Target="http://force.com" TargetMode="External"/><Relationship Id="rId4453" Type="http://schemas.openxmlformats.org/officeDocument/2006/relationships/hyperlink" Target="http://force.com" TargetMode="External"/><Relationship Id="rId5781" Type="http://schemas.openxmlformats.org/officeDocument/2006/relationships/hyperlink" Target="http://force.com" TargetMode="External"/><Relationship Id="rId3121" Type="http://schemas.openxmlformats.org/officeDocument/2006/relationships/hyperlink" Target="http://force.com" TargetMode="External"/><Relationship Id="rId4452" Type="http://schemas.openxmlformats.org/officeDocument/2006/relationships/hyperlink" Target="http://force.com" TargetMode="External"/><Relationship Id="rId5782" Type="http://schemas.openxmlformats.org/officeDocument/2006/relationships/hyperlink" Target="http://force.com" TargetMode="External"/><Relationship Id="rId3124" Type="http://schemas.openxmlformats.org/officeDocument/2006/relationships/hyperlink" Target="http://force.com" TargetMode="External"/><Relationship Id="rId4455" Type="http://schemas.openxmlformats.org/officeDocument/2006/relationships/hyperlink" Target="http://force.com" TargetMode="External"/><Relationship Id="rId5787" Type="http://schemas.openxmlformats.org/officeDocument/2006/relationships/hyperlink" Target="http://force.com" TargetMode="External"/><Relationship Id="rId3123" Type="http://schemas.openxmlformats.org/officeDocument/2006/relationships/hyperlink" Target="http://force.com" TargetMode="External"/><Relationship Id="rId4454" Type="http://schemas.openxmlformats.org/officeDocument/2006/relationships/hyperlink" Target="http://force.com" TargetMode="External"/><Relationship Id="rId5788" Type="http://schemas.openxmlformats.org/officeDocument/2006/relationships/hyperlink" Target="http://force.com" TargetMode="External"/><Relationship Id="rId3126" Type="http://schemas.openxmlformats.org/officeDocument/2006/relationships/hyperlink" Target="http://force.com" TargetMode="External"/><Relationship Id="rId4457" Type="http://schemas.openxmlformats.org/officeDocument/2006/relationships/hyperlink" Target="http://force.com" TargetMode="External"/><Relationship Id="rId5785" Type="http://schemas.openxmlformats.org/officeDocument/2006/relationships/hyperlink" Target="http://force.com" TargetMode="External"/><Relationship Id="rId3125" Type="http://schemas.openxmlformats.org/officeDocument/2006/relationships/hyperlink" Target="http://force.com" TargetMode="External"/><Relationship Id="rId4456" Type="http://schemas.openxmlformats.org/officeDocument/2006/relationships/hyperlink" Target="http://force.com" TargetMode="External"/><Relationship Id="rId5786" Type="http://schemas.openxmlformats.org/officeDocument/2006/relationships/hyperlink" Target="http://force.com" TargetMode="External"/><Relationship Id="rId1378" Type="http://schemas.openxmlformats.org/officeDocument/2006/relationships/hyperlink" Target="http://force.com" TargetMode="External"/><Relationship Id="rId4404" Type="http://schemas.openxmlformats.org/officeDocument/2006/relationships/hyperlink" Target="http://force.com" TargetMode="External"/><Relationship Id="rId5736" Type="http://schemas.openxmlformats.org/officeDocument/2006/relationships/hyperlink" Target="http://force.com" TargetMode="External"/><Relationship Id="rId1379" Type="http://schemas.openxmlformats.org/officeDocument/2006/relationships/hyperlink" Target="http://force.com" TargetMode="External"/><Relationship Id="rId4403" Type="http://schemas.openxmlformats.org/officeDocument/2006/relationships/hyperlink" Target="http://force.com" TargetMode="External"/><Relationship Id="rId5737" Type="http://schemas.openxmlformats.org/officeDocument/2006/relationships/hyperlink" Target="http://force.com" TargetMode="External"/><Relationship Id="rId4406" Type="http://schemas.openxmlformats.org/officeDocument/2006/relationships/hyperlink" Target="http://force.com" TargetMode="External"/><Relationship Id="rId5734" Type="http://schemas.openxmlformats.org/officeDocument/2006/relationships/hyperlink" Target="http://force.com" TargetMode="External"/><Relationship Id="rId4405" Type="http://schemas.openxmlformats.org/officeDocument/2006/relationships/hyperlink" Target="http://force.com" TargetMode="External"/><Relationship Id="rId5735" Type="http://schemas.openxmlformats.org/officeDocument/2006/relationships/hyperlink" Target="http://force.com" TargetMode="External"/><Relationship Id="rId4408" Type="http://schemas.openxmlformats.org/officeDocument/2006/relationships/hyperlink" Target="http://force.com" TargetMode="External"/><Relationship Id="rId4407" Type="http://schemas.openxmlformats.org/officeDocument/2006/relationships/hyperlink" Target="http://force.com" TargetMode="External"/><Relationship Id="rId5738" Type="http://schemas.openxmlformats.org/officeDocument/2006/relationships/hyperlink" Target="http://force.com" TargetMode="External"/><Relationship Id="rId4409" Type="http://schemas.openxmlformats.org/officeDocument/2006/relationships/hyperlink" Target="http://force.com" TargetMode="External"/><Relationship Id="rId5739" Type="http://schemas.openxmlformats.org/officeDocument/2006/relationships/hyperlink" Target="http://force.com" TargetMode="External"/><Relationship Id="rId789" Type="http://schemas.openxmlformats.org/officeDocument/2006/relationships/hyperlink" Target="http://force.com" TargetMode="External"/><Relationship Id="rId788" Type="http://schemas.openxmlformats.org/officeDocument/2006/relationships/hyperlink" Target="http://force.com" TargetMode="External"/><Relationship Id="rId787" Type="http://schemas.openxmlformats.org/officeDocument/2006/relationships/hyperlink" Target="http://force.com" TargetMode="External"/><Relationship Id="rId786" Type="http://schemas.openxmlformats.org/officeDocument/2006/relationships/hyperlink" Target="http://force.com" TargetMode="External"/><Relationship Id="rId781" Type="http://schemas.openxmlformats.org/officeDocument/2006/relationships/hyperlink" Target="http://force.com" TargetMode="External"/><Relationship Id="rId1370" Type="http://schemas.openxmlformats.org/officeDocument/2006/relationships/hyperlink" Target="http://force.com" TargetMode="External"/><Relationship Id="rId780" Type="http://schemas.openxmlformats.org/officeDocument/2006/relationships/hyperlink" Target="http://force.com" TargetMode="External"/><Relationship Id="rId1371" Type="http://schemas.openxmlformats.org/officeDocument/2006/relationships/hyperlink" Target="http://force.com" TargetMode="External"/><Relationship Id="rId1372" Type="http://schemas.openxmlformats.org/officeDocument/2006/relationships/hyperlink" Target="http://force.com" TargetMode="External"/><Relationship Id="rId1373" Type="http://schemas.openxmlformats.org/officeDocument/2006/relationships/hyperlink" Target="http://force.com" TargetMode="External"/><Relationship Id="rId785" Type="http://schemas.openxmlformats.org/officeDocument/2006/relationships/hyperlink" Target="http://force.com" TargetMode="External"/><Relationship Id="rId1374" Type="http://schemas.openxmlformats.org/officeDocument/2006/relationships/hyperlink" Target="http://force.com" TargetMode="External"/><Relationship Id="rId4400" Type="http://schemas.openxmlformats.org/officeDocument/2006/relationships/hyperlink" Target="http://force.com" TargetMode="External"/><Relationship Id="rId5732" Type="http://schemas.openxmlformats.org/officeDocument/2006/relationships/hyperlink" Target="http://force.com" TargetMode="External"/><Relationship Id="rId784" Type="http://schemas.openxmlformats.org/officeDocument/2006/relationships/hyperlink" Target="http://force.com" TargetMode="External"/><Relationship Id="rId1375" Type="http://schemas.openxmlformats.org/officeDocument/2006/relationships/hyperlink" Target="http://force.com" TargetMode="External"/><Relationship Id="rId5733" Type="http://schemas.openxmlformats.org/officeDocument/2006/relationships/hyperlink" Target="http://force.com" TargetMode="External"/><Relationship Id="rId783" Type="http://schemas.openxmlformats.org/officeDocument/2006/relationships/hyperlink" Target="http://force.com" TargetMode="External"/><Relationship Id="rId1376" Type="http://schemas.openxmlformats.org/officeDocument/2006/relationships/hyperlink" Target="http://force.com" TargetMode="External"/><Relationship Id="rId4402" Type="http://schemas.openxmlformats.org/officeDocument/2006/relationships/hyperlink" Target="http://force.com" TargetMode="External"/><Relationship Id="rId5730" Type="http://schemas.openxmlformats.org/officeDocument/2006/relationships/hyperlink" Target="http://force.com" TargetMode="External"/><Relationship Id="rId782" Type="http://schemas.openxmlformats.org/officeDocument/2006/relationships/hyperlink" Target="http://force.com" TargetMode="External"/><Relationship Id="rId1377" Type="http://schemas.openxmlformats.org/officeDocument/2006/relationships/hyperlink" Target="http://force.com" TargetMode="External"/><Relationship Id="rId4401" Type="http://schemas.openxmlformats.org/officeDocument/2006/relationships/hyperlink" Target="http://force.com" TargetMode="External"/><Relationship Id="rId5731" Type="http://schemas.openxmlformats.org/officeDocument/2006/relationships/hyperlink" Target="http://force.com" TargetMode="External"/><Relationship Id="rId1367" Type="http://schemas.openxmlformats.org/officeDocument/2006/relationships/hyperlink" Target="http://force.com" TargetMode="External"/><Relationship Id="rId2698" Type="http://schemas.openxmlformats.org/officeDocument/2006/relationships/hyperlink" Target="http://force.com" TargetMode="External"/><Relationship Id="rId5725" Type="http://schemas.openxmlformats.org/officeDocument/2006/relationships/hyperlink" Target="http://force.com" TargetMode="External"/><Relationship Id="rId1368" Type="http://schemas.openxmlformats.org/officeDocument/2006/relationships/hyperlink" Target="http://force.com" TargetMode="External"/><Relationship Id="rId2699" Type="http://schemas.openxmlformats.org/officeDocument/2006/relationships/hyperlink" Target="http://force.com" TargetMode="External"/><Relationship Id="rId5726" Type="http://schemas.openxmlformats.org/officeDocument/2006/relationships/hyperlink" Target="http://force.com" TargetMode="External"/><Relationship Id="rId1369" Type="http://schemas.openxmlformats.org/officeDocument/2006/relationships/hyperlink" Target="http://force.com" TargetMode="External"/><Relationship Id="rId5723" Type="http://schemas.openxmlformats.org/officeDocument/2006/relationships/hyperlink" Target="http://force.com" TargetMode="External"/><Relationship Id="rId5724" Type="http://schemas.openxmlformats.org/officeDocument/2006/relationships/hyperlink" Target="http://force.com" TargetMode="External"/><Relationship Id="rId5729" Type="http://schemas.openxmlformats.org/officeDocument/2006/relationships/hyperlink" Target="http://force.com" TargetMode="External"/><Relationship Id="rId5727" Type="http://schemas.openxmlformats.org/officeDocument/2006/relationships/hyperlink" Target="http://force.com" TargetMode="External"/><Relationship Id="rId5728" Type="http://schemas.openxmlformats.org/officeDocument/2006/relationships/hyperlink" Target="http://force.com" TargetMode="External"/><Relationship Id="rId778" Type="http://schemas.openxmlformats.org/officeDocument/2006/relationships/hyperlink" Target="http://force.com" TargetMode="External"/><Relationship Id="rId777" Type="http://schemas.openxmlformats.org/officeDocument/2006/relationships/hyperlink" Target="http://force.com" TargetMode="External"/><Relationship Id="rId776" Type="http://schemas.openxmlformats.org/officeDocument/2006/relationships/hyperlink" Target="http://force.com" TargetMode="External"/><Relationship Id="rId775" Type="http://schemas.openxmlformats.org/officeDocument/2006/relationships/hyperlink" Target="http://force.com" TargetMode="External"/><Relationship Id="rId779" Type="http://schemas.openxmlformats.org/officeDocument/2006/relationships/hyperlink" Target="http://force.com" TargetMode="External"/><Relationship Id="rId770" Type="http://schemas.openxmlformats.org/officeDocument/2006/relationships/hyperlink" Target="http://force.com" TargetMode="External"/><Relationship Id="rId2690" Type="http://schemas.openxmlformats.org/officeDocument/2006/relationships/hyperlink" Target="http://force.com" TargetMode="External"/><Relationship Id="rId1360" Type="http://schemas.openxmlformats.org/officeDocument/2006/relationships/hyperlink" Target="http://force.com" TargetMode="External"/><Relationship Id="rId2691" Type="http://schemas.openxmlformats.org/officeDocument/2006/relationships/hyperlink" Target="http://force.com" TargetMode="External"/><Relationship Id="rId1361" Type="http://schemas.openxmlformats.org/officeDocument/2006/relationships/hyperlink" Target="http://force.com" TargetMode="External"/><Relationship Id="rId2692" Type="http://schemas.openxmlformats.org/officeDocument/2006/relationships/hyperlink" Target="http://force.com" TargetMode="External"/><Relationship Id="rId1362" Type="http://schemas.openxmlformats.org/officeDocument/2006/relationships/hyperlink" Target="http://force.com" TargetMode="External"/><Relationship Id="rId2693" Type="http://schemas.openxmlformats.org/officeDocument/2006/relationships/hyperlink" Target="http://force.com" TargetMode="External"/><Relationship Id="rId774" Type="http://schemas.openxmlformats.org/officeDocument/2006/relationships/hyperlink" Target="http://force.com" TargetMode="External"/><Relationship Id="rId1363" Type="http://schemas.openxmlformats.org/officeDocument/2006/relationships/hyperlink" Target="http://force.com" TargetMode="External"/><Relationship Id="rId2694" Type="http://schemas.openxmlformats.org/officeDocument/2006/relationships/hyperlink" Target="http://force.com" TargetMode="External"/><Relationship Id="rId5721" Type="http://schemas.openxmlformats.org/officeDocument/2006/relationships/hyperlink" Target="http://force.com" TargetMode="External"/><Relationship Id="rId773" Type="http://schemas.openxmlformats.org/officeDocument/2006/relationships/hyperlink" Target="http://force.com" TargetMode="External"/><Relationship Id="rId1364" Type="http://schemas.openxmlformats.org/officeDocument/2006/relationships/hyperlink" Target="http://force.com" TargetMode="External"/><Relationship Id="rId2695" Type="http://schemas.openxmlformats.org/officeDocument/2006/relationships/hyperlink" Target="http://force.com" TargetMode="External"/><Relationship Id="rId5722" Type="http://schemas.openxmlformats.org/officeDocument/2006/relationships/hyperlink" Target="http://force.com" TargetMode="External"/><Relationship Id="rId772" Type="http://schemas.openxmlformats.org/officeDocument/2006/relationships/hyperlink" Target="http://force.com" TargetMode="External"/><Relationship Id="rId1365" Type="http://schemas.openxmlformats.org/officeDocument/2006/relationships/hyperlink" Target="http://force.com" TargetMode="External"/><Relationship Id="rId2696" Type="http://schemas.openxmlformats.org/officeDocument/2006/relationships/hyperlink" Target="http://force.com" TargetMode="External"/><Relationship Id="rId771" Type="http://schemas.openxmlformats.org/officeDocument/2006/relationships/hyperlink" Target="http://force.com" TargetMode="External"/><Relationship Id="rId1366" Type="http://schemas.openxmlformats.org/officeDocument/2006/relationships/hyperlink" Target="http://force.com" TargetMode="External"/><Relationship Id="rId2697" Type="http://schemas.openxmlformats.org/officeDocument/2006/relationships/hyperlink" Target="http://force.com" TargetMode="External"/><Relationship Id="rId5720" Type="http://schemas.openxmlformats.org/officeDocument/2006/relationships/hyperlink" Target="http://force.com" TargetMode="External"/><Relationship Id="rId4426" Type="http://schemas.openxmlformats.org/officeDocument/2006/relationships/hyperlink" Target="http://force.com" TargetMode="External"/><Relationship Id="rId5758" Type="http://schemas.openxmlformats.org/officeDocument/2006/relationships/hyperlink" Target="http://force.com" TargetMode="External"/><Relationship Id="rId4425" Type="http://schemas.openxmlformats.org/officeDocument/2006/relationships/hyperlink" Target="http://force.com" TargetMode="External"/><Relationship Id="rId5759" Type="http://schemas.openxmlformats.org/officeDocument/2006/relationships/hyperlink" Target="http://force.com" TargetMode="External"/><Relationship Id="rId4428" Type="http://schemas.openxmlformats.org/officeDocument/2006/relationships/hyperlink" Target="http://force.com" TargetMode="External"/><Relationship Id="rId5756" Type="http://schemas.openxmlformats.org/officeDocument/2006/relationships/hyperlink" Target="http://force.com" TargetMode="External"/><Relationship Id="rId4427" Type="http://schemas.openxmlformats.org/officeDocument/2006/relationships/hyperlink" Target="http://force.com" TargetMode="External"/><Relationship Id="rId5757" Type="http://schemas.openxmlformats.org/officeDocument/2006/relationships/hyperlink" Target="http://force.com" TargetMode="External"/><Relationship Id="rId4429" Type="http://schemas.openxmlformats.org/officeDocument/2006/relationships/hyperlink" Target="http://force.com" TargetMode="External"/><Relationship Id="rId1390" Type="http://schemas.openxmlformats.org/officeDocument/2006/relationships/hyperlink" Target="http://force.com" TargetMode="External"/><Relationship Id="rId1391" Type="http://schemas.openxmlformats.org/officeDocument/2006/relationships/hyperlink" Target="http://force.com" TargetMode="External"/><Relationship Id="rId1392" Type="http://schemas.openxmlformats.org/officeDocument/2006/relationships/hyperlink" Target="http://force.com" TargetMode="External"/><Relationship Id="rId5750" Type="http://schemas.openxmlformats.org/officeDocument/2006/relationships/hyperlink" Target="http://force.com" TargetMode="External"/><Relationship Id="rId1393" Type="http://schemas.openxmlformats.org/officeDocument/2006/relationships/hyperlink" Target="http://force.com" TargetMode="External"/><Relationship Id="rId5751" Type="http://schemas.openxmlformats.org/officeDocument/2006/relationships/hyperlink" Target="http://force.com" TargetMode="External"/><Relationship Id="rId1394" Type="http://schemas.openxmlformats.org/officeDocument/2006/relationships/hyperlink" Target="http://force.com" TargetMode="External"/><Relationship Id="rId4420" Type="http://schemas.openxmlformats.org/officeDocument/2006/relationships/hyperlink" Target="http://force.com" TargetMode="External"/><Relationship Id="rId1395" Type="http://schemas.openxmlformats.org/officeDocument/2006/relationships/hyperlink" Target="http://force.com" TargetMode="External"/><Relationship Id="rId1396" Type="http://schemas.openxmlformats.org/officeDocument/2006/relationships/hyperlink" Target="http://force.com" TargetMode="External"/><Relationship Id="rId4422" Type="http://schemas.openxmlformats.org/officeDocument/2006/relationships/hyperlink" Target="http://force.com" TargetMode="External"/><Relationship Id="rId5754" Type="http://schemas.openxmlformats.org/officeDocument/2006/relationships/hyperlink" Target="http://force.com" TargetMode="External"/><Relationship Id="rId1397" Type="http://schemas.openxmlformats.org/officeDocument/2006/relationships/hyperlink" Target="http://force.com" TargetMode="External"/><Relationship Id="rId4421" Type="http://schemas.openxmlformats.org/officeDocument/2006/relationships/hyperlink" Target="http://force.com" TargetMode="External"/><Relationship Id="rId5755" Type="http://schemas.openxmlformats.org/officeDocument/2006/relationships/hyperlink" Target="http://force.com" TargetMode="External"/><Relationship Id="rId1398" Type="http://schemas.openxmlformats.org/officeDocument/2006/relationships/hyperlink" Target="http://force.com" TargetMode="External"/><Relationship Id="rId4424" Type="http://schemas.openxmlformats.org/officeDocument/2006/relationships/hyperlink" Target="http://force.com" TargetMode="External"/><Relationship Id="rId5752" Type="http://schemas.openxmlformats.org/officeDocument/2006/relationships/hyperlink" Target="http://force.com" TargetMode="External"/><Relationship Id="rId1399" Type="http://schemas.openxmlformats.org/officeDocument/2006/relationships/hyperlink" Target="http://force.com" TargetMode="External"/><Relationship Id="rId4423" Type="http://schemas.openxmlformats.org/officeDocument/2006/relationships/hyperlink" Target="http://force.com" TargetMode="External"/><Relationship Id="rId5753" Type="http://schemas.openxmlformats.org/officeDocument/2006/relationships/hyperlink" Target="http://force.com" TargetMode="External"/><Relationship Id="rId1389" Type="http://schemas.openxmlformats.org/officeDocument/2006/relationships/hyperlink" Target="http://force.com" TargetMode="External"/><Relationship Id="rId4415" Type="http://schemas.openxmlformats.org/officeDocument/2006/relationships/hyperlink" Target="http://force.com" TargetMode="External"/><Relationship Id="rId5747" Type="http://schemas.openxmlformats.org/officeDocument/2006/relationships/hyperlink" Target="http://force.com" TargetMode="External"/><Relationship Id="rId4414" Type="http://schemas.openxmlformats.org/officeDocument/2006/relationships/hyperlink" Target="http://force.com" TargetMode="External"/><Relationship Id="rId5748" Type="http://schemas.openxmlformats.org/officeDocument/2006/relationships/hyperlink" Target="http://force.com" TargetMode="External"/><Relationship Id="rId4417" Type="http://schemas.openxmlformats.org/officeDocument/2006/relationships/hyperlink" Target="http://force.com" TargetMode="External"/><Relationship Id="rId5745" Type="http://schemas.openxmlformats.org/officeDocument/2006/relationships/hyperlink" Target="http://force.com" TargetMode="External"/><Relationship Id="rId4416" Type="http://schemas.openxmlformats.org/officeDocument/2006/relationships/hyperlink" Target="http://force.com" TargetMode="External"/><Relationship Id="rId5746" Type="http://schemas.openxmlformats.org/officeDocument/2006/relationships/hyperlink" Target="http://force.com" TargetMode="External"/><Relationship Id="rId4419" Type="http://schemas.openxmlformats.org/officeDocument/2006/relationships/hyperlink" Target="http://force.com" TargetMode="External"/><Relationship Id="rId4418" Type="http://schemas.openxmlformats.org/officeDocument/2006/relationships/hyperlink" Target="http://force.com" TargetMode="External"/><Relationship Id="rId5749" Type="http://schemas.openxmlformats.org/officeDocument/2006/relationships/hyperlink" Target="http://force.com" TargetMode="External"/><Relationship Id="rId799" Type="http://schemas.openxmlformats.org/officeDocument/2006/relationships/hyperlink" Target="http://force.com" TargetMode="External"/><Relationship Id="rId798" Type="http://schemas.openxmlformats.org/officeDocument/2006/relationships/hyperlink" Target="http://force.com" TargetMode="External"/><Relationship Id="rId797" Type="http://schemas.openxmlformats.org/officeDocument/2006/relationships/hyperlink" Target="http://force.com" TargetMode="External"/><Relationship Id="rId1380" Type="http://schemas.openxmlformats.org/officeDocument/2006/relationships/hyperlink" Target="http://force.com" TargetMode="External"/><Relationship Id="rId792" Type="http://schemas.openxmlformats.org/officeDocument/2006/relationships/hyperlink" Target="http://force.com" TargetMode="External"/><Relationship Id="rId1381" Type="http://schemas.openxmlformats.org/officeDocument/2006/relationships/hyperlink" Target="http://force.com" TargetMode="External"/><Relationship Id="rId791" Type="http://schemas.openxmlformats.org/officeDocument/2006/relationships/hyperlink" Target="http://force.com" TargetMode="External"/><Relationship Id="rId1382" Type="http://schemas.openxmlformats.org/officeDocument/2006/relationships/hyperlink" Target="http://force.com" TargetMode="External"/><Relationship Id="rId5740" Type="http://schemas.openxmlformats.org/officeDocument/2006/relationships/hyperlink" Target="http://force.com" TargetMode="External"/><Relationship Id="rId790" Type="http://schemas.openxmlformats.org/officeDocument/2006/relationships/hyperlink" Target="http://force.com" TargetMode="External"/><Relationship Id="rId1383" Type="http://schemas.openxmlformats.org/officeDocument/2006/relationships/hyperlink" Target="http://force.com" TargetMode="External"/><Relationship Id="rId1384" Type="http://schemas.openxmlformats.org/officeDocument/2006/relationships/hyperlink" Target="http://force.com" TargetMode="External"/><Relationship Id="rId796" Type="http://schemas.openxmlformats.org/officeDocument/2006/relationships/hyperlink" Target="http://force.com" TargetMode="External"/><Relationship Id="rId1385" Type="http://schemas.openxmlformats.org/officeDocument/2006/relationships/hyperlink" Target="http://force.com" TargetMode="External"/><Relationship Id="rId4411" Type="http://schemas.openxmlformats.org/officeDocument/2006/relationships/hyperlink" Target="http://force.com" TargetMode="External"/><Relationship Id="rId5743" Type="http://schemas.openxmlformats.org/officeDocument/2006/relationships/hyperlink" Target="http://force.com" TargetMode="External"/><Relationship Id="rId795" Type="http://schemas.openxmlformats.org/officeDocument/2006/relationships/hyperlink" Target="http://force.com" TargetMode="External"/><Relationship Id="rId1386" Type="http://schemas.openxmlformats.org/officeDocument/2006/relationships/hyperlink" Target="http://force.com" TargetMode="External"/><Relationship Id="rId4410" Type="http://schemas.openxmlformats.org/officeDocument/2006/relationships/hyperlink" Target="http://force.com" TargetMode="External"/><Relationship Id="rId5744" Type="http://schemas.openxmlformats.org/officeDocument/2006/relationships/hyperlink" Target="http://force.com" TargetMode="External"/><Relationship Id="rId794" Type="http://schemas.openxmlformats.org/officeDocument/2006/relationships/hyperlink" Target="http://force.com" TargetMode="External"/><Relationship Id="rId1387" Type="http://schemas.openxmlformats.org/officeDocument/2006/relationships/hyperlink" Target="http://force.com" TargetMode="External"/><Relationship Id="rId4413" Type="http://schemas.openxmlformats.org/officeDocument/2006/relationships/hyperlink" Target="http://force.com" TargetMode="External"/><Relationship Id="rId5741" Type="http://schemas.openxmlformats.org/officeDocument/2006/relationships/hyperlink" Target="http://force.com" TargetMode="External"/><Relationship Id="rId793" Type="http://schemas.openxmlformats.org/officeDocument/2006/relationships/hyperlink" Target="http://force.com" TargetMode="External"/><Relationship Id="rId1388" Type="http://schemas.openxmlformats.org/officeDocument/2006/relationships/hyperlink" Target="http://force.com" TargetMode="External"/><Relationship Id="rId4412" Type="http://schemas.openxmlformats.org/officeDocument/2006/relationships/hyperlink" Target="http://force.com" TargetMode="External"/><Relationship Id="rId5742" Type="http://schemas.openxmlformats.org/officeDocument/2006/relationships/hyperlink" Target="http://force.com" TargetMode="External"/><Relationship Id="rId3191" Type="http://schemas.openxmlformats.org/officeDocument/2006/relationships/hyperlink" Target="http://force.com" TargetMode="External"/><Relationship Id="rId3190" Type="http://schemas.openxmlformats.org/officeDocument/2006/relationships/hyperlink" Target="http://force.com" TargetMode="External"/><Relationship Id="rId3193" Type="http://schemas.openxmlformats.org/officeDocument/2006/relationships/hyperlink" Target="http://force.com" TargetMode="External"/><Relationship Id="rId3192" Type="http://schemas.openxmlformats.org/officeDocument/2006/relationships/hyperlink" Target="http://force.com" TargetMode="External"/><Relationship Id="rId3195" Type="http://schemas.openxmlformats.org/officeDocument/2006/relationships/hyperlink" Target="http://force.com" TargetMode="External"/><Relationship Id="rId3194" Type="http://schemas.openxmlformats.org/officeDocument/2006/relationships/hyperlink" Target="http://force.com" TargetMode="External"/><Relationship Id="rId3197" Type="http://schemas.openxmlformats.org/officeDocument/2006/relationships/hyperlink" Target="http://force.com" TargetMode="External"/><Relationship Id="rId3196" Type="http://schemas.openxmlformats.org/officeDocument/2006/relationships/hyperlink" Target="http://force.com" TargetMode="External"/><Relationship Id="rId3199" Type="http://schemas.openxmlformats.org/officeDocument/2006/relationships/hyperlink" Target="http://force.com" TargetMode="External"/><Relationship Id="rId3198" Type="http://schemas.openxmlformats.org/officeDocument/2006/relationships/hyperlink" Target="http://force.com" TargetMode="External"/><Relationship Id="rId3180" Type="http://schemas.openxmlformats.org/officeDocument/2006/relationships/hyperlink" Target="http://force.com" TargetMode="External"/><Relationship Id="rId3182" Type="http://schemas.openxmlformats.org/officeDocument/2006/relationships/hyperlink" Target="http://force.com" TargetMode="External"/><Relationship Id="rId3181" Type="http://schemas.openxmlformats.org/officeDocument/2006/relationships/hyperlink" Target="http://force.com" TargetMode="External"/><Relationship Id="rId3184" Type="http://schemas.openxmlformats.org/officeDocument/2006/relationships/hyperlink" Target="http://force.com" TargetMode="External"/><Relationship Id="rId3183" Type="http://schemas.openxmlformats.org/officeDocument/2006/relationships/hyperlink" Target="http://force.com" TargetMode="External"/><Relationship Id="rId3186" Type="http://schemas.openxmlformats.org/officeDocument/2006/relationships/hyperlink" Target="http://force.com" TargetMode="External"/><Relationship Id="rId3185" Type="http://schemas.openxmlformats.org/officeDocument/2006/relationships/hyperlink" Target="http://force.com" TargetMode="External"/><Relationship Id="rId3188" Type="http://schemas.openxmlformats.org/officeDocument/2006/relationships/hyperlink" Target="http://force.com" TargetMode="External"/><Relationship Id="rId3187" Type="http://schemas.openxmlformats.org/officeDocument/2006/relationships/hyperlink" Target="http://force.com" TargetMode="External"/><Relationship Id="rId3189" Type="http://schemas.openxmlformats.org/officeDocument/2006/relationships/hyperlink" Target="http://force.com" TargetMode="External"/><Relationship Id="rId4480" Type="http://schemas.openxmlformats.org/officeDocument/2006/relationships/hyperlink" Target="http://force.com" TargetMode="External"/><Relationship Id="rId3151" Type="http://schemas.openxmlformats.org/officeDocument/2006/relationships/hyperlink" Target="http://force.com" TargetMode="External"/><Relationship Id="rId4482" Type="http://schemas.openxmlformats.org/officeDocument/2006/relationships/hyperlink" Target="http://force.com" TargetMode="External"/><Relationship Id="rId3150" Type="http://schemas.openxmlformats.org/officeDocument/2006/relationships/hyperlink" Target="http://force.com" TargetMode="External"/><Relationship Id="rId4481" Type="http://schemas.openxmlformats.org/officeDocument/2006/relationships/hyperlink" Target="http://force.com" TargetMode="External"/><Relationship Id="rId3153" Type="http://schemas.openxmlformats.org/officeDocument/2006/relationships/hyperlink" Target="http://force.com" TargetMode="External"/><Relationship Id="rId4484" Type="http://schemas.openxmlformats.org/officeDocument/2006/relationships/hyperlink" Target="http://force.com" TargetMode="External"/><Relationship Id="rId3152" Type="http://schemas.openxmlformats.org/officeDocument/2006/relationships/hyperlink" Target="http://force.com" TargetMode="External"/><Relationship Id="rId4483" Type="http://schemas.openxmlformats.org/officeDocument/2006/relationships/hyperlink" Target="http://force.com" TargetMode="External"/><Relationship Id="rId3155" Type="http://schemas.openxmlformats.org/officeDocument/2006/relationships/hyperlink" Target="http://force.com" TargetMode="External"/><Relationship Id="rId4486" Type="http://schemas.openxmlformats.org/officeDocument/2006/relationships/hyperlink" Target="http://force.com" TargetMode="External"/><Relationship Id="rId3154" Type="http://schemas.openxmlformats.org/officeDocument/2006/relationships/hyperlink" Target="http://force.com" TargetMode="External"/><Relationship Id="rId4485" Type="http://schemas.openxmlformats.org/officeDocument/2006/relationships/hyperlink" Target="http://force.com" TargetMode="External"/><Relationship Id="rId3157" Type="http://schemas.openxmlformats.org/officeDocument/2006/relationships/hyperlink" Target="http://force.com" TargetMode="External"/><Relationship Id="rId4488" Type="http://schemas.openxmlformats.org/officeDocument/2006/relationships/hyperlink" Target="http://force.com" TargetMode="External"/><Relationship Id="rId3156" Type="http://schemas.openxmlformats.org/officeDocument/2006/relationships/hyperlink" Target="http://force.com" TargetMode="External"/><Relationship Id="rId4487" Type="http://schemas.openxmlformats.org/officeDocument/2006/relationships/hyperlink" Target="http://force.com" TargetMode="External"/><Relationship Id="rId3159" Type="http://schemas.openxmlformats.org/officeDocument/2006/relationships/hyperlink" Target="http://force.com" TargetMode="External"/><Relationship Id="rId3158" Type="http://schemas.openxmlformats.org/officeDocument/2006/relationships/hyperlink" Target="http://force.com" TargetMode="External"/><Relationship Id="rId4489" Type="http://schemas.openxmlformats.org/officeDocument/2006/relationships/hyperlink" Target="http://force.com" TargetMode="External"/><Relationship Id="rId3149" Type="http://schemas.openxmlformats.org/officeDocument/2006/relationships/hyperlink" Target="http://force.com" TargetMode="External"/><Relationship Id="rId3140" Type="http://schemas.openxmlformats.org/officeDocument/2006/relationships/hyperlink" Target="http://force.com" TargetMode="External"/><Relationship Id="rId4471" Type="http://schemas.openxmlformats.org/officeDocument/2006/relationships/hyperlink" Target="http://force.com" TargetMode="External"/><Relationship Id="rId4470" Type="http://schemas.openxmlformats.org/officeDocument/2006/relationships/hyperlink" Target="http://force.com" TargetMode="External"/><Relationship Id="rId3142" Type="http://schemas.openxmlformats.org/officeDocument/2006/relationships/hyperlink" Target="http://force.com" TargetMode="External"/><Relationship Id="rId4473" Type="http://schemas.openxmlformats.org/officeDocument/2006/relationships/hyperlink" Target="http://force.com" TargetMode="External"/><Relationship Id="rId3141" Type="http://schemas.openxmlformats.org/officeDocument/2006/relationships/hyperlink" Target="http://force.com" TargetMode="External"/><Relationship Id="rId4472" Type="http://schemas.openxmlformats.org/officeDocument/2006/relationships/hyperlink" Target="http://force.com" TargetMode="External"/><Relationship Id="rId3144" Type="http://schemas.openxmlformats.org/officeDocument/2006/relationships/hyperlink" Target="http://force.com" TargetMode="External"/><Relationship Id="rId4475" Type="http://schemas.openxmlformats.org/officeDocument/2006/relationships/hyperlink" Target="http://force.com" TargetMode="External"/><Relationship Id="rId3143" Type="http://schemas.openxmlformats.org/officeDocument/2006/relationships/hyperlink" Target="http://force.com" TargetMode="External"/><Relationship Id="rId4474" Type="http://schemas.openxmlformats.org/officeDocument/2006/relationships/hyperlink" Target="http://force.com" TargetMode="External"/><Relationship Id="rId3146" Type="http://schemas.openxmlformats.org/officeDocument/2006/relationships/hyperlink" Target="http://force.com" TargetMode="External"/><Relationship Id="rId4477" Type="http://schemas.openxmlformats.org/officeDocument/2006/relationships/hyperlink" Target="http://force.com" TargetMode="External"/><Relationship Id="rId3145" Type="http://schemas.openxmlformats.org/officeDocument/2006/relationships/hyperlink" Target="http://force.com" TargetMode="External"/><Relationship Id="rId4476" Type="http://schemas.openxmlformats.org/officeDocument/2006/relationships/hyperlink" Target="http://force.com" TargetMode="External"/><Relationship Id="rId3148" Type="http://schemas.openxmlformats.org/officeDocument/2006/relationships/hyperlink" Target="http://force.com" TargetMode="External"/><Relationship Id="rId4479" Type="http://schemas.openxmlformats.org/officeDocument/2006/relationships/hyperlink" Target="http://force.com" TargetMode="External"/><Relationship Id="rId3147" Type="http://schemas.openxmlformats.org/officeDocument/2006/relationships/hyperlink" Target="http://force.com" TargetMode="External"/><Relationship Id="rId4478" Type="http://schemas.openxmlformats.org/officeDocument/2006/relationships/hyperlink" Target="http://force.com" TargetMode="External"/><Relationship Id="rId3171" Type="http://schemas.openxmlformats.org/officeDocument/2006/relationships/hyperlink" Target="http://force.com" TargetMode="External"/><Relationship Id="rId3170" Type="http://schemas.openxmlformats.org/officeDocument/2006/relationships/hyperlink" Target="http://force.com" TargetMode="External"/><Relationship Id="rId3173" Type="http://schemas.openxmlformats.org/officeDocument/2006/relationships/hyperlink" Target="http://force.com" TargetMode="External"/><Relationship Id="rId3172" Type="http://schemas.openxmlformats.org/officeDocument/2006/relationships/hyperlink" Target="http://force.com" TargetMode="External"/><Relationship Id="rId3175" Type="http://schemas.openxmlformats.org/officeDocument/2006/relationships/hyperlink" Target="http://force.com" TargetMode="External"/><Relationship Id="rId3174" Type="http://schemas.openxmlformats.org/officeDocument/2006/relationships/hyperlink" Target="http://force.com" TargetMode="External"/><Relationship Id="rId3177" Type="http://schemas.openxmlformats.org/officeDocument/2006/relationships/hyperlink" Target="http://force.com" TargetMode="External"/><Relationship Id="rId3176" Type="http://schemas.openxmlformats.org/officeDocument/2006/relationships/hyperlink" Target="http://force.com" TargetMode="External"/><Relationship Id="rId3179" Type="http://schemas.openxmlformats.org/officeDocument/2006/relationships/hyperlink" Target="http://force.com" TargetMode="External"/><Relationship Id="rId3178" Type="http://schemas.openxmlformats.org/officeDocument/2006/relationships/hyperlink" Target="http://force.com" TargetMode="External"/><Relationship Id="rId3160" Type="http://schemas.openxmlformats.org/officeDocument/2006/relationships/hyperlink" Target="http://force.com" TargetMode="External"/><Relationship Id="rId4491" Type="http://schemas.openxmlformats.org/officeDocument/2006/relationships/hyperlink" Target="http://force.com" TargetMode="External"/><Relationship Id="rId4490" Type="http://schemas.openxmlformats.org/officeDocument/2006/relationships/hyperlink" Target="http://force.com" TargetMode="External"/><Relationship Id="rId3162" Type="http://schemas.openxmlformats.org/officeDocument/2006/relationships/hyperlink" Target="http://force.com" TargetMode="External"/><Relationship Id="rId4493" Type="http://schemas.openxmlformats.org/officeDocument/2006/relationships/hyperlink" Target="http://force.com" TargetMode="External"/><Relationship Id="rId3161" Type="http://schemas.openxmlformats.org/officeDocument/2006/relationships/hyperlink" Target="http://force.com" TargetMode="External"/><Relationship Id="rId4492" Type="http://schemas.openxmlformats.org/officeDocument/2006/relationships/hyperlink" Target="http://force.com" TargetMode="External"/><Relationship Id="rId3164" Type="http://schemas.openxmlformats.org/officeDocument/2006/relationships/hyperlink" Target="http://force.com" TargetMode="External"/><Relationship Id="rId4495" Type="http://schemas.openxmlformats.org/officeDocument/2006/relationships/hyperlink" Target="http://force.com" TargetMode="External"/><Relationship Id="rId3163" Type="http://schemas.openxmlformats.org/officeDocument/2006/relationships/hyperlink" Target="http://force.com" TargetMode="External"/><Relationship Id="rId4494" Type="http://schemas.openxmlformats.org/officeDocument/2006/relationships/hyperlink" Target="http://force.com" TargetMode="External"/><Relationship Id="rId3166" Type="http://schemas.openxmlformats.org/officeDocument/2006/relationships/hyperlink" Target="http://force.com" TargetMode="External"/><Relationship Id="rId4497" Type="http://schemas.openxmlformats.org/officeDocument/2006/relationships/hyperlink" Target="http://force.com" TargetMode="External"/><Relationship Id="rId3165" Type="http://schemas.openxmlformats.org/officeDocument/2006/relationships/hyperlink" Target="http://force.com" TargetMode="External"/><Relationship Id="rId4496" Type="http://schemas.openxmlformats.org/officeDocument/2006/relationships/hyperlink" Target="http://force.com" TargetMode="External"/><Relationship Id="rId3168" Type="http://schemas.openxmlformats.org/officeDocument/2006/relationships/hyperlink" Target="http://force.com" TargetMode="External"/><Relationship Id="rId4499" Type="http://schemas.openxmlformats.org/officeDocument/2006/relationships/hyperlink" Target="http://force.com" TargetMode="External"/><Relationship Id="rId3167" Type="http://schemas.openxmlformats.org/officeDocument/2006/relationships/hyperlink" Target="http://force.com" TargetMode="External"/><Relationship Id="rId4498" Type="http://schemas.openxmlformats.org/officeDocument/2006/relationships/hyperlink" Target="http://force.com" TargetMode="External"/><Relationship Id="rId3169" Type="http://schemas.openxmlformats.org/officeDocument/2006/relationships/hyperlink" Target="http://force.com" TargetMode="External"/><Relationship Id="rId2700" Type="http://schemas.openxmlformats.org/officeDocument/2006/relationships/hyperlink" Target="http://force.com" TargetMode="External"/><Relationship Id="rId2701" Type="http://schemas.openxmlformats.org/officeDocument/2006/relationships/hyperlink" Target="http://force.com" TargetMode="External"/><Relationship Id="rId2702" Type="http://schemas.openxmlformats.org/officeDocument/2006/relationships/hyperlink" Target="http://force.com" TargetMode="External"/><Relationship Id="rId2703" Type="http://schemas.openxmlformats.org/officeDocument/2006/relationships/hyperlink" Target="http://force.com" TargetMode="External"/><Relationship Id="rId2704" Type="http://schemas.openxmlformats.org/officeDocument/2006/relationships/hyperlink" Target="http://force.com" TargetMode="External"/><Relationship Id="rId2705" Type="http://schemas.openxmlformats.org/officeDocument/2006/relationships/hyperlink" Target="http://force.com" TargetMode="External"/><Relationship Id="rId2706" Type="http://schemas.openxmlformats.org/officeDocument/2006/relationships/hyperlink" Target="http://force.com" TargetMode="External"/><Relationship Id="rId2707" Type="http://schemas.openxmlformats.org/officeDocument/2006/relationships/hyperlink" Target="http://force.com" TargetMode="External"/><Relationship Id="rId2708" Type="http://schemas.openxmlformats.org/officeDocument/2006/relationships/hyperlink" Target="http://force.com" TargetMode="External"/><Relationship Id="rId2709" Type="http://schemas.openxmlformats.org/officeDocument/2006/relationships/hyperlink" Target="http://force.com" TargetMode="External"/><Relationship Id="rId2720" Type="http://schemas.openxmlformats.org/officeDocument/2006/relationships/hyperlink" Target="http://force.com" TargetMode="External"/><Relationship Id="rId2721" Type="http://schemas.openxmlformats.org/officeDocument/2006/relationships/hyperlink" Target="http://force.com" TargetMode="External"/><Relationship Id="rId2722" Type="http://schemas.openxmlformats.org/officeDocument/2006/relationships/hyperlink" Target="http://force.com" TargetMode="External"/><Relationship Id="rId2723" Type="http://schemas.openxmlformats.org/officeDocument/2006/relationships/hyperlink" Target="http://force.com" TargetMode="External"/><Relationship Id="rId2724" Type="http://schemas.openxmlformats.org/officeDocument/2006/relationships/hyperlink" Target="http://force.com" TargetMode="External"/><Relationship Id="rId2725" Type="http://schemas.openxmlformats.org/officeDocument/2006/relationships/hyperlink" Target="http://force.com" TargetMode="External"/><Relationship Id="rId2726" Type="http://schemas.openxmlformats.org/officeDocument/2006/relationships/hyperlink" Target="http://force.com" TargetMode="External"/><Relationship Id="rId2727" Type="http://schemas.openxmlformats.org/officeDocument/2006/relationships/hyperlink" Target="http://force.com" TargetMode="External"/><Relationship Id="rId2728" Type="http://schemas.openxmlformats.org/officeDocument/2006/relationships/hyperlink" Target="http://force.com" TargetMode="External"/><Relationship Id="rId2729" Type="http://schemas.openxmlformats.org/officeDocument/2006/relationships/hyperlink" Target="http://force.com" TargetMode="External"/><Relationship Id="rId2710" Type="http://schemas.openxmlformats.org/officeDocument/2006/relationships/hyperlink" Target="http://force.com" TargetMode="External"/><Relationship Id="rId2711" Type="http://schemas.openxmlformats.org/officeDocument/2006/relationships/hyperlink" Target="http://force.com" TargetMode="External"/><Relationship Id="rId2712" Type="http://schemas.openxmlformats.org/officeDocument/2006/relationships/hyperlink" Target="http://force.com" TargetMode="External"/><Relationship Id="rId2713" Type="http://schemas.openxmlformats.org/officeDocument/2006/relationships/hyperlink" Target="http://force.com" TargetMode="External"/><Relationship Id="rId2714" Type="http://schemas.openxmlformats.org/officeDocument/2006/relationships/hyperlink" Target="http://force.com" TargetMode="External"/><Relationship Id="rId2715" Type="http://schemas.openxmlformats.org/officeDocument/2006/relationships/hyperlink" Target="http://force.com" TargetMode="External"/><Relationship Id="rId2716" Type="http://schemas.openxmlformats.org/officeDocument/2006/relationships/hyperlink" Target="http://force.com" TargetMode="External"/><Relationship Id="rId2717" Type="http://schemas.openxmlformats.org/officeDocument/2006/relationships/hyperlink" Target="http://force.com" TargetMode="External"/><Relationship Id="rId2718" Type="http://schemas.openxmlformats.org/officeDocument/2006/relationships/hyperlink" Target="http://force.com" TargetMode="External"/><Relationship Id="rId2719" Type="http://schemas.openxmlformats.org/officeDocument/2006/relationships/hyperlink" Target="http://force.com" TargetMode="External"/><Relationship Id="rId1455" Type="http://schemas.openxmlformats.org/officeDocument/2006/relationships/hyperlink" Target="http://force.com" TargetMode="External"/><Relationship Id="rId2786" Type="http://schemas.openxmlformats.org/officeDocument/2006/relationships/hyperlink" Target="http://force.com" TargetMode="External"/><Relationship Id="rId5813" Type="http://schemas.openxmlformats.org/officeDocument/2006/relationships/hyperlink" Target="http://force.com" TargetMode="External"/><Relationship Id="rId1456" Type="http://schemas.openxmlformats.org/officeDocument/2006/relationships/hyperlink" Target="http://force.com" TargetMode="External"/><Relationship Id="rId2787" Type="http://schemas.openxmlformats.org/officeDocument/2006/relationships/hyperlink" Target="http://force.com" TargetMode="External"/><Relationship Id="rId5814" Type="http://schemas.openxmlformats.org/officeDocument/2006/relationships/hyperlink" Target="http://force.com" TargetMode="External"/><Relationship Id="rId1457" Type="http://schemas.openxmlformats.org/officeDocument/2006/relationships/hyperlink" Target="http://force.com" TargetMode="External"/><Relationship Id="rId2788" Type="http://schemas.openxmlformats.org/officeDocument/2006/relationships/hyperlink" Target="http://force.com" TargetMode="External"/><Relationship Id="rId5811" Type="http://schemas.openxmlformats.org/officeDocument/2006/relationships/hyperlink" Target="http://force.com" TargetMode="External"/><Relationship Id="rId1458" Type="http://schemas.openxmlformats.org/officeDocument/2006/relationships/hyperlink" Target="http://force.com" TargetMode="External"/><Relationship Id="rId2789" Type="http://schemas.openxmlformats.org/officeDocument/2006/relationships/hyperlink" Target="http://force.com" TargetMode="External"/><Relationship Id="rId5812" Type="http://schemas.openxmlformats.org/officeDocument/2006/relationships/hyperlink" Target="http://force.com" TargetMode="External"/><Relationship Id="rId1459" Type="http://schemas.openxmlformats.org/officeDocument/2006/relationships/hyperlink" Target="http://force.com" TargetMode="External"/><Relationship Id="rId5817" Type="http://schemas.openxmlformats.org/officeDocument/2006/relationships/hyperlink" Target="http://force.com" TargetMode="External"/><Relationship Id="rId5818" Type="http://schemas.openxmlformats.org/officeDocument/2006/relationships/hyperlink" Target="http://force.com" TargetMode="External"/><Relationship Id="rId5815" Type="http://schemas.openxmlformats.org/officeDocument/2006/relationships/hyperlink" Target="http://force.com" TargetMode="External"/><Relationship Id="rId5816" Type="http://schemas.openxmlformats.org/officeDocument/2006/relationships/hyperlink" Target="http://force.com" TargetMode="External"/><Relationship Id="rId5819" Type="http://schemas.openxmlformats.org/officeDocument/2006/relationships/hyperlink" Target="http://force.com" TargetMode="External"/><Relationship Id="rId629" Type="http://schemas.openxmlformats.org/officeDocument/2006/relationships/hyperlink" Target="http://force.com" TargetMode="External"/><Relationship Id="rId624" Type="http://schemas.openxmlformats.org/officeDocument/2006/relationships/hyperlink" Target="http://force.com" TargetMode="External"/><Relationship Id="rId623" Type="http://schemas.openxmlformats.org/officeDocument/2006/relationships/hyperlink" Target="http://force.com" TargetMode="External"/><Relationship Id="rId622" Type="http://schemas.openxmlformats.org/officeDocument/2006/relationships/hyperlink" Target="http://force.com" TargetMode="External"/><Relationship Id="rId621" Type="http://schemas.openxmlformats.org/officeDocument/2006/relationships/hyperlink" Target="http://force.com" TargetMode="External"/><Relationship Id="rId628" Type="http://schemas.openxmlformats.org/officeDocument/2006/relationships/hyperlink" Target="http://force.com" TargetMode="External"/><Relationship Id="rId627" Type="http://schemas.openxmlformats.org/officeDocument/2006/relationships/hyperlink" Target="http://force.com" TargetMode="External"/><Relationship Id="rId626" Type="http://schemas.openxmlformats.org/officeDocument/2006/relationships/hyperlink" Target="http://force.com" TargetMode="External"/><Relationship Id="rId625" Type="http://schemas.openxmlformats.org/officeDocument/2006/relationships/hyperlink" Target="http://force.com" TargetMode="External"/><Relationship Id="rId2780" Type="http://schemas.openxmlformats.org/officeDocument/2006/relationships/hyperlink" Target="http://force.com" TargetMode="External"/><Relationship Id="rId1450" Type="http://schemas.openxmlformats.org/officeDocument/2006/relationships/hyperlink" Target="http://force.com" TargetMode="External"/><Relationship Id="rId2781" Type="http://schemas.openxmlformats.org/officeDocument/2006/relationships/hyperlink" Target="http://force.com" TargetMode="External"/><Relationship Id="rId620" Type="http://schemas.openxmlformats.org/officeDocument/2006/relationships/hyperlink" Target="http://force.com" TargetMode="External"/><Relationship Id="rId1451" Type="http://schemas.openxmlformats.org/officeDocument/2006/relationships/hyperlink" Target="http://force.com" TargetMode="External"/><Relationship Id="rId2782" Type="http://schemas.openxmlformats.org/officeDocument/2006/relationships/hyperlink" Target="http://force.com" TargetMode="External"/><Relationship Id="rId1452" Type="http://schemas.openxmlformats.org/officeDocument/2006/relationships/hyperlink" Target="http://force.com" TargetMode="External"/><Relationship Id="rId2783" Type="http://schemas.openxmlformats.org/officeDocument/2006/relationships/hyperlink" Target="http://force.com" TargetMode="External"/><Relationship Id="rId5810" Type="http://schemas.openxmlformats.org/officeDocument/2006/relationships/hyperlink" Target="http://force.com" TargetMode="External"/><Relationship Id="rId1453" Type="http://schemas.openxmlformats.org/officeDocument/2006/relationships/hyperlink" Target="http://force.com" TargetMode="External"/><Relationship Id="rId2784" Type="http://schemas.openxmlformats.org/officeDocument/2006/relationships/hyperlink" Target="http://force.com" TargetMode="External"/><Relationship Id="rId1454" Type="http://schemas.openxmlformats.org/officeDocument/2006/relationships/hyperlink" Target="http://force.com" TargetMode="External"/><Relationship Id="rId2785" Type="http://schemas.openxmlformats.org/officeDocument/2006/relationships/hyperlink" Target="http://force.com" TargetMode="External"/><Relationship Id="rId1444" Type="http://schemas.openxmlformats.org/officeDocument/2006/relationships/hyperlink" Target="http://force.com" TargetMode="External"/><Relationship Id="rId2775" Type="http://schemas.openxmlformats.org/officeDocument/2006/relationships/hyperlink" Target="http://force.com" TargetMode="External"/><Relationship Id="rId5802" Type="http://schemas.openxmlformats.org/officeDocument/2006/relationships/hyperlink" Target="http://force.com" TargetMode="External"/><Relationship Id="rId1445" Type="http://schemas.openxmlformats.org/officeDocument/2006/relationships/hyperlink" Target="http://force.com" TargetMode="External"/><Relationship Id="rId2776" Type="http://schemas.openxmlformats.org/officeDocument/2006/relationships/hyperlink" Target="http://force.com" TargetMode="External"/><Relationship Id="rId5803" Type="http://schemas.openxmlformats.org/officeDocument/2006/relationships/hyperlink" Target="http://force.com" TargetMode="External"/><Relationship Id="rId1446" Type="http://schemas.openxmlformats.org/officeDocument/2006/relationships/hyperlink" Target="http://force.com" TargetMode="External"/><Relationship Id="rId2777" Type="http://schemas.openxmlformats.org/officeDocument/2006/relationships/hyperlink" Target="http://force.com" TargetMode="External"/><Relationship Id="rId5800" Type="http://schemas.openxmlformats.org/officeDocument/2006/relationships/hyperlink" Target="http://force.com" TargetMode="External"/><Relationship Id="rId1447" Type="http://schemas.openxmlformats.org/officeDocument/2006/relationships/hyperlink" Target="http://force.com" TargetMode="External"/><Relationship Id="rId2778" Type="http://schemas.openxmlformats.org/officeDocument/2006/relationships/hyperlink" Target="http://force.com" TargetMode="External"/><Relationship Id="rId5801" Type="http://schemas.openxmlformats.org/officeDocument/2006/relationships/hyperlink" Target="http://force.com" TargetMode="External"/><Relationship Id="rId1448" Type="http://schemas.openxmlformats.org/officeDocument/2006/relationships/hyperlink" Target="http://force.com" TargetMode="External"/><Relationship Id="rId2779" Type="http://schemas.openxmlformats.org/officeDocument/2006/relationships/hyperlink" Target="http://force.com" TargetMode="External"/><Relationship Id="rId5806" Type="http://schemas.openxmlformats.org/officeDocument/2006/relationships/hyperlink" Target="http://force.com" TargetMode="External"/><Relationship Id="rId1449" Type="http://schemas.openxmlformats.org/officeDocument/2006/relationships/hyperlink" Target="http://force.com" TargetMode="External"/><Relationship Id="rId5807" Type="http://schemas.openxmlformats.org/officeDocument/2006/relationships/hyperlink" Target="http://force.com" TargetMode="External"/><Relationship Id="rId5804" Type="http://schemas.openxmlformats.org/officeDocument/2006/relationships/hyperlink" Target="http://force.com" TargetMode="External"/><Relationship Id="rId5805" Type="http://schemas.openxmlformats.org/officeDocument/2006/relationships/hyperlink" Target="http://force.com" TargetMode="External"/><Relationship Id="rId619" Type="http://schemas.openxmlformats.org/officeDocument/2006/relationships/hyperlink" Target="http://force.com" TargetMode="External"/><Relationship Id="rId5808" Type="http://schemas.openxmlformats.org/officeDocument/2006/relationships/hyperlink" Target="http://force.com" TargetMode="External"/><Relationship Id="rId618" Type="http://schemas.openxmlformats.org/officeDocument/2006/relationships/hyperlink" Target="http://force.com" TargetMode="External"/><Relationship Id="rId5809" Type="http://schemas.openxmlformats.org/officeDocument/2006/relationships/hyperlink" Target="http://force.com" TargetMode="External"/><Relationship Id="rId613" Type="http://schemas.openxmlformats.org/officeDocument/2006/relationships/hyperlink" Target="http://force.com" TargetMode="External"/><Relationship Id="rId612" Type="http://schemas.openxmlformats.org/officeDocument/2006/relationships/hyperlink" Target="http://force.com" TargetMode="External"/><Relationship Id="rId611" Type="http://schemas.openxmlformats.org/officeDocument/2006/relationships/hyperlink" Target="http://force.com" TargetMode="External"/><Relationship Id="rId610" Type="http://schemas.openxmlformats.org/officeDocument/2006/relationships/hyperlink" Target="http://force.com" TargetMode="External"/><Relationship Id="rId617" Type="http://schemas.openxmlformats.org/officeDocument/2006/relationships/hyperlink" Target="http://force.com" TargetMode="External"/><Relationship Id="rId616" Type="http://schemas.openxmlformats.org/officeDocument/2006/relationships/hyperlink" Target="http://force.com" TargetMode="External"/><Relationship Id="rId615" Type="http://schemas.openxmlformats.org/officeDocument/2006/relationships/hyperlink" Target="http://force.com" TargetMode="External"/><Relationship Id="rId614" Type="http://schemas.openxmlformats.org/officeDocument/2006/relationships/hyperlink" Target="http://force.com" TargetMode="External"/><Relationship Id="rId2770" Type="http://schemas.openxmlformats.org/officeDocument/2006/relationships/hyperlink" Target="http://force.com" TargetMode="External"/><Relationship Id="rId1440" Type="http://schemas.openxmlformats.org/officeDocument/2006/relationships/hyperlink" Target="http://force.com" TargetMode="External"/><Relationship Id="rId2771" Type="http://schemas.openxmlformats.org/officeDocument/2006/relationships/hyperlink" Target="http://force.com" TargetMode="External"/><Relationship Id="rId1441" Type="http://schemas.openxmlformats.org/officeDocument/2006/relationships/hyperlink" Target="http://force.com" TargetMode="External"/><Relationship Id="rId2772" Type="http://schemas.openxmlformats.org/officeDocument/2006/relationships/hyperlink" Target="http://force.com" TargetMode="External"/><Relationship Id="rId1442" Type="http://schemas.openxmlformats.org/officeDocument/2006/relationships/hyperlink" Target="http://force.com" TargetMode="External"/><Relationship Id="rId2773" Type="http://schemas.openxmlformats.org/officeDocument/2006/relationships/hyperlink" Target="http://force.com" TargetMode="External"/><Relationship Id="rId1443" Type="http://schemas.openxmlformats.org/officeDocument/2006/relationships/hyperlink" Target="http://force.com" TargetMode="External"/><Relationship Id="rId2774" Type="http://schemas.openxmlformats.org/officeDocument/2006/relationships/hyperlink" Target="http://force.com" TargetMode="External"/><Relationship Id="rId1477" Type="http://schemas.openxmlformats.org/officeDocument/2006/relationships/hyperlink" Target="http://force.com" TargetMode="External"/><Relationship Id="rId4503" Type="http://schemas.openxmlformats.org/officeDocument/2006/relationships/hyperlink" Target="http://force.com" TargetMode="External"/><Relationship Id="rId5835" Type="http://schemas.openxmlformats.org/officeDocument/2006/relationships/hyperlink" Target="http://force.com" TargetMode="External"/><Relationship Id="rId1478" Type="http://schemas.openxmlformats.org/officeDocument/2006/relationships/hyperlink" Target="http://force.com" TargetMode="External"/><Relationship Id="rId4502" Type="http://schemas.openxmlformats.org/officeDocument/2006/relationships/hyperlink" Target="http://force.com" TargetMode="External"/><Relationship Id="rId5836" Type="http://schemas.openxmlformats.org/officeDocument/2006/relationships/hyperlink" Target="http://force.com" TargetMode="External"/><Relationship Id="rId1479" Type="http://schemas.openxmlformats.org/officeDocument/2006/relationships/hyperlink" Target="http://force.com" TargetMode="External"/><Relationship Id="rId4505" Type="http://schemas.openxmlformats.org/officeDocument/2006/relationships/hyperlink" Target="http://force.com" TargetMode="External"/><Relationship Id="rId5833" Type="http://schemas.openxmlformats.org/officeDocument/2006/relationships/hyperlink" Target="http://force.com" TargetMode="External"/><Relationship Id="rId4504" Type="http://schemas.openxmlformats.org/officeDocument/2006/relationships/hyperlink" Target="http://force.com" TargetMode="External"/><Relationship Id="rId5834" Type="http://schemas.openxmlformats.org/officeDocument/2006/relationships/hyperlink" Target="http://force.com" TargetMode="External"/><Relationship Id="rId4507" Type="http://schemas.openxmlformats.org/officeDocument/2006/relationships/hyperlink" Target="http://force.com" TargetMode="External"/><Relationship Id="rId5839" Type="http://schemas.openxmlformats.org/officeDocument/2006/relationships/hyperlink" Target="http://force.com" TargetMode="External"/><Relationship Id="rId4506" Type="http://schemas.openxmlformats.org/officeDocument/2006/relationships/hyperlink" Target="http://force.com" TargetMode="External"/><Relationship Id="rId4509" Type="http://schemas.openxmlformats.org/officeDocument/2006/relationships/hyperlink" Target="http://force.com" TargetMode="External"/><Relationship Id="rId5837" Type="http://schemas.openxmlformats.org/officeDocument/2006/relationships/hyperlink" Target="http://force.com" TargetMode="External"/><Relationship Id="rId4508" Type="http://schemas.openxmlformats.org/officeDocument/2006/relationships/hyperlink" Target="http://force.com" TargetMode="External"/><Relationship Id="rId5838" Type="http://schemas.openxmlformats.org/officeDocument/2006/relationships/hyperlink" Target="http://force.com" TargetMode="External"/><Relationship Id="rId646" Type="http://schemas.openxmlformats.org/officeDocument/2006/relationships/hyperlink" Target="http://force.com" TargetMode="External"/><Relationship Id="rId645" Type="http://schemas.openxmlformats.org/officeDocument/2006/relationships/hyperlink" Target="http://force.com" TargetMode="External"/><Relationship Id="rId644" Type="http://schemas.openxmlformats.org/officeDocument/2006/relationships/hyperlink" Target="http://force.com" TargetMode="External"/><Relationship Id="rId643" Type="http://schemas.openxmlformats.org/officeDocument/2006/relationships/hyperlink" Target="http://force.com" TargetMode="External"/><Relationship Id="rId649" Type="http://schemas.openxmlformats.org/officeDocument/2006/relationships/hyperlink" Target="http://force.com" TargetMode="External"/><Relationship Id="rId648" Type="http://schemas.openxmlformats.org/officeDocument/2006/relationships/hyperlink" Target="http://force.com" TargetMode="External"/><Relationship Id="rId647" Type="http://schemas.openxmlformats.org/officeDocument/2006/relationships/hyperlink" Target="http://force.com" TargetMode="External"/><Relationship Id="rId1470" Type="http://schemas.openxmlformats.org/officeDocument/2006/relationships/hyperlink" Target="http://force.com" TargetMode="External"/><Relationship Id="rId1471" Type="http://schemas.openxmlformats.org/officeDocument/2006/relationships/hyperlink" Target="http://force.com" TargetMode="External"/><Relationship Id="rId1472" Type="http://schemas.openxmlformats.org/officeDocument/2006/relationships/hyperlink" Target="http://force.com" TargetMode="External"/><Relationship Id="rId642" Type="http://schemas.openxmlformats.org/officeDocument/2006/relationships/hyperlink" Target="http://force.com" TargetMode="External"/><Relationship Id="rId1473" Type="http://schemas.openxmlformats.org/officeDocument/2006/relationships/hyperlink" Target="http://force.com" TargetMode="External"/><Relationship Id="rId5831" Type="http://schemas.openxmlformats.org/officeDocument/2006/relationships/hyperlink" Target="http://force.com" TargetMode="External"/><Relationship Id="rId641" Type="http://schemas.openxmlformats.org/officeDocument/2006/relationships/hyperlink" Target="http://force.com" TargetMode="External"/><Relationship Id="rId1474" Type="http://schemas.openxmlformats.org/officeDocument/2006/relationships/hyperlink" Target="http://force.com" TargetMode="External"/><Relationship Id="rId5832" Type="http://schemas.openxmlformats.org/officeDocument/2006/relationships/hyperlink" Target="http://force.com" TargetMode="External"/><Relationship Id="rId640" Type="http://schemas.openxmlformats.org/officeDocument/2006/relationships/hyperlink" Target="http://force.com" TargetMode="External"/><Relationship Id="rId1475" Type="http://schemas.openxmlformats.org/officeDocument/2006/relationships/hyperlink" Target="http://force.com" TargetMode="External"/><Relationship Id="rId4501" Type="http://schemas.openxmlformats.org/officeDocument/2006/relationships/hyperlink" Target="http://force.com" TargetMode="External"/><Relationship Id="rId1476" Type="http://schemas.openxmlformats.org/officeDocument/2006/relationships/hyperlink" Target="http://force.com" TargetMode="External"/><Relationship Id="rId4500" Type="http://schemas.openxmlformats.org/officeDocument/2006/relationships/hyperlink" Target="http://force.com" TargetMode="External"/><Relationship Id="rId5830" Type="http://schemas.openxmlformats.org/officeDocument/2006/relationships/hyperlink" Target="http://force.com" TargetMode="External"/><Relationship Id="rId1466" Type="http://schemas.openxmlformats.org/officeDocument/2006/relationships/hyperlink" Target="http://force.com" TargetMode="External"/><Relationship Id="rId2797" Type="http://schemas.openxmlformats.org/officeDocument/2006/relationships/hyperlink" Target="http://force.com" TargetMode="External"/><Relationship Id="rId5824" Type="http://schemas.openxmlformats.org/officeDocument/2006/relationships/hyperlink" Target="http://force.com" TargetMode="External"/><Relationship Id="rId1467" Type="http://schemas.openxmlformats.org/officeDocument/2006/relationships/hyperlink" Target="http://force.com" TargetMode="External"/><Relationship Id="rId2798" Type="http://schemas.openxmlformats.org/officeDocument/2006/relationships/hyperlink" Target="http://force.com" TargetMode="External"/><Relationship Id="rId5825" Type="http://schemas.openxmlformats.org/officeDocument/2006/relationships/hyperlink" Target="http://force.com" TargetMode="External"/><Relationship Id="rId1468" Type="http://schemas.openxmlformats.org/officeDocument/2006/relationships/hyperlink" Target="http://force.com" TargetMode="External"/><Relationship Id="rId2799" Type="http://schemas.openxmlformats.org/officeDocument/2006/relationships/hyperlink" Target="http://force.com" TargetMode="External"/><Relationship Id="rId5822" Type="http://schemas.openxmlformats.org/officeDocument/2006/relationships/hyperlink" Target="http://force.com" TargetMode="External"/><Relationship Id="rId1469" Type="http://schemas.openxmlformats.org/officeDocument/2006/relationships/hyperlink" Target="http://force.com" TargetMode="External"/><Relationship Id="rId5823" Type="http://schemas.openxmlformats.org/officeDocument/2006/relationships/hyperlink" Target="http://force.com" TargetMode="External"/><Relationship Id="rId5828" Type="http://schemas.openxmlformats.org/officeDocument/2006/relationships/hyperlink" Target="http://force.com" TargetMode="External"/><Relationship Id="rId5829" Type="http://schemas.openxmlformats.org/officeDocument/2006/relationships/hyperlink" Target="http://force.com" TargetMode="External"/><Relationship Id="rId5826" Type="http://schemas.openxmlformats.org/officeDocument/2006/relationships/hyperlink" Target="http://force.com" TargetMode="External"/><Relationship Id="rId5827" Type="http://schemas.openxmlformats.org/officeDocument/2006/relationships/hyperlink" Target="http://force.com" TargetMode="External"/><Relationship Id="rId635" Type="http://schemas.openxmlformats.org/officeDocument/2006/relationships/hyperlink" Target="http://force.com" TargetMode="External"/><Relationship Id="rId634" Type="http://schemas.openxmlformats.org/officeDocument/2006/relationships/hyperlink" Target="http://force.com" TargetMode="External"/><Relationship Id="rId633" Type="http://schemas.openxmlformats.org/officeDocument/2006/relationships/hyperlink" Target="http://force.com" TargetMode="External"/><Relationship Id="rId632" Type="http://schemas.openxmlformats.org/officeDocument/2006/relationships/hyperlink" Target="http://force.com" TargetMode="External"/><Relationship Id="rId639" Type="http://schemas.openxmlformats.org/officeDocument/2006/relationships/hyperlink" Target="http://force.com" TargetMode="External"/><Relationship Id="rId638" Type="http://schemas.openxmlformats.org/officeDocument/2006/relationships/hyperlink" Target="http://force.com" TargetMode="External"/><Relationship Id="rId637" Type="http://schemas.openxmlformats.org/officeDocument/2006/relationships/hyperlink" Target="http://force.com" TargetMode="External"/><Relationship Id="rId636" Type="http://schemas.openxmlformats.org/officeDocument/2006/relationships/hyperlink" Target="http://force.com" TargetMode="External"/><Relationship Id="rId2790" Type="http://schemas.openxmlformats.org/officeDocument/2006/relationships/hyperlink" Target="http://force.com" TargetMode="External"/><Relationship Id="rId1460" Type="http://schemas.openxmlformats.org/officeDocument/2006/relationships/hyperlink" Target="http://force.com" TargetMode="External"/><Relationship Id="rId2791" Type="http://schemas.openxmlformats.org/officeDocument/2006/relationships/hyperlink" Target="http://force.com" TargetMode="External"/><Relationship Id="rId1461" Type="http://schemas.openxmlformats.org/officeDocument/2006/relationships/hyperlink" Target="http://force.com" TargetMode="External"/><Relationship Id="rId2792" Type="http://schemas.openxmlformats.org/officeDocument/2006/relationships/hyperlink" Target="http://force.com" TargetMode="External"/><Relationship Id="rId631" Type="http://schemas.openxmlformats.org/officeDocument/2006/relationships/hyperlink" Target="http://force.com" TargetMode="External"/><Relationship Id="rId1462" Type="http://schemas.openxmlformats.org/officeDocument/2006/relationships/hyperlink" Target="http://force.com" TargetMode="External"/><Relationship Id="rId2793" Type="http://schemas.openxmlformats.org/officeDocument/2006/relationships/hyperlink" Target="http://force.com" TargetMode="External"/><Relationship Id="rId5820" Type="http://schemas.openxmlformats.org/officeDocument/2006/relationships/hyperlink" Target="http://force.com" TargetMode="External"/><Relationship Id="rId630" Type="http://schemas.openxmlformats.org/officeDocument/2006/relationships/hyperlink" Target="http://force.com" TargetMode="External"/><Relationship Id="rId1463" Type="http://schemas.openxmlformats.org/officeDocument/2006/relationships/hyperlink" Target="http://force.com" TargetMode="External"/><Relationship Id="rId2794" Type="http://schemas.openxmlformats.org/officeDocument/2006/relationships/hyperlink" Target="http://force.com" TargetMode="External"/><Relationship Id="rId5821" Type="http://schemas.openxmlformats.org/officeDocument/2006/relationships/hyperlink" Target="http://force.com" TargetMode="External"/><Relationship Id="rId1464" Type="http://schemas.openxmlformats.org/officeDocument/2006/relationships/hyperlink" Target="http://force.com" TargetMode="External"/><Relationship Id="rId2795" Type="http://schemas.openxmlformats.org/officeDocument/2006/relationships/hyperlink" Target="http://force.com" TargetMode="External"/><Relationship Id="rId1465" Type="http://schemas.openxmlformats.org/officeDocument/2006/relationships/hyperlink" Target="http://force.com" TargetMode="External"/><Relationship Id="rId2796" Type="http://schemas.openxmlformats.org/officeDocument/2006/relationships/hyperlink" Target="http://force.com" TargetMode="External"/><Relationship Id="rId1411" Type="http://schemas.openxmlformats.org/officeDocument/2006/relationships/hyperlink" Target="http://force.com" TargetMode="External"/><Relationship Id="rId2742" Type="http://schemas.openxmlformats.org/officeDocument/2006/relationships/hyperlink" Target="http://force.com" TargetMode="External"/><Relationship Id="rId1412" Type="http://schemas.openxmlformats.org/officeDocument/2006/relationships/hyperlink" Target="http://force.com" TargetMode="External"/><Relationship Id="rId2743" Type="http://schemas.openxmlformats.org/officeDocument/2006/relationships/hyperlink" Target="http://force.com" TargetMode="External"/><Relationship Id="rId1413" Type="http://schemas.openxmlformats.org/officeDocument/2006/relationships/hyperlink" Target="http://force.com" TargetMode="External"/><Relationship Id="rId2744" Type="http://schemas.openxmlformats.org/officeDocument/2006/relationships/hyperlink" Target="http://force.com" TargetMode="External"/><Relationship Id="rId1414" Type="http://schemas.openxmlformats.org/officeDocument/2006/relationships/hyperlink" Target="http://force.com" TargetMode="External"/><Relationship Id="rId2745" Type="http://schemas.openxmlformats.org/officeDocument/2006/relationships/hyperlink" Target="http://force.com" TargetMode="External"/><Relationship Id="rId1415" Type="http://schemas.openxmlformats.org/officeDocument/2006/relationships/hyperlink" Target="http://force.com" TargetMode="External"/><Relationship Id="rId2746" Type="http://schemas.openxmlformats.org/officeDocument/2006/relationships/hyperlink" Target="http://force.com" TargetMode="External"/><Relationship Id="rId1416" Type="http://schemas.openxmlformats.org/officeDocument/2006/relationships/hyperlink" Target="http://force.com" TargetMode="External"/><Relationship Id="rId2747" Type="http://schemas.openxmlformats.org/officeDocument/2006/relationships/hyperlink" Target="http://force.com" TargetMode="External"/><Relationship Id="rId1417" Type="http://schemas.openxmlformats.org/officeDocument/2006/relationships/hyperlink" Target="http://force.com" TargetMode="External"/><Relationship Id="rId2748" Type="http://schemas.openxmlformats.org/officeDocument/2006/relationships/hyperlink" Target="http://force.com" TargetMode="External"/><Relationship Id="rId1418" Type="http://schemas.openxmlformats.org/officeDocument/2006/relationships/hyperlink" Target="http://force.com" TargetMode="External"/><Relationship Id="rId2749" Type="http://schemas.openxmlformats.org/officeDocument/2006/relationships/hyperlink" Target="http://force.com" TargetMode="External"/><Relationship Id="rId1419" Type="http://schemas.openxmlformats.org/officeDocument/2006/relationships/hyperlink" Target="http://force.com" TargetMode="External"/><Relationship Id="rId2740" Type="http://schemas.openxmlformats.org/officeDocument/2006/relationships/hyperlink" Target="http://force.com" TargetMode="External"/><Relationship Id="rId1410" Type="http://schemas.openxmlformats.org/officeDocument/2006/relationships/hyperlink" Target="http://force.com" TargetMode="External"/><Relationship Id="rId2741" Type="http://schemas.openxmlformats.org/officeDocument/2006/relationships/hyperlink" Target="http://force.com" TargetMode="External"/><Relationship Id="rId1400" Type="http://schemas.openxmlformats.org/officeDocument/2006/relationships/hyperlink" Target="http://force.com" TargetMode="External"/><Relationship Id="rId2731" Type="http://schemas.openxmlformats.org/officeDocument/2006/relationships/hyperlink" Target="http://force.com" TargetMode="External"/><Relationship Id="rId1401" Type="http://schemas.openxmlformats.org/officeDocument/2006/relationships/hyperlink" Target="http://force.com" TargetMode="External"/><Relationship Id="rId2732" Type="http://schemas.openxmlformats.org/officeDocument/2006/relationships/hyperlink" Target="http://force.com" TargetMode="External"/><Relationship Id="rId1402" Type="http://schemas.openxmlformats.org/officeDocument/2006/relationships/hyperlink" Target="http://force.com" TargetMode="External"/><Relationship Id="rId2733" Type="http://schemas.openxmlformats.org/officeDocument/2006/relationships/hyperlink" Target="http://force.com" TargetMode="External"/><Relationship Id="rId1403" Type="http://schemas.openxmlformats.org/officeDocument/2006/relationships/hyperlink" Target="http://force.com" TargetMode="External"/><Relationship Id="rId2734" Type="http://schemas.openxmlformats.org/officeDocument/2006/relationships/hyperlink" Target="http://force.com" TargetMode="External"/><Relationship Id="rId1404" Type="http://schemas.openxmlformats.org/officeDocument/2006/relationships/hyperlink" Target="http://force.com" TargetMode="External"/><Relationship Id="rId2735" Type="http://schemas.openxmlformats.org/officeDocument/2006/relationships/hyperlink" Target="http://force.com" TargetMode="External"/><Relationship Id="rId1405" Type="http://schemas.openxmlformats.org/officeDocument/2006/relationships/hyperlink" Target="http://force.com" TargetMode="External"/><Relationship Id="rId2736" Type="http://schemas.openxmlformats.org/officeDocument/2006/relationships/hyperlink" Target="http://force.com" TargetMode="External"/><Relationship Id="rId1406" Type="http://schemas.openxmlformats.org/officeDocument/2006/relationships/hyperlink" Target="http://force.com" TargetMode="External"/><Relationship Id="rId2737" Type="http://schemas.openxmlformats.org/officeDocument/2006/relationships/hyperlink" Target="http://force.com" TargetMode="External"/><Relationship Id="rId1407" Type="http://schemas.openxmlformats.org/officeDocument/2006/relationships/hyperlink" Target="http://force.com" TargetMode="External"/><Relationship Id="rId2738" Type="http://schemas.openxmlformats.org/officeDocument/2006/relationships/hyperlink" Target="http://force.com" TargetMode="External"/><Relationship Id="rId1408" Type="http://schemas.openxmlformats.org/officeDocument/2006/relationships/hyperlink" Target="http://force.com" TargetMode="External"/><Relationship Id="rId2739" Type="http://schemas.openxmlformats.org/officeDocument/2006/relationships/hyperlink" Target="http://force.com" TargetMode="External"/><Relationship Id="rId1409" Type="http://schemas.openxmlformats.org/officeDocument/2006/relationships/hyperlink" Target="http://force.com" TargetMode="External"/><Relationship Id="rId2730" Type="http://schemas.openxmlformats.org/officeDocument/2006/relationships/hyperlink" Target="http://force.com" TargetMode="External"/><Relationship Id="rId1433" Type="http://schemas.openxmlformats.org/officeDocument/2006/relationships/hyperlink" Target="http://force.com" TargetMode="External"/><Relationship Id="rId2764" Type="http://schemas.openxmlformats.org/officeDocument/2006/relationships/hyperlink" Target="http://force.com" TargetMode="External"/><Relationship Id="rId1434" Type="http://schemas.openxmlformats.org/officeDocument/2006/relationships/hyperlink" Target="http://force.com" TargetMode="External"/><Relationship Id="rId2765" Type="http://schemas.openxmlformats.org/officeDocument/2006/relationships/hyperlink" Target="http://force.com" TargetMode="External"/><Relationship Id="rId1435" Type="http://schemas.openxmlformats.org/officeDocument/2006/relationships/hyperlink" Target="http://force.com" TargetMode="External"/><Relationship Id="rId2766" Type="http://schemas.openxmlformats.org/officeDocument/2006/relationships/hyperlink" Target="http://force.com" TargetMode="External"/><Relationship Id="rId1436" Type="http://schemas.openxmlformats.org/officeDocument/2006/relationships/hyperlink" Target="http://force.com" TargetMode="External"/><Relationship Id="rId2767" Type="http://schemas.openxmlformats.org/officeDocument/2006/relationships/hyperlink" Target="http://force.com" TargetMode="External"/><Relationship Id="rId1437" Type="http://schemas.openxmlformats.org/officeDocument/2006/relationships/hyperlink" Target="http://force.com" TargetMode="External"/><Relationship Id="rId2768" Type="http://schemas.openxmlformats.org/officeDocument/2006/relationships/hyperlink" Target="http://force.com" TargetMode="External"/><Relationship Id="rId1438" Type="http://schemas.openxmlformats.org/officeDocument/2006/relationships/hyperlink" Target="http://force.com" TargetMode="External"/><Relationship Id="rId2769" Type="http://schemas.openxmlformats.org/officeDocument/2006/relationships/hyperlink" Target="http://force.com" TargetMode="External"/><Relationship Id="rId1439" Type="http://schemas.openxmlformats.org/officeDocument/2006/relationships/hyperlink" Target="http://force.com" TargetMode="External"/><Relationship Id="rId609" Type="http://schemas.openxmlformats.org/officeDocument/2006/relationships/hyperlink" Target="http://force.com" TargetMode="External"/><Relationship Id="rId608" Type="http://schemas.openxmlformats.org/officeDocument/2006/relationships/hyperlink" Target="http://force.com" TargetMode="External"/><Relationship Id="rId607" Type="http://schemas.openxmlformats.org/officeDocument/2006/relationships/hyperlink" Target="http://force.com" TargetMode="External"/><Relationship Id="rId602" Type="http://schemas.openxmlformats.org/officeDocument/2006/relationships/hyperlink" Target="http://force.com" TargetMode="External"/><Relationship Id="rId601" Type="http://schemas.openxmlformats.org/officeDocument/2006/relationships/hyperlink" Target="http://force.com" TargetMode="External"/><Relationship Id="rId600" Type="http://schemas.openxmlformats.org/officeDocument/2006/relationships/hyperlink" Target="http://force.com" TargetMode="External"/><Relationship Id="rId606" Type="http://schemas.openxmlformats.org/officeDocument/2006/relationships/hyperlink" Target="http://force.com" TargetMode="External"/><Relationship Id="rId605" Type="http://schemas.openxmlformats.org/officeDocument/2006/relationships/hyperlink" Target="http://force.com" TargetMode="External"/><Relationship Id="rId604" Type="http://schemas.openxmlformats.org/officeDocument/2006/relationships/hyperlink" Target="http://force.com" TargetMode="External"/><Relationship Id="rId603" Type="http://schemas.openxmlformats.org/officeDocument/2006/relationships/hyperlink" Target="http://force.com" TargetMode="External"/><Relationship Id="rId2760" Type="http://schemas.openxmlformats.org/officeDocument/2006/relationships/hyperlink" Target="http://force.com" TargetMode="External"/><Relationship Id="rId1430" Type="http://schemas.openxmlformats.org/officeDocument/2006/relationships/hyperlink" Target="http://force.com" TargetMode="External"/><Relationship Id="rId2761" Type="http://schemas.openxmlformats.org/officeDocument/2006/relationships/hyperlink" Target="http://force.com" TargetMode="External"/><Relationship Id="rId1431" Type="http://schemas.openxmlformats.org/officeDocument/2006/relationships/hyperlink" Target="http://force.com" TargetMode="External"/><Relationship Id="rId2762" Type="http://schemas.openxmlformats.org/officeDocument/2006/relationships/hyperlink" Target="http://force.com" TargetMode="External"/><Relationship Id="rId1432" Type="http://schemas.openxmlformats.org/officeDocument/2006/relationships/hyperlink" Target="http://force.com" TargetMode="External"/><Relationship Id="rId2763" Type="http://schemas.openxmlformats.org/officeDocument/2006/relationships/hyperlink" Target="http://force.com" TargetMode="External"/><Relationship Id="rId1422" Type="http://schemas.openxmlformats.org/officeDocument/2006/relationships/hyperlink" Target="http://force.com" TargetMode="External"/><Relationship Id="rId2753" Type="http://schemas.openxmlformats.org/officeDocument/2006/relationships/hyperlink" Target="http://force.com" TargetMode="External"/><Relationship Id="rId1423" Type="http://schemas.openxmlformats.org/officeDocument/2006/relationships/hyperlink" Target="http://force.com" TargetMode="External"/><Relationship Id="rId2754" Type="http://schemas.openxmlformats.org/officeDocument/2006/relationships/hyperlink" Target="http://force.com" TargetMode="External"/><Relationship Id="rId1424" Type="http://schemas.openxmlformats.org/officeDocument/2006/relationships/hyperlink" Target="http://force.com" TargetMode="External"/><Relationship Id="rId2755" Type="http://schemas.openxmlformats.org/officeDocument/2006/relationships/hyperlink" Target="http://force.com" TargetMode="External"/><Relationship Id="rId1425" Type="http://schemas.openxmlformats.org/officeDocument/2006/relationships/hyperlink" Target="http://force.com" TargetMode="External"/><Relationship Id="rId2756" Type="http://schemas.openxmlformats.org/officeDocument/2006/relationships/hyperlink" Target="http://force.com" TargetMode="External"/><Relationship Id="rId1426" Type="http://schemas.openxmlformats.org/officeDocument/2006/relationships/hyperlink" Target="http://force.com" TargetMode="External"/><Relationship Id="rId2757" Type="http://schemas.openxmlformats.org/officeDocument/2006/relationships/hyperlink" Target="http://force.com" TargetMode="External"/><Relationship Id="rId1427" Type="http://schemas.openxmlformats.org/officeDocument/2006/relationships/hyperlink" Target="http://force.com" TargetMode="External"/><Relationship Id="rId2758" Type="http://schemas.openxmlformats.org/officeDocument/2006/relationships/hyperlink" Target="http://force.com" TargetMode="External"/><Relationship Id="rId1428" Type="http://schemas.openxmlformats.org/officeDocument/2006/relationships/hyperlink" Target="http://force.com" TargetMode="External"/><Relationship Id="rId2759" Type="http://schemas.openxmlformats.org/officeDocument/2006/relationships/hyperlink" Target="http://force.com" TargetMode="External"/><Relationship Id="rId1429" Type="http://schemas.openxmlformats.org/officeDocument/2006/relationships/hyperlink" Target="http://force.com" TargetMode="External"/><Relationship Id="rId2750" Type="http://schemas.openxmlformats.org/officeDocument/2006/relationships/hyperlink" Target="http://force.com" TargetMode="External"/><Relationship Id="rId1420" Type="http://schemas.openxmlformats.org/officeDocument/2006/relationships/hyperlink" Target="http://force.com" TargetMode="External"/><Relationship Id="rId2751" Type="http://schemas.openxmlformats.org/officeDocument/2006/relationships/hyperlink" Target="http://force.com" TargetMode="External"/><Relationship Id="rId1421" Type="http://schemas.openxmlformats.org/officeDocument/2006/relationships/hyperlink" Target="http://force.com" TargetMode="External"/><Relationship Id="rId2752" Type="http://schemas.openxmlformats.org/officeDocument/2006/relationships/hyperlink" Target="http://force.com" TargetMode="External"/><Relationship Id="rId3238" Type="http://schemas.openxmlformats.org/officeDocument/2006/relationships/hyperlink" Target="http://force.com" TargetMode="External"/><Relationship Id="rId4569" Type="http://schemas.openxmlformats.org/officeDocument/2006/relationships/hyperlink" Target="http://force.com" TargetMode="External"/><Relationship Id="rId3237" Type="http://schemas.openxmlformats.org/officeDocument/2006/relationships/hyperlink" Target="http://force.com" TargetMode="External"/><Relationship Id="rId4568" Type="http://schemas.openxmlformats.org/officeDocument/2006/relationships/hyperlink" Target="http://force.com" TargetMode="External"/><Relationship Id="rId5899" Type="http://schemas.openxmlformats.org/officeDocument/2006/relationships/hyperlink" Target="http://force.com" TargetMode="External"/><Relationship Id="rId3239" Type="http://schemas.openxmlformats.org/officeDocument/2006/relationships/hyperlink" Target="http://force.com" TargetMode="External"/><Relationship Id="rId5890" Type="http://schemas.openxmlformats.org/officeDocument/2006/relationships/hyperlink" Target="http://force.com" TargetMode="External"/><Relationship Id="rId3230" Type="http://schemas.openxmlformats.org/officeDocument/2006/relationships/hyperlink" Target="http://force.com" TargetMode="External"/><Relationship Id="rId4561" Type="http://schemas.openxmlformats.org/officeDocument/2006/relationships/hyperlink" Target="http://force.com" TargetMode="External"/><Relationship Id="rId5893" Type="http://schemas.openxmlformats.org/officeDocument/2006/relationships/hyperlink" Target="http://force.com" TargetMode="External"/><Relationship Id="rId4560" Type="http://schemas.openxmlformats.org/officeDocument/2006/relationships/hyperlink" Target="http://force.com" TargetMode="External"/><Relationship Id="rId5894" Type="http://schemas.openxmlformats.org/officeDocument/2006/relationships/hyperlink" Target="http://force.com" TargetMode="External"/><Relationship Id="rId3232" Type="http://schemas.openxmlformats.org/officeDocument/2006/relationships/hyperlink" Target="http://force.com" TargetMode="External"/><Relationship Id="rId4563" Type="http://schemas.openxmlformats.org/officeDocument/2006/relationships/hyperlink" Target="http://force.com" TargetMode="External"/><Relationship Id="rId5891" Type="http://schemas.openxmlformats.org/officeDocument/2006/relationships/hyperlink" Target="http://force.com" TargetMode="External"/><Relationship Id="rId3231" Type="http://schemas.openxmlformats.org/officeDocument/2006/relationships/hyperlink" Target="http://force.com" TargetMode="External"/><Relationship Id="rId4562" Type="http://schemas.openxmlformats.org/officeDocument/2006/relationships/hyperlink" Target="http://force.com" TargetMode="External"/><Relationship Id="rId5892" Type="http://schemas.openxmlformats.org/officeDocument/2006/relationships/hyperlink" Target="http://force.com" TargetMode="External"/><Relationship Id="rId3234" Type="http://schemas.openxmlformats.org/officeDocument/2006/relationships/hyperlink" Target="http://force.com" TargetMode="External"/><Relationship Id="rId4565" Type="http://schemas.openxmlformats.org/officeDocument/2006/relationships/hyperlink" Target="http://force.com" TargetMode="External"/><Relationship Id="rId5897" Type="http://schemas.openxmlformats.org/officeDocument/2006/relationships/hyperlink" Target="http://force.com" TargetMode="External"/><Relationship Id="rId3233" Type="http://schemas.openxmlformats.org/officeDocument/2006/relationships/hyperlink" Target="http://force.com" TargetMode="External"/><Relationship Id="rId4564" Type="http://schemas.openxmlformats.org/officeDocument/2006/relationships/hyperlink" Target="http://force.com" TargetMode="External"/><Relationship Id="rId5898" Type="http://schemas.openxmlformats.org/officeDocument/2006/relationships/hyperlink" Target="http://force.com" TargetMode="External"/><Relationship Id="rId3236" Type="http://schemas.openxmlformats.org/officeDocument/2006/relationships/hyperlink" Target="http://force.com" TargetMode="External"/><Relationship Id="rId4567" Type="http://schemas.openxmlformats.org/officeDocument/2006/relationships/hyperlink" Target="http://force.com" TargetMode="External"/><Relationship Id="rId5895" Type="http://schemas.openxmlformats.org/officeDocument/2006/relationships/hyperlink" Target="http://force.com" TargetMode="External"/><Relationship Id="rId3235" Type="http://schemas.openxmlformats.org/officeDocument/2006/relationships/hyperlink" Target="http://force.com" TargetMode="External"/><Relationship Id="rId4566" Type="http://schemas.openxmlformats.org/officeDocument/2006/relationships/hyperlink" Target="http://force.com" TargetMode="External"/><Relationship Id="rId5896" Type="http://schemas.openxmlformats.org/officeDocument/2006/relationships/hyperlink" Target="http://force.com" TargetMode="External"/><Relationship Id="rId3227" Type="http://schemas.openxmlformats.org/officeDocument/2006/relationships/hyperlink" Target="http://force.com" TargetMode="External"/><Relationship Id="rId4558" Type="http://schemas.openxmlformats.org/officeDocument/2006/relationships/hyperlink" Target="http://force.com" TargetMode="External"/><Relationship Id="rId3226" Type="http://schemas.openxmlformats.org/officeDocument/2006/relationships/hyperlink" Target="http://force.com" TargetMode="External"/><Relationship Id="rId4557" Type="http://schemas.openxmlformats.org/officeDocument/2006/relationships/hyperlink" Target="http://force.com" TargetMode="External"/><Relationship Id="rId3229" Type="http://schemas.openxmlformats.org/officeDocument/2006/relationships/hyperlink" Target="http://force.com" TargetMode="External"/><Relationship Id="rId5888" Type="http://schemas.openxmlformats.org/officeDocument/2006/relationships/hyperlink" Target="http://force.com" TargetMode="External"/><Relationship Id="rId3228" Type="http://schemas.openxmlformats.org/officeDocument/2006/relationships/hyperlink" Target="http://force.com" TargetMode="External"/><Relationship Id="rId4559" Type="http://schemas.openxmlformats.org/officeDocument/2006/relationships/hyperlink" Target="http://force.com" TargetMode="External"/><Relationship Id="rId5889" Type="http://schemas.openxmlformats.org/officeDocument/2006/relationships/hyperlink" Target="http://force.com" TargetMode="External"/><Relationship Id="rId699" Type="http://schemas.openxmlformats.org/officeDocument/2006/relationships/hyperlink" Target="http://force.com" TargetMode="External"/><Relationship Id="rId698" Type="http://schemas.openxmlformats.org/officeDocument/2006/relationships/hyperlink" Target="http://force.com" TargetMode="External"/><Relationship Id="rId693" Type="http://schemas.openxmlformats.org/officeDocument/2006/relationships/hyperlink" Target="http://force.com" TargetMode="External"/><Relationship Id="rId4550" Type="http://schemas.openxmlformats.org/officeDocument/2006/relationships/hyperlink" Target="http://force.com" TargetMode="External"/><Relationship Id="rId5882" Type="http://schemas.openxmlformats.org/officeDocument/2006/relationships/hyperlink" Target="http://force.com" TargetMode="External"/><Relationship Id="rId692" Type="http://schemas.openxmlformats.org/officeDocument/2006/relationships/hyperlink" Target="http://force.com" TargetMode="External"/><Relationship Id="rId5883" Type="http://schemas.openxmlformats.org/officeDocument/2006/relationships/hyperlink" Target="http://force.com" TargetMode="External"/><Relationship Id="rId691" Type="http://schemas.openxmlformats.org/officeDocument/2006/relationships/hyperlink" Target="http://force.com" TargetMode="External"/><Relationship Id="rId3221" Type="http://schemas.openxmlformats.org/officeDocument/2006/relationships/hyperlink" Target="http://force.com" TargetMode="External"/><Relationship Id="rId4552" Type="http://schemas.openxmlformats.org/officeDocument/2006/relationships/hyperlink" Target="http://force.com" TargetMode="External"/><Relationship Id="rId5880" Type="http://schemas.openxmlformats.org/officeDocument/2006/relationships/hyperlink" Target="http://force.com" TargetMode="External"/><Relationship Id="rId690" Type="http://schemas.openxmlformats.org/officeDocument/2006/relationships/hyperlink" Target="http://force.com" TargetMode="External"/><Relationship Id="rId3220" Type="http://schemas.openxmlformats.org/officeDocument/2006/relationships/hyperlink" Target="http://force.com" TargetMode="External"/><Relationship Id="rId4551" Type="http://schemas.openxmlformats.org/officeDocument/2006/relationships/hyperlink" Target="http://force.com" TargetMode="External"/><Relationship Id="rId5881" Type="http://schemas.openxmlformats.org/officeDocument/2006/relationships/hyperlink" Target="http://force.com" TargetMode="External"/><Relationship Id="rId697" Type="http://schemas.openxmlformats.org/officeDocument/2006/relationships/hyperlink" Target="http://force.com" TargetMode="External"/><Relationship Id="rId3223" Type="http://schemas.openxmlformats.org/officeDocument/2006/relationships/hyperlink" Target="http://force.com" TargetMode="External"/><Relationship Id="rId4554" Type="http://schemas.openxmlformats.org/officeDocument/2006/relationships/hyperlink" Target="http://force.com" TargetMode="External"/><Relationship Id="rId5886" Type="http://schemas.openxmlformats.org/officeDocument/2006/relationships/hyperlink" Target="http://force.com" TargetMode="External"/><Relationship Id="rId696" Type="http://schemas.openxmlformats.org/officeDocument/2006/relationships/hyperlink" Target="http://force.com" TargetMode="External"/><Relationship Id="rId3222" Type="http://schemas.openxmlformats.org/officeDocument/2006/relationships/hyperlink" Target="http://force.com" TargetMode="External"/><Relationship Id="rId4553" Type="http://schemas.openxmlformats.org/officeDocument/2006/relationships/hyperlink" Target="http://force.com" TargetMode="External"/><Relationship Id="rId5887" Type="http://schemas.openxmlformats.org/officeDocument/2006/relationships/hyperlink" Target="http://force.com" TargetMode="External"/><Relationship Id="rId695" Type="http://schemas.openxmlformats.org/officeDocument/2006/relationships/hyperlink" Target="http://force.com" TargetMode="External"/><Relationship Id="rId3225" Type="http://schemas.openxmlformats.org/officeDocument/2006/relationships/hyperlink" Target="http://force.com" TargetMode="External"/><Relationship Id="rId4556" Type="http://schemas.openxmlformats.org/officeDocument/2006/relationships/hyperlink" Target="http://force.com" TargetMode="External"/><Relationship Id="rId5884" Type="http://schemas.openxmlformats.org/officeDocument/2006/relationships/hyperlink" Target="http://force.com" TargetMode="External"/><Relationship Id="rId694" Type="http://schemas.openxmlformats.org/officeDocument/2006/relationships/hyperlink" Target="http://force.com" TargetMode="External"/><Relationship Id="rId3224" Type="http://schemas.openxmlformats.org/officeDocument/2006/relationships/hyperlink" Target="http://force.com" TargetMode="External"/><Relationship Id="rId4555" Type="http://schemas.openxmlformats.org/officeDocument/2006/relationships/hyperlink" Target="http://force.com" TargetMode="External"/><Relationship Id="rId5885" Type="http://schemas.openxmlformats.org/officeDocument/2006/relationships/hyperlink" Target="http://force.com" TargetMode="External"/><Relationship Id="rId3259" Type="http://schemas.openxmlformats.org/officeDocument/2006/relationships/hyperlink" Target="http://force.com" TargetMode="External"/><Relationship Id="rId3250" Type="http://schemas.openxmlformats.org/officeDocument/2006/relationships/hyperlink" Target="http://force.com" TargetMode="External"/><Relationship Id="rId4581" Type="http://schemas.openxmlformats.org/officeDocument/2006/relationships/hyperlink" Target="http://force.com" TargetMode="External"/><Relationship Id="rId4580" Type="http://schemas.openxmlformats.org/officeDocument/2006/relationships/hyperlink" Target="http://force.com" TargetMode="External"/><Relationship Id="rId3252" Type="http://schemas.openxmlformats.org/officeDocument/2006/relationships/hyperlink" Target="http://force.com" TargetMode="External"/><Relationship Id="rId4583" Type="http://schemas.openxmlformats.org/officeDocument/2006/relationships/hyperlink" Target="http://force.com" TargetMode="External"/><Relationship Id="rId3251" Type="http://schemas.openxmlformats.org/officeDocument/2006/relationships/hyperlink" Target="http://force.com" TargetMode="External"/><Relationship Id="rId4582" Type="http://schemas.openxmlformats.org/officeDocument/2006/relationships/hyperlink" Target="http://force.com" TargetMode="External"/><Relationship Id="rId3254" Type="http://schemas.openxmlformats.org/officeDocument/2006/relationships/hyperlink" Target="http://force.com" TargetMode="External"/><Relationship Id="rId4585" Type="http://schemas.openxmlformats.org/officeDocument/2006/relationships/hyperlink" Target="http://force.com" TargetMode="External"/><Relationship Id="rId3253" Type="http://schemas.openxmlformats.org/officeDocument/2006/relationships/hyperlink" Target="http://force.com" TargetMode="External"/><Relationship Id="rId4584" Type="http://schemas.openxmlformats.org/officeDocument/2006/relationships/hyperlink" Target="http://force.com" TargetMode="External"/><Relationship Id="rId3256" Type="http://schemas.openxmlformats.org/officeDocument/2006/relationships/hyperlink" Target="http://force.com" TargetMode="External"/><Relationship Id="rId4587" Type="http://schemas.openxmlformats.org/officeDocument/2006/relationships/hyperlink" Target="http://force.com" TargetMode="External"/><Relationship Id="rId3255" Type="http://schemas.openxmlformats.org/officeDocument/2006/relationships/hyperlink" Target="http://force.com" TargetMode="External"/><Relationship Id="rId4586" Type="http://schemas.openxmlformats.org/officeDocument/2006/relationships/hyperlink" Target="http://force.com" TargetMode="External"/><Relationship Id="rId3258" Type="http://schemas.openxmlformats.org/officeDocument/2006/relationships/hyperlink" Target="http://force.com" TargetMode="External"/><Relationship Id="rId4589" Type="http://schemas.openxmlformats.org/officeDocument/2006/relationships/hyperlink" Target="http://force.com" TargetMode="External"/><Relationship Id="rId3257" Type="http://schemas.openxmlformats.org/officeDocument/2006/relationships/hyperlink" Target="http://force.com" TargetMode="External"/><Relationship Id="rId4588" Type="http://schemas.openxmlformats.org/officeDocument/2006/relationships/hyperlink" Target="http://force.com" TargetMode="External"/><Relationship Id="rId3249" Type="http://schemas.openxmlformats.org/officeDocument/2006/relationships/hyperlink" Target="http://force.com" TargetMode="External"/><Relationship Id="rId3248" Type="http://schemas.openxmlformats.org/officeDocument/2006/relationships/hyperlink" Target="http://force.com" TargetMode="External"/><Relationship Id="rId4579" Type="http://schemas.openxmlformats.org/officeDocument/2006/relationships/hyperlink" Target="http://force.com" TargetMode="External"/><Relationship Id="rId4570" Type="http://schemas.openxmlformats.org/officeDocument/2006/relationships/hyperlink" Target="http://force.com" TargetMode="External"/><Relationship Id="rId3241" Type="http://schemas.openxmlformats.org/officeDocument/2006/relationships/hyperlink" Target="http://force.com" TargetMode="External"/><Relationship Id="rId4572" Type="http://schemas.openxmlformats.org/officeDocument/2006/relationships/hyperlink" Target="http://force.com" TargetMode="External"/><Relationship Id="rId3240" Type="http://schemas.openxmlformats.org/officeDocument/2006/relationships/hyperlink" Target="http://force.com" TargetMode="External"/><Relationship Id="rId4571" Type="http://schemas.openxmlformats.org/officeDocument/2006/relationships/hyperlink" Target="http://force.com" TargetMode="External"/><Relationship Id="rId3243" Type="http://schemas.openxmlformats.org/officeDocument/2006/relationships/hyperlink" Target="http://force.com" TargetMode="External"/><Relationship Id="rId4574" Type="http://schemas.openxmlformats.org/officeDocument/2006/relationships/hyperlink" Target="http://force.com" TargetMode="External"/><Relationship Id="rId3242" Type="http://schemas.openxmlformats.org/officeDocument/2006/relationships/hyperlink" Target="http://force.com" TargetMode="External"/><Relationship Id="rId4573" Type="http://schemas.openxmlformats.org/officeDocument/2006/relationships/hyperlink" Target="http://force.com" TargetMode="External"/><Relationship Id="rId3245" Type="http://schemas.openxmlformats.org/officeDocument/2006/relationships/hyperlink" Target="http://force.com" TargetMode="External"/><Relationship Id="rId4576" Type="http://schemas.openxmlformats.org/officeDocument/2006/relationships/hyperlink" Target="http://force.com" TargetMode="External"/><Relationship Id="rId3244" Type="http://schemas.openxmlformats.org/officeDocument/2006/relationships/hyperlink" Target="http://force.com" TargetMode="External"/><Relationship Id="rId4575" Type="http://schemas.openxmlformats.org/officeDocument/2006/relationships/hyperlink" Target="http://force.com" TargetMode="External"/><Relationship Id="rId3247" Type="http://schemas.openxmlformats.org/officeDocument/2006/relationships/hyperlink" Target="http://force.com" TargetMode="External"/><Relationship Id="rId4578" Type="http://schemas.openxmlformats.org/officeDocument/2006/relationships/hyperlink" Target="http://force.com" TargetMode="External"/><Relationship Id="rId3246" Type="http://schemas.openxmlformats.org/officeDocument/2006/relationships/hyperlink" Target="http://force.com" TargetMode="External"/><Relationship Id="rId4577" Type="http://schemas.openxmlformats.org/officeDocument/2006/relationships/hyperlink" Target="http://force.com" TargetMode="External"/><Relationship Id="rId1499" Type="http://schemas.openxmlformats.org/officeDocument/2006/relationships/hyperlink" Target="http://force.com" TargetMode="External"/><Relationship Id="rId4525" Type="http://schemas.openxmlformats.org/officeDocument/2006/relationships/hyperlink" Target="http://force.com" TargetMode="External"/><Relationship Id="rId5857" Type="http://schemas.openxmlformats.org/officeDocument/2006/relationships/hyperlink" Target="http://force.com" TargetMode="External"/><Relationship Id="rId4524" Type="http://schemas.openxmlformats.org/officeDocument/2006/relationships/hyperlink" Target="http://force.com" TargetMode="External"/><Relationship Id="rId5858" Type="http://schemas.openxmlformats.org/officeDocument/2006/relationships/hyperlink" Target="http://force.com" TargetMode="External"/><Relationship Id="rId4527" Type="http://schemas.openxmlformats.org/officeDocument/2006/relationships/hyperlink" Target="http://force.com" TargetMode="External"/><Relationship Id="rId5855" Type="http://schemas.openxmlformats.org/officeDocument/2006/relationships/hyperlink" Target="http://force.com" TargetMode="External"/><Relationship Id="rId4526" Type="http://schemas.openxmlformats.org/officeDocument/2006/relationships/hyperlink" Target="http://force.com" TargetMode="External"/><Relationship Id="rId5856" Type="http://schemas.openxmlformats.org/officeDocument/2006/relationships/hyperlink" Target="http://force.com" TargetMode="External"/><Relationship Id="rId4529" Type="http://schemas.openxmlformats.org/officeDocument/2006/relationships/hyperlink" Target="http://force.com" TargetMode="External"/><Relationship Id="rId4528" Type="http://schemas.openxmlformats.org/officeDocument/2006/relationships/hyperlink" Target="http://force.com" TargetMode="External"/><Relationship Id="rId5859" Type="http://schemas.openxmlformats.org/officeDocument/2006/relationships/hyperlink" Target="http://force.com" TargetMode="External"/><Relationship Id="rId668" Type="http://schemas.openxmlformats.org/officeDocument/2006/relationships/hyperlink" Target="http://force.com" TargetMode="External"/><Relationship Id="rId667" Type="http://schemas.openxmlformats.org/officeDocument/2006/relationships/hyperlink" Target="http://force.com" TargetMode="External"/><Relationship Id="rId666" Type="http://schemas.openxmlformats.org/officeDocument/2006/relationships/hyperlink" Target="http://force.com" TargetMode="External"/><Relationship Id="rId665" Type="http://schemas.openxmlformats.org/officeDocument/2006/relationships/hyperlink" Target="http://force.com" TargetMode="External"/><Relationship Id="rId669" Type="http://schemas.openxmlformats.org/officeDocument/2006/relationships/hyperlink" Target="http://force.com" TargetMode="External"/><Relationship Id="rId1490" Type="http://schemas.openxmlformats.org/officeDocument/2006/relationships/hyperlink" Target="http://force.com" TargetMode="External"/><Relationship Id="rId660" Type="http://schemas.openxmlformats.org/officeDocument/2006/relationships/hyperlink" Target="http://force.com" TargetMode="External"/><Relationship Id="rId1491" Type="http://schemas.openxmlformats.org/officeDocument/2006/relationships/hyperlink" Target="http://force.com" TargetMode="External"/><Relationship Id="rId1492" Type="http://schemas.openxmlformats.org/officeDocument/2006/relationships/hyperlink" Target="http://force.com" TargetMode="External"/><Relationship Id="rId5850" Type="http://schemas.openxmlformats.org/officeDocument/2006/relationships/hyperlink" Target="http://force.com" TargetMode="External"/><Relationship Id="rId1493" Type="http://schemas.openxmlformats.org/officeDocument/2006/relationships/hyperlink" Target="http://force.com" TargetMode="External"/><Relationship Id="rId1494" Type="http://schemas.openxmlformats.org/officeDocument/2006/relationships/hyperlink" Target="http://force.com" TargetMode="External"/><Relationship Id="rId664" Type="http://schemas.openxmlformats.org/officeDocument/2006/relationships/hyperlink" Target="http://force.com" TargetMode="External"/><Relationship Id="rId1495" Type="http://schemas.openxmlformats.org/officeDocument/2006/relationships/hyperlink" Target="http://force.com" TargetMode="External"/><Relationship Id="rId4521" Type="http://schemas.openxmlformats.org/officeDocument/2006/relationships/hyperlink" Target="http://force.com" TargetMode="External"/><Relationship Id="rId5853" Type="http://schemas.openxmlformats.org/officeDocument/2006/relationships/hyperlink" Target="http://force.com" TargetMode="External"/><Relationship Id="rId663" Type="http://schemas.openxmlformats.org/officeDocument/2006/relationships/hyperlink" Target="http://force.com" TargetMode="External"/><Relationship Id="rId1496" Type="http://schemas.openxmlformats.org/officeDocument/2006/relationships/hyperlink" Target="http://force.com" TargetMode="External"/><Relationship Id="rId4520" Type="http://schemas.openxmlformats.org/officeDocument/2006/relationships/hyperlink" Target="http://force.com" TargetMode="External"/><Relationship Id="rId5854" Type="http://schemas.openxmlformats.org/officeDocument/2006/relationships/hyperlink" Target="http://force.com" TargetMode="External"/><Relationship Id="rId662" Type="http://schemas.openxmlformats.org/officeDocument/2006/relationships/hyperlink" Target="http://force.com" TargetMode="External"/><Relationship Id="rId1497" Type="http://schemas.openxmlformats.org/officeDocument/2006/relationships/hyperlink" Target="http://force.com" TargetMode="External"/><Relationship Id="rId4523" Type="http://schemas.openxmlformats.org/officeDocument/2006/relationships/hyperlink" Target="http://force.com" TargetMode="External"/><Relationship Id="rId5851" Type="http://schemas.openxmlformats.org/officeDocument/2006/relationships/hyperlink" Target="http://force.com" TargetMode="External"/><Relationship Id="rId661" Type="http://schemas.openxmlformats.org/officeDocument/2006/relationships/hyperlink" Target="http://force.com" TargetMode="External"/><Relationship Id="rId1498" Type="http://schemas.openxmlformats.org/officeDocument/2006/relationships/hyperlink" Target="http://force.com" TargetMode="External"/><Relationship Id="rId4522" Type="http://schemas.openxmlformats.org/officeDocument/2006/relationships/hyperlink" Target="http://force.com" TargetMode="External"/><Relationship Id="rId5852" Type="http://schemas.openxmlformats.org/officeDocument/2006/relationships/hyperlink" Target="http://force.com" TargetMode="External"/><Relationship Id="rId1488" Type="http://schemas.openxmlformats.org/officeDocument/2006/relationships/hyperlink" Target="http://force.com" TargetMode="External"/><Relationship Id="rId4514" Type="http://schemas.openxmlformats.org/officeDocument/2006/relationships/hyperlink" Target="http://force.com" TargetMode="External"/><Relationship Id="rId5846" Type="http://schemas.openxmlformats.org/officeDocument/2006/relationships/hyperlink" Target="http://force.com" TargetMode="External"/><Relationship Id="rId1489" Type="http://schemas.openxmlformats.org/officeDocument/2006/relationships/hyperlink" Target="http://force.com" TargetMode="External"/><Relationship Id="rId4513" Type="http://schemas.openxmlformats.org/officeDocument/2006/relationships/hyperlink" Target="http://force.com" TargetMode="External"/><Relationship Id="rId5847" Type="http://schemas.openxmlformats.org/officeDocument/2006/relationships/hyperlink" Target="http://force.com" TargetMode="External"/><Relationship Id="rId4516" Type="http://schemas.openxmlformats.org/officeDocument/2006/relationships/hyperlink" Target="http://force.com" TargetMode="External"/><Relationship Id="rId5844" Type="http://schemas.openxmlformats.org/officeDocument/2006/relationships/hyperlink" Target="http://force.com" TargetMode="External"/><Relationship Id="rId4515" Type="http://schemas.openxmlformats.org/officeDocument/2006/relationships/hyperlink" Target="http://force.com" TargetMode="External"/><Relationship Id="rId5845" Type="http://schemas.openxmlformats.org/officeDocument/2006/relationships/hyperlink" Target="http://force.com" TargetMode="External"/><Relationship Id="rId4518" Type="http://schemas.openxmlformats.org/officeDocument/2006/relationships/hyperlink" Target="http://force.com" TargetMode="External"/><Relationship Id="rId4517" Type="http://schemas.openxmlformats.org/officeDocument/2006/relationships/hyperlink" Target="http://force.com" TargetMode="External"/><Relationship Id="rId5848" Type="http://schemas.openxmlformats.org/officeDocument/2006/relationships/hyperlink" Target="http://force.com" TargetMode="External"/><Relationship Id="rId4519" Type="http://schemas.openxmlformats.org/officeDocument/2006/relationships/hyperlink" Target="http://force.com" TargetMode="External"/><Relationship Id="rId5849" Type="http://schemas.openxmlformats.org/officeDocument/2006/relationships/hyperlink" Target="http://force.com" TargetMode="External"/><Relationship Id="rId657" Type="http://schemas.openxmlformats.org/officeDocument/2006/relationships/hyperlink" Target="http://force.com" TargetMode="External"/><Relationship Id="rId656" Type="http://schemas.openxmlformats.org/officeDocument/2006/relationships/hyperlink" Target="http://force.com" TargetMode="External"/><Relationship Id="rId655" Type="http://schemas.openxmlformats.org/officeDocument/2006/relationships/hyperlink" Target="http://force.com" TargetMode="External"/><Relationship Id="rId654" Type="http://schemas.openxmlformats.org/officeDocument/2006/relationships/hyperlink" Target="http://force.com" TargetMode="External"/><Relationship Id="rId659" Type="http://schemas.openxmlformats.org/officeDocument/2006/relationships/hyperlink" Target="http://force.com" TargetMode="External"/><Relationship Id="rId658" Type="http://schemas.openxmlformats.org/officeDocument/2006/relationships/hyperlink" Target="http://force.com" TargetMode="External"/><Relationship Id="rId1480" Type="http://schemas.openxmlformats.org/officeDocument/2006/relationships/hyperlink" Target="http://force.com" TargetMode="External"/><Relationship Id="rId1481" Type="http://schemas.openxmlformats.org/officeDocument/2006/relationships/hyperlink" Target="http://force.com" TargetMode="External"/><Relationship Id="rId1482" Type="http://schemas.openxmlformats.org/officeDocument/2006/relationships/hyperlink" Target="http://force.com" TargetMode="External"/><Relationship Id="rId1483" Type="http://schemas.openxmlformats.org/officeDocument/2006/relationships/hyperlink" Target="http://force.com" TargetMode="External"/><Relationship Id="rId653" Type="http://schemas.openxmlformats.org/officeDocument/2006/relationships/hyperlink" Target="http://force.com" TargetMode="External"/><Relationship Id="rId1484" Type="http://schemas.openxmlformats.org/officeDocument/2006/relationships/hyperlink" Target="http://force.com" TargetMode="External"/><Relationship Id="rId4510" Type="http://schemas.openxmlformats.org/officeDocument/2006/relationships/hyperlink" Target="http://force.com" TargetMode="External"/><Relationship Id="rId5842" Type="http://schemas.openxmlformats.org/officeDocument/2006/relationships/hyperlink" Target="http://force.com" TargetMode="External"/><Relationship Id="rId652" Type="http://schemas.openxmlformats.org/officeDocument/2006/relationships/hyperlink" Target="http://force.com" TargetMode="External"/><Relationship Id="rId1485" Type="http://schemas.openxmlformats.org/officeDocument/2006/relationships/hyperlink" Target="http://force.com" TargetMode="External"/><Relationship Id="rId5843" Type="http://schemas.openxmlformats.org/officeDocument/2006/relationships/hyperlink" Target="http://force.com" TargetMode="External"/><Relationship Id="rId651" Type="http://schemas.openxmlformats.org/officeDocument/2006/relationships/hyperlink" Target="http://force.com" TargetMode="External"/><Relationship Id="rId1486" Type="http://schemas.openxmlformats.org/officeDocument/2006/relationships/hyperlink" Target="http://force.com" TargetMode="External"/><Relationship Id="rId4512" Type="http://schemas.openxmlformats.org/officeDocument/2006/relationships/hyperlink" Target="http://force.com" TargetMode="External"/><Relationship Id="rId5840" Type="http://schemas.openxmlformats.org/officeDocument/2006/relationships/hyperlink" Target="http://force.com" TargetMode="External"/><Relationship Id="rId650" Type="http://schemas.openxmlformats.org/officeDocument/2006/relationships/hyperlink" Target="http://force.com" TargetMode="External"/><Relationship Id="rId1487" Type="http://schemas.openxmlformats.org/officeDocument/2006/relationships/hyperlink" Target="http://force.com" TargetMode="External"/><Relationship Id="rId4511" Type="http://schemas.openxmlformats.org/officeDocument/2006/relationships/hyperlink" Target="http://force.com" TargetMode="External"/><Relationship Id="rId5841" Type="http://schemas.openxmlformats.org/officeDocument/2006/relationships/hyperlink" Target="http://force.com" TargetMode="External"/><Relationship Id="rId3216" Type="http://schemas.openxmlformats.org/officeDocument/2006/relationships/hyperlink" Target="http://force.com" TargetMode="External"/><Relationship Id="rId4547" Type="http://schemas.openxmlformats.org/officeDocument/2006/relationships/hyperlink" Target="http://force.com" TargetMode="External"/><Relationship Id="rId5879" Type="http://schemas.openxmlformats.org/officeDocument/2006/relationships/hyperlink" Target="http://force.com" TargetMode="External"/><Relationship Id="rId3215" Type="http://schemas.openxmlformats.org/officeDocument/2006/relationships/hyperlink" Target="http://force.com" TargetMode="External"/><Relationship Id="rId4546" Type="http://schemas.openxmlformats.org/officeDocument/2006/relationships/hyperlink" Target="http://force.com" TargetMode="External"/><Relationship Id="rId3218" Type="http://schemas.openxmlformats.org/officeDocument/2006/relationships/hyperlink" Target="http://force.com" TargetMode="External"/><Relationship Id="rId4549" Type="http://schemas.openxmlformats.org/officeDocument/2006/relationships/hyperlink" Target="http://force.com" TargetMode="External"/><Relationship Id="rId5877" Type="http://schemas.openxmlformats.org/officeDocument/2006/relationships/hyperlink" Target="http://force.com" TargetMode="External"/><Relationship Id="rId3217" Type="http://schemas.openxmlformats.org/officeDocument/2006/relationships/hyperlink" Target="http://force.com" TargetMode="External"/><Relationship Id="rId4548" Type="http://schemas.openxmlformats.org/officeDocument/2006/relationships/hyperlink" Target="http://force.com" TargetMode="External"/><Relationship Id="rId5878" Type="http://schemas.openxmlformats.org/officeDocument/2006/relationships/hyperlink" Target="http://force.com" TargetMode="External"/><Relationship Id="rId3219" Type="http://schemas.openxmlformats.org/officeDocument/2006/relationships/hyperlink" Target="http://force.com" TargetMode="External"/><Relationship Id="rId689" Type="http://schemas.openxmlformats.org/officeDocument/2006/relationships/hyperlink" Target="http://force.com" TargetMode="External"/><Relationship Id="rId688" Type="http://schemas.openxmlformats.org/officeDocument/2006/relationships/hyperlink" Target="http://force.com" TargetMode="External"/><Relationship Id="rId687" Type="http://schemas.openxmlformats.org/officeDocument/2006/relationships/hyperlink" Target="http://force.com" TargetMode="External"/><Relationship Id="rId682" Type="http://schemas.openxmlformats.org/officeDocument/2006/relationships/hyperlink" Target="http://force.com" TargetMode="External"/><Relationship Id="rId5871" Type="http://schemas.openxmlformats.org/officeDocument/2006/relationships/hyperlink" Target="http://force.com" TargetMode="External"/><Relationship Id="rId681" Type="http://schemas.openxmlformats.org/officeDocument/2006/relationships/hyperlink" Target="http://force.com" TargetMode="External"/><Relationship Id="rId5872" Type="http://schemas.openxmlformats.org/officeDocument/2006/relationships/hyperlink" Target="http://force.com" TargetMode="External"/><Relationship Id="rId680" Type="http://schemas.openxmlformats.org/officeDocument/2006/relationships/hyperlink" Target="http://force.com" TargetMode="External"/><Relationship Id="rId3210" Type="http://schemas.openxmlformats.org/officeDocument/2006/relationships/hyperlink" Target="http://force.com" TargetMode="External"/><Relationship Id="rId4541" Type="http://schemas.openxmlformats.org/officeDocument/2006/relationships/hyperlink" Target="http://force.com" TargetMode="External"/><Relationship Id="rId4540" Type="http://schemas.openxmlformats.org/officeDocument/2006/relationships/hyperlink" Target="http://force.com" TargetMode="External"/><Relationship Id="rId5870" Type="http://schemas.openxmlformats.org/officeDocument/2006/relationships/hyperlink" Target="http://force.com" TargetMode="External"/><Relationship Id="rId686" Type="http://schemas.openxmlformats.org/officeDocument/2006/relationships/hyperlink" Target="http://force.com" TargetMode="External"/><Relationship Id="rId3212" Type="http://schemas.openxmlformats.org/officeDocument/2006/relationships/hyperlink" Target="http://force.com" TargetMode="External"/><Relationship Id="rId4543" Type="http://schemas.openxmlformats.org/officeDocument/2006/relationships/hyperlink" Target="http://force.com" TargetMode="External"/><Relationship Id="rId5875" Type="http://schemas.openxmlformats.org/officeDocument/2006/relationships/hyperlink" Target="http://force.com" TargetMode="External"/><Relationship Id="rId685" Type="http://schemas.openxmlformats.org/officeDocument/2006/relationships/hyperlink" Target="http://force.com" TargetMode="External"/><Relationship Id="rId3211" Type="http://schemas.openxmlformats.org/officeDocument/2006/relationships/hyperlink" Target="http://force.com" TargetMode="External"/><Relationship Id="rId4542" Type="http://schemas.openxmlformats.org/officeDocument/2006/relationships/hyperlink" Target="http://force.com" TargetMode="External"/><Relationship Id="rId5876" Type="http://schemas.openxmlformats.org/officeDocument/2006/relationships/hyperlink" Target="http://force.com" TargetMode="External"/><Relationship Id="rId684" Type="http://schemas.openxmlformats.org/officeDocument/2006/relationships/hyperlink" Target="http://force.com" TargetMode="External"/><Relationship Id="rId3214" Type="http://schemas.openxmlformats.org/officeDocument/2006/relationships/hyperlink" Target="http://force.com" TargetMode="External"/><Relationship Id="rId4545" Type="http://schemas.openxmlformats.org/officeDocument/2006/relationships/hyperlink" Target="http://force.com" TargetMode="External"/><Relationship Id="rId5873" Type="http://schemas.openxmlformats.org/officeDocument/2006/relationships/hyperlink" Target="http://force.com" TargetMode="External"/><Relationship Id="rId683" Type="http://schemas.openxmlformats.org/officeDocument/2006/relationships/hyperlink" Target="http://force.com" TargetMode="External"/><Relationship Id="rId3213" Type="http://schemas.openxmlformats.org/officeDocument/2006/relationships/hyperlink" Target="http://force.com" TargetMode="External"/><Relationship Id="rId4544" Type="http://schemas.openxmlformats.org/officeDocument/2006/relationships/hyperlink" Target="http://force.com" TargetMode="External"/><Relationship Id="rId5874" Type="http://schemas.openxmlformats.org/officeDocument/2006/relationships/hyperlink" Target="http://force.com" TargetMode="External"/><Relationship Id="rId3205" Type="http://schemas.openxmlformats.org/officeDocument/2006/relationships/hyperlink" Target="http://force.com" TargetMode="External"/><Relationship Id="rId4536" Type="http://schemas.openxmlformats.org/officeDocument/2006/relationships/hyperlink" Target="http://force.com" TargetMode="External"/><Relationship Id="rId5868" Type="http://schemas.openxmlformats.org/officeDocument/2006/relationships/hyperlink" Target="http://force.com" TargetMode="External"/><Relationship Id="rId3204" Type="http://schemas.openxmlformats.org/officeDocument/2006/relationships/hyperlink" Target="http://force.com" TargetMode="External"/><Relationship Id="rId4535" Type="http://schemas.openxmlformats.org/officeDocument/2006/relationships/hyperlink" Target="http://force.com" TargetMode="External"/><Relationship Id="rId5869" Type="http://schemas.openxmlformats.org/officeDocument/2006/relationships/hyperlink" Target="http://force.com" TargetMode="External"/><Relationship Id="rId3207" Type="http://schemas.openxmlformats.org/officeDocument/2006/relationships/hyperlink" Target="http://force.com" TargetMode="External"/><Relationship Id="rId4538" Type="http://schemas.openxmlformats.org/officeDocument/2006/relationships/hyperlink" Target="http://force.com" TargetMode="External"/><Relationship Id="rId5866" Type="http://schemas.openxmlformats.org/officeDocument/2006/relationships/hyperlink" Target="http://force.com" TargetMode="External"/><Relationship Id="rId3206" Type="http://schemas.openxmlformats.org/officeDocument/2006/relationships/hyperlink" Target="http://force.com" TargetMode="External"/><Relationship Id="rId4537" Type="http://schemas.openxmlformats.org/officeDocument/2006/relationships/hyperlink" Target="http://force.com" TargetMode="External"/><Relationship Id="rId5867" Type="http://schemas.openxmlformats.org/officeDocument/2006/relationships/hyperlink" Target="http://force.com" TargetMode="External"/><Relationship Id="rId3209" Type="http://schemas.openxmlformats.org/officeDocument/2006/relationships/hyperlink" Target="http://force.com" TargetMode="External"/><Relationship Id="rId3208" Type="http://schemas.openxmlformats.org/officeDocument/2006/relationships/hyperlink" Target="http://force.com" TargetMode="External"/><Relationship Id="rId4539" Type="http://schemas.openxmlformats.org/officeDocument/2006/relationships/hyperlink" Target="http://force.com" TargetMode="External"/><Relationship Id="rId679" Type="http://schemas.openxmlformats.org/officeDocument/2006/relationships/hyperlink" Target="http://force.com" TargetMode="External"/><Relationship Id="rId678" Type="http://schemas.openxmlformats.org/officeDocument/2006/relationships/hyperlink" Target="http://force.com" TargetMode="External"/><Relationship Id="rId677" Type="http://schemas.openxmlformats.org/officeDocument/2006/relationships/hyperlink" Target="http://force.com" TargetMode="External"/><Relationship Id="rId676" Type="http://schemas.openxmlformats.org/officeDocument/2006/relationships/hyperlink" Target="http://force.com" TargetMode="External"/><Relationship Id="rId671" Type="http://schemas.openxmlformats.org/officeDocument/2006/relationships/hyperlink" Target="http://force.com" TargetMode="External"/><Relationship Id="rId5860" Type="http://schemas.openxmlformats.org/officeDocument/2006/relationships/hyperlink" Target="http://force.com" TargetMode="External"/><Relationship Id="rId670" Type="http://schemas.openxmlformats.org/officeDocument/2006/relationships/hyperlink" Target="http://force.com" TargetMode="External"/><Relationship Id="rId5861" Type="http://schemas.openxmlformats.org/officeDocument/2006/relationships/hyperlink" Target="http://force.com" TargetMode="External"/><Relationship Id="rId4530" Type="http://schemas.openxmlformats.org/officeDocument/2006/relationships/hyperlink" Target="http://force.com" TargetMode="External"/><Relationship Id="rId675" Type="http://schemas.openxmlformats.org/officeDocument/2006/relationships/hyperlink" Target="http://force.com" TargetMode="External"/><Relationship Id="rId3201" Type="http://schemas.openxmlformats.org/officeDocument/2006/relationships/hyperlink" Target="http://force.com" TargetMode="External"/><Relationship Id="rId4532" Type="http://schemas.openxmlformats.org/officeDocument/2006/relationships/hyperlink" Target="http://force.com" TargetMode="External"/><Relationship Id="rId5864" Type="http://schemas.openxmlformats.org/officeDocument/2006/relationships/hyperlink" Target="http://force.com" TargetMode="External"/><Relationship Id="rId674" Type="http://schemas.openxmlformats.org/officeDocument/2006/relationships/hyperlink" Target="http://force.com" TargetMode="External"/><Relationship Id="rId3200" Type="http://schemas.openxmlformats.org/officeDocument/2006/relationships/hyperlink" Target="http://force.com" TargetMode="External"/><Relationship Id="rId4531" Type="http://schemas.openxmlformats.org/officeDocument/2006/relationships/hyperlink" Target="http://force.com" TargetMode="External"/><Relationship Id="rId5865" Type="http://schemas.openxmlformats.org/officeDocument/2006/relationships/hyperlink" Target="http://force.com" TargetMode="External"/><Relationship Id="rId673" Type="http://schemas.openxmlformats.org/officeDocument/2006/relationships/hyperlink" Target="http://force.com" TargetMode="External"/><Relationship Id="rId3203" Type="http://schemas.openxmlformats.org/officeDocument/2006/relationships/hyperlink" Target="http://force.com" TargetMode="External"/><Relationship Id="rId4534" Type="http://schemas.openxmlformats.org/officeDocument/2006/relationships/hyperlink" Target="http://force.com" TargetMode="External"/><Relationship Id="rId5862" Type="http://schemas.openxmlformats.org/officeDocument/2006/relationships/hyperlink" Target="http://force.com" TargetMode="External"/><Relationship Id="rId672" Type="http://schemas.openxmlformats.org/officeDocument/2006/relationships/hyperlink" Target="http://force.com" TargetMode="External"/><Relationship Id="rId3202" Type="http://schemas.openxmlformats.org/officeDocument/2006/relationships/hyperlink" Target="http://force.com" TargetMode="External"/><Relationship Id="rId4533" Type="http://schemas.openxmlformats.org/officeDocument/2006/relationships/hyperlink" Target="http://force.com" TargetMode="External"/><Relationship Id="rId5863" Type="http://schemas.openxmlformats.org/officeDocument/2006/relationships/hyperlink" Target="http://force.com" TargetMode="External"/><Relationship Id="rId190" Type="http://schemas.openxmlformats.org/officeDocument/2006/relationships/hyperlink" Target="http://force.com" TargetMode="External"/><Relationship Id="rId5019" Type="http://schemas.openxmlformats.org/officeDocument/2006/relationships/hyperlink" Target="http://force.com" TargetMode="External"/><Relationship Id="rId194" Type="http://schemas.openxmlformats.org/officeDocument/2006/relationships/hyperlink" Target="http://force.com" TargetMode="External"/><Relationship Id="rId193" Type="http://schemas.openxmlformats.org/officeDocument/2006/relationships/hyperlink" Target="http://force.com" TargetMode="External"/><Relationship Id="rId192" Type="http://schemas.openxmlformats.org/officeDocument/2006/relationships/hyperlink" Target="http://force.com" TargetMode="External"/><Relationship Id="rId191" Type="http://schemas.openxmlformats.org/officeDocument/2006/relationships/hyperlink" Target="http://force.com" TargetMode="External"/><Relationship Id="rId5010" Type="http://schemas.openxmlformats.org/officeDocument/2006/relationships/hyperlink" Target="http://force.com" TargetMode="External"/><Relationship Id="rId187" Type="http://schemas.openxmlformats.org/officeDocument/2006/relationships/hyperlink" Target="http://force.com" TargetMode="External"/><Relationship Id="rId5013" Type="http://schemas.openxmlformats.org/officeDocument/2006/relationships/hyperlink" Target="http://force.com" TargetMode="External"/><Relationship Id="rId186" Type="http://schemas.openxmlformats.org/officeDocument/2006/relationships/hyperlink" Target="http://force.com" TargetMode="External"/><Relationship Id="rId5014" Type="http://schemas.openxmlformats.org/officeDocument/2006/relationships/hyperlink" Target="http://force.com" TargetMode="External"/><Relationship Id="rId185" Type="http://schemas.openxmlformats.org/officeDocument/2006/relationships/hyperlink" Target="http://force.com" TargetMode="External"/><Relationship Id="rId5011" Type="http://schemas.openxmlformats.org/officeDocument/2006/relationships/hyperlink" Target="http://force.com" TargetMode="External"/><Relationship Id="rId184" Type="http://schemas.openxmlformats.org/officeDocument/2006/relationships/hyperlink" Target="http://force.com" TargetMode="External"/><Relationship Id="rId5012" Type="http://schemas.openxmlformats.org/officeDocument/2006/relationships/hyperlink" Target="http://force.com" TargetMode="External"/><Relationship Id="rId5017" Type="http://schemas.openxmlformats.org/officeDocument/2006/relationships/hyperlink" Target="http://force.com" TargetMode="External"/><Relationship Id="rId5018" Type="http://schemas.openxmlformats.org/officeDocument/2006/relationships/hyperlink" Target="http://force.com" TargetMode="External"/><Relationship Id="rId189" Type="http://schemas.openxmlformats.org/officeDocument/2006/relationships/hyperlink" Target="http://force.com" TargetMode="External"/><Relationship Id="rId5015" Type="http://schemas.openxmlformats.org/officeDocument/2006/relationships/hyperlink" Target="http://force.com" TargetMode="External"/><Relationship Id="rId188" Type="http://schemas.openxmlformats.org/officeDocument/2006/relationships/hyperlink" Target="http://force.com" TargetMode="External"/><Relationship Id="rId5016" Type="http://schemas.openxmlformats.org/officeDocument/2006/relationships/hyperlink" Target="http://force.com" TargetMode="External"/><Relationship Id="rId5008" Type="http://schemas.openxmlformats.org/officeDocument/2006/relationships/hyperlink" Target="http://force.com" TargetMode="External"/><Relationship Id="rId5009" Type="http://schemas.openxmlformats.org/officeDocument/2006/relationships/hyperlink" Target="http://force.com" TargetMode="External"/><Relationship Id="rId183" Type="http://schemas.openxmlformats.org/officeDocument/2006/relationships/hyperlink" Target="http://force.com" TargetMode="External"/><Relationship Id="rId182" Type="http://schemas.openxmlformats.org/officeDocument/2006/relationships/hyperlink" Target="http://force.com" TargetMode="External"/><Relationship Id="rId181" Type="http://schemas.openxmlformats.org/officeDocument/2006/relationships/hyperlink" Target="http://force.com" TargetMode="External"/><Relationship Id="rId180" Type="http://schemas.openxmlformats.org/officeDocument/2006/relationships/hyperlink" Target="http://force.com" TargetMode="External"/><Relationship Id="rId176" Type="http://schemas.openxmlformats.org/officeDocument/2006/relationships/hyperlink" Target="http://force.com" TargetMode="External"/><Relationship Id="rId5002" Type="http://schemas.openxmlformats.org/officeDocument/2006/relationships/hyperlink" Target="http://force.com" TargetMode="External"/><Relationship Id="rId175" Type="http://schemas.openxmlformats.org/officeDocument/2006/relationships/hyperlink" Target="http://force.com" TargetMode="External"/><Relationship Id="rId5003" Type="http://schemas.openxmlformats.org/officeDocument/2006/relationships/hyperlink" Target="http://force.com" TargetMode="External"/><Relationship Id="rId174" Type="http://schemas.openxmlformats.org/officeDocument/2006/relationships/hyperlink" Target="http://force.com" TargetMode="External"/><Relationship Id="rId5000" Type="http://schemas.openxmlformats.org/officeDocument/2006/relationships/hyperlink" Target="http://force.com" TargetMode="External"/><Relationship Id="rId173" Type="http://schemas.openxmlformats.org/officeDocument/2006/relationships/hyperlink" Target="http://force.com" TargetMode="External"/><Relationship Id="rId5001" Type="http://schemas.openxmlformats.org/officeDocument/2006/relationships/hyperlink" Target="http://force.com" TargetMode="External"/><Relationship Id="rId5006" Type="http://schemas.openxmlformats.org/officeDocument/2006/relationships/hyperlink" Target="http://force.com" TargetMode="External"/><Relationship Id="rId179" Type="http://schemas.openxmlformats.org/officeDocument/2006/relationships/hyperlink" Target="http://force.com" TargetMode="External"/><Relationship Id="rId5007" Type="http://schemas.openxmlformats.org/officeDocument/2006/relationships/hyperlink" Target="http://force.com" TargetMode="External"/><Relationship Id="rId178" Type="http://schemas.openxmlformats.org/officeDocument/2006/relationships/hyperlink" Target="http://force.com" TargetMode="External"/><Relationship Id="rId5004" Type="http://schemas.openxmlformats.org/officeDocument/2006/relationships/hyperlink" Target="http://force.com" TargetMode="External"/><Relationship Id="rId177" Type="http://schemas.openxmlformats.org/officeDocument/2006/relationships/hyperlink" Target="http://force.com" TargetMode="External"/><Relationship Id="rId5005" Type="http://schemas.openxmlformats.org/officeDocument/2006/relationships/hyperlink" Target="http://force.com" TargetMode="External"/><Relationship Id="rId5031" Type="http://schemas.openxmlformats.org/officeDocument/2006/relationships/hyperlink" Target="http://force.com" TargetMode="External"/><Relationship Id="rId5032" Type="http://schemas.openxmlformats.org/officeDocument/2006/relationships/hyperlink" Target="http://force.com" TargetMode="External"/><Relationship Id="rId5030" Type="http://schemas.openxmlformats.org/officeDocument/2006/relationships/hyperlink" Target="http://force.com" TargetMode="External"/><Relationship Id="rId5035" Type="http://schemas.openxmlformats.org/officeDocument/2006/relationships/hyperlink" Target="http://force.com" TargetMode="External"/><Relationship Id="rId5036" Type="http://schemas.openxmlformats.org/officeDocument/2006/relationships/hyperlink" Target="http://force.com" TargetMode="External"/><Relationship Id="rId5033" Type="http://schemas.openxmlformats.org/officeDocument/2006/relationships/hyperlink" Target="http://force.com" TargetMode="External"/><Relationship Id="rId5034" Type="http://schemas.openxmlformats.org/officeDocument/2006/relationships/hyperlink" Target="http://force.com" TargetMode="External"/><Relationship Id="rId5039" Type="http://schemas.openxmlformats.org/officeDocument/2006/relationships/hyperlink" Target="http://force.com" TargetMode="External"/><Relationship Id="rId5037" Type="http://schemas.openxmlformats.org/officeDocument/2006/relationships/hyperlink" Target="http://force.com" TargetMode="External"/><Relationship Id="rId5038" Type="http://schemas.openxmlformats.org/officeDocument/2006/relationships/hyperlink" Target="http://force.com" TargetMode="External"/><Relationship Id="rId5020" Type="http://schemas.openxmlformats.org/officeDocument/2006/relationships/hyperlink" Target="http://force.com" TargetMode="External"/><Relationship Id="rId5021" Type="http://schemas.openxmlformats.org/officeDocument/2006/relationships/hyperlink" Target="http://force.com" TargetMode="External"/><Relationship Id="rId198" Type="http://schemas.openxmlformats.org/officeDocument/2006/relationships/hyperlink" Target="http://force.com" TargetMode="External"/><Relationship Id="rId5024" Type="http://schemas.openxmlformats.org/officeDocument/2006/relationships/hyperlink" Target="http://force.com" TargetMode="External"/><Relationship Id="rId197" Type="http://schemas.openxmlformats.org/officeDocument/2006/relationships/hyperlink" Target="http://force.com" TargetMode="External"/><Relationship Id="rId5025" Type="http://schemas.openxmlformats.org/officeDocument/2006/relationships/hyperlink" Target="http://force.com" TargetMode="External"/><Relationship Id="rId196" Type="http://schemas.openxmlformats.org/officeDocument/2006/relationships/hyperlink" Target="http://force.com" TargetMode="External"/><Relationship Id="rId5022" Type="http://schemas.openxmlformats.org/officeDocument/2006/relationships/hyperlink" Target="http://force.com" TargetMode="External"/><Relationship Id="rId195" Type="http://schemas.openxmlformats.org/officeDocument/2006/relationships/hyperlink" Target="http://force.com" TargetMode="External"/><Relationship Id="rId5023" Type="http://schemas.openxmlformats.org/officeDocument/2006/relationships/hyperlink" Target="http://force.com" TargetMode="External"/><Relationship Id="rId5028" Type="http://schemas.openxmlformats.org/officeDocument/2006/relationships/hyperlink" Target="http://force.com" TargetMode="External"/><Relationship Id="rId5029" Type="http://schemas.openxmlformats.org/officeDocument/2006/relationships/hyperlink" Target="http://force.com" TargetMode="External"/><Relationship Id="rId5026" Type="http://schemas.openxmlformats.org/officeDocument/2006/relationships/hyperlink" Target="http://force.com" TargetMode="External"/><Relationship Id="rId199" Type="http://schemas.openxmlformats.org/officeDocument/2006/relationships/hyperlink" Target="http://force.com" TargetMode="External"/><Relationship Id="rId5027" Type="http://schemas.openxmlformats.org/officeDocument/2006/relationships/hyperlink" Target="http://force.com" TargetMode="External"/><Relationship Id="rId150" Type="http://schemas.openxmlformats.org/officeDocument/2006/relationships/hyperlink" Target="http://force.com" TargetMode="External"/><Relationship Id="rId149" Type="http://schemas.openxmlformats.org/officeDocument/2006/relationships/hyperlink" Target="http://force.com" TargetMode="External"/><Relationship Id="rId148" Type="http://schemas.openxmlformats.org/officeDocument/2006/relationships/hyperlink" Target="http://force.com" TargetMode="External"/><Relationship Id="rId3270" Type="http://schemas.openxmlformats.org/officeDocument/2006/relationships/hyperlink" Target="http://force.com" TargetMode="External"/><Relationship Id="rId3272" Type="http://schemas.openxmlformats.org/officeDocument/2006/relationships/hyperlink" Target="http://force.com" TargetMode="External"/><Relationship Id="rId3271" Type="http://schemas.openxmlformats.org/officeDocument/2006/relationships/hyperlink" Target="http://force.com" TargetMode="External"/><Relationship Id="rId143" Type="http://schemas.openxmlformats.org/officeDocument/2006/relationships/hyperlink" Target="http://force.com" TargetMode="External"/><Relationship Id="rId3274" Type="http://schemas.openxmlformats.org/officeDocument/2006/relationships/hyperlink" Target="http://force.com" TargetMode="External"/><Relationship Id="rId142" Type="http://schemas.openxmlformats.org/officeDocument/2006/relationships/hyperlink" Target="http://force.com" TargetMode="External"/><Relationship Id="rId3273" Type="http://schemas.openxmlformats.org/officeDocument/2006/relationships/hyperlink" Target="http://force.com" TargetMode="External"/><Relationship Id="rId141" Type="http://schemas.openxmlformats.org/officeDocument/2006/relationships/hyperlink" Target="http://force.com" TargetMode="External"/><Relationship Id="rId3276" Type="http://schemas.openxmlformats.org/officeDocument/2006/relationships/hyperlink" Target="http://force.com" TargetMode="External"/><Relationship Id="rId140" Type="http://schemas.openxmlformats.org/officeDocument/2006/relationships/hyperlink" Target="http://force.com" TargetMode="External"/><Relationship Id="rId3275" Type="http://schemas.openxmlformats.org/officeDocument/2006/relationships/hyperlink" Target="http://force.com" TargetMode="External"/><Relationship Id="rId147" Type="http://schemas.openxmlformats.org/officeDocument/2006/relationships/hyperlink" Target="http://force.com" TargetMode="External"/><Relationship Id="rId3278" Type="http://schemas.openxmlformats.org/officeDocument/2006/relationships/hyperlink" Target="http://force.com" TargetMode="External"/><Relationship Id="rId146" Type="http://schemas.openxmlformats.org/officeDocument/2006/relationships/hyperlink" Target="http://force.com" TargetMode="External"/><Relationship Id="rId3277" Type="http://schemas.openxmlformats.org/officeDocument/2006/relationships/hyperlink" Target="http://force.com" TargetMode="External"/><Relationship Id="rId145" Type="http://schemas.openxmlformats.org/officeDocument/2006/relationships/hyperlink" Target="http://force.com" TargetMode="External"/><Relationship Id="rId144" Type="http://schemas.openxmlformats.org/officeDocument/2006/relationships/hyperlink" Target="http://force.com" TargetMode="External"/><Relationship Id="rId3279" Type="http://schemas.openxmlformats.org/officeDocument/2006/relationships/hyperlink" Target="http://force.com" TargetMode="External"/><Relationship Id="rId139" Type="http://schemas.openxmlformats.org/officeDocument/2006/relationships/hyperlink" Target="http://force.com" TargetMode="External"/><Relationship Id="rId138" Type="http://schemas.openxmlformats.org/officeDocument/2006/relationships/hyperlink" Target="http://force.com" TargetMode="External"/><Relationship Id="rId137" Type="http://schemas.openxmlformats.org/officeDocument/2006/relationships/hyperlink" Target="http://force.com" TargetMode="External"/><Relationship Id="rId4590" Type="http://schemas.openxmlformats.org/officeDocument/2006/relationships/hyperlink" Target="http://force.com" TargetMode="External"/><Relationship Id="rId3261" Type="http://schemas.openxmlformats.org/officeDocument/2006/relationships/hyperlink" Target="http://force.com" TargetMode="External"/><Relationship Id="rId4592" Type="http://schemas.openxmlformats.org/officeDocument/2006/relationships/hyperlink" Target="http://force.com" TargetMode="External"/><Relationship Id="rId3260" Type="http://schemas.openxmlformats.org/officeDocument/2006/relationships/hyperlink" Target="http://force.com" TargetMode="External"/><Relationship Id="rId4591" Type="http://schemas.openxmlformats.org/officeDocument/2006/relationships/hyperlink" Target="http://force.com" TargetMode="External"/><Relationship Id="rId132" Type="http://schemas.openxmlformats.org/officeDocument/2006/relationships/hyperlink" Target="http://force.com" TargetMode="External"/><Relationship Id="rId3263" Type="http://schemas.openxmlformats.org/officeDocument/2006/relationships/hyperlink" Target="http://force.com" TargetMode="External"/><Relationship Id="rId4594" Type="http://schemas.openxmlformats.org/officeDocument/2006/relationships/hyperlink" Target="http://force.com" TargetMode="External"/><Relationship Id="rId131" Type="http://schemas.openxmlformats.org/officeDocument/2006/relationships/hyperlink" Target="http://force.com" TargetMode="External"/><Relationship Id="rId3262" Type="http://schemas.openxmlformats.org/officeDocument/2006/relationships/hyperlink" Target="http://force.com" TargetMode="External"/><Relationship Id="rId4593" Type="http://schemas.openxmlformats.org/officeDocument/2006/relationships/hyperlink" Target="http://force.com" TargetMode="External"/><Relationship Id="rId130" Type="http://schemas.openxmlformats.org/officeDocument/2006/relationships/hyperlink" Target="http://force.com" TargetMode="External"/><Relationship Id="rId3265" Type="http://schemas.openxmlformats.org/officeDocument/2006/relationships/hyperlink" Target="http://force.com" TargetMode="External"/><Relationship Id="rId4596" Type="http://schemas.openxmlformats.org/officeDocument/2006/relationships/hyperlink" Target="http://force.com" TargetMode="External"/><Relationship Id="rId3264" Type="http://schemas.openxmlformats.org/officeDocument/2006/relationships/hyperlink" Target="http://force.com" TargetMode="External"/><Relationship Id="rId4595" Type="http://schemas.openxmlformats.org/officeDocument/2006/relationships/hyperlink" Target="http://force.com" TargetMode="External"/><Relationship Id="rId136" Type="http://schemas.openxmlformats.org/officeDocument/2006/relationships/hyperlink" Target="http://force.com" TargetMode="External"/><Relationship Id="rId3267" Type="http://schemas.openxmlformats.org/officeDocument/2006/relationships/hyperlink" Target="http://force.com" TargetMode="External"/><Relationship Id="rId4598" Type="http://schemas.openxmlformats.org/officeDocument/2006/relationships/hyperlink" Target="http://force.com" TargetMode="External"/><Relationship Id="rId135" Type="http://schemas.openxmlformats.org/officeDocument/2006/relationships/hyperlink" Target="http://force.com" TargetMode="External"/><Relationship Id="rId3266" Type="http://schemas.openxmlformats.org/officeDocument/2006/relationships/hyperlink" Target="http://force.com" TargetMode="External"/><Relationship Id="rId4597" Type="http://schemas.openxmlformats.org/officeDocument/2006/relationships/hyperlink" Target="http://force.com" TargetMode="External"/><Relationship Id="rId134" Type="http://schemas.openxmlformats.org/officeDocument/2006/relationships/hyperlink" Target="http://force.com" TargetMode="External"/><Relationship Id="rId3269" Type="http://schemas.openxmlformats.org/officeDocument/2006/relationships/hyperlink" Target="http://force.com" TargetMode="External"/><Relationship Id="rId133" Type="http://schemas.openxmlformats.org/officeDocument/2006/relationships/hyperlink" Target="http://force.com" TargetMode="External"/><Relationship Id="rId3268" Type="http://schemas.openxmlformats.org/officeDocument/2006/relationships/hyperlink" Target="http://force.com" TargetMode="External"/><Relationship Id="rId4599" Type="http://schemas.openxmlformats.org/officeDocument/2006/relationships/hyperlink" Target="http://force.com" TargetMode="External"/><Relationship Id="rId172" Type="http://schemas.openxmlformats.org/officeDocument/2006/relationships/hyperlink" Target="http://force.com" TargetMode="External"/><Relationship Id="rId171" Type="http://schemas.openxmlformats.org/officeDocument/2006/relationships/hyperlink" Target="http://force.com" TargetMode="External"/><Relationship Id="rId170" Type="http://schemas.openxmlformats.org/officeDocument/2006/relationships/hyperlink" Target="http://force.com" TargetMode="External"/><Relationship Id="rId3290" Type="http://schemas.openxmlformats.org/officeDocument/2006/relationships/hyperlink" Target="http://force.com" TargetMode="External"/><Relationship Id="rId3292" Type="http://schemas.openxmlformats.org/officeDocument/2006/relationships/hyperlink" Target="http://force.com" TargetMode="External"/><Relationship Id="rId3291" Type="http://schemas.openxmlformats.org/officeDocument/2006/relationships/hyperlink" Target="http://force.com" TargetMode="External"/><Relationship Id="rId3294" Type="http://schemas.openxmlformats.org/officeDocument/2006/relationships/hyperlink" Target="http://force.com" TargetMode="External"/><Relationship Id="rId3293" Type="http://schemas.openxmlformats.org/officeDocument/2006/relationships/hyperlink" Target="http://force.com" TargetMode="External"/><Relationship Id="rId165" Type="http://schemas.openxmlformats.org/officeDocument/2006/relationships/hyperlink" Target="http://force.com" TargetMode="External"/><Relationship Id="rId3296" Type="http://schemas.openxmlformats.org/officeDocument/2006/relationships/hyperlink" Target="http://force.com" TargetMode="External"/><Relationship Id="rId164" Type="http://schemas.openxmlformats.org/officeDocument/2006/relationships/hyperlink" Target="http://force.com" TargetMode="External"/><Relationship Id="rId3295" Type="http://schemas.openxmlformats.org/officeDocument/2006/relationships/hyperlink" Target="http://force.com" TargetMode="External"/><Relationship Id="rId163" Type="http://schemas.openxmlformats.org/officeDocument/2006/relationships/hyperlink" Target="http://force.com" TargetMode="External"/><Relationship Id="rId3298" Type="http://schemas.openxmlformats.org/officeDocument/2006/relationships/hyperlink" Target="http://force.com" TargetMode="External"/><Relationship Id="rId162" Type="http://schemas.openxmlformats.org/officeDocument/2006/relationships/hyperlink" Target="http://force.com" TargetMode="External"/><Relationship Id="rId3297" Type="http://schemas.openxmlformats.org/officeDocument/2006/relationships/hyperlink" Target="http://force.com" TargetMode="External"/><Relationship Id="rId169" Type="http://schemas.openxmlformats.org/officeDocument/2006/relationships/hyperlink" Target="http://force.com" TargetMode="External"/><Relationship Id="rId168" Type="http://schemas.openxmlformats.org/officeDocument/2006/relationships/hyperlink" Target="http://force.com" TargetMode="External"/><Relationship Id="rId3299" Type="http://schemas.openxmlformats.org/officeDocument/2006/relationships/hyperlink" Target="http://force.com" TargetMode="External"/><Relationship Id="rId167" Type="http://schemas.openxmlformats.org/officeDocument/2006/relationships/hyperlink" Target="http://force.com" TargetMode="External"/><Relationship Id="rId166" Type="http://schemas.openxmlformats.org/officeDocument/2006/relationships/hyperlink" Target="http://force.com" TargetMode="External"/><Relationship Id="rId161" Type="http://schemas.openxmlformats.org/officeDocument/2006/relationships/hyperlink" Target="http://force.com" TargetMode="External"/><Relationship Id="rId160" Type="http://schemas.openxmlformats.org/officeDocument/2006/relationships/hyperlink" Target="http://force.com" TargetMode="External"/><Relationship Id="rId159" Type="http://schemas.openxmlformats.org/officeDocument/2006/relationships/hyperlink" Target="http://force.com" TargetMode="External"/><Relationship Id="rId3281" Type="http://schemas.openxmlformats.org/officeDocument/2006/relationships/hyperlink" Target="http://force.com" TargetMode="External"/><Relationship Id="rId3280" Type="http://schemas.openxmlformats.org/officeDocument/2006/relationships/hyperlink" Target="http://force.com" TargetMode="External"/><Relationship Id="rId3283" Type="http://schemas.openxmlformats.org/officeDocument/2006/relationships/hyperlink" Target="http://force.com" TargetMode="External"/><Relationship Id="rId3282" Type="http://schemas.openxmlformats.org/officeDocument/2006/relationships/hyperlink" Target="http://force.com" TargetMode="External"/><Relationship Id="rId154" Type="http://schemas.openxmlformats.org/officeDocument/2006/relationships/hyperlink" Target="http://force.com" TargetMode="External"/><Relationship Id="rId3285" Type="http://schemas.openxmlformats.org/officeDocument/2006/relationships/hyperlink" Target="http://force.com" TargetMode="External"/><Relationship Id="rId153" Type="http://schemas.openxmlformats.org/officeDocument/2006/relationships/hyperlink" Target="http://force.com" TargetMode="External"/><Relationship Id="rId3284" Type="http://schemas.openxmlformats.org/officeDocument/2006/relationships/hyperlink" Target="http://force.com" TargetMode="External"/><Relationship Id="rId152" Type="http://schemas.openxmlformats.org/officeDocument/2006/relationships/hyperlink" Target="http://force.com" TargetMode="External"/><Relationship Id="rId3287" Type="http://schemas.openxmlformats.org/officeDocument/2006/relationships/hyperlink" Target="http://force.com" TargetMode="External"/><Relationship Id="rId151" Type="http://schemas.openxmlformats.org/officeDocument/2006/relationships/hyperlink" Target="http://force.com" TargetMode="External"/><Relationship Id="rId3286" Type="http://schemas.openxmlformats.org/officeDocument/2006/relationships/hyperlink" Target="http://force.com" TargetMode="External"/><Relationship Id="rId158" Type="http://schemas.openxmlformats.org/officeDocument/2006/relationships/hyperlink" Target="http://force.com" TargetMode="External"/><Relationship Id="rId3289" Type="http://schemas.openxmlformats.org/officeDocument/2006/relationships/hyperlink" Target="http://force.com" TargetMode="External"/><Relationship Id="rId157" Type="http://schemas.openxmlformats.org/officeDocument/2006/relationships/hyperlink" Target="http://force.com" TargetMode="External"/><Relationship Id="rId3288" Type="http://schemas.openxmlformats.org/officeDocument/2006/relationships/hyperlink" Target="http://force.com" TargetMode="External"/><Relationship Id="rId156" Type="http://schemas.openxmlformats.org/officeDocument/2006/relationships/hyperlink" Target="http://force.com" TargetMode="External"/><Relationship Id="rId155" Type="http://schemas.openxmlformats.org/officeDocument/2006/relationships/hyperlink" Target="http://force.com" TargetMode="External"/><Relationship Id="rId2820" Type="http://schemas.openxmlformats.org/officeDocument/2006/relationships/hyperlink" Target="http://force.com" TargetMode="External"/><Relationship Id="rId2821" Type="http://schemas.openxmlformats.org/officeDocument/2006/relationships/hyperlink" Target="http://force.com" TargetMode="External"/><Relationship Id="rId2822" Type="http://schemas.openxmlformats.org/officeDocument/2006/relationships/hyperlink" Target="http://force.com" TargetMode="External"/><Relationship Id="rId2823" Type="http://schemas.openxmlformats.org/officeDocument/2006/relationships/hyperlink" Target="http://force.com" TargetMode="External"/><Relationship Id="rId2824" Type="http://schemas.openxmlformats.org/officeDocument/2006/relationships/hyperlink" Target="http://force.com" TargetMode="External"/><Relationship Id="rId2825" Type="http://schemas.openxmlformats.org/officeDocument/2006/relationships/hyperlink" Target="http://force.com" TargetMode="External"/><Relationship Id="rId2826" Type="http://schemas.openxmlformats.org/officeDocument/2006/relationships/hyperlink" Target="http://force.com" TargetMode="External"/><Relationship Id="rId2827" Type="http://schemas.openxmlformats.org/officeDocument/2006/relationships/hyperlink" Target="http://force.com" TargetMode="External"/><Relationship Id="rId2828" Type="http://schemas.openxmlformats.org/officeDocument/2006/relationships/hyperlink" Target="http://force.com" TargetMode="External"/><Relationship Id="rId2829" Type="http://schemas.openxmlformats.org/officeDocument/2006/relationships/hyperlink" Target="http://force.com" TargetMode="External"/><Relationship Id="rId5093" Type="http://schemas.openxmlformats.org/officeDocument/2006/relationships/hyperlink" Target="http://force.com" TargetMode="External"/><Relationship Id="rId5094" Type="http://schemas.openxmlformats.org/officeDocument/2006/relationships/hyperlink" Target="http://force.com" TargetMode="External"/><Relationship Id="rId5091" Type="http://schemas.openxmlformats.org/officeDocument/2006/relationships/hyperlink" Target="http://force.com" TargetMode="External"/><Relationship Id="rId5092" Type="http://schemas.openxmlformats.org/officeDocument/2006/relationships/hyperlink" Target="http://force.com" TargetMode="External"/><Relationship Id="rId5097" Type="http://schemas.openxmlformats.org/officeDocument/2006/relationships/hyperlink" Target="http://force.com" TargetMode="External"/><Relationship Id="rId5098" Type="http://schemas.openxmlformats.org/officeDocument/2006/relationships/hyperlink" Target="http://force.com" TargetMode="External"/><Relationship Id="rId5095" Type="http://schemas.openxmlformats.org/officeDocument/2006/relationships/hyperlink" Target="http://force.com" TargetMode="External"/><Relationship Id="rId5096" Type="http://schemas.openxmlformats.org/officeDocument/2006/relationships/hyperlink" Target="http://force.com" TargetMode="External"/><Relationship Id="rId5099" Type="http://schemas.openxmlformats.org/officeDocument/2006/relationships/hyperlink" Target="http://force.com" TargetMode="External"/><Relationship Id="rId2810" Type="http://schemas.openxmlformats.org/officeDocument/2006/relationships/hyperlink" Target="http://force.com" TargetMode="External"/><Relationship Id="rId2811" Type="http://schemas.openxmlformats.org/officeDocument/2006/relationships/hyperlink" Target="http://force.com" TargetMode="External"/><Relationship Id="rId2812" Type="http://schemas.openxmlformats.org/officeDocument/2006/relationships/hyperlink" Target="http://force.com" TargetMode="External"/><Relationship Id="rId2813" Type="http://schemas.openxmlformats.org/officeDocument/2006/relationships/hyperlink" Target="http://force.com" TargetMode="External"/><Relationship Id="rId2814" Type="http://schemas.openxmlformats.org/officeDocument/2006/relationships/hyperlink" Target="http://force.com" TargetMode="External"/><Relationship Id="rId2815" Type="http://schemas.openxmlformats.org/officeDocument/2006/relationships/hyperlink" Target="http://force.com" TargetMode="External"/><Relationship Id="rId2816" Type="http://schemas.openxmlformats.org/officeDocument/2006/relationships/hyperlink" Target="http://force.com" TargetMode="External"/><Relationship Id="rId2817" Type="http://schemas.openxmlformats.org/officeDocument/2006/relationships/hyperlink" Target="http://force.com" TargetMode="External"/><Relationship Id="rId2818" Type="http://schemas.openxmlformats.org/officeDocument/2006/relationships/hyperlink" Target="http://force.com" TargetMode="External"/><Relationship Id="rId2819" Type="http://schemas.openxmlformats.org/officeDocument/2006/relationships/hyperlink" Target="http://force.com" TargetMode="External"/><Relationship Id="rId5090" Type="http://schemas.openxmlformats.org/officeDocument/2006/relationships/hyperlink" Target="http://force.com" TargetMode="External"/><Relationship Id="rId5082" Type="http://schemas.openxmlformats.org/officeDocument/2006/relationships/hyperlink" Target="http://force.com" TargetMode="External"/><Relationship Id="rId5083" Type="http://schemas.openxmlformats.org/officeDocument/2006/relationships/hyperlink" Target="http://force.com" TargetMode="External"/><Relationship Id="rId5080" Type="http://schemas.openxmlformats.org/officeDocument/2006/relationships/hyperlink" Target="http://force.com" TargetMode="External"/><Relationship Id="rId5081" Type="http://schemas.openxmlformats.org/officeDocument/2006/relationships/hyperlink" Target="http://force.com" TargetMode="External"/><Relationship Id="rId5086" Type="http://schemas.openxmlformats.org/officeDocument/2006/relationships/hyperlink" Target="http://force.com" TargetMode="External"/><Relationship Id="rId5087" Type="http://schemas.openxmlformats.org/officeDocument/2006/relationships/hyperlink" Target="http://force.com" TargetMode="External"/><Relationship Id="rId5084" Type="http://schemas.openxmlformats.org/officeDocument/2006/relationships/hyperlink" Target="http://force.com" TargetMode="External"/><Relationship Id="rId5085" Type="http://schemas.openxmlformats.org/officeDocument/2006/relationships/hyperlink" Target="http://force.com" TargetMode="External"/><Relationship Id="rId5088" Type="http://schemas.openxmlformats.org/officeDocument/2006/relationships/hyperlink" Target="http://force.com" TargetMode="External"/><Relationship Id="rId5089" Type="http://schemas.openxmlformats.org/officeDocument/2006/relationships/hyperlink" Target="http://force.com" TargetMode="External"/><Relationship Id="rId1510" Type="http://schemas.openxmlformats.org/officeDocument/2006/relationships/hyperlink" Target="http://force.com" TargetMode="External"/><Relationship Id="rId2841" Type="http://schemas.openxmlformats.org/officeDocument/2006/relationships/hyperlink" Target="http://force.com" TargetMode="External"/><Relationship Id="rId1511" Type="http://schemas.openxmlformats.org/officeDocument/2006/relationships/hyperlink" Target="http://force.com" TargetMode="External"/><Relationship Id="rId2842" Type="http://schemas.openxmlformats.org/officeDocument/2006/relationships/hyperlink" Target="http://force.com" TargetMode="External"/><Relationship Id="rId1512" Type="http://schemas.openxmlformats.org/officeDocument/2006/relationships/hyperlink" Target="http://force.com" TargetMode="External"/><Relationship Id="rId2843" Type="http://schemas.openxmlformats.org/officeDocument/2006/relationships/hyperlink" Target="http://force.com" TargetMode="External"/><Relationship Id="rId1513" Type="http://schemas.openxmlformats.org/officeDocument/2006/relationships/hyperlink" Target="http://force.com" TargetMode="External"/><Relationship Id="rId2844" Type="http://schemas.openxmlformats.org/officeDocument/2006/relationships/hyperlink" Target="http://force.com" TargetMode="External"/><Relationship Id="rId1514" Type="http://schemas.openxmlformats.org/officeDocument/2006/relationships/hyperlink" Target="http://force.com" TargetMode="External"/><Relationship Id="rId2845" Type="http://schemas.openxmlformats.org/officeDocument/2006/relationships/hyperlink" Target="http://force.com" TargetMode="External"/><Relationship Id="rId1515" Type="http://schemas.openxmlformats.org/officeDocument/2006/relationships/hyperlink" Target="http://force.com" TargetMode="External"/><Relationship Id="rId2846" Type="http://schemas.openxmlformats.org/officeDocument/2006/relationships/hyperlink" Target="http://force.com" TargetMode="External"/><Relationship Id="rId1516" Type="http://schemas.openxmlformats.org/officeDocument/2006/relationships/hyperlink" Target="http://force.com" TargetMode="External"/><Relationship Id="rId2847" Type="http://schemas.openxmlformats.org/officeDocument/2006/relationships/hyperlink" Target="http://force.com" TargetMode="External"/><Relationship Id="rId1517" Type="http://schemas.openxmlformats.org/officeDocument/2006/relationships/hyperlink" Target="http://force.com" TargetMode="External"/><Relationship Id="rId2848" Type="http://schemas.openxmlformats.org/officeDocument/2006/relationships/hyperlink" Target="http://force.com" TargetMode="External"/><Relationship Id="rId1518" Type="http://schemas.openxmlformats.org/officeDocument/2006/relationships/hyperlink" Target="http://force.com" TargetMode="External"/><Relationship Id="rId2849" Type="http://schemas.openxmlformats.org/officeDocument/2006/relationships/hyperlink" Target="http://force.com" TargetMode="External"/><Relationship Id="rId1519" Type="http://schemas.openxmlformats.org/officeDocument/2006/relationships/hyperlink" Target="http://force.com" TargetMode="External"/><Relationship Id="rId2840" Type="http://schemas.openxmlformats.org/officeDocument/2006/relationships/hyperlink" Target="http://force.com" TargetMode="External"/><Relationship Id="rId2830" Type="http://schemas.openxmlformats.org/officeDocument/2006/relationships/hyperlink" Target="http://force.com" TargetMode="External"/><Relationship Id="rId1500" Type="http://schemas.openxmlformats.org/officeDocument/2006/relationships/hyperlink" Target="http://force.com" TargetMode="External"/><Relationship Id="rId2831" Type="http://schemas.openxmlformats.org/officeDocument/2006/relationships/hyperlink" Target="http://force.com" TargetMode="External"/><Relationship Id="rId1501" Type="http://schemas.openxmlformats.org/officeDocument/2006/relationships/hyperlink" Target="http://force.com" TargetMode="External"/><Relationship Id="rId2832" Type="http://schemas.openxmlformats.org/officeDocument/2006/relationships/hyperlink" Target="http://force.com" TargetMode="External"/><Relationship Id="rId1502" Type="http://schemas.openxmlformats.org/officeDocument/2006/relationships/hyperlink" Target="http://force.com" TargetMode="External"/><Relationship Id="rId2833" Type="http://schemas.openxmlformats.org/officeDocument/2006/relationships/hyperlink" Target="http://force.com" TargetMode="External"/><Relationship Id="rId1503" Type="http://schemas.openxmlformats.org/officeDocument/2006/relationships/hyperlink" Target="http://force.com" TargetMode="External"/><Relationship Id="rId2834" Type="http://schemas.openxmlformats.org/officeDocument/2006/relationships/hyperlink" Target="http://force.com" TargetMode="External"/><Relationship Id="rId1504" Type="http://schemas.openxmlformats.org/officeDocument/2006/relationships/hyperlink" Target="http://force.com" TargetMode="External"/><Relationship Id="rId2835" Type="http://schemas.openxmlformats.org/officeDocument/2006/relationships/hyperlink" Target="http://force.com" TargetMode="External"/><Relationship Id="rId1505" Type="http://schemas.openxmlformats.org/officeDocument/2006/relationships/hyperlink" Target="http://force.com" TargetMode="External"/><Relationship Id="rId2836" Type="http://schemas.openxmlformats.org/officeDocument/2006/relationships/hyperlink" Target="http://force.com" TargetMode="External"/><Relationship Id="rId1506" Type="http://schemas.openxmlformats.org/officeDocument/2006/relationships/hyperlink" Target="http://force.com" TargetMode="External"/><Relationship Id="rId2837" Type="http://schemas.openxmlformats.org/officeDocument/2006/relationships/hyperlink" Target="http://force.com" TargetMode="External"/><Relationship Id="rId1507" Type="http://schemas.openxmlformats.org/officeDocument/2006/relationships/hyperlink" Target="http://force.com" TargetMode="External"/><Relationship Id="rId2838" Type="http://schemas.openxmlformats.org/officeDocument/2006/relationships/hyperlink" Target="http://force.com" TargetMode="External"/><Relationship Id="rId1508" Type="http://schemas.openxmlformats.org/officeDocument/2006/relationships/hyperlink" Target="http://force.com" TargetMode="External"/><Relationship Id="rId2839" Type="http://schemas.openxmlformats.org/officeDocument/2006/relationships/hyperlink" Target="http://force.com" TargetMode="External"/><Relationship Id="rId1509" Type="http://schemas.openxmlformats.org/officeDocument/2006/relationships/hyperlink" Target="http://force.com" TargetMode="External"/><Relationship Id="rId5050" Type="http://schemas.openxmlformats.org/officeDocument/2006/relationships/hyperlink" Target="http://force.com" TargetMode="External"/><Relationship Id="rId5053" Type="http://schemas.openxmlformats.org/officeDocument/2006/relationships/hyperlink" Target="http://force.com" TargetMode="External"/><Relationship Id="rId5054" Type="http://schemas.openxmlformats.org/officeDocument/2006/relationships/hyperlink" Target="http://force.com" TargetMode="External"/><Relationship Id="rId5051" Type="http://schemas.openxmlformats.org/officeDocument/2006/relationships/hyperlink" Target="http://force.com" TargetMode="External"/><Relationship Id="rId5052" Type="http://schemas.openxmlformats.org/officeDocument/2006/relationships/hyperlink" Target="http://force.com" TargetMode="External"/><Relationship Id="rId5057" Type="http://schemas.openxmlformats.org/officeDocument/2006/relationships/hyperlink" Target="http://force.com" TargetMode="External"/><Relationship Id="rId5058" Type="http://schemas.openxmlformats.org/officeDocument/2006/relationships/hyperlink" Target="http://force.com" TargetMode="External"/><Relationship Id="rId5055" Type="http://schemas.openxmlformats.org/officeDocument/2006/relationships/hyperlink" Target="http://force.com" TargetMode="External"/><Relationship Id="rId5056" Type="http://schemas.openxmlformats.org/officeDocument/2006/relationships/hyperlink" Target="http://force.com" TargetMode="External"/><Relationship Id="rId5059" Type="http://schemas.openxmlformats.org/officeDocument/2006/relationships/hyperlink" Target="http://force.com" TargetMode="External"/><Relationship Id="rId5042" Type="http://schemas.openxmlformats.org/officeDocument/2006/relationships/hyperlink" Target="http://force.com" TargetMode="External"/><Relationship Id="rId5043" Type="http://schemas.openxmlformats.org/officeDocument/2006/relationships/hyperlink" Target="http://force.com" TargetMode="External"/><Relationship Id="rId5040" Type="http://schemas.openxmlformats.org/officeDocument/2006/relationships/hyperlink" Target="http://force.com" TargetMode="External"/><Relationship Id="rId5041" Type="http://schemas.openxmlformats.org/officeDocument/2006/relationships/hyperlink" Target="http://force.com" TargetMode="External"/><Relationship Id="rId5046" Type="http://schemas.openxmlformats.org/officeDocument/2006/relationships/hyperlink" Target="http://force.com" TargetMode="External"/><Relationship Id="rId5047" Type="http://schemas.openxmlformats.org/officeDocument/2006/relationships/hyperlink" Target="http://force.com" TargetMode="External"/><Relationship Id="rId5044" Type="http://schemas.openxmlformats.org/officeDocument/2006/relationships/hyperlink" Target="http://force.com" TargetMode="External"/><Relationship Id="rId5045" Type="http://schemas.openxmlformats.org/officeDocument/2006/relationships/hyperlink" Target="http://force.com" TargetMode="External"/><Relationship Id="rId5048" Type="http://schemas.openxmlformats.org/officeDocument/2006/relationships/hyperlink" Target="http://force.com" TargetMode="External"/><Relationship Id="rId5049" Type="http://schemas.openxmlformats.org/officeDocument/2006/relationships/hyperlink" Target="http://force.com" TargetMode="External"/><Relationship Id="rId2800" Type="http://schemas.openxmlformats.org/officeDocument/2006/relationships/hyperlink" Target="http://force.com" TargetMode="External"/><Relationship Id="rId2801" Type="http://schemas.openxmlformats.org/officeDocument/2006/relationships/hyperlink" Target="http://force.com" TargetMode="External"/><Relationship Id="rId2802" Type="http://schemas.openxmlformats.org/officeDocument/2006/relationships/hyperlink" Target="http://force.com" TargetMode="External"/><Relationship Id="rId2803" Type="http://schemas.openxmlformats.org/officeDocument/2006/relationships/hyperlink" Target="http://force.com" TargetMode="External"/><Relationship Id="rId2804" Type="http://schemas.openxmlformats.org/officeDocument/2006/relationships/hyperlink" Target="http://force.com" TargetMode="External"/><Relationship Id="rId2805" Type="http://schemas.openxmlformats.org/officeDocument/2006/relationships/hyperlink" Target="http://force.com" TargetMode="External"/><Relationship Id="rId2806" Type="http://schemas.openxmlformats.org/officeDocument/2006/relationships/hyperlink" Target="http://force.com" TargetMode="External"/><Relationship Id="rId2807" Type="http://schemas.openxmlformats.org/officeDocument/2006/relationships/hyperlink" Target="http://force.com" TargetMode="External"/><Relationship Id="rId2808" Type="http://schemas.openxmlformats.org/officeDocument/2006/relationships/hyperlink" Target="http://force.com" TargetMode="External"/><Relationship Id="rId2809" Type="http://schemas.openxmlformats.org/officeDocument/2006/relationships/hyperlink" Target="http://force.com" TargetMode="External"/><Relationship Id="rId5071" Type="http://schemas.openxmlformats.org/officeDocument/2006/relationships/hyperlink" Target="http://force.com" TargetMode="External"/><Relationship Id="rId5072" Type="http://schemas.openxmlformats.org/officeDocument/2006/relationships/hyperlink" Target="http://force.com" TargetMode="External"/><Relationship Id="rId5070" Type="http://schemas.openxmlformats.org/officeDocument/2006/relationships/hyperlink" Target="http://force.com" TargetMode="External"/><Relationship Id="rId5075" Type="http://schemas.openxmlformats.org/officeDocument/2006/relationships/hyperlink" Target="http://force.com" TargetMode="External"/><Relationship Id="rId5076" Type="http://schemas.openxmlformats.org/officeDocument/2006/relationships/hyperlink" Target="http://force.com" TargetMode="External"/><Relationship Id="rId5073" Type="http://schemas.openxmlformats.org/officeDocument/2006/relationships/hyperlink" Target="http://force.com" TargetMode="External"/><Relationship Id="rId5074" Type="http://schemas.openxmlformats.org/officeDocument/2006/relationships/hyperlink" Target="http://force.com" TargetMode="External"/><Relationship Id="rId5079" Type="http://schemas.openxmlformats.org/officeDocument/2006/relationships/hyperlink" Target="http://force.com" TargetMode="External"/><Relationship Id="rId5077" Type="http://schemas.openxmlformats.org/officeDocument/2006/relationships/hyperlink" Target="http://force.com" TargetMode="External"/><Relationship Id="rId5078" Type="http://schemas.openxmlformats.org/officeDocument/2006/relationships/hyperlink" Target="http://force.com" TargetMode="External"/><Relationship Id="rId5060" Type="http://schemas.openxmlformats.org/officeDocument/2006/relationships/hyperlink" Target="http://force.com" TargetMode="External"/><Relationship Id="rId5061" Type="http://schemas.openxmlformats.org/officeDocument/2006/relationships/hyperlink" Target="http://force.com" TargetMode="External"/><Relationship Id="rId5064" Type="http://schemas.openxmlformats.org/officeDocument/2006/relationships/hyperlink" Target="http://force.com" TargetMode="External"/><Relationship Id="rId5065" Type="http://schemas.openxmlformats.org/officeDocument/2006/relationships/hyperlink" Target="http://force.com" TargetMode="External"/><Relationship Id="rId5062" Type="http://schemas.openxmlformats.org/officeDocument/2006/relationships/hyperlink" Target="http://force.com" TargetMode="External"/><Relationship Id="rId5063" Type="http://schemas.openxmlformats.org/officeDocument/2006/relationships/hyperlink" Target="http://force.com" TargetMode="External"/><Relationship Id="rId5068" Type="http://schemas.openxmlformats.org/officeDocument/2006/relationships/hyperlink" Target="http://force.com" TargetMode="External"/><Relationship Id="rId5069" Type="http://schemas.openxmlformats.org/officeDocument/2006/relationships/hyperlink" Target="http://force.com" TargetMode="External"/><Relationship Id="rId5066" Type="http://schemas.openxmlformats.org/officeDocument/2006/relationships/hyperlink" Target="http://force.com" TargetMode="External"/><Relationship Id="rId5067" Type="http://schemas.openxmlformats.org/officeDocument/2006/relationships/hyperlink" Target="http://force.com" TargetMode="External"/><Relationship Id="rId1576" Type="http://schemas.openxmlformats.org/officeDocument/2006/relationships/hyperlink" Target="http://force.com" TargetMode="External"/><Relationship Id="rId4602" Type="http://schemas.openxmlformats.org/officeDocument/2006/relationships/hyperlink" Target="http://force.com" TargetMode="External"/><Relationship Id="rId5934" Type="http://schemas.openxmlformats.org/officeDocument/2006/relationships/hyperlink" Target="http://force.com" TargetMode="External"/><Relationship Id="rId1577" Type="http://schemas.openxmlformats.org/officeDocument/2006/relationships/hyperlink" Target="http://force.com" TargetMode="External"/><Relationship Id="rId4601" Type="http://schemas.openxmlformats.org/officeDocument/2006/relationships/hyperlink" Target="http://force.com" TargetMode="External"/><Relationship Id="rId5935" Type="http://schemas.openxmlformats.org/officeDocument/2006/relationships/hyperlink" Target="http://force.com" TargetMode="External"/><Relationship Id="rId1578" Type="http://schemas.openxmlformats.org/officeDocument/2006/relationships/hyperlink" Target="http://force.com" TargetMode="External"/><Relationship Id="rId4604" Type="http://schemas.openxmlformats.org/officeDocument/2006/relationships/hyperlink" Target="http://force.com" TargetMode="External"/><Relationship Id="rId5932" Type="http://schemas.openxmlformats.org/officeDocument/2006/relationships/hyperlink" Target="http://force.com" TargetMode="External"/><Relationship Id="rId1579" Type="http://schemas.openxmlformats.org/officeDocument/2006/relationships/hyperlink" Target="http://force.com" TargetMode="External"/><Relationship Id="rId4603" Type="http://schemas.openxmlformats.org/officeDocument/2006/relationships/hyperlink" Target="http://force.com" TargetMode="External"/><Relationship Id="rId5933" Type="http://schemas.openxmlformats.org/officeDocument/2006/relationships/hyperlink" Target="http://force.com" TargetMode="External"/><Relationship Id="rId4606" Type="http://schemas.openxmlformats.org/officeDocument/2006/relationships/hyperlink" Target="http://force.com" TargetMode="External"/><Relationship Id="rId5938" Type="http://schemas.openxmlformats.org/officeDocument/2006/relationships/hyperlink" Target="http://force.com" TargetMode="External"/><Relationship Id="rId4605" Type="http://schemas.openxmlformats.org/officeDocument/2006/relationships/hyperlink" Target="http://force.com" TargetMode="External"/><Relationship Id="rId5939" Type="http://schemas.openxmlformats.org/officeDocument/2006/relationships/hyperlink" Target="http://force.com" TargetMode="External"/><Relationship Id="rId4608" Type="http://schemas.openxmlformats.org/officeDocument/2006/relationships/hyperlink" Target="http://force.com" TargetMode="External"/><Relationship Id="rId5936" Type="http://schemas.openxmlformats.org/officeDocument/2006/relationships/hyperlink" Target="http://force.com" TargetMode="External"/><Relationship Id="rId4607" Type="http://schemas.openxmlformats.org/officeDocument/2006/relationships/hyperlink" Target="http://force.com" TargetMode="External"/><Relationship Id="rId5937" Type="http://schemas.openxmlformats.org/officeDocument/2006/relationships/hyperlink" Target="http://force.com" TargetMode="External"/><Relationship Id="rId4609" Type="http://schemas.openxmlformats.org/officeDocument/2006/relationships/hyperlink" Target="http://force.com" TargetMode="External"/><Relationship Id="rId987" Type="http://schemas.openxmlformats.org/officeDocument/2006/relationships/hyperlink" Target="http://force.com" TargetMode="External"/><Relationship Id="rId986" Type="http://schemas.openxmlformats.org/officeDocument/2006/relationships/hyperlink" Target="http://force.com" TargetMode="External"/><Relationship Id="rId985" Type="http://schemas.openxmlformats.org/officeDocument/2006/relationships/hyperlink" Target="http://force.com" TargetMode="External"/><Relationship Id="rId984" Type="http://schemas.openxmlformats.org/officeDocument/2006/relationships/hyperlink" Target="http://force.com" TargetMode="External"/><Relationship Id="rId989" Type="http://schemas.openxmlformats.org/officeDocument/2006/relationships/hyperlink" Target="http://force.com" TargetMode="External"/><Relationship Id="rId988" Type="http://schemas.openxmlformats.org/officeDocument/2006/relationships/hyperlink" Target="http://force.com" TargetMode="External"/><Relationship Id="rId1570" Type="http://schemas.openxmlformats.org/officeDocument/2006/relationships/hyperlink" Target="http://force.com" TargetMode="External"/><Relationship Id="rId1571" Type="http://schemas.openxmlformats.org/officeDocument/2006/relationships/hyperlink" Target="http://force.com" TargetMode="External"/><Relationship Id="rId983" Type="http://schemas.openxmlformats.org/officeDocument/2006/relationships/hyperlink" Target="http://force.com" TargetMode="External"/><Relationship Id="rId1572" Type="http://schemas.openxmlformats.org/officeDocument/2006/relationships/hyperlink" Target="http://force.com" TargetMode="External"/><Relationship Id="rId5930" Type="http://schemas.openxmlformats.org/officeDocument/2006/relationships/hyperlink" Target="http://force.com" TargetMode="External"/><Relationship Id="rId982" Type="http://schemas.openxmlformats.org/officeDocument/2006/relationships/hyperlink" Target="http://force.com" TargetMode="External"/><Relationship Id="rId1573" Type="http://schemas.openxmlformats.org/officeDocument/2006/relationships/hyperlink" Target="http://force.com" TargetMode="External"/><Relationship Id="rId5931" Type="http://schemas.openxmlformats.org/officeDocument/2006/relationships/hyperlink" Target="http://force.com" TargetMode="External"/><Relationship Id="rId981" Type="http://schemas.openxmlformats.org/officeDocument/2006/relationships/hyperlink" Target="http://force.com" TargetMode="External"/><Relationship Id="rId1574" Type="http://schemas.openxmlformats.org/officeDocument/2006/relationships/hyperlink" Target="http://force.com" TargetMode="External"/><Relationship Id="rId4600" Type="http://schemas.openxmlformats.org/officeDocument/2006/relationships/hyperlink" Target="http://force.com" TargetMode="External"/><Relationship Id="rId980" Type="http://schemas.openxmlformats.org/officeDocument/2006/relationships/hyperlink" Target="http://force.com" TargetMode="External"/><Relationship Id="rId1575" Type="http://schemas.openxmlformats.org/officeDocument/2006/relationships/hyperlink" Target="http://force.com" TargetMode="External"/><Relationship Id="rId1565" Type="http://schemas.openxmlformats.org/officeDocument/2006/relationships/hyperlink" Target="http://force.com" TargetMode="External"/><Relationship Id="rId2896" Type="http://schemas.openxmlformats.org/officeDocument/2006/relationships/hyperlink" Target="http://force.com" TargetMode="External"/><Relationship Id="rId5923" Type="http://schemas.openxmlformats.org/officeDocument/2006/relationships/hyperlink" Target="http://force.com" TargetMode="External"/><Relationship Id="rId1566" Type="http://schemas.openxmlformats.org/officeDocument/2006/relationships/hyperlink" Target="http://force.com" TargetMode="External"/><Relationship Id="rId2897" Type="http://schemas.openxmlformats.org/officeDocument/2006/relationships/hyperlink" Target="http://force.com" TargetMode="External"/><Relationship Id="rId5924" Type="http://schemas.openxmlformats.org/officeDocument/2006/relationships/hyperlink" Target="http://force.com" TargetMode="External"/><Relationship Id="rId1567" Type="http://schemas.openxmlformats.org/officeDocument/2006/relationships/hyperlink" Target="http://force.com" TargetMode="External"/><Relationship Id="rId2898" Type="http://schemas.openxmlformats.org/officeDocument/2006/relationships/hyperlink" Target="http://force.com" TargetMode="External"/><Relationship Id="rId5921" Type="http://schemas.openxmlformats.org/officeDocument/2006/relationships/hyperlink" Target="http://force.com" TargetMode="External"/><Relationship Id="rId1568" Type="http://schemas.openxmlformats.org/officeDocument/2006/relationships/hyperlink" Target="http://force.com" TargetMode="External"/><Relationship Id="rId2899" Type="http://schemas.openxmlformats.org/officeDocument/2006/relationships/hyperlink" Target="http://force.com" TargetMode="External"/><Relationship Id="rId5922" Type="http://schemas.openxmlformats.org/officeDocument/2006/relationships/hyperlink" Target="http://force.com" TargetMode="External"/><Relationship Id="rId1569" Type="http://schemas.openxmlformats.org/officeDocument/2006/relationships/hyperlink" Target="http://force.com" TargetMode="External"/><Relationship Id="rId5927" Type="http://schemas.openxmlformats.org/officeDocument/2006/relationships/hyperlink" Target="http://force.com" TargetMode="External"/><Relationship Id="rId5928" Type="http://schemas.openxmlformats.org/officeDocument/2006/relationships/hyperlink" Target="http://force.com" TargetMode="External"/><Relationship Id="rId5925" Type="http://schemas.openxmlformats.org/officeDocument/2006/relationships/hyperlink" Target="http://force.com" TargetMode="External"/><Relationship Id="rId5926" Type="http://schemas.openxmlformats.org/officeDocument/2006/relationships/hyperlink" Target="http://force.com" TargetMode="External"/><Relationship Id="rId5929" Type="http://schemas.openxmlformats.org/officeDocument/2006/relationships/hyperlink" Target="http://force.com" TargetMode="External"/><Relationship Id="rId976" Type="http://schemas.openxmlformats.org/officeDocument/2006/relationships/hyperlink" Target="http://force.com" TargetMode="External"/><Relationship Id="rId975" Type="http://schemas.openxmlformats.org/officeDocument/2006/relationships/hyperlink" Target="http://force.com" TargetMode="External"/><Relationship Id="rId974" Type="http://schemas.openxmlformats.org/officeDocument/2006/relationships/hyperlink" Target="http://force.com" TargetMode="External"/><Relationship Id="rId973" Type="http://schemas.openxmlformats.org/officeDocument/2006/relationships/hyperlink" Target="http://force.com" TargetMode="External"/><Relationship Id="rId979" Type="http://schemas.openxmlformats.org/officeDocument/2006/relationships/hyperlink" Target="http://force.com" TargetMode="External"/><Relationship Id="rId978" Type="http://schemas.openxmlformats.org/officeDocument/2006/relationships/hyperlink" Target="http://force.com" TargetMode="External"/><Relationship Id="rId977" Type="http://schemas.openxmlformats.org/officeDocument/2006/relationships/hyperlink" Target="http://force.com" TargetMode="External"/><Relationship Id="rId2890" Type="http://schemas.openxmlformats.org/officeDocument/2006/relationships/hyperlink" Target="http://force.com" TargetMode="External"/><Relationship Id="rId1560" Type="http://schemas.openxmlformats.org/officeDocument/2006/relationships/hyperlink" Target="http://force.com" TargetMode="External"/><Relationship Id="rId2891" Type="http://schemas.openxmlformats.org/officeDocument/2006/relationships/hyperlink" Target="http://force.com" TargetMode="External"/><Relationship Id="rId972" Type="http://schemas.openxmlformats.org/officeDocument/2006/relationships/hyperlink" Target="http://force.com" TargetMode="External"/><Relationship Id="rId1561" Type="http://schemas.openxmlformats.org/officeDocument/2006/relationships/hyperlink" Target="http://force.com" TargetMode="External"/><Relationship Id="rId2892" Type="http://schemas.openxmlformats.org/officeDocument/2006/relationships/hyperlink" Target="http://force.com" TargetMode="External"/><Relationship Id="rId971" Type="http://schemas.openxmlformats.org/officeDocument/2006/relationships/hyperlink" Target="http://force.com" TargetMode="External"/><Relationship Id="rId1562" Type="http://schemas.openxmlformats.org/officeDocument/2006/relationships/hyperlink" Target="http://force.com" TargetMode="External"/><Relationship Id="rId2893" Type="http://schemas.openxmlformats.org/officeDocument/2006/relationships/hyperlink" Target="http://force.com" TargetMode="External"/><Relationship Id="rId5920" Type="http://schemas.openxmlformats.org/officeDocument/2006/relationships/hyperlink" Target="http://force.com" TargetMode="External"/><Relationship Id="rId970" Type="http://schemas.openxmlformats.org/officeDocument/2006/relationships/hyperlink" Target="http://force.com" TargetMode="External"/><Relationship Id="rId1563" Type="http://schemas.openxmlformats.org/officeDocument/2006/relationships/hyperlink" Target="http://force.com" TargetMode="External"/><Relationship Id="rId2894" Type="http://schemas.openxmlformats.org/officeDocument/2006/relationships/hyperlink" Target="http://force.com" TargetMode="External"/><Relationship Id="rId1564" Type="http://schemas.openxmlformats.org/officeDocument/2006/relationships/hyperlink" Target="http://force.com" TargetMode="External"/><Relationship Id="rId2895" Type="http://schemas.openxmlformats.org/officeDocument/2006/relationships/hyperlink" Target="http://force.com" TargetMode="External"/><Relationship Id="rId1598" Type="http://schemas.openxmlformats.org/officeDocument/2006/relationships/hyperlink" Target="http://force.com" TargetMode="External"/><Relationship Id="rId4624" Type="http://schemas.openxmlformats.org/officeDocument/2006/relationships/hyperlink" Target="http://force.com" TargetMode="External"/><Relationship Id="rId5956" Type="http://schemas.openxmlformats.org/officeDocument/2006/relationships/hyperlink" Target="http://force.com" TargetMode="External"/><Relationship Id="rId1599" Type="http://schemas.openxmlformats.org/officeDocument/2006/relationships/hyperlink" Target="http://force.com" TargetMode="External"/><Relationship Id="rId4623" Type="http://schemas.openxmlformats.org/officeDocument/2006/relationships/hyperlink" Target="http://force.com" TargetMode="External"/><Relationship Id="rId5957" Type="http://schemas.openxmlformats.org/officeDocument/2006/relationships/hyperlink" Target="http://force.com" TargetMode="External"/><Relationship Id="rId4626" Type="http://schemas.openxmlformats.org/officeDocument/2006/relationships/hyperlink" Target="http://force.com" TargetMode="External"/><Relationship Id="rId5954" Type="http://schemas.openxmlformats.org/officeDocument/2006/relationships/hyperlink" Target="http://force.com" TargetMode="External"/><Relationship Id="rId4625" Type="http://schemas.openxmlformats.org/officeDocument/2006/relationships/hyperlink" Target="http://force.com" TargetMode="External"/><Relationship Id="rId5955" Type="http://schemas.openxmlformats.org/officeDocument/2006/relationships/hyperlink" Target="http://force.com" TargetMode="External"/><Relationship Id="rId4628" Type="http://schemas.openxmlformats.org/officeDocument/2006/relationships/hyperlink" Target="http://force.com" TargetMode="External"/><Relationship Id="rId4627" Type="http://schemas.openxmlformats.org/officeDocument/2006/relationships/hyperlink" Target="http://force.com" TargetMode="External"/><Relationship Id="rId5958" Type="http://schemas.openxmlformats.org/officeDocument/2006/relationships/hyperlink" Target="http://force.com" TargetMode="External"/><Relationship Id="rId4629" Type="http://schemas.openxmlformats.org/officeDocument/2006/relationships/hyperlink" Target="http://force.com" TargetMode="External"/><Relationship Id="rId5959" Type="http://schemas.openxmlformats.org/officeDocument/2006/relationships/hyperlink" Target="http://force.com" TargetMode="External"/><Relationship Id="rId1590" Type="http://schemas.openxmlformats.org/officeDocument/2006/relationships/hyperlink" Target="http://force.com" TargetMode="External"/><Relationship Id="rId1591" Type="http://schemas.openxmlformats.org/officeDocument/2006/relationships/hyperlink" Target="http://force.com" TargetMode="External"/><Relationship Id="rId1592" Type="http://schemas.openxmlformats.org/officeDocument/2006/relationships/hyperlink" Target="http://force.com" TargetMode="External"/><Relationship Id="rId1593" Type="http://schemas.openxmlformats.org/officeDocument/2006/relationships/hyperlink" Target="http://force.com" TargetMode="External"/><Relationship Id="rId1594" Type="http://schemas.openxmlformats.org/officeDocument/2006/relationships/hyperlink" Target="http://force.com" TargetMode="External"/><Relationship Id="rId4620" Type="http://schemas.openxmlformats.org/officeDocument/2006/relationships/hyperlink" Target="http://force.com" TargetMode="External"/><Relationship Id="rId5952" Type="http://schemas.openxmlformats.org/officeDocument/2006/relationships/hyperlink" Target="http://force.com" TargetMode="External"/><Relationship Id="rId1595" Type="http://schemas.openxmlformats.org/officeDocument/2006/relationships/hyperlink" Target="http://force.com" TargetMode="External"/><Relationship Id="rId5953" Type="http://schemas.openxmlformats.org/officeDocument/2006/relationships/hyperlink" Target="http://force.com" TargetMode="External"/><Relationship Id="rId1596" Type="http://schemas.openxmlformats.org/officeDocument/2006/relationships/hyperlink" Target="http://force.com" TargetMode="External"/><Relationship Id="rId4622" Type="http://schemas.openxmlformats.org/officeDocument/2006/relationships/hyperlink" Target="http://force.com" TargetMode="External"/><Relationship Id="rId5950" Type="http://schemas.openxmlformats.org/officeDocument/2006/relationships/hyperlink" Target="http://force.com" TargetMode="External"/><Relationship Id="rId1597" Type="http://schemas.openxmlformats.org/officeDocument/2006/relationships/hyperlink" Target="http://force.com" TargetMode="External"/><Relationship Id="rId4621" Type="http://schemas.openxmlformats.org/officeDocument/2006/relationships/hyperlink" Target="http://force.com" TargetMode="External"/><Relationship Id="rId5951" Type="http://schemas.openxmlformats.org/officeDocument/2006/relationships/hyperlink" Target="http://force.com" TargetMode="External"/><Relationship Id="rId1587" Type="http://schemas.openxmlformats.org/officeDocument/2006/relationships/hyperlink" Target="http://force.com" TargetMode="External"/><Relationship Id="rId4613" Type="http://schemas.openxmlformats.org/officeDocument/2006/relationships/hyperlink" Target="http://force.com" TargetMode="External"/><Relationship Id="rId5945" Type="http://schemas.openxmlformats.org/officeDocument/2006/relationships/hyperlink" Target="http://force.com" TargetMode="External"/><Relationship Id="rId1588" Type="http://schemas.openxmlformats.org/officeDocument/2006/relationships/hyperlink" Target="http://force.com" TargetMode="External"/><Relationship Id="rId4612" Type="http://schemas.openxmlformats.org/officeDocument/2006/relationships/hyperlink" Target="http://force.com" TargetMode="External"/><Relationship Id="rId5946" Type="http://schemas.openxmlformats.org/officeDocument/2006/relationships/hyperlink" Target="http://force.com" TargetMode="External"/><Relationship Id="rId1589" Type="http://schemas.openxmlformats.org/officeDocument/2006/relationships/hyperlink" Target="http://force.com" TargetMode="External"/><Relationship Id="rId4615" Type="http://schemas.openxmlformats.org/officeDocument/2006/relationships/hyperlink" Target="http://force.com" TargetMode="External"/><Relationship Id="rId5943" Type="http://schemas.openxmlformats.org/officeDocument/2006/relationships/hyperlink" Target="http://force.com" TargetMode="External"/><Relationship Id="rId4614" Type="http://schemas.openxmlformats.org/officeDocument/2006/relationships/hyperlink" Target="http://force.com" TargetMode="External"/><Relationship Id="rId5944" Type="http://schemas.openxmlformats.org/officeDocument/2006/relationships/hyperlink" Target="http://force.com" TargetMode="External"/><Relationship Id="rId4617" Type="http://schemas.openxmlformats.org/officeDocument/2006/relationships/hyperlink" Target="http://force.com" TargetMode="External"/><Relationship Id="rId5949" Type="http://schemas.openxmlformats.org/officeDocument/2006/relationships/hyperlink" Target="http://force.com" TargetMode="External"/><Relationship Id="rId4616" Type="http://schemas.openxmlformats.org/officeDocument/2006/relationships/hyperlink" Target="http://force.com" TargetMode="External"/><Relationship Id="rId4619" Type="http://schemas.openxmlformats.org/officeDocument/2006/relationships/hyperlink" Target="http://force.com" TargetMode="External"/><Relationship Id="rId5947" Type="http://schemas.openxmlformats.org/officeDocument/2006/relationships/hyperlink" Target="http://force.com" TargetMode="External"/><Relationship Id="rId4618" Type="http://schemas.openxmlformats.org/officeDocument/2006/relationships/hyperlink" Target="http://force.com" TargetMode="External"/><Relationship Id="rId5948" Type="http://schemas.openxmlformats.org/officeDocument/2006/relationships/hyperlink" Target="http://force.com" TargetMode="External"/><Relationship Id="rId998" Type="http://schemas.openxmlformats.org/officeDocument/2006/relationships/hyperlink" Target="http://force.com" TargetMode="External"/><Relationship Id="rId997" Type="http://schemas.openxmlformats.org/officeDocument/2006/relationships/hyperlink" Target="http://force.com" TargetMode="External"/><Relationship Id="rId996" Type="http://schemas.openxmlformats.org/officeDocument/2006/relationships/hyperlink" Target="http://force.com" TargetMode="External"/><Relationship Id="rId995" Type="http://schemas.openxmlformats.org/officeDocument/2006/relationships/hyperlink" Target="http://force.com" TargetMode="External"/><Relationship Id="rId999" Type="http://schemas.openxmlformats.org/officeDocument/2006/relationships/hyperlink" Target="http://force.com" TargetMode="External"/><Relationship Id="rId990" Type="http://schemas.openxmlformats.org/officeDocument/2006/relationships/hyperlink" Target="http://force.com" TargetMode="External"/><Relationship Id="rId1580" Type="http://schemas.openxmlformats.org/officeDocument/2006/relationships/hyperlink" Target="http://force.com" TargetMode="External"/><Relationship Id="rId1581" Type="http://schemas.openxmlformats.org/officeDocument/2006/relationships/hyperlink" Target="http://force.com" TargetMode="External"/><Relationship Id="rId1582" Type="http://schemas.openxmlformats.org/officeDocument/2006/relationships/hyperlink" Target="http://force.com" TargetMode="External"/><Relationship Id="rId994" Type="http://schemas.openxmlformats.org/officeDocument/2006/relationships/hyperlink" Target="http://force.com" TargetMode="External"/><Relationship Id="rId1583" Type="http://schemas.openxmlformats.org/officeDocument/2006/relationships/hyperlink" Target="http://force.com" TargetMode="External"/><Relationship Id="rId5941" Type="http://schemas.openxmlformats.org/officeDocument/2006/relationships/hyperlink" Target="http://force.com" TargetMode="External"/><Relationship Id="rId993" Type="http://schemas.openxmlformats.org/officeDocument/2006/relationships/hyperlink" Target="http://force.com" TargetMode="External"/><Relationship Id="rId1584" Type="http://schemas.openxmlformats.org/officeDocument/2006/relationships/hyperlink" Target="http://force.com" TargetMode="External"/><Relationship Id="rId5942" Type="http://schemas.openxmlformats.org/officeDocument/2006/relationships/hyperlink" Target="http://force.com" TargetMode="External"/><Relationship Id="rId992" Type="http://schemas.openxmlformats.org/officeDocument/2006/relationships/hyperlink" Target="http://force.com" TargetMode="External"/><Relationship Id="rId1585" Type="http://schemas.openxmlformats.org/officeDocument/2006/relationships/hyperlink" Target="http://force.com" TargetMode="External"/><Relationship Id="rId4611" Type="http://schemas.openxmlformats.org/officeDocument/2006/relationships/hyperlink" Target="http://force.com" TargetMode="External"/><Relationship Id="rId991" Type="http://schemas.openxmlformats.org/officeDocument/2006/relationships/hyperlink" Target="http://force.com" TargetMode="External"/><Relationship Id="rId1586" Type="http://schemas.openxmlformats.org/officeDocument/2006/relationships/hyperlink" Target="http://force.com" TargetMode="External"/><Relationship Id="rId4610" Type="http://schemas.openxmlformats.org/officeDocument/2006/relationships/hyperlink" Target="http://force.com" TargetMode="External"/><Relationship Id="rId5940" Type="http://schemas.openxmlformats.org/officeDocument/2006/relationships/hyperlink" Target="http://force.com" TargetMode="External"/><Relationship Id="rId1532" Type="http://schemas.openxmlformats.org/officeDocument/2006/relationships/hyperlink" Target="http://force.com" TargetMode="External"/><Relationship Id="rId2863" Type="http://schemas.openxmlformats.org/officeDocument/2006/relationships/hyperlink" Target="http://force.com" TargetMode="External"/><Relationship Id="rId1533" Type="http://schemas.openxmlformats.org/officeDocument/2006/relationships/hyperlink" Target="http://force.com" TargetMode="External"/><Relationship Id="rId2864" Type="http://schemas.openxmlformats.org/officeDocument/2006/relationships/hyperlink" Target="http://force.com" TargetMode="External"/><Relationship Id="rId1534" Type="http://schemas.openxmlformats.org/officeDocument/2006/relationships/hyperlink" Target="http://force.com" TargetMode="External"/><Relationship Id="rId2865" Type="http://schemas.openxmlformats.org/officeDocument/2006/relationships/hyperlink" Target="http://force.com" TargetMode="External"/><Relationship Id="rId1535" Type="http://schemas.openxmlformats.org/officeDocument/2006/relationships/hyperlink" Target="http://force.com" TargetMode="External"/><Relationship Id="rId2866" Type="http://schemas.openxmlformats.org/officeDocument/2006/relationships/hyperlink" Target="http://force.com" TargetMode="External"/><Relationship Id="rId1536" Type="http://schemas.openxmlformats.org/officeDocument/2006/relationships/hyperlink" Target="http://force.com" TargetMode="External"/><Relationship Id="rId2867" Type="http://schemas.openxmlformats.org/officeDocument/2006/relationships/hyperlink" Target="http://force.com" TargetMode="External"/><Relationship Id="rId1537" Type="http://schemas.openxmlformats.org/officeDocument/2006/relationships/hyperlink" Target="http://force.com" TargetMode="External"/><Relationship Id="rId2868" Type="http://schemas.openxmlformats.org/officeDocument/2006/relationships/hyperlink" Target="http://force.com" TargetMode="External"/><Relationship Id="rId1538" Type="http://schemas.openxmlformats.org/officeDocument/2006/relationships/hyperlink" Target="http://force.com" TargetMode="External"/><Relationship Id="rId2869" Type="http://schemas.openxmlformats.org/officeDocument/2006/relationships/hyperlink" Target="http://force.com" TargetMode="External"/><Relationship Id="rId1539" Type="http://schemas.openxmlformats.org/officeDocument/2006/relationships/hyperlink" Target="http://force.com" TargetMode="External"/><Relationship Id="rId949" Type="http://schemas.openxmlformats.org/officeDocument/2006/relationships/hyperlink" Target="http://force.com" TargetMode="External"/><Relationship Id="rId948" Type="http://schemas.openxmlformats.org/officeDocument/2006/relationships/hyperlink" Target="http://force.com" TargetMode="External"/><Relationship Id="rId943" Type="http://schemas.openxmlformats.org/officeDocument/2006/relationships/hyperlink" Target="http://force.com" TargetMode="External"/><Relationship Id="rId942" Type="http://schemas.openxmlformats.org/officeDocument/2006/relationships/hyperlink" Target="http://force.com" TargetMode="External"/><Relationship Id="rId941" Type="http://schemas.openxmlformats.org/officeDocument/2006/relationships/hyperlink" Target="http://force.com" TargetMode="External"/><Relationship Id="rId940" Type="http://schemas.openxmlformats.org/officeDocument/2006/relationships/hyperlink" Target="http://force.com" TargetMode="External"/><Relationship Id="rId947" Type="http://schemas.openxmlformats.org/officeDocument/2006/relationships/hyperlink" Target="http://force.com" TargetMode="External"/><Relationship Id="rId946" Type="http://schemas.openxmlformats.org/officeDocument/2006/relationships/hyperlink" Target="http://force.com" TargetMode="External"/><Relationship Id="rId945" Type="http://schemas.openxmlformats.org/officeDocument/2006/relationships/hyperlink" Target="http://force.com" TargetMode="External"/><Relationship Id="rId944" Type="http://schemas.openxmlformats.org/officeDocument/2006/relationships/hyperlink" Target="http://force.com" TargetMode="External"/><Relationship Id="rId2860" Type="http://schemas.openxmlformats.org/officeDocument/2006/relationships/hyperlink" Target="http://force.com" TargetMode="External"/><Relationship Id="rId1530" Type="http://schemas.openxmlformats.org/officeDocument/2006/relationships/hyperlink" Target="http://force.com" TargetMode="External"/><Relationship Id="rId2861" Type="http://schemas.openxmlformats.org/officeDocument/2006/relationships/hyperlink" Target="http://force.com" TargetMode="External"/><Relationship Id="rId1531" Type="http://schemas.openxmlformats.org/officeDocument/2006/relationships/hyperlink" Target="http://force.com" TargetMode="External"/><Relationship Id="rId2862" Type="http://schemas.openxmlformats.org/officeDocument/2006/relationships/hyperlink" Target="http://force.com" TargetMode="External"/><Relationship Id="rId1521" Type="http://schemas.openxmlformats.org/officeDocument/2006/relationships/hyperlink" Target="http://force.com" TargetMode="External"/><Relationship Id="rId2852" Type="http://schemas.openxmlformats.org/officeDocument/2006/relationships/hyperlink" Target="http://force.com" TargetMode="External"/><Relationship Id="rId1522" Type="http://schemas.openxmlformats.org/officeDocument/2006/relationships/hyperlink" Target="http://force.com" TargetMode="External"/><Relationship Id="rId2853" Type="http://schemas.openxmlformats.org/officeDocument/2006/relationships/hyperlink" Target="http://force.com" TargetMode="External"/><Relationship Id="rId1523" Type="http://schemas.openxmlformats.org/officeDocument/2006/relationships/hyperlink" Target="http://force.com" TargetMode="External"/><Relationship Id="rId2854" Type="http://schemas.openxmlformats.org/officeDocument/2006/relationships/hyperlink" Target="http://force.com" TargetMode="External"/><Relationship Id="rId1524" Type="http://schemas.openxmlformats.org/officeDocument/2006/relationships/hyperlink" Target="http://force.com" TargetMode="External"/><Relationship Id="rId2855" Type="http://schemas.openxmlformats.org/officeDocument/2006/relationships/hyperlink" Target="http://force.com" TargetMode="External"/><Relationship Id="rId1525" Type="http://schemas.openxmlformats.org/officeDocument/2006/relationships/hyperlink" Target="http://force.com" TargetMode="External"/><Relationship Id="rId2856" Type="http://schemas.openxmlformats.org/officeDocument/2006/relationships/hyperlink" Target="http://force.com" TargetMode="External"/><Relationship Id="rId1526" Type="http://schemas.openxmlformats.org/officeDocument/2006/relationships/hyperlink" Target="http://force.com" TargetMode="External"/><Relationship Id="rId2857" Type="http://schemas.openxmlformats.org/officeDocument/2006/relationships/hyperlink" Target="http://force.com" TargetMode="External"/><Relationship Id="rId1527" Type="http://schemas.openxmlformats.org/officeDocument/2006/relationships/hyperlink" Target="http://force.com" TargetMode="External"/><Relationship Id="rId2858" Type="http://schemas.openxmlformats.org/officeDocument/2006/relationships/hyperlink" Target="http://force.com" TargetMode="External"/><Relationship Id="rId1528" Type="http://schemas.openxmlformats.org/officeDocument/2006/relationships/hyperlink" Target="http://force.com" TargetMode="External"/><Relationship Id="rId2859" Type="http://schemas.openxmlformats.org/officeDocument/2006/relationships/hyperlink" Target="http://force.com" TargetMode="External"/><Relationship Id="rId1529" Type="http://schemas.openxmlformats.org/officeDocument/2006/relationships/hyperlink" Target="http://force.com" TargetMode="External"/><Relationship Id="rId939" Type="http://schemas.openxmlformats.org/officeDocument/2006/relationships/hyperlink" Target="http://force.com" TargetMode="External"/><Relationship Id="rId938" Type="http://schemas.openxmlformats.org/officeDocument/2006/relationships/hyperlink" Target="http://force.com" TargetMode="External"/><Relationship Id="rId937" Type="http://schemas.openxmlformats.org/officeDocument/2006/relationships/hyperlink" Target="http://force.com" TargetMode="External"/><Relationship Id="rId932" Type="http://schemas.openxmlformats.org/officeDocument/2006/relationships/hyperlink" Target="http://force.com" TargetMode="External"/><Relationship Id="rId931" Type="http://schemas.openxmlformats.org/officeDocument/2006/relationships/hyperlink" Target="http://force.com" TargetMode="External"/><Relationship Id="rId930" Type="http://schemas.openxmlformats.org/officeDocument/2006/relationships/hyperlink" Target="http://force.com" TargetMode="External"/><Relationship Id="rId936" Type="http://schemas.openxmlformats.org/officeDocument/2006/relationships/hyperlink" Target="http://force.com" TargetMode="External"/><Relationship Id="rId935" Type="http://schemas.openxmlformats.org/officeDocument/2006/relationships/hyperlink" Target="http://force.com" TargetMode="External"/><Relationship Id="rId934" Type="http://schemas.openxmlformats.org/officeDocument/2006/relationships/hyperlink" Target="http://force.com" TargetMode="External"/><Relationship Id="rId933" Type="http://schemas.openxmlformats.org/officeDocument/2006/relationships/hyperlink" Target="http://force.com" TargetMode="External"/><Relationship Id="rId2850" Type="http://schemas.openxmlformats.org/officeDocument/2006/relationships/hyperlink" Target="http://force.com" TargetMode="External"/><Relationship Id="rId1520" Type="http://schemas.openxmlformats.org/officeDocument/2006/relationships/hyperlink" Target="http://force.com" TargetMode="External"/><Relationship Id="rId2851" Type="http://schemas.openxmlformats.org/officeDocument/2006/relationships/hyperlink" Target="http://force.com" TargetMode="External"/><Relationship Id="rId1554" Type="http://schemas.openxmlformats.org/officeDocument/2006/relationships/hyperlink" Target="http://force.com" TargetMode="External"/><Relationship Id="rId2885" Type="http://schemas.openxmlformats.org/officeDocument/2006/relationships/hyperlink" Target="http://force.com" TargetMode="External"/><Relationship Id="rId5912" Type="http://schemas.openxmlformats.org/officeDocument/2006/relationships/hyperlink" Target="http://force.com" TargetMode="External"/><Relationship Id="rId1555" Type="http://schemas.openxmlformats.org/officeDocument/2006/relationships/hyperlink" Target="http://force.com" TargetMode="External"/><Relationship Id="rId2886" Type="http://schemas.openxmlformats.org/officeDocument/2006/relationships/hyperlink" Target="http://force.com" TargetMode="External"/><Relationship Id="rId5913" Type="http://schemas.openxmlformats.org/officeDocument/2006/relationships/hyperlink" Target="http://force.com" TargetMode="External"/><Relationship Id="rId1556" Type="http://schemas.openxmlformats.org/officeDocument/2006/relationships/hyperlink" Target="http://force.com" TargetMode="External"/><Relationship Id="rId2887" Type="http://schemas.openxmlformats.org/officeDocument/2006/relationships/hyperlink" Target="http://force.com" TargetMode="External"/><Relationship Id="rId5910" Type="http://schemas.openxmlformats.org/officeDocument/2006/relationships/hyperlink" Target="http://force.com" TargetMode="External"/><Relationship Id="rId1557" Type="http://schemas.openxmlformats.org/officeDocument/2006/relationships/hyperlink" Target="http://force.com" TargetMode="External"/><Relationship Id="rId2888" Type="http://schemas.openxmlformats.org/officeDocument/2006/relationships/hyperlink" Target="http://force.com" TargetMode="External"/><Relationship Id="rId5911" Type="http://schemas.openxmlformats.org/officeDocument/2006/relationships/hyperlink" Target="http://force.com" TargetMode="External"/><Relationship Id="rId1558" Type="http://schemas.openxmlformats.org/officeDocument/2006/relationships/hyperlink" Target="http://force.com" TargetMode="External"/><Relationship Id="rId2889" Type="http://schemas.openxmlformats.org/officeDocument/2006/relationships/hyperlink" Target="http://force.com" TargetMode="External"/><Relationship Id="rId5916" Type="http://schemas.openxmlformats.org/officeDocument/2006/relationships/hyperlink" Target="http://force.com" TargetMode="External"/><Relationship Id="rId1559" Type="http://schemas.openxmlformats.org/officeDocument/2006/relationships/hyperlink" Target="http://force.com" TargetMode="External"/><Relationship Id="rId5917" Type="http://schemas.openxmlformats.org/officeDocument/2006/relationships/hyperlink" Target="http://force.com" TargetMode="External"/><Relationship Id="rId5914" Type="http://schemas.openxmlformats.org/officeDocument/2006/relationships/hyperlink" Target="http://force.com" TargetMode="External"/><Relationship Id="rId5915" Type="http://schemas.openxmlformats.org/officeDocument/2006/relationships/hyperlink" Target="http://force.com" TargetMode="External"/><Relationship Id="rId5918" Type="http://schemas.openxmlformats.org/officeDocument/2006/relationships/hyperlink" Target="http://force.com" TargetMode="External"/><Relationship Id="rId5919" Type="http://schemas.openxmlformats.org/officeDocument/2006/relationships/hyperlink" Target="http://force.com" TargetMode="External"/><Relationship Id="rId965" Type="http://schemas.openxmlformats.org/officeDocument/2006/relationships/hyperlink" Target="http://force.com" TargetMode="External"/><Relationship Id="rId964" Type="http://schemas.openxmlformats.org/officeDocument/2006/relationships/hyperlink" Target="http://force.com" TargetMode="External"/><Relationship Id="rId963" Type="http://schemas.openxmlformats.org/officeDocument/2006/relationships/hyperlink" Target="http://force.com" TargetMode="External"/><Relationship Id="rId962" Type="http://schemas.openxmlformats.org/officeDocument/2006/relationships/hyperlink" Target="http://force.com" TargetMode="External"/><Relationship Id="rId969" Type="http://schemas.openxmlformats.org/officeDocument/2006/relationships/hyperlink" Target="http://force.com" TargetMode="External"/><Relationship Id="rId968" Type="http://schemas.openxmlformats.org/officeDocument/2006/relationships/hyperlink" Target="http://force.com" TargetMode="External"/><Relationship Id="rId967" Type="http://schemas.openxmlformats.org/officeDocument/2006/relationships/hyperlink" Target="http://force.com" TargetMode="External"/><Relationship Id="rId966" Type="http://schemas.openxmlformats.org/officeDocument/2006/relationships/hyperlink" Target="http://force.com" TargetMode="External"/><Relationship Id="rId2880" Type="http://schemas.openxmlformats.org/officeDocument/2006/relationships/hyperlink" Target="http://force.com" TargetMode="External"/><Relationship Id="rId961" Type="http://schemas.openxmlformats.org/officeDocument/2006/relationships/hyperlink" Target="http://force.com" TargetMode="External"/><Relationship Id="rId1550" Type="http://schemas.openxmlformats.org/officeDocument/2006/relationships/hyperlink" Target="http://force.com" TargetMode="External"/><Relationship Id="rId2881" Type="http://schemas.openxmlformats.org/officeDocument/2006/relationships/hyperlink" Target="http://force.com" TargetMode="External"/><Relationship Id="rId960" Type="http://schemas.openxmlformats.org/officeDocument/2006/relationships/hyperlink" Target="http://force.com" TargetMode="External"/><Relationship Id="rId1551" Type="http://schemas.openxmlformats.org/officeDocument/2006/relationships/hyperlink" Target="http://force.com" TargetMode="External"/><Relationship Id="rId2882" Type="http://schemas.openxmlformats.org/officeDocument/2006/relationships/hyperlink" Target="http://force.com" TargetMode="External"/><Relationship Id="rId1552" Type="http://schemas.openxmlformats.org/officeDocument/2006/relationships/hyperlink" Target="http://force.com" TargetMode="External"/><Relationship Id="rId2883" Type="http://schemas.openxmlformats.org/officeDocument/2006/relationships/hyperlink" Target="http://force.com" TargetMode="External"/><Relationship Id="rId1553" Type="http://schemas.openxmlformats.org/officeDocument/2006/relationships/hyperlink" Target="http://force.com" TargetMode="External"/><Relationship Id="rId2884" Type="http://schemas.openxmlformats.org/officeDocument/2006/relationships/hyperlink" Target="http://force.com" TargetMode="External"/><Relationship Id="rId1543" Type="http://schemas.openxmlformats.org/officeDocument/2006/relationships/hyperlink" Target="http://force.com" TargetMode="External"/><Relationship Id="rId2874" Type="http://schemas.openxmlformats.org/officeDocument/2006/relationships/hyperlink" Target="http://force.com" TargetMode="External"/><Relationship Id="rId5901" Type="http://schemas.openxmlformats.org/officeDocument/2006/relationships/hyperlink" Target="http://force.com" TargetMode="External"/><Relationship Id="rId1544" Type="http://schemas.openxmlformats.org/officeDocument/2006/relationships/hyperlink" Target="http://force.com" TargetMode="External"/><Relationship Id="rId2875" Type="http://schemas.openxmlformats.org/officeDocument/2006/relationships/hyperlink" Target="http://force.com" TargetMode="External"/><Relationship Id="rId5902" Type="http://schemas.openxmlformats.org/officeDocument/2006/relationships/hyperlink" Target="http://force.com" TargetMode="External"/><Relationship Id="rId1545" Type="http://schemas.openxmlformats.org/officeDocument/2006/relationships/hyperlink" Target="http://force.com" TargetMode="External"/><Relationship Id="rId2876" Type="http://schemas.openxmlformats.org/officeDocument/2006/relationships/hyperlink" Target="http://force.com" TargetMode="External"/><Relationship Id="rId1546" Type="http://schemas.openxmlformats.org/officeDocument/2006/relationships/hyperlink" Target="http://force.com" TargetMode="External"/><Relationship Id="rId2877" Type="http://schemas.openxmlformats.org/officeDocument/2006/relationships/hyperlink" Target="http://force.com" TargetMode="External"/><Relationship Id="rId5900" Type="http://schemas.openxmlformats.org/officeDocument/2006/relationships/hyperlink" Target="http://force.com" TargetMode="External"/><Relationship Id="rId1547" Type="http://schemas.openxmlformats.org/officeDocument/2006/relationships/hyperlink" Target="http://force.com" TargetMode="External"/><Relationship Id="rId2878" Type="http://schemas.openxmlformats.org/officeDocument/2006/relationships/hyperlink" Target="http://force.com" TargetMode="External"/><Relationship Id="rId5905" Type="http://schemas.openxmlformats.org/officeDocument/2006/relationships/hyperlink" Target="http://force.com" TargetMode="External"/><Relationship Id="rId1548" Type="http://schemas.openxmlformats.org/officeDocument/2006/relationships/hyperlink" Target="http://force.com" TargetMode="External"/><Relationship Id="rId2879" Type="http://schemas.openxmlformats.org/officeDocument/2006/relationships/hyperlink" Target="http://force.com" TargetMode="External"/><Relationship Id="rId5906" Type="http://schemas.openxmlformats.org/officeDocument/2006/relationships/hyperlink" Target="http://force.com" TargetMode="External"/><Relationship Id="rId1549" Type="http://schemas.openxmlformats.org/officeDocument/2006/relationships/hyperlink" Target="http://force.com" TargetMode="External"/><Relationship Id="rId5903" Type="http://schemas.openxmlformats.org/officeDocument/2006/relationships/hyperlink" Target="http://force.com" TargetMode="External"/><Relationship Id="rId5904" Type="http://schemas.openxmlformats.org/officeDocument/2006/relationships/hyperlink" Target="http://force.com" TargetMode="External"/><Relationship Id="rId5909" Type="http://schemas.openxmlformats.org/officeDocument/2006/relationships/hyperlink" Target="http://force.com" TargetMode="External"/><Relationship Id="rId5907" Type="http://schemas.openxmlformats.org/officeDocument/2006/relationships/hyperlink" Target="http://force.com" TargetMode="External"/><Relationship Id="rId959" Type="http://schemas.openxmlformats.org/officeDocument/2006/relationships/hyperlink" Target="http://force.com" TargetMode="External"/><Relationship Id="rId5908" Type="http://schemas.openxmlformats.org/officeDocument/2006/relationships/hyperlink" Target="http://force.com" TargetMode="External"/><Relationship Id="rId954" Type="http://schemas.openxmlformats.org/officeDocument/2006/relationships/hyperlink" Target="http://force.com" TargetMode="External"/><Relationship Id="rId953" Type="http://schemas.openxmlformats.org/officeDocument/2006/relationships/hyperlink" Target="http://force.com" TargetMode="External"/><Relationship Id="rId952" Type="http://schemas.openxmlformats.org/officeDocument/2006/relationships/hyperlink" Target="http://force.com" TargetMode="External"/><Relationship Id="rId951" Type="http://schemas.openxmlformats.org/officeDocument/2006/relationships/hyperlink" Target="http://force.com" TargetMode="External"/><Relationship Id="rId958" Type="http://schemas.openxmlformats.org/officeDocument/2006/relationships/hyperlink" Target="http://force.com" TargetMode="External"/><Relationship Id="rId957" Type="http://schemas.openxmlformats.org/officeDocument/2006/relationships/hyperlink" Target="http://force.com" TargetMode="External"/><Relationship Id="rId956" Type="http://schemas.openxmlformats.org/officeDocument/2006/relationships/hyperlink" Target="http://force.com" TargetMode="External"/><Relationship Id="rId955" Type="http://schemas.openxmlformats.org/officeDocument/2006/relationships/hyperlink" Target="http://force.com" TargetMode="External"/><Relationship Id="rId950" Type="http://schemas.openxmlformats.org/officeDocument/2006/relationships/hyperlink" Target="http://force.com" TargetMode="External"/><Relationship Id="rId2870" Type="http://schemas.openxmlformats.org/officeDocument/2006/relationships/hyperlink" Target="http://force.com" TargetMode="External"/><Relationship Id="rId1540" Type="http://schemas.openxmlformats.org/officeDocument/2006/relationships/hyperlink" Target="http://force.com" TargetMode="External"/><Relationship Id="rId2871" Type="http://schemas.openxmlformats.org/officeDocument/2006/relationships/hyperlink" Target="http://force.com" TargetMode="External"/><Relationship Id="rId1541" Type="http://schemas.openxmlformats.org/officeDocument/2006/relationships/hyperlink" Target="http://force.com" TargetMode="External"/><Relationship Id="rId2872" Type="http://schemas.openxmlformats.org/officeDocument/2006/relationships/hyperlink" Target="http://force.com" TargetMode="External"/><Relationship Id="rId1542" Type="http://schemas.openxmlformats.org/officeDocument/2006/relationships/hyperlink" Target="http://force.com" TargetMode="External"/><Relationship Id="rId2873" Type="http://schemas.openxmlformats.org/officeDocument/2006/relationships/hyperlink" Target="http://force.com" TargetMode="External"/><Relationship Id="rId2027" Type="http://schemas.openxmlformats.org/officeDocument/2006/relationships/hyperlink" Target="http://force.com" TargetMode="External"/><Relationship Id="rId3359" Type="http://schemas.openxmlformats.org/officeDocument/2006/relationships/hyperlink" Target="http://force.com" TargetMode="External"/><Relationship Id="rId2028" Type="http://schemas.openxmlformats.org/officeDocument/2006/relationships/hyperlink" Target="http://force.com" TargetMode="External"/><Relationship Id="rId3358" Type="http://schemas.openxmlformats.org/officeDocument/2006/relationships/hyperlink" Target="http://force.com" TargetMode="External"/><Relationship Id="rId4689" Type="http://schemas.openxmlformats.org/officeDocument/2006/relationships/hyperlink" Target="http://force.com" TargetMode="External"/><Relationship Id="rId2029" Type="http://schemas.openxmlformats.org/officeDocument/2006/relationships/hyperlink" Target="http://force.com" TargetMode="External"/><Relationship Id="rId107" Type="http://schemas.openxmlformats.org/officeDocument/2006/relationships/hyperlink" Target="http://force.com" TargetMode="External"/><Relationship Id="rId106" Type="http://schemas.openxmlformats.org/officeDocument/2006/relationships/hyperlink" Target="http://force.com" TargetMode="External"/><Relationship Id="rId105" Type="http://schemas.openxmlformats.org/officeDocument/2006/relationships/hyperlink" Target="http://force.com" TargetMode="External"/><Relationship Id="rId104" Type="http://schemas.openxmlformats.org/officeDocument/2006/relationships/hyperlink" Target="http://force.com" TargetMode="External"/><Relationship Id="rId109" Type="http://schemas.openxmlformats.org/officeDocument/2006/relationships/hyperlink" Target="http://force.com" TargetMode="External"/><Relationship Id="rId4680" Type="http://schemas.openxmlformats.org/officeDocument/2006/relationships/hyperlink" Target="http://force.com" TargetMode="External"/><Relationship Id="rId108" Type="http://schemas.openxmlformats.org/officeDocument/2006/relationships/hyperlink" Target="http://force.com" TargetMode="External"/><Relationship Id="rId3351" Type="http://schemas.openxmlformats.org/officeDocument/2006/relationships/hyperlink" Target="http://force.com" TargetMode="External"/><Relationship Id="rId4682" Type="http://schemas.openxmlformats.org/officeDocument/2006/relationships/hyperlink" Target="http://force.com" TargetMode="External"/><Relationship Id="rId2020" Type="http://schemas.openxmlformats.org/officeDocument/2006/relationships/hyperlink" Target="http://force.com" TargetMode="External"/><Relationship Id="rId3350" Type="http://schemas.openxmlformats.org/officeDocument/2006/relationships/hyperlink" Target="http://force.com" TargetMode="External"/><Relationship Id="rId4681" Type="http://schemas.openxmlformats.org/officeDocument/2006/relationships/hyperlink" Target="http://force.com" TargetMode="External"/><Relationship Id="rId2021" Type="http://schemas.openxmlformats.org/officeDocument/2006/relationships/hyperlink" Target="http://force.com" TargetMode="External"/><Relationship Id="rId3353" Type="http://schemas.openxmlformats.org/officeDocument/2006/relationships/hyperlink" Target="http://force.com" TargetMode="External"/><Relationship Id="rId4684" Type="http://schemas.openxmlformats.org/officeDocument/2006/relationships/hyperlink" Target="http://force.com" TargetMode="External"/><Relationship Id="rId2022" Type="http://schemas.openxmlformats.org/officeDocument/2006/relationships/hyperlink" Target="http://force.com" TargetMode="External"/><Relationship Id="rId3352" Type="http://schemas.openxmlformats.org/officeDocument/2006/relationships/hyperlink" Target="http://force.com" TargetMode="External"/><Relationship Id="rId4683" Type="http://schemas.openxmlformats.org/officeDocument/2006/relationships/hyperlink" Target="http://force.com" TargetMode="External"/><Relationship Id="rId103" Type="http://schemas.openxmlformats.org/officeDocument/2006/relationships/hyperlink" Target="http://force.com" TargetMode="External"/><Relationship Id="rId2023" Type="http://schemas.openxmlformats.org/officeDocument/2006/relationships/hyperlink" Target="http://force.com" TargetMode="External"/><Relationship Id="rId3355" Type="http://schemas.openxmlformats.org/officeDocument/2006/relationships/hyperlink" Target="http://force.com" TargetMode="External"/><Relationship Id="rId4686" Type="http://schemas.openxmlformats.org/officeDocument/2006/relationships/hyperlink" Target="http://force.com" TargetMode="External"/><Relationship Id="rId102" Type="http://schemas.openxmlformats.org/officeDocument/2006/relationships/hyperlink" Target="http://force.com" TargetMode="External"/><Relationship Id="rId2024" Type="http://schemas.openxmlformats.org/officeDocument/2006/relationships/hyperlink" Target="http://force.com" TargetMode="External"/><Relationship Id="rId3354" Type="http://schemas.openxmlformats.org/officeDocument/2006/relationships/hyperlink" Target="http://force.com" TargetMode="External"/><Relationship Id="rId4685" Type="http://schemas.openxmlformats.org/officeDocument/2006/relationships/hyperlink" Target="http://force.com" TargetMode="External"/><Relationship Id="rId101" Type="http://schemas.openxmlformats.org/officeDocument/2006/relationships/hyperlink" Target="http://force.com" TargetMode="External"/><Relationship Id="rId2025" Type="http://schemas.openxmlformats.org/officeDocument/2006/relationships/hyperlink" Target="http://force.com" TargetMode="External"/><Relationship Id="rId3357" Type="http://schemas.openxmlformats.org/officeDocument/2006/relationships/hyperlink" Target="http://force.com" TargetMode="External"/><Relationship Id="rId4688" Type="http://schemas.openxmlformats.org/officeDocument/2006/relationships/hyperlink" Target="http://force.com" TargetMode="External"/><Relationship Id="rId100" Type="http://schemas.openxmlformats.org/officeDocument/2006/relationships/hyperlink" Target="http://force.com" TargetMode="External"/><Relationship Id="rId2026" Type="http://schemas.openxmlformats.org/officeDocument/2006/relationships/hyperlink" Target="http://force.com" TargetMode="External"/><Relationship Id="rId3356" Type="http://schemas.openxmlformats.org/officeDocument/2006/relationships/hyperlink" Target="http://force.com" TargetMode="External"/><Relationship Id="rId4687" Type="http://schemas.openxmlformats.org/officeDocument/2006/relationships/hyperlink" Target="http://force.com" TargetMode="External"/><Relationship Id="rId2016" Type="http://schemas.openxmlformats.org/officeDocument/2006/relationships/hyperlink" Target="http://force.com" TargetMode="External"/><Relationship Id="rId3348" Type="http://schemas.openxmlformats.org/officeDocument/2006/relationships/hyperlink" Target="http://force.com" TargetMode="External"/><Relationship Id="rId4679" Type="http://schemas.openxmlformats.org/officeDocument/2006/relationships/hyperlink" Target="http://force.com" TargetMode="External"/><Relationship Id="rId2017" Type="http://schemas.openxmlformats.org/officeDocument/2006/relationships/hyperlink" Target="http://force.com" TargetMode="External"/><Relationship Id="rId3347" Type="http://schemas.openxmlformats.org/officeDocument/2006/relationships/hyperlink" Target="http://force.com" TargetMode="External"/><Relationship Id="rId4678" Type="http://schemas.openxmlformats.org/officeDocument/2006/relationships/hyperlink" Target="http://force.com" TargetMode="External"/><Relationship Id="rId2018" Type="http://schemas.openxmlformats.org/officeDocument/2006/relationships/hyperlink" Target="http://force.com" TargetMode="External"/><Relationship Id="rId2019" Type="http://schemas.openxmlformats.org/officeDocument/2006/relationships/hyperlink" Target="http://force.com" TargetMode="External"/><Relationship Id="rId3349" Type="http://schemas.openxmlformats.org/officeDocument/2006/relationships/hyperlink" Target="http://force.com" TargetMode="External"/><Relationship Id="rId3340" Type="http://schemas.openxmlformats.org/officeDocument/2006/relationships/hyperlink" Target="http://force.com" TargetMode="External"/><Relationship Id="rId4671" Type="http://schemas.openxmlformats.org/officeDocument/2006/relationships/hyperlink" Target="http://force.com" TargetMode="External"/><Relationship Id="rId4670" Type="http://schemas.openxmlformats.org/officeDocument/2006/relationships/hyperlink" Target="http://force.com" TargetMode="External"/><Relationship Id="rId2010" Type="http://schemas.openxmlformats.org/officeDocument/2006/relationships/hyperlink" Target="http://force.com" TargetMode="External"/><Relationship Id="rId3342" Type="http://schemas.openxmlformats.org/officeDocument/2006/relationships/hyperlink" Target="http://force.com" TargetMode="External"/><Relationship Id="rId4673" Type="http://schemas.openxmlformats.org/officeDocument/2006/relationships/hyperlink" Target="http://force.com" TargetMode="External"/><Relationship Id="rId2011" Type="http://schemas.openxmlformats.org/officeDocument/2006/relationships/hyperlink" Target="http://force.com" TargetMode="External"/><Relationship Id="rId3341" Type="http://schemas.openxmlformats.org/officeDocument/2006/relationships/hyperlink" Target="http://force.com" TargetMode="External"/><Relationship Id="rId4672" Type="http://schemas.openxmlformats.org/officeDocument/2006/relationships/hyperlink" Target="http://force.com" TargetMode="External"/><Relationship Id="rId2012" Type="http://schemas.openxmlformats.org/officeDocument/2006/relationships/hyperlink" Target="http://force.com" TargetMode="External"/><Relationship Id="rId3344" Type="http://schemas.openxmlformats.org/officeDocument/2006/relationships/hyperlink" Target="http://force.com" TargetMode="External"/><Relationship Id="rId4675" Type="http://schemas.openxmlformats.org/officeDocument/2006/relationships/hyperlink" Target="http://force.com" TargetMode="External"/><Relationship Id="rId2013" Type="http://schemas.openxmlformats.org/officeDocument/2006/relationships/hyperlink" Target="http://force.com" TargetMode="External"/><Relationship Id="rId3343" Type="http://schemas.openxmlformats.org/officeDocument/2006/relationships/hyperlink" Target="http://force.com" TargetMode="External"/><Relationship Id="rId4674" Type="http://schemas.openxmlformats.org/officeDocument/2006/relationships/hyperlink" Target="http://force.com" TargetMode="External"/><Relationship Id="rId2014" Type="http://schemas.openxmlformats.org/officeDocument/2006/relationships/hyperlink" Target="http://force.com" TargetMode="External"/><Relationship Id="rId3346" Type="http://schemas.openxmlformats.org/officeDocument/2006/relationships/hyperlink" Target="http://force.com" TargetMode="External"/><Relationship Id="rId4677" Type="http://schemas.openxmlformats.org/officeDocument/2006/relationships/hyperlink" Target="http://force.com" TargetMode="External"/><Relationship Id="rId2015" Type="http://schemas.openxmlformats.org/officeDocument/2006/relationships/hyperlink" Target="http://force.com" TargetMode="External"/><Relationship Id="rId3345" Type="http://schemas.openxmlformats.org/officeDocument/2006/relationships/hyperlink" Target="http://force.com" TargetMode="External"/><Relationship Id="rId4676" Type="http://schemas.openxmlformats.org/officeDocument/2006/relationships/hyperlink" Target="http://force.com" TargetMode="External"/><Relationship Id="rId2049" Type="http://schemas.openxmlformats.org/officeDocument/2006/relationships/hyperlink" Target="http://force.com" TargetMode="External"/><Relationship Id="rId129" Type="http://schemas.openxmlformats.org/officeDocument/2006/relationships/hyperlink" Target="http://force.com" TargetMode="External"/><Relationship Id="rId128" Type="http://schemas.openxmlformats.org/officeDocument/2006/relationships/hyperlink" Target="http://force.com" TargetMode="External"/><Relationship Id="rId127" Type="http://schemas.openxmlformats.org/officeDocument/2006/relationships/hyperlink" Target="http://force.com" TargetMode="External"/><Relationship Id="rId126" Type="http://schemas.openxmlformats.org/officeDocument/2006/relationships/hyperlink" Target="http://force.com" TargetMode="External"/><Relationship Id="rId3371" Type="http://schemas.openxmlformats.org/officeDocument/2006/relationships/hyperlink" Target="http://force.com" TargetMode="External"/><Relationship Id="rId2040" Type="http://schemas.openxmlformats.org/officeDocument/2006/relationships/hyperlink" Target="http://force.com" TargetMode="External"/><Relationship Id="rId3370" Type="http://schemas.openxmlformats.org/officeDocument/2006/relationships/hyperlink" Target="http://force.com" TargetMode="External"/><Relationship Id="rId121" Type="http://schemas.openxmlformats.org/officeDocument/2006/relationships/hyperlink" Target="http://force.com" TargetMode="External"/><Relationship Id="rId2041" Type="http://schemas.openxmlformats.org/officeDocument/2006/relationships/hyperlink" Target="http://force.com" TargetMode="External"/><Relationship Id="rId3373" Type="http://schemas.openxmlformats.org/officeDocument/2006/relationships/hyperlink" Target="http://force.com" TargetMode="External"/><Relationship Id="rId120" Type="http://schemas.openxmlformats.org/officeDocument/2006/relationships/hyperlink" Target="http://force.com" TargetMode="External"/><Relationship Id="rId2042" Type="http://schemas.openxmlformats.org/officeDocument/2006/relationships/hyperlink" Target="http://force.com" TargetMode="External"/><Relationship Id="rId3372" Type="http://schemas.openxmlformats.org/officeDocument/2006/relationships/hyperlink" Target="http://force.com" TargetMode="External"/><Relationship Id="rId2043" Type="http://schemas.openxmlformats.org/officeDocument/2006/relationships/hyperlink" Target="http://force.com" TargetMode="External"/><Relationship Id="rId3375" Type="http://schemas.openxmlformats.org/officeDocument/2006/relationships/hyperlink" Target="http://force.com" TargetMode="External"/><Relationship Id="rId2044" Type="http://schemas.openxmlformats.org/officeDocument/2006/relationships/hyperlink" Target="http://force.com" TargetMode="External"/><Relationship Id="rId3374" Type="http://schemas.openxmlformats.org/officeDocument/2006/relationships/hyperlink" Target="http://force.com" TargetMode="External"/><Relationship Id="rId125" Type="http://schemas.openxmlformats.org/officeDocument/2006/relationships/hyperlink" Target="http://force.com" TargetMode="External"/><Relationship Id="rId2045" Type="http://schemas.openxmlformats.org/officeDocument/2006/relationships/hyperlink" Target="http://force.com" TargetMode="External"/><Relationship Id="rId3377" Type="http://schemas.openxmlformats.org/officeDocument/2006/relationships/hyperlink" Target="http://force.com" TargetMode="External"/><Relationship Id="rId124" Type="http://schemas.openxmlformats.org/officeDocument/2006/relationships/hyperlink" Target="http://force.com" TargetMode="External"/><Relationship Id="rId2046" Type="http://schemas.openxmlformats.org/officeDocument/2006/relationships/hyperlink" Target="http://force.com" TargetMode="External"/><Relationship Id="rId3376" Type="http://schemas.openxmlformats.org/officeDocument/2006/relationships/hyperlink" Target="http://force.com" TargetMode="External"/><Relationship Id="rId123" Type="http://schemas.openxmlformats.org/officeDocument/2006/relationships/hyperlink" Target="http://force.com" TargetMode="External"/><Relationship Id="rId2047" Type="http://schemas.openxmlformats.org/officeDocument/2006/relationships/hyperlink" Target="http://force.com" TargetMode="External"/><Relationship Id="rId3379" Type="http://schemas.openxmlformats.org/officeDocument/2006/relationships/hyperlink" Target="http://force.com" TargetMode="External"/><Relationship Id="rId122" Type="http://schemas.openxmlformats.org/officeDocument/2006/relationships/hyperlink" Target="http://force.com" TargetMode="External"/><Relationship Id="rId2048" Type="http://schemas.openxmlformats.org/officeDocument/2006/relationships/hyperlink" Target="http://force.com" TargetMode="External"/><Relationship Id="rId3378" Type="http://schemas.openxmlformats.org/officeDocument/2006/relationships/hyperlink" Target="http://force.com" TargetMode="External"/><Relationship Id="rId2038" Type="http://schemas.openxmlformats.org/officeDocument/2006/relationships/hyperlink" Target="http://force.com" TargetMode="External"/><Relationship Id="rId2039" Type="http://schemas.openxmlformats.org/officeDocument/2006/relationships/hyperlink" Target="http://force.com" TargetMode="External"/><Relationship Id="rId3369" Type="http://schemas.openxmlformats.org/officeDocument/2006/relationships/hyperlink" Target="http://force.com" TargetMode="External"/><Relationship Id="rId118" Type="http://schemas.openxmlformats.org/officeDocument/2006/relationships/hyperlink" Target="http://force.com" TargetMode="External"/><Relationship Id="rId117" Type="http://schemas.openxmlformats.org/officeDocument/2006/relationships/hyperlink" Target="http://force.com" TargetMode="External"/><Relationship Id="rId116" Type="http://schemas.openxmlformats.org/officeDocument/2006/relationships/hyperlink" Target="http://force.com" TargetMode="External"/><Relationship Id="rId115" Type="http://schemas.openxmlformats.org/officeDocument/2006/relationships/hyperlink" Target="http://force.com" TargetMode="External"/><Relationship Id="rId3360" Type="http://schemas.openxmlformats.org/officeDocument/2006/relationships/hyperlink" Target="http://force.com" TargetMode="External"/><Relationship Id="rId4691" Type="http://schemas.openxmlformats.org/officeDocument/2006/relationships/hyperlink" Target="http://force.com" TargetMode="External"/><Relationship Id="rId119" Type="http://schemas.openxmlformats.org/officeDocument/2006/relationships/hyperlink" Target="http://force.com" TargetMode="External"/><Relationship Id="rId4690" Type="http://schemas.openxmlformats.org/officeDocument/2006/relationships/hyperlink" Target="http://force.com" TargetMode="External"/><Relationship Id="rId110" Type="http://schemas.openxmlformats.org/officeDocument/2006/relationships/hyperlink" Target="http://force.com" TargetMode="External"/><Relationship Id="rId2030" Type="http://schemas.openxmlformats.org/officeDocument/2006/relationships/hyperlink" Target="http://force.com" TargetMode="External"/><Relationship Id="rId3362" Type="http://schemas.openxmlformats.org/officeDocument/2006/relationships/hyperlink" Target="http://force.com" TargetMode="External"/><Relationship Id="rId4693" Type="http://schemas.openxmlformats.org/officeDocument/2006/relationships/hyperlink" Target="http://force.com" TargetMode="External"/><Relationship Id="rId2031" Type="http://schemas.openxmlformats.org/officeDocument/2006/relationships/hyperlink" Target="http://force.com" TargetMode="External"/><Relationship Id="rId3361" Type="http://schemas.openxmlformats.org/officeDocument/2006/relationships/hyperlink" Target="http://force.com" TargetMode="External"/><Relationship Id="rId4692" Type="http://schemas.openxmlformats.org/officeDocument/2006/relationships/hyperlink" Target="http://force.com" TargetMode="External"/><Relationship Id="rId2032" Type="http://schemas.openxmlformats.org/officeDocument/2006/relationships/hyperlink" Target="http://force.com" TargetMode="External"/><Relationship Id="rId3364" Type="http://schemas.openxmlformats.org/officeDocument/2006/relationships/hyperlink" Target="http://force.com" TargetMode="External"/><Relationship Id="rId4695" Type="http://schemas.openxmlformats.org/officeDocument/2006/relationships/hyperlink" Target="http://force.com" TargetMode="External"/><Relationship Id="rId2033" Type="http://schemas.openxmlformats.org/officeDocument/2006/relationships/hyperlink" Target="http://force.com" TargetMode="External"/><Relationship Id="rId3363" Type="http://schemas.openxmlformats.org/officeDocument/2006/relationships/hyperlink" Target="http://force.com" TargetMode="External"/><Relationship Id="rId4694" Type="http://schemas.openxmlformats.org/officeDocument/2006/relationships/hyperlink" Target="http://force.com" TargetMode="External"/><Relationship Id="rId114" Type="http://schemas.openxmlformats.org/officeDocument/2006/relationships/hyperlink" Target="http://force.com" TargetMode="External"/><Relationship Id="rId2034" Type="http://schemas.openxmlformats.org/officeDocument/2006/relationships/hyperlink" Target="http://force.com" TargetMode="External"/><Relationship Id="rId3366" Type="http://schemas.openxmlformats.org/officeDocument/2006/relationships/hyperlink" Target="http://force.com" TargetMode="External"/><Relationship Id="rId4697" Type="http://schemas.openxmlformats.org/officeDocument/2006/relationships/hyperlink" Target="http://force.com" TargetMode="External"/><Relationship Id="rId113" Type="http://schemas.openxmlformats.org/officeDocument/2006/relationships/hyperlink" Target="http://force.com" TargetMode="External"/><Relationship Id="rId2035" Type="http://schemas.openxmlformats.org/officeDocument/2006/relationships/hyperlink" Target="http://force.com" TargetMode="External"/><Relationship Id="rId3365" Type="http://schemas.openxmlformats.org/officeDocument/2006/relationships/hyperlink" Target="http://force.com" TargetMode="External"/><Relationship Id="rId4696" Type="http://schemas.openxmlformats.org/officeDocument/2006/relationships/hyperlink" Target="http://force.com" TargetMode="External"/><Relationship Id="rId112" Type="http://schemas.openxmlformats.org/officeDocument/2006/relationships/hyperlink" Target="http://force.com" TargetMode="External"/><Relationship Id="rId2036" Type="http://schemas.openxmlformats.org/officeDocument/2006/relationships/hyperlink" Target="http://force.com" TargetMode="External"/><Relationship Id="rId3368" Type="http://schemas.openxmlformats.org/officeDocument/2006/relationships/hyperlink" Target="http://force.com" TargetMode="External"/><Relationship Id="rId4699" Type="http://schemas.openxmlformats.org/officeDocument/2006/relationships/hyperlink" Target="http://force.com" TargetMode="External"/><Relationship Id="rId111" Type="http://schemas.openxmlformats.org/officeDocument/2006/relationships/hyperlink" Target="http://force.com" TargetMode="External"/><Relationship Id="rId2037" Type="http://schemas.openxmlformats.org/officeDocument/2006/relationships/hyperlink" Target="http://force.com" TargetMode="External"/><Relationship Id="rId3367" Type="http://schemas.openxmlformats.org/officeDocument/2006/relationships/hyperlink" Target="http://force.com" TargetMode="External"/><Relationship Id="rId4698" Type="http://schemas.openxmlformats.org/officeDocument/2006/relationships/hyperlink" Target="http://force.com" TargetMode="External"/><Relationship Id="rId3315" Type="http://schemas.openxmlformats.org/officeDocument/2006/relationships/hyperlink" Target="http://force.com" TargetMode="External"/><Relationship Id="rId4646" Type="http://schemas.openxmlformats.org/officeDocument/2006/relationships/hyperlink" Target="http://force.com" TargetMode="External"/><Relationship Id="rId5978" Type="http://schemas.openxmlformats.org/officeDocument/2006/relationships/hyperlink" Target="http://force.com" TargetMode="External"/><Relationship Id="rId3314" Type="http://schemas.openxmlformats.org/officeDocument/2006/relationships/hyperlink" Target="http://force.com" TargetMode="External"/><Relationship Id="rId4645" Type="http://schemas.openxmlformats.org/officeDocument/2006/relationships/hyperlink" Target="http://force.com" TargetMode="External"/><Relationship Id="rId5979" Type="http://schemas.openxmlformats.org/officeDocument/2006/relationships/hyperlink" Target="http://force.com" TargetMode="External"/><Relationship Id="rId3317" Type="http://schemas.openxmlformats.org/officeDocument/2006/relationships/hyperlink" Target="http://force.com" TargetMode="External"/><Relationship Id="rId4648" Type="http://schemas.openxmlformats.org/officeDocument/2006/relationships/hyperlink" Target="http://force.com" TargetMode="External"/><Relationship Id="rId5976" Type="http://schemas.openxmlformats.org/officeDocument/2006/relationships/hyperlink" Target="http://force.com" TargetMode="External"/><Relationship Id="rId3316" Type="http://schemas.openxmlformats.org/officeDocument/2006/relationships/hyperlink" Target="http://force.com" TargetMode="External"/><Relationship Id="rId4647" Type="http://schemas.openxmlformats.org/officeDocument/2006/relationships/hyperlink" Target="http://force.com" TargetMode="External"/><Relationship Id="rId5977" Type="http://schemas.openxmlformats.org/officeDocument/2006/relationships/hyperlink" Target="http://force.com" TargetMode="External"/><Relationship Id="rId3319" Type="http://schemas.openxmlformats.org/officeDocument/2006/relationships/hyperlink" Target="http://force.com" TargetMode="External"/><Relationship Id="rId3318" Type="http://schemas.openxmlformats.org/officeDocument/2006/relationships/hyperlink" Target="http://force.com" TargetMode="External"/><Relationship Id="rId4649" Type="http://schemas.openxmlformats.org/officeDocument/2006/relationships/hyperlink" Target="http://force.com" TargetMode="External"/><Relationship Id="rId5970" Type="http://schemas.openxmlformats.org/officeDocument/2006/relationships/hyperlink" Target="http://force.com" TargetMode="External"/><Relationship Id="rId5971" Type="http://schemas.openxmlformats.org/officeDocument/2006/relationships/hyperlink" Target="http://force.com" TargetMode="External"/><Relationship Id="rId4640" Type="http://schemas.openxmlformats.org/officeDocument/2006/relationships/hyperlink" Target="http://force.com" TargetMode="External"/><Relationship Id="rId3311" Type="http://schemas.openxmlformats.org/officeDocument/2006/relationships/hyperlink" Target="http://force.com" TargetMode="External"/><Relationship Id="rId4642" Type="http://schemas.openxmlformats.org/officeDocument/2006/relationships/hyperlink" Target="http://force.com" TargetMode="External"/><Relationship Id="rId5974" Type="http://schemas.openxmlformats.org/officeDocument/2006/relationships/hyperlink" Target="http://force.com" TargetMode="External"/><Relationship Id="rId3310" Type="http://schemas.openxmlformats.org/officeDocument/2006/relationships/hyperlink" Target="http://force.com" TargetMode="External"/><Relationship Id="rId4641" Type="http://schemas.openxmlformats.org/officeDocument/2006/relationships/hyperlink" Target="http://force.com" TargetMode="External"/><Relationship Id="rId5975" Type="http://schemas.openxmlformats.org/officeDocument/2006/relationships/hyperlink" Target="http://force.com" TargetMode="External"/><Relationship Id="rId3313" Type="http://schemas.openxmlformats.org/officeDocument/2006/relationships/hyperlink" Target="http://force.com" TargetMode="External"/><Relationship Id="rId4644" Type="http://schemas.openxmlformats.org/officeDocument/2006/relationships/hyperlink" Target="http://force.com" TargetMode="External"/><Relationship Id="rId5972" Type="http://schemas.openxmlformats.org/officeDocument/2006/relationships/hyperlink" Target="http://force.com" TargetMode="External"/><Relationship Id="rId3312" Type="http://schemas.openxmlformats.org/officeDocument/2006/relationships/hyperlink" Target="http://force.com" TargetMode="External"/><Relationship Id="rId4643" Type="http://schemas.openxmlformats.org/officeDocument/2006/relationships/hyperlink" Target="http://force.com" TargetMode="External"/><Relationship Id="rId5973" Type="http://schemas.openxmlformats.org/officeDocument/2006/relationships/hyperlink" Target="http://force.com" TargetMode="External"/><Relationship Id="rId3304" Type="http://schemas.openxmlformats.org/officeDocument/2006/relationships/hyperlink" Target="http://force.com" TargetMode="External"/><Relationship Id="rId4635" Type="http://schemas.openxmlformats.org/officeDocument/2006/relationships/hyperlink" Target="http://force.com" TargetMode="External"/><Relationship Id="rId5967" Type="http://schemas.openxmlformats.org/officeDocument/2006/relationships/hyperlink" Target="http://force.com" TargetMode="External"/><Relationship Id="rId3303" Type="http://schemas.openxmlformats.org/officeDocument/2006/relationships/hyperlink" Target="http://force.com" TargetMode="External"/><Relationship Id="rId4634" Type="http://schemas.openxmlformats.org/officeDocument/2006/relationships/hyperlink" Target="http://force.com" TargetMode="External"/><Relationship Id="rId5968" Type="http://schemas.openxmlformats.org/officeDocument/2006/relationships/hyperlink" Target="http://force.com" TargetMode="External"/><Relationship Id="rId3306" Type="http://schemas.openxmlformats.org/officeDocument/2006/relationships/hyperlink" Target="http://force.com" TargetMode="External"/><Relationship Id="rId4637" Type="http://schemas.openxmlformats.org/officeDocument/2006/relationships/hyperlink" Target="http://force.com" TargetMode="External"/><Relationship Id="rId5965" Type="http://schemas.openxmlformats.org/officeDocument/2006/relationships/hyperlink" Target="http://force.com" TargetMode="External"/><Relationship Id="rId3305" Type="http://schemas.openxmlformats.org/officeDocument/2006/relationships/hyperlink" Target="http://force.com" TargetMode="External"/><Relationship Id="rId4636" Type="http://schemas.openxmlformats.org/officeDocument/2006/relationships/hyperlink" Target="http://force.com" TargetMode="External"/><Relationship Id="rId5966" Type="http://schemas.openxmlformats.org/officeDocument/2006/relationships/hyperlink" Target="http://force.com" TargetMode="External"/><Relationship Id="rId3308" Type="http://schemas.openxmlformats.org/officeDocument/2006/relationships/hyperlink" Target="http://force.com" TargetMode="External"/><Relationship Id="rId4639" Type="http://schemas.openxmlformats.org/officeDocument/2006/relationships/hyperlink" Target="http://force.com" TargetMode="External"/><Relationship Id="rId3307" Type="http://schemas.openxmlformats.org/officeDocument/2006/relationships/hyperlink" Target="http://force.com" TargetMode="External"/><Relationship Id="rId4638" Type="http://schemas.openxmlformats.org/officeDocument/2006/relationships/hyperlink" Target="http://force.com" TargetMode="External"/><Relationship Id="rId5969" Type="http://schemas.openxmlformats.org/officeDocument/2006/relationships/hyperlink" Target="http://force.com" TargetMode="External"/><Relationship Id="rId3309" Type="http://schemas.openxmlformats.org/officeDocument/2006/relationships/hyperlink" Target="http://force.com" TargetMode="External"/><Relationship Id="rId5960" Type="http://schemas.openxmlformats.org/officeDocument/2006/relationships/hyperlink" Target="http://force.com" TargetMode="External"/><Relationship Id="rId3300" Type="http://schemas.openxmlformats.org/officeDocument/2006/relationships/hyperlink" Target="http://force.com" TargetMode="External"/><Relationship Id="rId4631" Type="http://schemas.openxmlformats.org/officeDocument/2006/relationships/hyperlink" Target="http://force.com" TargetMode="External"/><Relationship Id="rId5963" Type="http://schemas.openxmlformats.org/officeDocument/2006/relationships/hyperlink" Target="http://force.com" TargetMode="External"/><Relationship Id="rId4630" Type="http://schemas.openxmlformats.org/officeDocument/2006/relationships/hyperlink" Target="http://force.com" TargetMode="External"/><Relationship Id="rId5964" Type="http://schemas.openxmlformats.org/officeDocument/2006/relationships/hyperlink" Target="http://force.com" TargetMode="External"/><Relationship Id="rId3302" Type="http://schemas.openxmlformats.org/officeDocument/2006/relationships/hyperlink" Target="http://force.com" TargetMode="External"/><Relationship Id="rId4633" Type="http://schemas.openxmlformats.org/officeDocument/2006/relationships/hyperlink" Target="http://force.com" TargetMode="External"/><Relationship Id="rId5961" Type="http://schemas.openxmlformats.org/officeDocument/2006/relationships/hyperlink" Target="http://force.com" TargetMode="External"/><Relationship Id="rId3301" Type="http://schemas.openxmlformats.org/officeDocument/2006/relationships/hyperlink" Target="http://force.com" TargetMode="External"/><Relationship Id="rId4632" Type="http://schemas.openxmlformats.org/officeDocument/2006/relationships/hyperlink" Target="http://force.com" TargetMode="External"/><Relationship Id="rId5962" Type="http://schemas.openxmlformats.org/officeDocument/2006/relationships/hyperlink" Target="http://force.com" TargetMode="External"/><Relationship Id="rId2005" Type="http://schemas.openxmlformats.org/officeDocument/2006/relationships/hyperlink" Target="http://force.com" TargetMode="External"/><Relationship Id="rId3337" Type="http://schemas.openxmlformats.org/officeDocument/2006/relationships/hyperlink" Target="http://force.com" TargetMode="External"/><Relationship Id="rId4668" Type="http://schemas.openxmlformats.org/officeDocument/2006/relationships/hyperlink" Target="http://force.com" TargetMode="External"/><Relationship Id="rId2006" Type="http://schemas.openxmlformats.org/officeDocument/2006/relationships/hyperlink" Target="http://force.com" TargetMode="External"/><Relationship Id="rId3336" Type="http://schemas.openxmlformats.org/officeDocument/2006/relationships/hyperlink" Target="http://force.com" TargetMode="External"/><Relationship Id="rId4667" Type="http://schemas.openxmlformats.org/officeDocument/2006/relationships/hyperlink" Target="http://force.com" TargetMode="External"/><Relationship Id="rId2007" Type="http://schemas.openxmlformats.org/officeDocument/2006/relationships/hyperlink" Target="http://force.com" TargetMode="External"/><Relationship Id="rId3339" Type="http://schemas.openxmlformats.org/officeDocument/2006/relationships/hyperlink" Target="http://force.com" TargetMode="External"/><Relationship Id="rId5998" Type="http://schemas.openxmlformats.org/officeDocument/2006/relationships/hyperlink" Target="http://force.com" TargetMode="External"/><Relationship Id="rId2008" Type="http://schemas.openxmlformats.org/officeDocument/2006/relationships/hyperlink" Target="http://force.com" TargetMode="External"/><Relationship Id="rId3338" Type="http://schemas.openxmlformats.org/officeDocument/2006/relationships/hyperlink" Target="http://force.com" TargetMode="External"/><Relationship Id="rId4669" Type="http://schemas.openxmlformats.org/officeDocument/2006/relationships/hyperlink" Target="http://force.com" TargetMode="External"/><Relationship Id="rId5999" Type="http://schemas.openxmlformats.org/officeDocument/2006/relationships/hyperlink" Target="http://force.com" TargetMode="External"/><Relationship Id="rId2009" Type="http://schemas.openxmlformats.org/officeDocument/2006/relationships/hyperlink" Target="http://force.com" TargetMode="External"/><Relationship Id="rId4660" Type="http://schemas.openxmlformats.org/officeDocument/2006/relationships/hyperlink" Target="http://force.com" TargetMode="External"/><Relationship Id="rId5992" Type="http://schemas.openxmlformats.org/officeDocument/2006/relationships/hyperlink" Target="http://force.com" TargetMode="External"/><Relationship Id="rId5993" Type="http://schemas.openxmlformats.org/officeDocument/2006/relationships/hyperlink" Target="http://force.com" TargetMode="External"/><Relationship Id="rId3331" Type="http://schemas.openxmlformats.org/officeDocument/2006/relationships/hyperlink" Target="http://force.com" TargetMode="External"/><Relationship Id="rId4662" Type="http://schemas.openxmlformats.org/officeDocument/2006/relationships/hyperlink" Target="http://force.com" TargetMode="External"/><Relationship Id="rId5990" Type="http://schemas.openxmlformats.org/officeDocument/2006/relationships/hyperlink" Target="http://force.com" TargetMode="External"/><Relationship Id="rId2000" Type="http://schemas.openxmlformats.org/officeDocument/2006/relationships/hyperlink" Target="http://force.com" TargetMode="External"/><Relationship Id="rId3330" Type="http://schemas.openxmlformats.org/officeDocument/2006/relationships/hyperlink" Target="http://force.com" TargetMode="External"/><Relationship Id="rId4661" Type="http://schemas.openxmlformats.org/officeDocument/2006/relationships/hyperlink" Target="http://force.com" TargetMode="External"/><Relationship Id="rId5991" Type="http://schemas.openxmlformats.org/officeDocument/2006/relationships/hyperlink" Target="http://force.com" TargetMode="External"/><Relationship Id="rId2001" Type="http://schemas.openxmlformats.org/officeDocument/2006/relationships/hyperlink" Target="http://force.com" TargetMode="External"/><Relationship Id="rId3333" Type="http://schemas.openxmlformats.org/officeDocument/2006/relationships/hyperlink" Target="http://force.com" TargetMode="External"/><Relationship Id="rId4664" Type="http://schemas.openxmlformats.org/officeDocument/2006/relationships/hyperlink" Target="http://force.com" TargetMode="External"/><Relationship Id="rId5996" Type="http://schemas.openxmlformats.org/officeDocument/2006/relationships/hyperlink" Target="http://force.com" TargetMode="External"/><Relationship Id="rId2002" Type="http://schemas.openxmlformats.org/officeDocument/2006/relationships/hyperlink" Target="http://force.com" TargetMode="External"/><Relationship Id="rId3332" Type="http://schemas.openxmlformats.org/officeDocument/2006/relationships/hyperlink" Target="http://force.com" TargetMode="External"/><Relationship Id="rId4663" Type="http://schemas.openxmlformats.org/officeDocument/2006/relationships/hyperlink" Target="http://force.com" TargetMode="External"/><Relationship Id="rId5997" Type="http://schemas.openxmlformats.org/officeDocument/2006/relationships/hyperlink" Target="http://force.com" TargetMode="External"/><Relationship Id="rId2003" Type="http://schemas.openxmlformats.org/officeDocument/2006/relationships/hyperlink" Target="http://force.com" TargetMode="External"/><Relationship Id="rId3335" Type="http://schemas.openxmlformats.org/officeDocument/2006/relationships/hyperlink" Target="http://force.com" TargetMode="External"/><Relationship Id="rId4666" Type="http://schemas.openxmlformats.org/officeDocument/2006/relationships/hyperlink" Target="http://force.com" TargetMode="External"/><Relationship Id="rId5994" Type="http://schemas.openxmlformats.org/officeDocument/2006/relationships/hyperlink" Target="http://force.com" TargetMode="External"/><Relationship Id="rId2004" Type="http://schemas.openxmlformats.org/officeDocument/2006/relationships/hyperlink" Target="http://force.com" TargetMode="External"/><Relationship Id="rId3334" Type="http://schemas.openxmlformats.org/officeDocument/2006/relationships/hyperlink" Target="http://force.com" TargetMode="External"/><Relationship Id="rId4665" Type="http://schemas.openxmlformats.org/officeDocument/2006/relationships/hyperlink" Target="http://force.com" TargetMode="External"/><Relationship Id="rId5995" Type="http://schemas.openxmlformats.org/officeDocument/2006/relationships/hyperlink" Target="http://force.com" TargetMode="External"/><Relationship Id="rId3326" Type="http://schemas.openxmlformats.org/officeDocument/2006/relationships/hyperlink" Target="http://force.com" TargetMode="External"/><Relationship Id="rId4657" Type="http://schemas.openxmlformats.org/officeDocument/2006/relationships/hyperlink" Target="http://force.com" TargetMode="External"/><Relationship Id="rId5989" Type="http://schemas.openxmlformats.org/officeDocument/2006/relationships/hyperlink" Target="http://force.com" TargetMode="External"/><Relationship Id="rId3325" Type="http://schemas.openxmlformats.org/officeDocument/2006/relationships/hyperlink" Target="http://force.com" TargetMode="External"/><Relationship Id="rId4656" Type="http://schemas.openxmlformats.org/officeDocument/2006/relationships/hyperlink" Target="http://force.com" TargetMode="External"/><Relationship Id="rId3328" Type="http://schemas.openxmlformats.org/officeDocument/2006/relationships/hyperlink" Target="http://force.com" TargetMode="External"/><Relationship Id="rId4659" Type="http://schemas.openxmlformats.org/officeDocument/2006/relationships/hyperlink" Target="http://force.com" TargetMode="External"/><Relationship Id="rId5987" Type="http://schemas.openxmlformats.org/officeDocument/2006/relationships/hyperlink" Target="http://force.com" TargetMode="External"/><Relationship Id="rId3327" Type="http://schemas.openxmlformats.org/officeDocument/2006/relationships/hyperlink" Target="http://force.com" TargetMode="External"/><Relationship Id="rId4658" Type="http://schemas.openxmlformats.org/officeDocument/2006/relationships/hyperlink" Target="http://force.com" TargetMode="External"/><Relationship Id="rId5988" Type="http://schemas.openxmlformats.org/officeDocument/2006/relationships/hyperlink" Target="http://force.com" TargetMode="External"/><Relationship Id="rId3329" Type="http://schemas.openxmlformats.org/officeDocument/2006/relationships/hyperlink" Target="http://force.com" TargetMode="External"/><Relationship Id="rId5981" Type="http://schemas.openxmlformats.org/officeDocument/2006/relationships/hyperlink" Target="http://force.com" TargetMode="External"/><Relationship Id="rId5982" Type="http://schemas.openxmlformats.org/officeDocument/2006/relationships/hyperlink" Target="http://force.com" TargetMode="External"/><Relationship Id="rId3320" Type="http://schemas.openxmlformats.org/officeDocument/2006/relationships/hyperlink" Target="http://force.com" TargetMode="External"/><Relationship Id="rId4651" Type="http://schemas.openxmlformats.org/officeDocument/2006/relationships/hyperlink" Target="http://force.com" TargetMode="External"/><Relationship Id="rId4650" Type="http://schemas.openxmlformats.org/officeDocument/2006/relationships/hyperlink" Target="http://force.com" TargetMode="External"/><Relationship Id="rId5980" Type="http://schemas.openxmlformats.org/officeDocument/2006/relationships/hyperlink" Target="http://force.com" TargetMode="External"/><Relationship Id="rId3322" Type="http://schemas.openxmlformats.org/officeDocument/2006/relationships/hyperlink" Target="http://force.com" TargetMode="External"/><Relationship Id="rId4653" Type="http://schemas.openxmlformats.org/officeDocument/2006/relationships/hyperlink" Target="http://force.com" TargetMode="External"/><Relationship Id="rId5985" Type="http://schemas.openxmlformats.org/officeDocument/2006/relationships/hyperlink" Target="http://force.com" TargetMode="External"/><Relationship Id="rId3321" Type="http://schemas.openxmlformats.org/officeDocument/2006/relationships/hyperlink" Target="http://force.com" TargetMode="External"/><Relationship Id="rId4652" Type="http://schemas.openxmlformats.org/officeDocument/2006/relationships/hyperlink" Target="http://force.com" TargetMode="External"/><Relationship Id="rId5986" Type="http://schemas.openxmlformats.org/officeDocument/2006/relationships/hyperlink" Target="http://force.com" TargetMode="External"/><Relationship Id="rId3324" Type="http://schemas.openxmlformats.org/officeDocument/2006/relationships/hyperlink" Target="http://force.com" TargetMode="External"/><Relationship Id="rId4655" Type="http://schemas.openxmlformats.org/officeDocument/2006/relationships/hyperlink" Target="http://force.com" TargetMode="External"/><Relationship Id="rId5983" Type="http://schemas.openxmlformats.org/officeDocument/2006/relationships/hyperlink" Target="http://force.com" TargetMode="External"/><Relationship Id="rId3323" Type="http://schemas.openxmlformats.org/officeDocument/2006/relationships/hyperlink" Target="http://force.com" TargetMode="External"/><Relationship Id="rId4654" Type="http://schemas.openxmlformats.org/officeDocument/2006/relationships/hyperlink" Target="http://force.com" TargetMode="External"/><Relationship Id="rId5984" Type="http://schemas.openxmlformats.org/officeDocument/2006/relationships/hyperlink" Target="http://force.com" TargetMode="External"/><Relationship Id="rId5130" Type="http://schemas.openxmlformats.org/officeDocument/2006/relationships/hyperlink" Target="http://force.com" TargetMode="External"/><Relationship Id="rId5131" Type="http://schemas.openxmlformats.org/officeDocument/2006/relationships/hyperlink" Target="http://force.com" TargetMode="External"/><Relationship Id="rId5134" Type="http://schemas.openxmlformats.org/officeDocument/2006/relationships/hyperlink" Target="http://force.com" TargetMode="External"/><Relationship Id="rId5135" Type="http://schemas.openxmlformats.org/officeDocument/2006/relationships/hyperlink" Target="http://force.com" TargetMode="External"/><Relationship Id="rId5132" Type="http://schemas.openxmlformats.org/officeDocument/2006/relationships/hyperlink" Target="http://force.com" TargetMode="External"/><Relationship Id="rId5133" Type="http://schemas.openxmlformats.org/officeDocument/2006/relationships/hyperlink" Target="http://force.com" TargetMode="External"/><Relationship Id="rId5138" Type="http://schemas.openxmlformats.org/officeDocument/2006/relationships/hyperlink" Target="http://force.com" TargetMode="External"/><Relationship Id="rId5139" Type="http://schemas.openxmlformats.org/officeDocument/2006/relationships/hyperlink" Target="http://force.com" TargetMode="External"/><Relationship Id="rId5136" Type="http://schemas.openxmlformats.org/officeDocument/2006/relationships/hyperlink" Target="http://force.com" TargetMode="External"/><Relationship Id="rId5137" Type="http://schemas.openxmlformats.org/officeDocument/2006/relationships/hyperlink" Target="http://force.com" TargetMode="External"/><Relationship Id="rId5129" Type="http://schemas.openxmlformats.org/officeDocument/2006/relationships/hyperlink" Target="http://force.com" TargetMode="External"/><Relationship Id="rId2090" Type="http://schemas.openxmlformats.org/officeDocument/2006/relationships/hyperlink" Target="http://force.com" TargetMode="External"/><Relationship Id="rId2091" Type="http://schemas.openxmlformats.org/officeDocument/2006/relationships/hyperlink" Target="http://force.com" TargetMode="External"/><Relationship Id="rId2092" Type="http://schemas.openxmlformats.org/officeDocument/2006/relationships/hyperlink" Target="http://force.com" TargetMode="External"/><Relationship Id="rId2093" Type="http://schemas.openxmlformats.org/officeDocument/2006/relationships/hyperlink" Target="http://force.com" TargetMode="External"/><Relationship Id="rId5120" Type="http://schemas.openxmlformats.org/officeDocument/2006/relationships/hyperlink" Target="http://force.com" TargetMode="External"/><Relationship Id="rId2094" Type="http://schemas.openxmlformats.org/officeDocument/2006/relationships/hyperlink" Target="http://force.com" TargetMode="External"/><Relationship Id="rId2095" Type="http://schemas.openxmlformats.org/officeDocument/2006/relationships/hyperlink" Target="http://force.com" TargetMode="External"/><Relationship Id="rId2096" Type="http://schemas.openxmlformats.org/officeDocument/2006/relationships/hyperlink" Target="http://force.com" TargetMode="External"/><Relationship Id="rId5123" Type="http://schemas.openxmlformats.org/officeDocument/2006/relationships/hyperlink" Target="http://force.com" TargetMode="External"/><Relationship Id="rId2097" Type="http://schemas.openxmlformats.org/officeDocument/2006/relationships/hyperlink" Target="http://force.com" TargetMode="External"/><Relationship Id="rId5124" Type="http://schemas.openxmlformats.org/officeDocument/2006/relationships/hyperlink" Target="http://force.com" TargetMode="External"/><Relationship Id="rId2098" Type="http://schemas.openxmlformats.org/officeDocument/2006/relationships/hyperlink" Target="http://force.com" TargetMode="External"/><Relationship Id="rId5121" Type="http://schemas.openxmlformats.org/officeDocument/2006/relationships/hyperlink" Target="http://force.com" TargetMode="External"/><Relationship Id="rId2099" Type="http://schemas.openxmlformats.org/officeDocument/2006/relationships/hyperlink" Target="http://force.com" TargetMode="External"/><Relationship Id="rId5122" Type="http://schemas.openxmlformats.org/officeDocument/2006/relationships/hyperlink" Target="http://force.com" TargetMode="External"/><Relationship Id="rId5127" Type="http://schemas.openxmlformats.org/officeDocument/2006/relationships/hyperlink" Target="http://force.com" TargetMode="External"/><Relationship Id="rId5128" Type="http://schemas.openxmlformats.org/officeDocument/2006/relationships/hyperlink" Target="http://force.com" TargetMode="External"/><Relationship Id="rId5125" Type="http://schemas.openxmlformats.org/officeDocument/2006/relationships/hyperlink" Target="http://force.com" TargetMode="External"/><Relationship Id="rId5126" Type="http://schemas.openxmlformats.org/officeDocument/2006/relationships/hyperlink" Target="http://force.com" TargetMode="External"/><Relationship Id="rId5152" Type="http://schemas.openxmlformats.org/officeDocument/2006/relationships/hyperlink" Target="http://force.com" TargetMode="External"/><Relationship Id="rId5153" Type="http://schemas.openxmlformats.org/officeDocument/2006/relationships/hyperlink" Target="http://force.com" TargetMode="External"/><Relationship Id="rId5150" Type="http://schemas.openxmlformats.org/officeDocument/2006/relationships/hyperlink" Target="http://force.com" TargetMode="External"/><Relationship Id="rId5151" Type="http://schemas.openxmlformats.org/officeDocument/2006/relationships/hyperlink" Target="http://force.com" TargetMode="External"/><Relationship Id="rId5156" Type="http://schemas.openxmlformats.org/officeDocument/2006/relationships/hyperlink" Target="http://force.com" TargetMode="External"/><Relationship Id="rId5157" Type="http://schemas.openxmlformats.org/officeDocument/2006/relationships/hyperlink" Target="http://force.com" TargetMode="External"/><Relationship Id="rId5154" Type="http://schemas.openxmlformats.org/officeDocument/2006/relationships/hyperlink" Target="http://force.com" TargetMode="External"/><Relationship Id="rId5155" Type="http://schemas.openxmlformats.org/officeDocument/2006/relationships/hyperlink" Target="http://force.com" TargetMode="External"/><Relationship Id="rId5158" Type="http://schemas.openxmlformats.org/officeDocument/2006/relationships/hyperlink" Target="http://force.com" TargetMode="External"/><Relationship Id="rId5159" Type="http://schemas.openxmlformats.org/officeDocument/2006/relationships/hyperlink" Target="http://force.com" TargetMode="External"/><Relationship Id="rId5141" Type="http://schemas.openxmlformats.org/officeDocument/2006/relationships/hyperlink" Target="http://force.com" TargetMode="External"/><Relationship Id="rId5142" Type="http://schemas.openxmlformats.org/officeDocument/2006/relationships/hyperlink" Target="http://force.com" TargetMode="External"/><Relationship Id="rId5140" Type="http://schemas.openxmlformats.org/officeDocument/2006/relationships/hyperlink" Target="http://force.com" TargetMode="External"/><Relationship Id="rId5145" Type="http://schemas.openxmlformats.org/officeDocument/2006/relationships/hyperlink" Target="http://force.com" TargetMode="External"/><Relationship Id="rId5146" Type="http://schemas.openxmlformats.org/officeDocument/2006/relationships/hyperlink" Target="http://force.com" TargetMode="External"/><Relationship Id="rId5143" Type="http://schemas.openxmlformats.org/officeDocument/2006/relationships/hyperlink" Target="http://force.com" TargetMode="External"/><Relationship Id="rId5144" Type="http://schemas.openxmlformats.org/officeDocument/2006/relationships/hyperlink" Target="http://force.com" TargetMode="External"/><Relationship Id="rId5149" Type="http://schemas.openxmlformats.org/officeDocument/2006/relationships/hyperlink" Target="http://force.com" TargetMode="External"/><Relationship Id="rId5147" Type="http://schemas.openxmlformats.org/officeDocument/2006/relationships/hyperlink" Target="http://force.com" TargetMode="External"/><Relationship Id="rId5148" Type="http://schemas.openxmlformats.org/officeDocument/2006/relationships/hyperlink" Target="http://force.com" TargetMode="External"/><Relationship Id="rId3391" Type="http://schemas.openxmlformats.org/officeDocument/2006/relationships/hyperlink" Target="http://force.com" TargetMode="External"/><Relationship Id="rId2060" Type="http://schemas.openxmlformats.org/officeDocument/2006/relationships/hyperlink" Target="http://force.com" TargetMode="External"/><Relationship Id="rId3390" Type="http://schemas.openxmlformats.org/officeDocument/2006/relationships/hyperlink" Target="http://force.com" TargetMode="External"/><Relationship Id="rId2061" Type="http://schemas.openxmlformats.org/officeDocument/2006/relationships/hyperlink" Target="http://force.com" TargetMode="External"/><Relationship Id="rId3393" Type="http://schemas.openxmlformats.org/officeDocument/2006/relationships/hyperlink" Target="http://force.com" TargetMode="External"/><Relationship Id="rId2062" Type="http://schemas.openxmlformats.org/officeDocument/2006/relationships/hyperlink" Target="http://force.com" TargetMode="External"/><Relationship Id="rId3392" Type="http://schemas.openxmlformats.org/officeDocument/2006/relationships/hyperlink" Target="http://force.com" TargetMode="External"/><Relationship Id="rId2063" Type="http://schemas.openxmlformats.org/officeDocument/2006/relationships/hyperlink" Target="http://force.com" TargetMode="External"/><Relationship Id="rId3395" Type="http://schemas.openxmlformats.org/officeDocument/2006/relationships/hyperlink" Target="http://force.com" TargetMode="External"/><Relationship Id="rId2064" Type="http://schemas.openxmlformats.org/officeDocument/2006/relationships/hyperlink" Target="http://force.com" TargetMode="External"/><Relationship Id="rId3394" Type="http://schemas.openxmlformats.org/officeDocument/2006/relationships/hyperlink" Target="http://force.com" TargetMode="External"/><Relationship Id="rId2065" Type="http://schemas.openxmlformats.org/officeDocument/2006/relationships/hyperlink" Target="http://force.com" TargetMode="External"/><Relationship Id="rId3397" Type="http://schemas.openxmlformats.org/officeDocument/2006/relationships/hyperlink" Target="http://force.com" TargetMode="External"/><Relationship Id="rId2066" Type="http://schemas.openxmlformats.org/officeDocument/2006/relationships/hyperlink" Target="http://force.com" TargetMode="External"/><Relationship Id="rId3396" Type="http://schemas.openxmlformats.org/officeDocument/2006/relationships/hyperlink" Target="http://force.com" TargetMode="External"/><Relationship Id="rId2067" Type="http://schemas.openxmlformats.org/officeDocument/2006/relationships/hyperlink" Target="http://force.com" TargetMode="External"/><Relationship Id="rId3399" Type="http://schemas.openxmlformats.org/officeDocument/2006/relationships/hyperlink" Target="http://force.com" TargetMode="External"/><Relationship Id="rId2068" Type="http://schemas.openxmlformats.org/officeDocument/2006/relationships/hyperlink" Target="http://force.com" TargetMode="External"/><Relationship Id="rId3398" Type="http://schemas.openxmlformats.org/officeDocument/2006/relationships/hyperlink" Target="http://force.com" TargetMode="External"/><Relationship Id="rId2069" Type="http://schemas.openxmlformats.org/officeDocument/2006/relationships/hyperlink" Target="http://force.com" TargetMode="External"/><Relationship Id="rId3380" Type="http://schemas.openxmlformats.org/officeDocument/2006/relationships/hyperlink" Target="http://force.com" TargetMode="External"/><Relationship Id="rId2050" Type="http://schemas.openxmlformats.org/officeDocument/2006/relationships/hyperlink" Target="http://force.com" TargetMode="External"/><Relationship Id="rId3382" Type="http://schemas.openxmlformats.org/officeDocument/2006/relationships/hyperlink" Target="http://force.com" TargetMode="External"/><Relationship Id="rId2051" Type="http://schemas.openxmlformats.org/officeDocument/2006/relationships/hyperlink" Target="http://force.com" TargetMode="External"/><Relationship Id="rId3381" Type="http://schemas.openxmlformats.org/officeDocument/2006/relationships/hyperlink" Target="http://force.com" TargetMode="External"/><Relationship Id="rId2052" Type="http://schemas.openxmlformats.org/officeDocument/2006/relationships/hyperlink" Target="http://force.com" TargetMode="External"/><Relationship Id="rId3384" Type="http://schemas.openxmlformats.org/officeDocument/2006/relationships/hyperlink" Target="http://force.com" TargetMode="External"/><Relationship Id="rId2053" Type="http://schemas.openxmlformats.org/officeDocument/2006/relationships/hyperlink" Target="http://force.com" TargetMode="External"/><Relationship Id="rId3383" Type="http://schemas.openxmlformats.org/officeDocument/2006/relationships/hyperlink" Target="http://force.com" TargetMode="External"/><Relationship Id="rId2054" Type="http://schemas.openxmlformats.org/officeDocument/2006/relationships/hyperlink" Target="http://force.com" TargetMode="External"/><Relationship Id="rId3386" Type="http://schemas.openxmlformats.org/officeDocument/2006/relationships/hyperlink" Target="http://force.com" TargetMode="External"/><Relationship Id="rId2055" Type="http://schemas.openxmlformats.org/officeDocument/2006/relationships/hyperlink" Target="http://force.com" TargetMode="External"/><Relationship Id="rId3385" Type="http://schemas.openxmlformats.org/officeDocument/2006/relationships/hyperlink" Target="http://force.com" TargetMode="External"/><Relationship Id="rId2056" Type="http://schemas.openxmlformats.org/officeDocument/2006/relationships/hyperlink" Target="http://force.com" TargetMode="External"/><Relationship Id="rId3388" Type="http://schemas.openxmlformats.org/officeDocument/2006/relationships/hyperlink" Target="http://force.com" TargetMode="External"/><Relationship Id="rId2057" Type="http://schemas.openxmlformats.org/officeDocument/2006/relationships/hyperlink" Target="http://force.com" TargetMode="External"/><Relationship Id="rId3387" Type="http://schemas.openxmlformats.org/officeDocument/2006/relationships/hyperlink" Target="http://force.com" TargetMode="External"/><Relationship Id="rId2058" Type="http://schemas.openxmlformats.org/officeDocument/2006/relationships/hyperlink" Target="http://force.com" TargetMode="External"/><Relationship Id="rId2059" Type="http://schemas.openxmlformats.org/officeDocument/2006/relationships/hyperlink" Target="http://force.com" TargetMode="External"/><Relationship Id="rId3389" Type="http://schemas.openxmlformats.org/officeDocument/2006/relationships/hyperlink" Target="http://force.com" TargetMode="External"/><Relationship Id="rId5118" Type="http://schemas.openxmlformats.org/officeDocument/2006/relationships/hyperlink" Target="http://force.com" TargetMode="External"/><Relationship Id="rId5119" Type="http://schemas.openxmlformats.org/officeDocument/2006/relationships/hyperlink" Target="http://force.com" TargetMode="External"/><Relationship Id="rId2080" Type="http://schemas.openxmlformats.org/officeDocument/2006/relationships/hyperlink" Target="http://force.com" TargetMode="External"/><Relationship Id="rId2081" Type="http://schemas.openxmlformats.org/officeDocument/2006/relationships/hyperlink" Target="http://force.com" TargetMode="External"/><Relationship Id="rId2082" Type="http://schemas.openxmlformats.org/officeDocument/2006/relationships/hyperlink" Target="http://force.com" TargetMode="External"/><Relationship Id="rId2083" Type="http://schemas.openxmlformats.org/officeDocument/2006/relationships/hyperlink" Target="http://force.com" TargetMode="External"/><Relationship Id="rId2084" Type="http://schemas.openxmlformats.org/officeDocument/2006/relationships/hyperlink" Target="http://force.com" TargetMode="External"/><Relationship Id="rId2085" Type="http://schemas.openxmlformats.org/officeDocument/2006/relationships/hyperlink" Target="http://force.com" TargetMode="External"/><Relationship Id="rId5112" Type="http://schemas.openxmlformats.org/officeDocument/2006/relationships/hyperlink" Target="http://force.com" TargetMode="External"/><Relationship Id="rId2086" Type="http://schemas.openxmlformats.org/officeDocument/2006/relationships/hyperlink" Target="http://force.com" TargetMode="External"/><Relationship Id="rId5113" Type="http://schemas.openxmlformats.org/officeDocument/2006/relationships/hyperlink" Target="http://force.com" TargetMode="External"/><Relationship Id="rId2087" Type="http://schemas.openxmlformats.org/officeDocument/2006/relationships/hyperlink" Target="http://force.com" TargetMode="External"/><Relationship Id="rId5110" Type="http://schemas.openxmlformats.org/officeDocument/2006/relationships/hyperlink" Target="http://force.com" TargetMode="External"/><Relationship Id="rId2088" Type="http://schemas.openxmlformats.org/officeDocument/2006/relationships/hyperlink" Target="http://force.com" TargetMode="External"/><Relationship Id="rId5111" Type="http://schemas.openxmlformats.org/officeDocument/2006/relationships/hyperlink" Target="http://force.com" TargetMode="External"/><Relationship Id="rId2089" Type="http://schemas.openxmlformats.org/officeDocument/2006/relationships/hyperlink" Target="http://force.com" TargetMode="External"/><Relationship Id="rId5116" Type="http://schemas.openxmlformats.org/officeDocument/2006/relationships/hyperlink" Target="http://force.com" TargetMode="External"/><Relationship Id="rId5117" Type="http://schemas.openxmlformats.org/officeDocument/2006/relationships/hyperlink" Target="http://force.com" TargetMode="External"/><Relationship Id="rId5114" Type="http://schemas.openxmlformats.org/officeDocument/2006/relationships/hyperlink" Target="http://force.com" TargetMode="External"/><Relationship Id="rId5115" Type="http://schemas.openxmlformats.org/officeDocument/2006/relationships/hyperlink" Target="http://force.com" TargetMode="External"/><Relationship Id="rId5109" Type="http://schemas.openxmlformats.org/officeDocument/2006/relationships/hyperlink" Target="http://force.com" TargetMode="External"/><Relationship Id="rId5107" Type="http://schemas.openxmlformats.org/officeDocument/2006/relationships/hyperlink" Target="http://force.com" TargetMode="External"/><Relationship Id="rId5108" Type="http://schemas.openxmlformats.org/officeDocument/2006/relationships/hyperlink" Target="http://force.com" TargetMode="External"/><Relationship Id="rId2070" Type="http://schemas.openxmlformats.org/officeDocument/2006/relationships/hyperlink" Target="http://force.com" TargetMode="External"/><Relationship Id="rId2071" Type="http://schemas.openxmlformats.org/officeDocument/2006/relationships/hyperlink" Target="http://force.com" TargetMode="External"/><Relationship Id="rId2072" Type="http://schemas.openxmlformats.org/officeDocument/2006/relationships/hyperlink" Target="http://force.com" TargetMode="External"/><Relationship Id="rId2073" Type="http://schemas.openxmlformats.org/officeDocument/2006/relationships/hyperlink" Target="http://force.com" TargetMode="External"/><Relationship Id="rId2074" Type="http://schemas.openxmlformats.org/officeDocument/2006/relationships/hyperlink" Target="http://force.com" TargetMode="External"/><Relationship Id="rId5101" Type="http://schemas.openxmlformats.org/officeDocument/2006/relationships/hyperlink" Target="http://force.com" TargetMode="External"/><Relationship Id="rId2075" Type="http://schemas.openxmlformats.org/officeDocument/2006/relationships/hyperlink" Target="http://force.com" TargetMode="External"/><Relationship Id="rId5102" Type="http://schemas.openxmlformats.org/officeDocument/2006/relationships/hyperlink" Target="http://force.com" TargetMode="External"/><Relationship Id="rId2076" Type="http://schemas.openxmlformats.org/officeDocument/2006/relationships/hyperlink" Target="http://force.com" TargetMode="External"/><Relationship Id="rId2077" Type="http://schemas.openxmlformats.org/officeDocument/2006/relationships/hyperlink" Target="http://force.com" TargetMode="External"/><Relationship Id="rId5100" Type="http://schemas.openxmlformats.org/officeDocument/2006/relationships/hyperlink" Target="http://force.com" TargetMode="External"/><Relationship Id="rId2078" Type="http://schemas.openxmlformats.org/officeDocument/2006/relationships/hyperlink" Target="http://force.com" TargetMode="External"/><Relationship Id="rId5105" Type="http://schemas.openxmlformats.org/officeDocument/2006/relationships/hyperlink" Target="http://force.com" TargetMode="External"/><Relationship Id="rId2079" Type="http://schemas.openxmlformats.org/officeDocument/2006/relationships/hyperlink" Target="http://force.com" TargetMode="External"/><Relationship Id="rId5106" Type="http://schemas.openxmlformats.org/officeDocument/2006/relationships/hyperlink" Target="http://force.com" TargetMode="External"/><Relationship Id="rId5103" Type="http://schemas.openxmlformats.org/officeDocument/2006/relationships/hyperlink" Target="http://force.com" TargetMode="External"/><Relationship Id="rId5104" Type="http://schemas.openxmlformats.org/officeDocument/2006/relationships/hyperlink" Target="http://force.com" TargetMode="External"/><Relationship Id="rId2940" Type="http://schemas.openxmlformats.org/officeDocument/2006/relationships/hyperlink" Target="http://force.com" TargetMode="External"/><Relationship Id="rId1610" Type="http://schemas.openxmlformats.org/officeDocument/2006/relationships/hyperlink" Target="http://force.com" TargetMode="External"/><Relationship Id="rId2941" Type="http://schemas.openxmlformats.org/officeDocument/2006/relationships/hyperlink" Target="http://force.com" TargetMode="External"/><Relationship Id="rId1611" Type="http://schemas.openxmlformats.org/officeDocument/2006/relationships/hyperlink" Target="http://force.com" TargetMode="External"/><Relationship Id="rId2942" Type="http://schemas.openxmlformats.org/officeDocument/2006/relationships/hyperlink" Target="http://force.com" TargetMode="External"/><Relationship Id="rId1612" Type="http://schemas.openxmlformats.org/officeDocument/2006/relationships/hyperlink" Target="http://force.com" TargetMode="External"/><Relationship Id="rId2943" Type="http://schemas.openxmlformats.org/officeDocument/2006/relationships/hyperlink" Target="http://force.com" TargetMode="External"/><Relationship Id="rId1613" Type="http://schemas.openxmlformats.org/officeDocument/2006/relationships/hyperlink" Target="http://force.com" TargetMode="External"/><Relationship Id="rId2944" Type="http://schemas.openxmlformats.org/officeDocument/2006/relationships/hyperlink" Target="http://force.com" TargetMode="External"/><Relationship Id="rId1614" Type="http://schemas.openxmlformats.org/officeDocument/2006/relationships/hyperlink" Target="http://force.com" TargetMode="External"/><Relationship Id="rId2945" Type="http://schemas.openxmlformats.org/officeDocument/2006/relationships/hyperlink" Target="http://force.com" TargetMode="External"/><Relationship Id="rId1615" Type="http://schemas.openxmlformats.org/officeDocument/2006/relationships/hyperlink" Target="http://force.com" TargetMode="External"/><Relationship Id="rId2946" Type="http://schemas.openxmlformats.org/officeDocument/2006/relationships/hyperlink" Target="http://force.com" TargetMode="External"/><Relationship Id="rId1616" Type="http://schemas.openxmlformats.org/officeDocument/2006/relationships/hyperlink" Target="http://force.com" TargetMode="External"/><Relationship Id="rId2947" Type="http://schemas.openxmlformats.org/officeDocument/2006/relationships/hyperlink" Target="http://force.com" TargetMode="External"/><Relationship Id="rId907" Type="http://schemas.openxmlformats.org/officeDocument/2006/relationships/hyperlink" Target="http://force.com" TargetMode="External"/><Relationship Id="rId1617" Type="http://schemas.openxmlformats.org/officeDocument/2006/relationships/hyperlink" Target="http://force.com" TargetMode="External"/><Relationship Id="rId2948" Type="http://schemas.openxmlformats.org/officeDocument/2006/relationships/hyperlink" Target="http://force.com" TargetMode="External"/><Relationship Id="rId906" Type="http://schemas.openxmlformats.org/officeDocument/2006/relationships/hyperlink" Target="http://force.com" TargetMode="External"/><Relationship Id="rId1618" Type="http://schemas.openxmlformats.org/officeDocument/2006/relationships/hyperlink" Target="http://force.com" TargetMode="External"/><Relationship Id="rId2949" Type="http://schemas.openxmlformats.org/officeDocument/2006/relationships/hyperlink" Target="http://force.com" TargetMode="External"/><Relationship Id="rId905" Type="http://schemas.openxmlformats.org/officeDocument/2006/relationships/hyperlink" Target="http://force.com" TargetMode="External"/><Relationship Id="rId1619" Type="http://schemas.openxmlformats.org/officeDocument/2006/relationships/hyperlink" Target="http://force.com" TargetMode="External"/><Relationship Id="rId904" Type="http://schemas.openxmlformats.org/officeDocument/2006/relationships/hyperlink" Target="http://force.com" TargetMode="External"/><Relationship Id="rId909" Type="http://schemas.openxmlformats.org/officeDocument/2006/relationships/hyperlink" Target="http://force.com" TargetMode="External"/><Relationship Id="rId908" Type="http://schemas.openxmlformats.org/officeDocument/2006/relationships/hyperlink" Target="http://force.com" TargetMode="External"/><Relationship Id="rId903" Type="http://schemas.openxmlformats.org/officeDocument/2006/relationships/hyperlink" Target="http://force.com" TargetMode="External"/><Relationship Id="rId902" Type="http://schemas.openxmlformats.org/officeDocument/2006/relationships/hyperlink" Target="http://force.com" TargetMode="External"/><Relationship Id="rId901" Type="http://schemas.openxmlformats.org/officeDocument/2006/relationships/hyperlink" Target="http://force.com" TargetMode="External"/><Relationship Id="rId900" Type="http://schemas.openxmlformats.org/officeDocument/2006/relationships/hyperlink" Target="http://force.com" TargetMode="External"/><Relationship Id="rId2930" Type="http://schemas.openxmlformats.org/officeDocument/2006/relationships/hyperlink" Target="http://force.com" TargetMode="External"/><Relationship Id="rId1600" Type="http://schemas.openxmlformats.org/officeDocument/2006/relationships/hyperlink" Target="http://force.com" TargetMode="External"/><Relationship Id="rId2931" Type="http://schemas.openxmlformats.org/officeDocument/2006/relationships/hyperlink" Target="http://force.com" TargetMode="External"/><Relationship Id="rId1601" Type="http://schemas.openxmlformats.org/officeDocument/2006/relationships/hyperlink" Target="http://force.com" TargetMode="External"/><Relationship Id="rId2932" Type="http://schemas.openxmlformats.org/officeDocument/2006/relationships/hyperlink" Target="http://force.com" TargetMode="External"/><Relationship Id="rId1602" Type="http://schemas.openxmlformats.org/officeDocument/2006/relationships/hyperlink" Target="http://force.com" TargetMode="External"/><Relationship Id="rId2933" Type="http://schemas.openxmlformats.org/officeDocument/2006/relationships/hyperlink" Target="http://force.com" TargetMode="External"/><Relationship Id="rId1603" Type="http://schemas.openxmlformats.org/officeDocument/2006/relationships/hyperlink" Target="http://force.com" TargetMode="External"/><Relationship Id="rId2934" Type="http://schemas.openxmlformats.org/officeDocument/2006/relationships/hyperlink" Target="http://force.com" TargetMode="External"/><Relationship Id="rId1604" Type="http://schemas.openxmlformats.org/officeDocument/2006/relationships/hyperlink" Target="http://force.com" TargetMode="External"/><Relationship Id="rId2935" Type="http://schemas.openxmlformats.org/officeDocument/2006/relationships/hyperlink" Target="http://force.com" TargetMode="External"/><Relationship Id="rId1605" Type="http://schemas.openxmlformats.org/officeDocument/2006/relationships/hyperlink" Target="http://force.com" TargetMode="External"/><Relationship Id="rId2936" Type="http://schemas.openxmlformats.org/officeDocument/2006/relationships/hyperlink" Target="http://force.com" TargetMode="External"/><Relationship Id="rId1606" Type="http://schemas.openxmlformats.org/officeDocument/2006/relationships/hyperlink" Target="http://force.com" TargetMode="External"/><Relationship Id="rId2937" Type="http://schemas.openxmlformats.org/officeDocument/2006/relationships/hyperlink" Target="http://force.com" TargetMode="External"/><Relationship Id="rId1607" Type="http://schemas.openxmlformats.org/officeDocument/2006/relationships/hyperlink" Target="http://force.com" TargetMode="External"/><Relationship Id="rId2938" Type="http://schemas.openxmlformats.org/officeDocument/2006/relationships/hyperlink" Target="http://force.com" TargetMode="External"/><Relationship Id="rId1608" Type="http://schemas.openxmlformats.org/officeDocument/2006/relationships/hyperlink" Target="http://force.com" TargetMode="External"/><Relationship Id="rId2939" Type="http://schemas.openxmlformats.org/officeDocument/2006/relationships/hyperlink" Target="http://force.com" TargetMode="External"/><Relationship Id="rId1609" Type="http://schemas.openxmlformats.org/officeDocument/2006/relationships/hyperlink" Target="http://force.com" TargetMode="External"/><Relationship Id="rId1631" Type="http://schemas.openxmlformats.org/officeDocument/2006/relationships/hyperlink" Target="http://force.com" TargetMode="External"/><Relationship Id="rId2962" Type="http://schemas.openxmlformats.org/officeDocument/2006/relationships/hyperlink" Target="http://force.com" TargetMode="External"/><Relationship Id="rId1632" Type="http://schemas.openxmlformats.org/officeDocument/2006/relationships/hyperlink" Target="http://force.com" TargetMode="External"/><Relationship Id="rId2963" Type="http://schemas.openxmlformats.org/officeDocument/2006/relationships/hyperlink" Target="http://force.com" TargetMode="External"/><Relationship Id="rId1633" Type="http://schemas.openxmlformats.org/officeDocument/2006/relationships/hyperlink" Target="http://force.com" TargetMode="External"/><Relationship Id="rId2964" Type="http://schemas.openxmlformats.org/officeDocument/2006/relationships/hyperlink" Target="http://force.com" TargetMode="External"/><Relationship Id="rId1634" Type="http://schemas.openxmlformats.org/officeDocument/2006/relationships/hyperlink" Target="http://force.com" TargetMode="External"/><Relationship Id="rId2965" Type="http://schemas.openxmlformats.org/officeDocument/2006/relationships/hyperlink" Target="http://force.com" TargetMode="External"/><Relationship Id="rId1635" Type="http://schemas.openxmlformats.org/officeDocument/2006/relationships/hyperlink" Target="http://force.com" TargetMode="External"/><Relationship Id="rId2966" Type="http://schemas.openxmlformats.org/officeDocument/2006/relationships/hyperlink" Target="http://force.com" TargetMode="External"/><Relationship Id="rId1636" Type="http://schemas.openxmlformats.org/officeDocument/2006/relationships/hyperlink" Target="http://force.com" TargetMode="External"/><Relationship Id="rId2967" Type="http://schemas.openxmlformats.org/officeDocument/2006/relationships/hyperlink" Target="http://force.com" TargetMode="External"/><Relationship Id="rId1637" Type="http://schemas.openxmlformats.org/officeDocument/2006/relationships/hyperlink" Target="http://force.com" TargetMode="External"/><Relationship Id="rId2968" Type="http://schemas.openxmlformats.org/officeDocument/2006/relationships/hyperlink" Target="http://force.com" TargetMode="External"/><Relationship Id="rId1638" Type="http://schemas.openxmlformats.org/officeDocument/2006/relationships/hyperlink" Target="http://force.com" TargetMode="External"/><Relationship Id="rId2969" Type="http://schemas.openxmlformats.org/officeDocument/2006/relationships/hyperlink" Target="http://force.com" TargetMode="External"/><Relationship Id="rId929" Type="http://schemas.openxmlformats.org/officeDocument/2006/relationships/hyperlink" Target="http://force.com" TargetMode="External"/><Relationship Id="rId1639" Type="http://schemas.openxmlformats.org/officeDocument/2006/relationships/hyperlink" Target="http://force.com" TargetMode="External"/><Relationship Id="rId928" Type="http://schemas.openxmlformats.org/officeDocument/2006/relationships/hyperlink" Target="http://force.com" TargetMode="External"/><Relationship Id="rId927" Type="http://schemas.openxmlformats.org/officeDocument/2006/relationships/hyperlink" Target="http://force.com" TargetMode="External"/><Relationship Id="rId926" Type="http://schemas.openxmlformats.org/officeDocument/2006/relationships/hyperlink" Target="http://force.com" TargetMode="External"/><Relationship Id="rId921" Type="http://schemas.openxmlformats.org/officeDocument/2006/relationships/hyperlink" Target="http://force.com" TargetMode="External"/><Relationship Id="rId920" Type="http://schemas.openxmlformats.org/officeDocument/2006/relationships/hyperlink" Target="http://force.com" TargetMode="External"/><Relationship Id="rId925" Type="http://schemas.openxmlformats.org/officeDocument/2006/relationships/hyperlink" Target="http://force.com" TargetMode="External"/><Relationship Id="rId924" Type="http://schemas.openxmlformats.org/officeDocument/2006/relationships/hyperlink" Target="http://force.com" TargetMode="External"/><Relationship Id="rId923" Type="http://schemas.openxmlformats.org/officeDocument/2006/relationships/hyperlink" Target="http://force.com" TargetMode="External"/><Relationship Id="rId922" Type="http://schemas.openxmlformats.org/officeDocument/2006/relationships/hyperlink" Target="http://force.com" TargetMode="External"/><Relationship Id="rId2960" Type="http://schemas.openxmlformats.org/officeDocument/2006/relationships/hyperlink" Target="http://force.com" TargetMode="External"/><Relationship Id="rId1630" Type="http://schemas.openxmlformats.org/officeDocument/2006/relationships/hyperlink" Target="http://force.com" TargetMode="External"/><Relationship Id="rId2961" Type="http://schemas.openxmlformats.org/officeDocument/2006/relationships/hyperlink" Target="http://force.com" TargetMode="External"/><Relationship Id="rId1620" Type="http://schemas.openxmlformats.org/officeDocument/2006/relationships/hyperlink" Target="http://force.com" TargetMode="External"/><Relationship Id="rId2951" Type="http://schemas.openxmlformats.org/officeDocument/2006/relationships/hyperlink" Target="http://force.com" TargetMode="External"/><Relationship Id="rId1621" Type="http://schemas.openxmlformats.org/officeDocument/2006/relationships/hyperlink" Target="http://force.com" TargetMode="External"/><Relationship Id="rId2952" Type="http://schemas.openxmlformats.org/officeDocument/2006/relationships/hyperlink" Target="http://force.com" TargetMode="External"/><Relationship Id="rId1622" Type="http://schemas.openxmlformats.org/officeDocument/2006/relationships/hyperlink" Target="http://force.com" TargetMode="External"/><Relationship Id="rId2953" Type="http://schemas.openxmlformats.org/officeDocument/2006/relationships/hyperlink" Target="http://force.com" TargetMode="External"/><Relationship Id="rId1623" Type="http://schemas.openxmlformats.org/officeDocument/2006/relationships/hyperlink" Target="http://force.com" TargetMode="External"/><Relationship Id="rId2954" Type="http://schemas.openxmlformats.org/officeDocument/2006/relationships/hyperlink" Target="http://force.com" TargetMode="External"/><Relationship Id="rId1624" Type="http://schemas.openxmlformats.org/officeDocument/2006/relationships/hyperlink" Target="http://force.com" TargetMode="External"/><Relationship Id="rId2955" Type="http://schemas.openxmlformats.org/officeDocument/2006/relationships/hyperlink" Target="http://force.com" TargetMode="External"/><Relationship Id="rId1625" Type="http://schemas.openxmlformats.org/officeDocument/2006/relationships/hyperlink" Target="http://force.com" TargetMode="External"/><Relationship Id="rId2956" Type="http://schemas.openxmlformats.org/officeDocument/2006/relationships/hyperlink" Target="http://force.com" TargetMode="External"/><Relationship Id="rId1626" Type="http://schemas.openxmlformats.org/officeDocument/2006/relationships/hyperlink" Target="http://force.com" TargetMode="External"/><Relationship Id="rId2957" Type="http://schemas.openxmlformats.org/officeDocument/2006/relationships/hyperlink" Target="http://force.com" TargetMode="External"/><Relationship Id="rId1627" Type="http://schemas.openxmlformats.org/officeDocument/2006/relationships/hyperlink" Target="http://force.com" TargetMode="External"/><Relationship Id="rId2958" Type="http://schemas.openxmlformats.org/officeDocument/2006/relationships/hyperlink" Target="http://force.com" TargetMode="External"/><Relationship Id="rId918" Type="http://schemas.openxmlformats.org/officeDocument/2006/relationships/hyperlink" Target="http://force.com" TargetMode="External"/><Relationship Id="rId1628" Type="http://schemas.openxmlformats.org/officeDocument/2006/relationships/hyperlink" Target="http://force.com" TargetMode="External"/><Relationship Id="rId2959" Type="http://schemas.openxmlformats.org/officeDocument/2006/relationships/hyperlink" Target="http://force.com" TargetMode="External"/><Relationship Id="rId917" Type="http://schemas.openxmlformats.org/officeDocument/2006/relationships/hyperlink" Target="http://force.com" TargetMode="External"/><Relationship Id="rId1629" Type="http://schemas.openxmlformats.org/officeDocument/2006/relationships/hyperlink" Target="http://force.com" TargetMode="External"/><Relationship Id="rId916" Type="http://schemas.openxmlformats.org/officeDocument/2006/relationships/hyperlink" Target="http://force.com" TargetMode="External"/><Relationship Id="rId915" Type="http://schemas.openxmlformats.org/officeDocument/2006/relationships/hyperlink" Target="http://force.com" TargetMode="External"/><Relationship Id="rId919" Type="http://schemas.openxmlformats.org/officeDocument/2006/relationships/hyperlink" Target="http://force.com" TargetMode="External"/><Relationship Id="rId910" Type="http://schemas.openxmlformats.org/officeDocument/2006/relationships/hyperlink" Target="http://force.com" TargetMode="External"/><Relationship Id="rId914" Type="http://schemas.openxmlformats.org/officeDocument/2006/relationships/hyperlink" Target="http://force.com" TargetMode="External"/><Relationship Id="rId913" Type="http://schemas.openxmlformats.org/officeDocument/2006/relationships/hyperlink" Target="http://force.com" TargetMode="External"/><Relationship Id="rId912" Type="http://schemas.openxmlformats.org/officeDocument/2006/relationships/hyperlink" Target="http://force.com" TargetMode="External"/><Relationship Id="rId911" Type="http://schemas.openxmlformats.org/officeDocument/2006/relationships/hyperlink" Target="http://force.com" TargetMode="External"/><Relationship Id="rId2950" Type="http://schemas.openxmlformats.org/officeDocument/2006/relationships/hyperlink" Target="http://force.com" TargetMode="External"/><Relationship Id="rId2900" Type="http://schemas.openxmlformats.org/officeDocument/2006/relationships/hyperlink" Target="http://force.com" TargetMode="External"/><Relationship Id="rId2901" Type="http://schemas.openxmlformats.org/officeDocument/2006/relationships/hyperlink" Target="http://force.com" TargetMode="External"/><Relationship Id="rId2902" Type="http://schemas.openxmlformats.org/officeDocument/2006/relationships/hyperlink" Target="http://force.com" TargetMode="External"/><Relationship Id="rId2903" Type="http://schemas.openxmlformats.org/officeDocument/2006/relationships/hyperlink" Target="http://force.com" TargetMode="External"/><Relationship Id="rId2904" Type="http://schemas.openxmlformats.org/officeDocument/2006/relationships/hyperlink" Target="http://force.com" TargetMode="External"/><Relationship Id="rId2905" Type="http://schemas.openxmlformats.org/officeDocument/2006/relationships/hyperlink" Target="http://force.com" TargetMode="External"/><Relationship Id="rId2906" Type="http://schemas.openxmlformats.org/officeDocument/2006/relationships/hyperlink" Target="http://force.com" TargetMode="External"/><Relationship Id="rId2907" Type="http://schemas.openxmlformats.org/officeDocument/2006/relationships/hyperlink" Target="http://force.com" TargetMode="External"/><Relationship Id="rId2908" Type="http://schemas.openxmlformats.org/officeDocument/2006/relationships/hyperlink" Target="http://force.com" TargetMode="External"/><Relationship Id="rId2909" Type="http://schemas.openxmlformats.org/officeDocument/2006/relationships/hyperlink" Target="http://force.com" TargetMode="External"/><Relationship Id="rId5170" Type="http://schemas.openxmlformats.org/officeDocument/2006/relationships/hyperlink" Target="http://force.com" TargetMode="External"/><Relationship Id="rId5171" Type="http://schemas.openxmlformats.org/officeDocument/2006/relationships/hyperlink" Target="http://force.com" TargetMode="External"/><Relationship Id="rId5174" Type="http://schemas.openxmlformats.org/officeDocument/2006/relationships/hyperlink" Target="http://force.com" TargetMode="External"/><Relationship Id="rId5175" Type="http://schemas.openxmlformats.org/officeDocument/2006/relationships/hyperlink" Target="http://force.com" TargetMode="External"/><Relationship Id="rId5172" Type="http://schemas.openxmlformats.org/officeDocument/2006/relationships/hyperlink" Target="http://force.com" TargetMode="External"/><Relationship Id="rId5173" Type="http://schemas.openxmlformats.org/officeDocument/2006/relationships/hyperlink" Target="http://force.com" TargetMode="External"/><Relationship Id="rId5178" Type="http://schemas.openxmlformats.org/officeDocument/2006/relationships/hyperlink" Target="http://force.com" TargetMode="External"/><Relationship Id="rId5179" Type="http://schemas.openxmlformats.org/officeDocument/2006/relationships/hyperlink" Target="http://force.com" TargetMode="External"/><Relationship Id="rId5176" Type="http://schemas.openxmlformats.org/officeDocument/2006/relationships/hyperlink" Target="http://force.com" TargetMode="External"/><Relationship Id="rId5177" Type="http://schemas.openxmlformats.org/officeDocument/2006/relationships/hyperlink" Target="http://force.com" TargetMode="External"/><Relationship Id="rId5160" Type="http://schemas.openxmlformats.org/officeDocument/2006/relationships/hyperlink" Target="http://force.com" TargetMode="External"/><Relationship Id="rId5163" Type="http://schemas.openxmlformats.org/officeDocument/2006/relationships/hyperlink" Target="http://force.com" TargetMode="External"/><Relationship Id="rId5164" Type="http://schemas.openxmlformats.org/officeDocument/2006/relationships/hyperlink" Target="http://force.com" TargetMode="External"/><Relationship Id="rId5161" Type="http://schemas.openxmlformats.org/officeDocument/2006/relationships/hyperlink" Target="http://force.com" TargetMode="External"/><Relationship Id="rId5162" Type="http://schemas.openxmlformats.org/officeDocument/2006/relationships/hyperlink" Target="http://force.com" TargetMode="External"/><Relationship Id="rId5167" Type="http://schemas.openxmlformats.org/officeDocument/2006/relationships/hyperlink" Target="http://force.com" TargetMode="External"/><Relationship Id="rId5168" Type="http://schemas.openxmlformats.org/officeDocument/2006/relationships/hyperlink" Target="http://force.com" TargetMode="External"/><Relationship Id="rId5165" Type="http://schemas.openxmlformats.org/officeDocument/2006/relationships/hyperlink" Target="http://force.com" TargetMode="External"/><Relationship Id="rId5166" Type="http://schemas.openxmlformats.org/officeDocument/2006/relationships/hyperlink" Target="http://force.com" TargetMode="External"/><Relationship Id="rId5169" Type="http://schemas.openxmlformats.org/officeDocument/2006/relationships/hyperlink" Target="http://force.com" TargetMode="External"/><Relationship Id="rId2920" Type="http://schemas.openxmlformats.org/officeDocument/2006/relationships/hyperlink" Target="http://force.com" TargetMode="External"/><Relationship Id="rId2921" Type="http://schemas.openxmlformats.org/officeDocument/2006/relationships/hyperlink" Target="http://force.com" TargetMode="External"/><Relationship Id="rId2922" Type="http://schemas.openxmlformats.org/officeDocument/2006/relationships/hyperlink" Target="http://force.com" TargetMode="External"/><Relationship Id="rId2923" Type="http://schemas.openxmlformats.org/officeDocument/2006/relationships/hyperlink" Target="http://force.com" TargetMode="External"/><Relationship Id="rId2924" Type="http://schemas.openxmlformats.org/officeDocument/2006/relationships/hyperlink" Target="http://force.com" TargetMode="External"/><Relationship Id="rId2925" Type="http://schemas.openxmlformats.org/officeDocument/2006/relationships/hyperlink" Target="http://force.com" TargetMode="External"/><Relationship Id="rId2926" Type="http://schemas.openxmlformats.org/officeDocument/2006/relationships/hyperlink" Target="http://force.com" TargetMode="External"/><Relationship Id="rId2927" Type="http://schemas.openxmlformats.org/officeDocument/2006/relationships/hyperlink" Target="http://force.com" TargetMode="External"/><Relationship Id="rId2928" Type="http://schemas.openxmlformats.org/officeDocument/2006/relationships/hyperlink" Target="http://force.com" TargetMode="External"/><Relationship Id="rId2929" Type="http://schemas.openxmlformats.org/officeDocument/2006/relationships/hyperlink" Target="http://force.com" TargetMode="External"/><Relationship Id="rId5192" Type="http://schemas.openxmlformats.org/officeDocument/2006/relationships/hyperlink" Target="http://force.com" TargetMode="External"/><Relationship Id="rId5193" Type="http://schemas.openxmlformats.org/officeDocument/2006/relationships/hyperlink" Target="http://force.com" TargetMode="External"/><Relationship Id="rId5190" Type="http://schemas.openxmlformats.org/officeDocument/2006/relationships/hyperlink" Target="http://force.com" TargetMode="External"/><Relationship Id="rId5191" Type="http://schemas.openxmlformats.org/officeDocument/2006/relationships/hyperlink" Target="http://force.com" TargetMode="External"/><Relationship Id="rId5196" Type="http://schemas.openxmlformats.org/officeDocument/2006/relationships/hyperlink" Target="http://force.com" TargetMode="External"/><Relationship Id="rId5197" Type="http://schemas.openxmlformats.org/officeDocument/2006/relationships/hyperlink" Target="http://force.com" TargetMode="External"/><Relationship Id="rId5194" Type="http://schemas.openxmlformats.org/officeDocument/2006/relationships/hyperlink" Target="http://force.com" TargetMode="External"/><Relationship Id="rId5195" Type="http://schemas.openxmlformats.org/officeDocument/2006/relationships/hyperlink" Target="http://force.com" TargetMode="External"/><Relationship Id="rId5198" Type="http://schemas.openxmlformats.org/officeDocument/2006/relationships/hyperlink" Target="http://force.com" TargetMode="External"/><Relationship Id="rId5199" Type="http://schemas.openxmlformats.org/officeDocument/2006/relationships/hyperlink" Target="http://force.com" TargetMode="External"/><Relationship Id="rId2910" Type="http://schemas.openxmlformats.org/officeDocument/2006/relationships/hyperlink" Target="http://force.com" TargetMode="External"/><Relationship Id="rId2911" Type="http://schemas.openxmlformats.org/officeDocument/2006/relationships/hyperlink" Target="http://force.com" TargetMode="External"/><Relationship Id="rId2912" Type="http://schemas.openxmlformats.org/officeDocument/2006/relationships/hyperlink" Target="http://force.com" TargetMode="External"/><Relationship Id="rId2913" Type="http://schemas.openxmlformats.org/officeDocument/2006/relationships/hyperlink" Target="http://force.com" TargetMode="External"/><Relationship Id="rId2914" Type="http://schemas.openxmlformats.org/officeDocument/2006/relationships/hyperlink" Target="http://force.com" TargetMode="External"/><Relationship Id="rId2915" Type="http://schemas.openxmlformats.org/officeDocument/2006/relationships/hyperlink" Target="http://force.com" TargetMode="External"/><Relationship Id="rId2916" Type="http://schemas.openxmlformats.org/officeDocument/2006/relationships/hyperlink" Target="http://force.com" TargetMode="External"/><Relationship Id="rId2917" Type="http://schemas.openxmlformats.org/officeDocument/2006/relationships/hyperlink" Target="http://force.com" TargetMode="External"/><Relationship Id="rId2918" Type="http://schemas.openxmlformats.org/officeDocument/2006/relationships/hyperlink" Target="http://force.com" TargetMode="External"/><Relationship Id="rId2919" Type="http://schemas.openxmlformats.org/officeDocument/2006/relationships/hyperlink" Target="http://force.com" TargetMode="External"/><Relationship Id="rId5181" Type="http://schemas.openxmlformats.org/officeDocument/2006/relationships/hyperlink" Target="http://force.com" TargetMode="External"/><Relationship Id="rId5182" Type="http://schemas.openxmlformats.org/officeDocument/2006/relationships/hyperlink" Target="http://force.com" TargetMode="External"/><Relationship Id="rId5180" Type="http://schemas.openxmlformats.org/officeDocument/2006/relationships/hyperlink" Target="http://force.com" TargetMode="External"/><Relationship Id="rId5185" Type="http://schemas.openxmlformats.org/officeDocument/2006/relationships/hyperlink" Target="http://force.com" TargetMode="External"/><Relationship Id="rId5186" Type="http://schemas.openxmlformats.org/officeDocument/2006/relationships/hyperlink" Target="http://force.com" TargetMode="External"/><Relationship Id="rId5183" Type="http://schemas.openxmlformats.org/officeDocument/2006/relationships/hyperlink" Target="http://force.com" TargetMode="External"/><Relationship Id="rId5184" Type="http://schemas.openxmlformats.org/officeDocument/2006/relationships/hyperlink" Target="http://force.com" TargetMode="External"/><Relationship Id="rId5189" Type="http://schemas.openxmlformats.org/officeDocument/2006/relationships/hyperlink" Target="http://force.com" TargetMode="External"/><Relationship Id="rId5187" Type="http://schemas.openxmlformats.org/officeDocument/2006/relationships/hyperlink" Target="http://force.com" TargetMode="External"/><Relationship Id="rId5188" Type="http://schemas.openxmlformats.org/officeDocument/2006/relationships/hyperlink" Target="http://force.com" TargetMode="External"/><Relationship Id="rId1697" Type="http://schemas.openxmlformats.org/officeDocument/2006/relationships/hyperlink" Target="http://force.com" TargetMode="External"/><Relationship Id="rId4723" Type="http://schemas.openxmlformats.org/officeDocument/2006/relationships/hyperlink" Target="http://force.com" TargetMode="External"/><Relationship Id="rId1698" Type="http://schemas.openxmlformats.org/officeDocument/2006/relationships/hyperlink" Target="http://force.com" TargetMode="External"/><Relationship Id="rId4722" Type="http://schemas.openxmlformats.org/officeDocument/2006/relationships/hyperlink" Target="http://force.com" TargetMode="External"/><Relationship Id="rId1699" Type="http://schemas.openxmlformats.org/officeDocument/2006/relationships/hyperlink" Target="http://force.com" TargetMode="External"/><Relationship Id="rId4725" Type="http://schemas.openxmlformats.org/officeDocument/2006/relationships/hyperlink" Target="http://force.com" TargetMode="External"/><Relationship Id="rId4724" Type="http://schemas.openxmlformats.org/officeDocument/2006/relationships/hyperlink" Target="http://force.com" TargetMode="External"/><Relationship Id="rId4727" Type="http://schemas.openxmlformats.org/officeDocument/2006/relationships/hyperlink" Target="http://force.com" TargetMode="External"/><Relationship Id="rId4726" Type="http://schemas.openxmlformats.org/officeDocument/2006/relationships/hyperlink" Target="http://force.com" TargetMode="External"/><Relationship Id="rId4729" Type="http://schemas.openxmlformats.org/officeDocument/2006/relationships/hyperlink" Target="http://force.com" TargetMode="External"/><Relationship Id="rId4728" Type="http://schemas.openxmlformats.org/officeDocument/2006/relationships/hyperlink" Target="http://force.com" TargetMode="External"/><Relationship Id="rId866" Type="http://schemas.openxmlformats.org/officeDocument/2006/relationships/hyperlink" Target="http://force.com" TargetMode="External"/><Relationship Id="rId865" Type="http://schemas.openxmlformats.org/officeDocument/2006/relationships/hyperlink" Target="http://force.com" TargetMode="External"/><Relationship Id="rId864" Type="http://schemas.openxmlformats.org/officeDocument/2006/relationships/hyperlink" Target="http://force.com" TargetMode="External"/><Relationship Id="rId863" Type="http://schemas.openxmlformats.org/officeDocument/2006/relationships/hyperlink" Target="http://force.com" TargetMode="External"/><Relationship Id="rId869" Type="http://schemas.openxmlformats.org/officeDocument/2006/relationships/hyperlink" Target="http://force.com" TargetMode="External"/><Relationship Id="rId868" Type="http://schemas.openxmlformats.org/officeDocument/2006/relationships/hyperlink" Target="http://force.com" TargetMode="External"/><Relationship Id="rId867" Type="http://schemas.openxmlformats.org/officeDocument/2006/relationships/hyperlink" Target="http://force.com" TargetMode="External"/><Relationship Id="rId1690" Type="http://schemas.openxmlformats.org/officeDocument/2006/relationships/hyperlink" Target="http://force.com" TargetMode="External"/><Relationship Id="rId1691" Type="http://schemas.openxmlformats.org/officeDocument/2006/relationships/hyperlink" Target="http://force.com" TargetMode="External"/><Relationship Id="rId1692" Type="http://schemas.openxmlformats.org/officeDocument/2006/relationships/hyperlink" Target="http://force.com" TargetMode="External"/><Relationship Id="rId862" Type="http://schemas.openxmlformats.org/officeDocument/2006/relationships/hyperlink" Target="http://force.com" TargetMode="External"/><Relationship Id="rId1693" Type="http://schemas.openxmlformats.org/officeDocument/2006/relationships/hyperlink" Target="http://force.com" TargetMode="External"/><Relationship Id="rId861" Type="http://schemas.openxmlformats.org/officeDocument/2006/relationships/hyperlink" Target="http://force.com" TargetMode="External"/><Relationship Id="rId1694" Type="http://schemas.openxmlformats.org/officeDocument/2006/relationships/hyperlink" Target="http://force.com" TargetMode="External"/><Relationship Id="rId860" Type="http://schemas.openxmlformats.org/officeDocument/2006/relationships/hyperlink" Target="http://force.com" TargetMode="External"/><Relationship Id="rId1695" Type="http://schemas.openxmlformats.org/officeDocument/2006/relationships/hyperlink" Target="http://force.com" TargetMode="External"/><Relationship Id="rId4721" Type="http://schemas.openxmlformats.org/officeDocument/2006/relationships/hyperlink" Target="http://force.com" TargetMode="External"/><Relationship Id="rId1696" Type="http://schemas.openxmlformats.org/officeDocument/2006/relationships/hyperlink" Target="http://force.com" TargetMode="External"/><Relationship Id="rId4720" Type="http://schemas.openxmlformats.org/officeDocument/2006/relationships/hyperlink" Target="http://force.com" TargetMode="External"/><Relationship Id="rId1686" Type="http://schemas.openxmlformats.org/officeDocument/2006/relationships/hyperlink" Target="http://force.com" TargetMode="External"/><Relationship Id="rId4712" Type="http://schemas.openxmlformats.org/officeDocument/2006/relationships/hyperlink" Target="http://force.com" TargetMode="External"/><Relationship Id="rId1687" Type="http://schemas.openxmlformats.org/officeDocument/2006/relationships/hyperlink" Target="http://force.com" TargetMode="External"/><Relationship Id="rId4711" Type="http://schemas.openxmlformats.org/officeDocument/2006/relationships/hyperlink" Target="http://force.com" TargetMode="External"/><Relationship Id="rId1688" Type="http://schemas.openxmlformats.org/officeDocument/2006/relationships/hyperlink" Target="http://force.com" TargetMode="External"/><Relationship Id="rId4714" Type="http://schemas.openxmlformats.org/officeDocument/2006/relationships/hyperlink" Target="http://force.com" TargetMode="External"/><Relationship Id="rId1689" Type="http://schemas.openxmlformats.org/officeDocument/2006/relationships/hyperlink" Target="http://force.com" TargetMode="External"/><Relationship Id="rId4713" Type="http://schemas.openxmlformats.org/officeDocument/2006/relationships/hyperlink" Target="http://force.com" TargetMode="External"/><Relationship Id="rId4716" Type="http://schemas.openxmlformats.org/officeDocument/2006/relationships/hyperlink" Target="http://force.com" TargetMode="External"/><Relationship Id="rId4715" Type="http://schemas.openxmlformats.org/officeDocument/2006/relationships/hyperlink" Target="http://force.com" TargetMode="External"/><Relationship Id="rId4718" Type="http://schemas.openxmlformats.org/officeDocument/2006/relationships/hyperlink" Target="http://force.com" TargetMode="External"/><Relationship Id="rId4717" Type="http://schemas.openxmlformats.org/officeDocument/2006/relationships/hyperlink" Target="http://force.com" TargetMode="External"/><Relationship Id="rId4719" Type="http://schemas.openxmlformats.org/officeDocument/2006/relationships/hyperlink" Target="http://force.com" TargetMode="External"/><Relationship Id="rId855" Type="http://schemas.openxmlformats.org/officeDocument/2006/relationships/hyperlink" Target="http://force.com" TargetMode="External"/><Relationship Id="rId854" Type="http://schemas.openxmlformats.org/officeDocument/2006/relationships/hyperlink" Target="http://force.com" TargetMode="External"/><Relationship Id="rId853" Type="http://schemas.openxmlformats.org/officeDocument/2006/relationships/hyperlink" Target="http://force.com" TargetMode="External"/><Relationship Id="rId852" Type="http://schemas.openxmlformats.org/officeDocument/2006/relationships/hyperlink" Target="http://force.com" TargetMode="External"/><Relationship Id="rId859" Type="http://schemas.openxmlformats.org/officeDocument/2006/relationships/hyperlink" Target="http://force.com" TargetMode="External"/><Relationship Id="rId858" Type="http://schemas.openxmlformats.org/officeDocument/2006/relationships/hyperlink" Target="http://force.com" TargetMode="External"/><Relationship Id="rId857" Type="http://schemas.openxmlformats.org/officeDocument/2006/relationships/hyperlink" Target="http://force.com" TargetMode="External"/><Relationship Id="rId856" Type="http://schemas.openxmlformats.org/officeDocument/2006/relationships/hyperlink" Target="http://force.com" TargetMode="External"/><Relationship Id="rId1680" Type="http://schemas.openxmlformats.org/officeDocument/2006/relationships/hyperlink" Target="http://force.com" TargetMode="External"/><Relationship Id="rId1681" Type="http://schemas.openxmlformats.org/officeDocument/2006/relationships/hyperlink" Target="http://force.com" TargetMode="External"/><Relationship Id="rId851" Type="http://schemas.openxmlformats.org/officeDocument/2006/relationships/hyperlink" Target="http://force.com" TargetMode="External"/><Relationship Id="rId1682" Type="http://schemas.openxmlformats.org/officeDocument/2006/relationships/hyperlink" Target="http://force.com" TargetMode="External"/><Relationship Id="rId850" Type="http://schemas.openxmlformats.org/officeDocument/2006/relationships/hyperlink" Target="http://force.com" TargetMode="External"/><Relationship Id="rId1683" Type="http://schemas.openxmlformats.org/officeDocument/2006/relationships/hyperlink" Target="http://force.com" TargetMode="External"/><Relationship Id="rId1684" Type="http://schemas.openxmlformats.org/officeDocument/2006/relationships/hyperlink" Target="http://force.com" TargetMode="External"/><Relationship Id="rId4710" Type="http://schemas.openxmlformats.org/officeDocument/2006/relationships/hyperlink" Target="http://force.com" TargetMode="External"/><Relationship Id="rId1685" Type="http://schemas.openxmlformats.org/officeDocument/2006/relationships/hyperlink" Target="http://force.com" TargetMode="External"/><Relationship Id="rId3414" Type="http://schemas.openxmlformats.org/officeDocument/2006/relationships/hyperlink" Target="http://force.com" TargetMode="External"/><Relationship Id="rId4745" Type="http://schemas.openxmlformats.org/officeDocument/2006/relationships/hyperlink" Target="http://force.com" TargetMode="External"/><Relationship Id="rId3413" Type="http://schemas.openxmlformats.org/officeDocument/2006/relationships/hyperlink" Target="http://force.com" TargetMode="External"/><Relationship Id="rId4744" Type="http://schemas.openxmlformats.org/officeDocument/2006/relationships/hyperlink" Target="http://force.com" TargetMode="External"/><Relationship Id="rId3416" Type="http://schemas.openxmlformats.org/officeDocument/2006/relationships/hyperlink" Target="http://force.com" TargetMode="External"/><Relationship Id="rId4747" Type="http://schemas.openxmlformats.org/officeDocument/2006/relationships/hyperlink" Target="http://force.com" TargetMode="External"/><Relationship Id="rId3415" Type="http://schemas.openxmlformats.org/officeDocument/2006/relationships/hyperlink" Target="http://force.com" TargetMode="External"/><Relationship Id="rId4746" Type="http://schemas.openxmlformats.org/officeDocument/2006/relationships/hyperlink" Target="http://force.com" TargetMode="External"/><Relationship Id="rId3418" Type="http://schemas.openxmlformats.org/officeDocument/2006/relationships/hyperlink" Target="http://force.com" TargetMode="External"/><Relationship Id="rId4749" Type="http://schemas.openxmlformats.org/officeDocument/2006/relationships/hyperlink" Target="http://force.com" TargetMode="External"/><Relationship Id="rId3417" Type="http://schemas.openxmlformats.org/officeDocument/2006/relationships/hyperlink" Target="http://force.com" TargetMode="External"/><Relationship Id="rId4748" Type="http://schemas.openxmlformats.org/officeDocument/2006/relationships/hyperlink" Target="http://force.com" TargetMode="External"/><Relationship Id="rId3419" Type="http://schemas.openxmlformats.org/officeDocument/2006/relationships/hyperlink" Target="http://force.com" TargetMode="External"/><Relationship Id="rId888" Type="http://schemas.openxmlformats.org/officeDocument/2006/relationships/hyperlink" Target="http://force.com" TargetMode="External"/><Relationship Id="rId887" Type="http://schemas.openxmlformats.org/officeDocument/2006/relationships/hyperlink" Target="http://force.com" TargetMode="External"/><Relationship Id="rId886" Type="http://schemas.openxmlformats.org/officeDocument/2006/relationships/hyperlink" Target="http://force.com" TargetMode="External"/><Relationship Id="rId885" Type="http://schemas.openxmlformats.org/officeDocument/2006/relationships/hyperlink" Target="http://force.com" TargetMode="External"/><Relationship Id="rId889" Type="http://schemas.openxmlformats.org/officeDocument/2006/relationships/hyperlink" Target="http://force.com" TargetMode="External"/><Relationship Id="rId880" Type="http://schemas.openxmlformats.org/officeDocument/2006/relationships/hyperlink" Target="http://force.com" TargetMode="External"/><Relationship Id="rId884" Type="http://schemas.openxmlformats.org/officeDocument/2006/relationships/hyperlink" Target="http://force.com" TargetMode="External"/><Relationship Id="rId3410" Type="http://schemas.openxmlformats.org/officeDocument/2006/relationships/hyperlink" Target="http://force.com" TargetMode="External"/><Relationship Id="rId4741" Type="http://schemas.openxmlformats.org/officeDocument/2006/relationships/hyperlink" Target="http://force.com" TargetMode="External"/><Relationship Id="rId883" Type="http://schemas.openxmlformats.org/officeDocument/2006/relationships/hyperlink" Target="http://force.com" TargetMode="External"/><Relationship Id="rId4740" Type="http://schemas.openxmlformats.org/officeDocument/2006/relationships/hyperlink" Target="http://force.com" TargetMode="External"/><Relationship Id="rId882" Type="http://schemas.openxmlformats.org/officeDocument/2006/relationships/hyperlink" Target="http://force.com" TargetMode="External"/><Relationship Id="rId3412" Type="http://schemas.openxmlformats.org/officeDocument/2006/relationships/hyperlink" Target="http://force.com" TargetMode="External"/><Relationship Id="rId4743" Type="http://schemas.openxmlformats.org/officeDocument/2006/relationships/hyperlink" Target="http://force.com" TargetMode="External"/><Relationship Id="rId881" Type="http://schemas.openxmlformats.org/officeDocument/2006/relationships/hyperlink" Target="http://force.com" TargetMode="External"/><Relationship Id="rId3411" Type="http://schemas.openxmlformats.org/officeDocument/2006/relationships/hyperlink" Target="http://force.com" TargetMode="External"/><Relationship Id="rId4742" Type="http://schemas.openxmlformats.org/officeDocument/2006/relationships/hyperlink" Target="http://force.com" TargetMode="External"/><Relationship Id="rId3403" Type="http://schemas.openxmlformats.org/officeDocument/2006/relationships/hyperlink" Target="http://force.com" TargetMode="External"/><Relationship Id="rId4734" Type="http://schemas.openxmlformats.org/officeDocument/2006/relationships/hyperlink" Target="http://force.com" TargetMode="External"/><Relationship Id="rId3402" Type="http://schemas.openxmlformats.org/officeDocument/2006/relationships/hyperlink" Target="http://force.com" TargetMode="External"/><Relationship Id="rId4733" Type="http://schemas.openxmlformats.org/officeDocument/2006/relationships/hyperlink" Target="http://force.com" TargetMode="External"/><Relationship Id="rId3405" Type="http://schemas.openxmlformats.org/officeDocument/2006/relationships/hyperlink" Target="http://force.com" TargetMode="External"/><Relationship Id="rId4736" Type="http://schemas.openxmlformats.org/officeDocument/2006/relationships/hyperlink" Target="http://force.com" TargetMode="External"/><Relationship Id="rId3404" Type="http://schemas.openxmlformats.org/officeDocument/2006/relationships/hyperlink" Target="http://force.com" TargetMode="External"/><Relationship Id="rId4735" Type="http://schemas.openxmlformats.org/officeDocument/2006/relationships/hyperlink" Target="http://force.com" TargetMode="External"/><Relationship Id="rId3407" Type="http://schemas.openxmlformats.org/officeDocument/2006/relationships/hyperlink" Target="http://force.com" TargetMode="External"/><Relationship Id="rId4738" Type="http://schemas.openxmlformats.org/officeDocument/2006/relationships/hyperlink" Target="http://force.com" TargetMode="External"/><Relationship Id="rId3406" Type="http://schemas.openxmlformats.org/officeDocument/2006/relationships/hyperlink" Target="http://force.com" TargetMode="External"/><Relationship Id="rId4737" Type="http://schemas.openxmlformats.org/officeDocument/2006/relationships/hyperlink" Target="http://force.com" TargetMode="External"/><Relationship Id="rId3409" Type="http://schemas.openxmlformats.org/officeDocument/2006/relationships/hyperlink" Target="http://force.com" TargetMode="External"/><Relationship Id="rId3408" Type="http://schemas.openxmlformats.org/officeDocument/2006/relationships/hyperlink" Target="http://force.com" TargetMode="External"/><Relationship Id="rId4739" Type="http://schemas.openxmlformats.org/officeDocument/2006/relationships/hyperlink" Target="http://force.com" TargetMode="External"/><Relationship Id="rId877" Type="http://schemas.openxmlformats.org/officeDocument/2006/relationships/hyperlink" Target="http://force.com" TargetMode="External"/><Relationship Id="rId876" Type="http://schemas.openxmlformats.org/officeDocument/2006/relationships/hyperlink" Target="http://force.com" TargetMode="External"/><Relationship Id="rId875" Type="http://schemas.openxmlformats.org/officeDocument/2006/relationships/hyperlink" Target="http://force.com" TargetMode="External"/><Relationship Id="rId874" Type="http://schemas.openxmlformats.org/officeDocument/2006/relationships/hyperlink" Target="http://force.com" TargetMode="External"/><Relationship Id="rId879" Type="http://schemas.openxmlformats.org/officeDocument/2006/relationships/hyperlink" Target="http://force.com" TargetMode="External"/><Relationship Id="rId878" Type="http://schemas.openxmlformats.org/officeDocument/2006/relationships/hyperlink" Target="http://force.com" TargetMode="External"/><Relationship Id="rId873" Type="http://schemas.openxmlformats.org/officeDocument/2006/relationships/hyperlink" Target="http://force.com" TargetMode="External"/><Relationship Id="rId4730" Type="http://schemas.openxmlformats.org/officeDocument/2006/relationships/hyperlink" Target="http://force.com" TargetMode="External"/><Relationship Id="rId872" Type="http://schemas.openxmlformats.org/officeDocument/2006/relationships/hyperlink" Target="http://force.com" TargetMode="External"/><Relationship Id="rId871" Type="http://schemas.openxmlformats.org/officeDocument/2006/relationships/hyperlink" Target="http://force.com" TargetMode="External"/><Relationship Id="rId3401" Type="http://schemas.openxmlformats.org/officeDocument/2006/relationships/hyperlink" Target="http://force.com" TargetMode="External"/><Relationship Id="rId4732" Type="http://schemas.openxmlformats.org/officeDocument/2006/relationships/hyperlink" Target="http://force.com" TargetMode="External"/><Relationship Id="rId870" Type="http://schemas.openxmlformats.org/officeDocument/2006/relationships/hyperlink" Target="http://force.com" TargetMode="External"/><Relationship Id="rId3400" Type="http://schemas.openxmlformats.org/officeDocument/2006/relationships/hyperlink" Target="http://force.com" TargetMode="External"/><Relationship Id="rId4731" Type="http://schemas.openxmlformats.org/officeDocument/2006/relationships/hyperlink" Target="http://force.com" TargetMode="External"/><Relationship Id="rId1653" Type="http://schemas.openxmlformats.org/officeDocument/2006/relationships/hyperlink" Target="http://force.com" TargetMode="External"/><Relationship Id="rId2984" Type="http://schemas.openxmlformats.org/officeDocument/2006/relationships/hyperlink" Target="http://force.com" TargetMode="External"/><Relationship Id="rId1654" Type="http://schemas.openxmlformats.org/officeDocument/2006/relationships/hyperlink" Target="http://force.com" TargetMode="External"/><Relationship Id="rId2985" Type="http://schemas.openxmlformats.org/officeDocument/2006/relationships/hyperlink" Target="http://force.com" TargetMode="External"/><Relationship Id="rId1655" Type="http://schemas.openxmlformats.org/officeDocument/2006/relationships/hyperlink" Target="http://force.com" TargetMode="External"/><Relationship Id="rId2986" Type="http://schemas.openxmlformats.org/officeDocument/2006/relationships/hyperlink" Target="http://force.com" TargetMode="External"/><Relationship Id="rId1656" Type="http://schemas.openxmlformats.org/officeDocument/2006/relationships/hyperlink" Target="http://force.com" TargetMode="External"/><Relationship Id="rId2987" Type="http://schemas.openxmlformats.org/officeDocument/2006/relationships/hyperlink" Target="http://force.com" TargetMode="External"/><Relationship Id="rId1657" Type="http://schemas.openxmlformats.org/officeDocument/2006/relationships/hyperlink" Target="http://force.com" TargetMode="External"/><Relationship Id="rId2988" Type="http://schemas.openxmlformats.org/officeDocument/2006/relationships/hyperlink" Target="http://force.com" TargetMode="External"/><Relationship Id="rId1658" Type="http://schemas.openxmlformats.org/officeDocument/2006/relationships/hyperlink" Target="http://force.com" TargetMode="External"/><Relationship Id="rId2989" Type="http://schemas.openxmlformats.org/officeDocument/2006/relationships/hyperlink" Target="http://force.com" TargetMode="External"/><Relationship Id="rId1659" Type="http://schemas.openxmlformats.org/officeDocument/2006/relationships/hyperlink" Target="http://force.com" TargetMode="External"/><Relationship Id="rId829" Type="http://schemas.openxmlformats.org/officeDocument/2006/relationships/hyperlink" Target="http://force.com" TargetMode="External"/><Relationship Id="rId828" Type="http://schemas.openxmlformats.org/officeDocument/2006/relationships/hyperlink" Target="http://force.com" TargetMode="External"/><Relationship Id="rId827" Type="http://schemas.openxmlformats.org/officeDocument/2006/relationships/hyperlink" Target="http://force.com" TargetMode="External"/><Relationship Id="rId822" Type="http://schemas.openxmlformats.org/officeDocument/2006/relationships/hyperlink" Target="http://force.com" TargetMode="External"/><Relationship Id="rId821" Type="http://schemas.openxmlformats.org/officeDocument/2006/relationships/hyperlink" Target="http://force.com" TargetMode="External"/><Relationship Id="rId820" Type="http://schemas.openxmlformats.org/officeDocument/2006/relationships/hyperlink" Target="http://force.com" TargetMode="External"/><Relationship Id="rId826" Type="http://schemas.openxmlformats.org/officeDocument/2006/relationships/hyperlink" Target="http://force.com" TargetMode="External"/><Relationship Id="rId825" Type="http://schemas.openxmlformats.org/officeDocument/2006/relationships/hyperlink" Target="http://force.com" TargetMode="External"/><Relationship Id="rId824" Type="http://schemas.openxmlformats.org/officeDocument/2006/relationships/hyperlink" Target="http://force.com" TargetMode="External"/><Relationship Id="rId823" Type="http://schemas.openxmlformats.org/officeDocument/2006/relationships/hyperlink" Target="http://force.com" TargetMode="External"/><Relationship Id="rId2980" Type="http://schemas.openxmlformats.org/officeDocument/2006/relationships/hyperlink" Target="http://force.com" TargetMode="External"/><Relationship Id="rId1650" Type="http://schemas.openxmlformats.org/officeDocument/2006/relationships/hyperlink" Target="http://force.com" TargetMode="External"/><Relationship Id="rId2981" Type="http://schemas.openxmlformats.org/officeDocument/2006/relationships/hyperlink" Target="http://force.com" TargetMode="External"/><Relationship Id="rId1651" Type="http://schemas.openxmlformats.org/officeDocument/2006/relationships/hyperlink" Target="http://force.com" TargetMode="External"/><Relationship Id="rId2982" Type="http://schemas.openxmlformats.org/officeDocument/2006/relationships/hyperlink" Target="http://force.com" TargetMode="External"/><Relationship Id="rId1652" Type="http://schemas.openxmlformats.org/officeDocument/2006/relationships/hyperlink" Target="http://force.com" TargetMode="External"/><Relationship Id="rId2983" Type="http://schemas.openxmlformats.org/officeDocument/2006/relationships/hyperlink" Target="http://force.com" TargetMode="External"/><Relationship Id="rId1642" Type="http://schemas.openxmlformats.org/officeDocument/2006/relationships/hyperlink" Target="http://force.com" TargetMode="External"/><Relationship Id="rId2973" Type="http://schemas.openxmlformats.org/officeDocument/2006/relationships/hyperlink" Target="http://force.com" TargetMode="External"/><Relationship Id="rId1643" Type="http://schemas.openxmlformats.org/officeDocument/2006/relationships/hyperlink" Target="http://force.com" TargetMode="External"/><Relationship Id="rId2974" Type="http://schemas.openxmlformats.org/officeDocument/2006/relationships/hyperlink" Target="http://force.com" TargetMode="External"/><Relationship Id="rId1644" Type="http://schemas.openxmlformats.org/officeDocument/2006/relationships/hyperlink" Target="http://force.com" TargetMode="External"/><Relationship Id="rId2975" Type="http://schemas.openxmlformats.org/officeDocument/2006/relationships/hyperlink" Target="http://force.com" TargetMode="External"/><Relationship Id="rId1645" Type="http://schemas.openxmlformats.org/officeDocument/2006/relationships/hyperlink" Target="http://force.com" TargetMode="External"/><Relationship Id="rId2976" Type="http://schemas.openxmlformats.org/officeDocument/2006/relationships/hyperlink" Target="http://force.com" TargetMode="External"/><Relationship Id="rId1646" Type="http://schemas.openxmlformats.org/officeDocument/2006/relationships/hyperlink" Target="http://force.com" TargetMode="External"/><Relationship Id="rId2977" Type="http://schemas.openxmlformats.org/officeDocument/2006/relationships/hyperlink" Target="http://force.com" TargetMode="External"/><Relationship Id="rId1647" Type="http://schemas.openxmlformats.org/officeDocument/2006/relationships/hyperlink" Target="http://force.com" TargetMode="External"/><Relationship Id="rId2978" Type="http://schemas.openxmlformats.org/officeDocument/2006/relationships/hyperlink" Target="http://force.com" TargetMode="External"/><Relationship Id="rId1648" Type="http://schemas.openxmlformats.org/officeDocument/2006/relationships/hyperlink" Target="http://force.com" TargetMode="External"/><Relationship Id="rId2979" Type="http://schemas.openxmlformats.org/officeDocument/2006/relationships/hyperlink" Target="http://force.com" TargetMode="External"/><Relationship Id="rId1649" Type="http://schemas.openxmlformats.org/officeDocument/2006/relationships/hyperlink" Target="http://force.com" TargetMode="External"/><Relationship Id="rId819" Type="http://schemas.openxmlformats.org/officeDocument/2006/relationships/hyperlink" Target="http://force.com" TargetMode="External"/><Relationship Id="rId818" Type="http://schemas.openxmlformats.org/officeDocument/2006/relationships/hyperlink" Target="http://force.com" TargetMode="External"/><Relationship Id="rId817" Type="http://schemas.openxmlformats.org/officeDocument/2006/relationships/hyperlink" Target="http://force.com" TargetMode="External"/><Relationship Id="rId816" Type="http://schemas.openxmlformats.org/officeDocument/2006/relationships/hyperlink" Target="http://force.com" TargetMode="External"/><Relationship Id="rId811" Type="http://schemas.openxmlformats.org/officeDocument/2006/relationships/hyperlink" Target="http://force.com" TargetMode="External"/><Relationship Id="rId810" Type="http://schemas.openxmlformats.org/officeDocument/2006/relationships/hyperlink" Target="http://force.com" TargetMode="External"/><Relationship Id="rId815" Type="http://schemas.openxmlformats.org/officeDocument/2006/relationships/hyperlink" Target="http://force.com" TargetMode="External"/><Relationship Id="rId814" Type="http://schemas.openxmlformats.org/officeDocument/2006/relationships/hyperlink" Target="http://force.com" TargetMode="External"/><Relationship Id="rId813" Type="http://schemas.openxmlformats.org/officeDocument/2006/relationships/hyperlink" Target="http://force.com" TargetMode="External"/><Relationship Id="rId812" Type="http://schemas.openxmlformats.org/officeDocument/2006/relationships/hyperlink" Target="http://force.com" TargetMode="External"/><Relationship Id="rId2970" Type="http://schemas.openxmlformats.org/officeDocument/2006/relationships/hyperlink" Target="http://force.com" TargetMode="External"/><Relationship Id="rId1640" Type="http://schemas.openxmlformats.org/officeDocument/2006/relationships/hyperlink" Target="http://force.com" TargetMode="External"/><Relationship Id="rId2971" Type="http://schemas.openxmlformats.org/officeDocument/2006/relationships/hyperlink" Target="http://force.com" TargetMode="External"/><Relationship Id="rId1641" Type="http://schemas.openxmlformats.org/officeDocument/2006/relationships/hyperlink" Target="http://force.com" TargetMode="External"/><Relationship Id="rId2972" Type="http://schemas.openxmlformats.org/officeDocument/2006/relationships/hyperlink" Target="http://force.com" TargetMode="External"/><Relationship Id="rId1675" Type="http://schemas.openxmlformats.org/officeDocument/2006/relationships/hyperlink" Target="http://force.com" TargetMode="External"/><Relationship Id="rId4701" Type="http://schemas.openxmlformats.org/officeDocument/2006/relationships/hyperlink" Target="http://force.com" TargetMode="External"/><Relationship Id="rId1676" Type="http://schemas.openxmlformats.org/officeDocument/2006/relationships/hyperlink" Target="http://force.com" TargetMode="External"/><Relationship Id="rId4700" Type="http://schemas.openxmlformats.org/officeDocument/2006/relationships/hyperlink" Target="http://force.com" TargetMode="External"/><Relationship Id="rId1677" Type="http://schemas.openxmlformats.org/officeDocument/2006/relationships/hyperlink" Target="http://force.com" TargetMode="External"/><Relationship Id="rId4703" Type="http://schemas.openxmlformats.org/officeDocument/2006/relationships/hyperlink" Target="http://force.com" TargetMode="External"/><Relationship Id="rId1678" Type="http://schemas.openxmlformats.org/officeDocument/2006/relationships/hyperlink" Target="http://force.com" TargetMode="External"/><Relationship Id="rId4702" Type="http://schemas.openxmlformats.org/officeDocument/2006/relationships/hyperlink" Target="http://force.com" TargetMode="External"/><Relationship Id="rId1679" Type="http://schemas.openxmlformats.org/officeDocument/2006/relationships/hyperlink" Target="http://force.com" TargetMode="External"/><Relationship Id="rId4705" Type="http://schemas.openxmlformats.org/officeDocument/2006/relationships/hyperlink" Target="http://force.com" TargetMode="External"/><Relationship Id="rId4704" Type="http://schemas.openxmlformats.org/officeDocument/2006/relationships/hyperlink" Target="http://force.com" TargetMode="External"/><Relationship Id="rId4707" Type="http://schemas.openxmlformats.org/officeDocument/2006/relationships/hyperlink" Target="http://force.com" TargetMode="External"/><Relationship Id="rId4706" Type="http://schemas.openxmlformats.org/officeDocument/2006/relationships/hyperlink" Target="http://force.com" TargetMode="External"/><Relationship Id="rId4709" Type="http://schemas.openxmlformats.org/officeDocument/2006/relationships/hyperlink" Target="http://force.com" TargetMode="External"/><Relationship Id="rId4708" Type="http://schemas.openxmlformats.org/officeDocument/2006/relationships/hyperlink" Target="http://force.com" TargetMode="External"/><Relationship Id="rId849" Type="http://schemas.openxmlformats.org/officeDocument/2006/relationships/hyperlink" Target="http://force.com" TargetMode="External"/><Relationship Id="rId844" Type="http://schemas.openxmlformats.org/officeDocument/2006/relationships/hyperlink" Target="http://force.com" TargetMode="External"/><Relationship Id="rId843" Type="http://schemas.openxmlformats.org/officeDocument/2006/relationships/hyperlink" Target="http://force.com" TargetMode="External"/><Relationship Id="rId842" Type="http://schemas.openxmlformats.org/officeDocument/2006/relationships/hyperlink" Target="http://force.com" TargetMode="External"/><Relationship Id="rId841" Type="http://schemas.openxmlformats.org/officeDocument/2006/relationships/hyperlink" Target="http://force.com" TargetMode="External"/><Relationship Id="rId848" Type="http://schemas.openxmlformats.org/officeDocument/2006/relationships/hyperlink" Target="http://force.com" TargetMode="External"/><Relationship Id="rId847" Type="http://schemas.openxmlformats.org/officeDocument/2006/relationships/hyperlink" Target="http://force.com" TargetMode="External"/><Relationship Id="rId846" Type="http://schemas.openxmlformats.org/officeDocument/2006/relationships/hyperlink" Target="http://force.com" TargetMode="External"/><Relationship Id="rId845" Type="http://schemas.openxmlformats.org/officeDocument/2006/relationships/hyperlink" Target="http://force.com" TargetMode="External"/><Relationship Id="rId1670" Type="http://schemas.openxmlformats.org/officeDocument/2006/relationships/hyperlink" Target="http://force.com" TargetMode="External"/><Relationship Id="rId840" Type="http://schemas.openxmlformats.org/officeDocument/2006/relationships/hyperlink" Target="http://force.com" TargetMode="External"/><Relationship Id="rId1671" Type="http://schemas.openxmlformats.org/officeDocument/2006/relationships/hyperlink" Target="http://force.com" TargetMode="External"/><Relationship Id="rId1672" Type="http://schemas.openxmlformats.org/officeDocument/2006/relationships/hyperlink" Target="http://force.com" TargetMode="External"/><Relationship Id="rId1673" Type="http://schemas.openxmlformats.org/officeDocument/2006/relationships/hyperlink" Target="http://force.com" TargetMode="External"/><Relationship Id="rId1674" Type="http://schemas.openxmlformats.org/officeDocument/2006/relationships/hyperlink" Target="http://force.com" TargetMode="External"/><Relationship Id="rId1664" Type="http://schemas.openxmlformats.org/officeDocument/2006/relationships/hyperlink" Target="http://force.com" TargetMode="External"/><Relationship Id="rId2995" Type="http://schemas.openxmlformats.org/officeDocument/2006/relationships/hyperlink" Target="http://force.com" TargetMode="External"/><Relationship Id="rId1665" Type="http://schemas.openxmlformats.org/officeDocument/2006/relationships/hyperlink" Target="http://force.com" TargetMode="External"/><Relationship Id="rId2996" Type="http://schemas.openxmlformats.org/officeDocument/2006/relationships/hyperlink" Target="http://force.com" TargetMode="External"/><Relationship Id="rId1666" Type="http://schemas.openxmlformats.org/officeDocument/2006/relationships/hyperlink" Target="http://force.com" TargetMode="External"/><Relationship Id="rId2997" Type="http://schemas.openxmlformats.org/officeDocument/2006/relationships/hyperlink" Target="http://force.com" TargetMode="External"/><Relationship Id="rId1667" Type="http://schemas.openxmlformats.org/officeDocument/2006/relationships/hyperlink" Target="http://force.com" TargetMode="External"/><Relationship Id="rId2998" Type="http://schemas.openxmlformats.org/officeDocument/2006/relationships/hyperlink" Target="http://force.com" TargetMode="External"/><Relationship Id="rId1668" Type="http://schemas.openxmlformats.org/officeDocument/2006/relationships/hyperlink" Target="http://force.com" TargetMode="External"/><Relationship Id="rId2999" Type="http://schemas.openxmlformats.org/officeDocument/2006/relationships/hyperlink" Target="http://force.com" TargetMode="External"/><Relationship Id="rId1669" Type="http://schemas.openxmlformats.org/officeDocument/2006/relationships/hyperlink" Target="http://force.com" TargetMode="External"/><Relationship Id="rId839" Type="http://schemas.openxmlformats.org/officeDocument/2006/relationships/hyperlink" Target="http://force.com" TargetMode="External"/><Relationship Id="rId838" Type="http://schemas.openxmlformats.org/officeDocument/2006/relationships/hyperlink" Target="http://force.com" TargetMode="External"/><Relationship Id="rId833" Type="http://schemas.openxmlformats.org/officeDocument/2006/relationships/hyperlink" Target="http://force.com" TargetMode="External"/><Relationship Id="rId832" Type="http://schemas.openxmlformats.org/officeDocument/2006/relationships/hyperlink" Target="http://force.com" TargetMode="External"/><Relationship Id="rId831" Type="http://schemas.openxmlformats.org/officeDocument/2006/relationships/hyperlink" Target="http://force.com" TargetMode="External"/><Relationship Id="rId830" Type="http://schemas.openxmlformats.org/officeDocument/2006/relationships/hyperlink" Target="http://force.com" TargetMode="External"/><Relationship Id="rId837" Type="http://schemas.openxmlformats.org/officeDocument/2006/relationships/hyperlink" Target="http://force.com" TargetMode="External"/><Relationship Id="rId836" Type="http://schemas.openxmlformats.org/officeDocument/2006/relationships/hyperlink" Target="http://force.com" TargetMode="External"/><Relationship Id="rId835" Type="http://schemas.openxmlformats.org/officeDocument/2006/relationships/hyperlink" Target="http://force.com" TargetMode="External"/><Relationship Id="rId834" Type="http://schemas.openxmlformats.org/officeDocument/2006/relationships/hyperlink" Target="http://force.com" TargetMode="External"/><Relationship Id="rId2990" Type="http://schemas.openxmlformats.org/officeDocument/2006/relationships/hyperlink" Target="http://force.com" TargetMode="External"/><Relationship Id="rId1660" Type="http://schemas.openxmlformats.org/officeDocument/2006/relationships/hyperlink" Target="http://force.com" TargetMode="External"/><Relationship Id="rId2991" Type="http://schemas.openxmlformats.org/officeDocument/2006/relationships/hyperlink" Target="http://force.com" TargetMode="External"/><Relationship Id="rId1661" Type="http://schemas.openxmlformats.org/officeDocument/2006/relationships/hyperlink" Target="http://force.com" TargetMode="External"/><Relationship Id="rId2992" Type="http://schemas.openxmlformats.org/officeDocument/2006/relationships/hyperlink" Target="http://force.com" TargetMode="External"/><Relationship Id="rId1662" Type="http://schemas.openxmlformats.org/officeDocument/2006/relationships/hyperlink" Target="http://force.com" TargetMode="External"/><Relationship Id="rId2993" Type="http://schemas.openxmlformats.org/officeDocument/2006/relationships/hyperlink" Target="http://force.com" TargetMode="External"/><Relationship Id="rId1663" Type="http://schemas.openxmlformats.org/officeDocument/2006/relationships/hyperlink" Target="http://force.com" TargetMode="External"/><Relationship Id="rId2994" Type="http://schemas.openxmlformats.org/officeDocument/2006/relationships/hyperlink" Target="http://force.com" TargetMode="External"/><Relationship Id="rId2148" Type="http://schemas.openxmlformats.org/officeDocument/2006/relationships/hyperlink" Target="http://force.com" TargetMode="External"/><Relationship Id="rId2149" Type="http://schemas.openxmlformats.org/officeDocument/2006/relationships/hyperlink" Target="http://force.com" TargetMode="External"/><Relationship Id="rId3479" Type="http://schemas.openxmlformats.org/officeDocument/2006/relationships/hyperlink" Target="http://force.com" TargetMode="External"/><Relationship Id="rId3470" Type="http://schemas.openxmlformats.org/officeDocument/2006/relationships/hyperlink" Target="http://force.com" TargetMode="External"/><Relationship Id="rId2140" Type="http://schemas.openxmlformats.org/officeDocument/2006/relationships/hyperlink" Target="http://force.com" TargetMode="External"/><Relationship Id="rId3472" Type="http://schemas.openxmlformats.org/officeDocument/2006/relationships/hyperlink" Target="http://force.com" TargetMode="External"/><Relationship Id="rId2141" Type="http://schemas.openxmlformats.org/officeDocument/2006/relationships/hyperlink" Target="http://force.com" TargetMode="External"/><Relationship Id="rId3471" Type="http://schemas.openxmlformats.org/officeDocument/2006/relationships/hyperlink" Target="http://force.com" TargetMode="External"/><Relationship Id="rId2142" Type="http://schemas.openxmlformats.org/officeDocument/2006/relationships/hyperlink" Target="http://force.com" TargetMode="External"/><Relationship Id="rId3474" Type="http://schemas.openxmlformats.org/officeDocument/2006/relationships/hyperlink" Target="http://force.com" TargetMode="External"/><Relationship Id="rId2143" Type="http://schemas.openxmlformats.org/officeDocument/2006/relationships/hyperlink" Target="http://force.com" TargetMode="External"/><Relationship Id="rId3473" Type="http://schemas.openxmlformats.org/officeDocument/2006/relationships/hyperlink" Target="http://force.com" TargetMode="External"/><Relationship Id="rId2144" Type="http://schemas.openxmlformats.org/officeDocument/2006/relationships/hyperlink" Target="http://force.com" TargetMode="External"/><Relationship Id="rId3476" Type="http://schemas.openxmlformats.org/officeDocument/2006/relationships/hyperlink" Target="http://force.com" TargetMode="External"/><Relationship Id="rId2145" Type="http://schemas.openxmlformats.org/officeDocument/2006/relationships/hyperlink" Target="http://force.com" TargetMode="External"/><Relationship Id="rId3475" Type="http://schemas.openxmlformats.org/officeDocument/2006/relationships/hyperlink" Target="http://force.com" TargetMode="External"/><Relationship Id="rId2146" Type="http://schemas.openxmlformats.org/officeDocument/2006/relationships/hyperlink" Target="http://force.com" TargetMode="External"/><Relationship Id="rId3478" Type="http://schemas.openxmlformats.org/officeDocument/2006/relationships/hyperlink" Target="http://force.com" TargetMode="External"/><Relationship Id="rId2147" Type="http://schemas.openxmlformats.org/officeDocument/2006/relationships/hyperlink" Target="http://force.com" TargetMode="External"/><Relationship Id="rId3477" Type="http://schemas.openxmlformats.org/officeDocument/2006/relationships/hyperlink" Target="http://force.com" TargetMode="External"/><Relationship Id="rId2137" Type="http://schemas.openxmlformats.org/officeDocument/2006/relationships/hyperlink" Target="http://force.com" TargetMode="External"/><Relationship Id="rId3469" Type="http://schemas.openxmlformats.org/officeDocument/2006/relationships/hyperlink" Target="http://force.com" TargetMode="External"/><Relationship Id="rId2138" Type="http://schemas.openxmlformats.org/officeDocument/2006/relationships/hyperlink" Target="http://force.com" TargetMode="External"/><Relationship Id="rId3468" Type="http://schemas.openxmlformats.org/officeDocument/2006/relationships/hyperlink" Target="http://force.com" TargetMode="External"/><Relationship Id="rId4799" Type="http://schemas.openxmlformats.org/officeDocument/2006/relationships/hyperlink" Target="http://force.com" TargetMode="External"/><Relationship Id="rId2139" Type="http://schemas.openxmlformats.org/officeDocument/2006/relationships/hyperlink" Target="http://force.com" TargetMode="External"/><Relationship Id="rId4790" Type="http://schemas.openxmlformats.org/officeDocument/2006/relationships/hyperlink" Target="http://force.com" TargetMode="External"/><Relationship Id="rId3461" Type="http://schemas.openxmlformats.org/officeDocument/2006/relationships/hyperlink" Target="http://force.com" TargetMode="External"/><Relationship Id="rId4792" Type="http://schemas.openxmlformats.org/officeDocument/2006/relationships/hyperlink" Target="http://force.com" TargetMode="External"/><Relationship Id="rId2130" Type="http://schemas.openxmlformats.org/officeDocument/2006/relationships/hyperlink" Target="http://force.com" TargetMode="External"/><Relationship Id="rId3460" Type="http://schemas.openxmlformats.org/officeDocument/2006/relationships/hyperlink" Target="http://force.com" TargetMode="External"/><Relationship Id="rId4791" Type="http://schemas.openxmlformats.org/officeDocument/2006/relationships/hyperlink" Target="http://force.com" TargetMode="External"/><Relationship Id="rId2131" Type="http://schemas.openxmlformats.org/officeDocument/2006/relationships/hyperlink" Target="http://force.com" TargetMode="External"/><Relationship Id="rId3463" Type="http://schemas.openxmlformats.org/officeDocument/2006/relationships/hyperlink" Target="http://force.com" TargetMode="External"/><Relationship Id="rId4794" Type="http://schemas.openxmlformats.org/officeDocument/2006/relationships/hyperlink" Target="http://force.com" TargetMode="External"/><Relationship Id="rId2132" Type="http://schemas.openxmlformats.org/officeDocument/2006/relationships/hyperlink" Target="http://force.com" TargetMode="External"/><Relationship Id="rId3462" Type="http://schemas.openxmlformats.org/officeDocument/2006/relationships/hyperlink" Target="http://force.com" TargetMode="External"/><Relationship Id="rId4793" Type="http://schemas.openxmlformats.org/officeDocument/2006/relationships/hyperlink" Target="http://force.com" TargetMode="External"/><Relationship Id="rId2133" Type="http://schemas.openxmlformats.org/officeDocument/2006/relationships/hyperlink" Target="http://force.com" TargetMode="External"/><Relationship Id="rId3465" Type="http://schemas.openxmlformats.org/officeDocument/2006/relationships/hyperlink" Target="http://force.com" TargetMode="External"/><Relationship Id="rId4796" Type="http://schemas.openxmlformats.org/officeDocument/2006/relationships/hyperlink" Target="http://force.com" TargetMode="External"/><Relationship Id="rId2134" Type="http://schemas.openxmlformats.org/officeDocument/2006/relationships/hyperlink" Target="http://force.com" TargetMode="External"/><Relationship Id="rId3464" Type="http://schemas.openxmlformats.org/officeDocument/2006/relationships/hyperlink" Target="http://force.com" TargetMode="External"/><Relationship Id="rId4795" Type="http://schemas.openxmlformats.org/officeDocument/2006/relationships/hyperlink" Target="http://force.com" TargetMode="External"/><Relationship Id="rId2135" Type="http://schemas.openxmlformats.org/officeDocument/2006/relationships/hyperlink" Target="http://force.com" TargetMode="External"/><Relationship Id="rId3467" Type="http://schemas.openxmlformats.org/officeDocument/2006/relationships/hyperlink" Target="http://force.com" TargetMode="External"/><Relationship Id="rId4798" Type="http://schemas.openxmlformats.org/officeDocument/2006/relationships/hyperlink" Target="http://force.com" TargetMode="External"/><Relationship Id="rId2136" Type="http://schemas.openxmlformats.org/officeDocument/2006/relationships/hyperlink" Target="http://force.com" TargetMode="External"/><Relationship Id="rId3466" Type="http://schemas.openxmlformats.org/officeDocument/2006/relationships/hyperlink" Target="http://force.com" TargetMode="External"/><Relationship Id="rId4797" Type="http://schemas.openxmlformats.org/officeDocument/2006/relationships/hyperlink" Target="http://force.com" TargetMode="External"/><Relationship Id="rId3490" Type="http://schemas.openxmlformats.org/officeDocument/2006/relationships/hyperlink" Target="http://force.com" TargetMode="External"/><Relationship Id="rId2160" Type="http://schemas.openxmlformats.org/officeDocument/2006/relationships/hyperlink" Target="http://force.com" TargetMode="External"/><Relationship Id="rId3492" Type="http://schemas.openxmlformats.org/officeDocument/2006/relationships/hyperlink" Target="http://force.com" TargetMode="External"/><Relationship Id="rId2161" Type="http://schemas.openxmlformats.org/officeDocument/2006/relationships/hyperlink" Target="http://force.com" TargetMode="External"/><Relationship Id="rId3491" Type="http://schemas.openxmlformats.org/officeDocument/2006/relationships/hyperlink" Target="http://force.com" TargetMode="External"/><Relationship Id="rId2162" Type="http://schemas.openxmlformats.org/officeDocument/2006/relationships/hyperlink" Target="http://force.com" TargetMode="External"/><Relationship Id="rId3494" Type="http://schemas.openxmlformats.org/officeDocument/2006/relationships/hyperlink" Target="http://force.com" TargetMode="External"/><Relationship Id="rId2163" Type="http://schemas.openxmlformats.org/officeDocument/2006/relationships/hyperlink" Target="http://force.com" TargetMode="External"/><Relationship Id="rId3493" Type="http://schemas.openxmlformats.org/officeDocument/2006/relationships/hyperlink" Target="http://force.com" TargetMode="External"/><Relationship Id="rId2164" Type="http://schemas.openxmlformats.org/officeDocument/2006/relationships/hyperlink" Target="http://force.com" TargetMode="External"/><Relationship Id="rId3496" Type="http://schemas.openxmlformats.org/officeDocument/2006/relationships/hyperlink" Target="http://force.com" TargetMode="External"/><Relationship Id="rId2165" Type="http://schemas.openxmlformats.org/officeDocument/2006/relationships/hyperlink" Target="http://force.com" TargetMode="External"/><Relationship Id="rId3495" Type="http://schemas.openxmlformats.org/officeDocument/2006/relationships/hyperlink" Target="http://force.com" TargetMode="External"/><Relationship Id="rId2166" Type="http://schemas.openxmlformats.org/officeDocument/2006/relationships/hyperlink" Target="http://force.com" TargetMode="External"/><Relationship Id="rId3498" Type="http://schemas.openxmlformats.org/officeDocument/2006/relationships/hyperlink" Target="http://force.com" TargetMode="External"/><Relationship Id="rId2167" Type="http://schemas.openxmlformats.org/officeDocument/2006/relationships/hyperlink" Target="http://force.com" TargetMode="External"/><Relationship Id="rId3497" Type="http://schemas.openxmlformats.org/officeDocument/2006/relationships/hyperlink" Target="http://force.com" TargetMode="External"/><Relationship Id="rId2168" Type="http://schemas.openxmlformats.org/officeDocument/2006/relationships/hyperlink" Target="http://force.com" TargetMode="External"/><Relationship Id="rId2169" Type="http://schemas.openxmlformats.org/officeDocument/2006/relationships/hyperlink" Target="http://force.com" TargetMode="External"/><Relationship Id="rId3499" Type="http://schemas.openxmlformats.org/officeDocument/2006/relationships/hyperlink" Target="http://force.com" TargetMode="External"/><Relationship Id="rId2159" Type="http://schemas.openxmlformats.org/officeDocument/2006/relationships/hyperlink" Target="http://force.com" TargetMode="External"/><Relationship Id="rId3481" Type="http://schemas.openxmlformats.org/officeDocument/2006/relationships/hyperlink" Target="http://force.com" TargetMode="External"/><Relationship Id="rId2150" Type="http://schemas.openxmlformats.org/officeDocument/2006/relationships/hyperlink" Target="http://force.com" TargetMode="External"/><Relationship Id="rId3480" Type="http://schemas.openxmlformats.org/officeDocument/2006/relationships/hyperlink" Target="http://force.com" TargetMode="External"/><Relationship Id="rId2151" Type="http://schemas.openxmlformats.org/officeDocument/2006/relationships/hyperlink" Target="http://force.com" TargetMode="External"/><Relationship Id="rId3483" Type="http://schemas.openxmlformats.org/officeDocument/2006/relationships/hyperlink" Target="http://force.com" TargetMode="External"/><Relationship Id="rId2152" Type="http://schemas.openxmlformats.org/officeDocument/2006/relationships/hyperlink" Target="http://force.com" TargetMode="External"/><Relationship Id="rId3482" Type="http://schemas.openxmlformats.org/officeDocument/2006/relationships/hyperlink" Target="http://force.com" TargetMode="External"/><Relationship Id="rId2153" Type="http://schemas.openxmlformats.org/officeDocument/2006/relationships/hyperlink" Target="http://force.com" TargetMode="External"/><Relationship Id="rId3485" Type="http://schemas.openxmlformats.org/officeDocument/2006/relationships/hyperlink" Target="http://force.com" TargetMode="External"/><Relationship Id="rId2154" Type="http://schemas.openxmlformats.org/officeDocument/2006/relationships/hyperlink" Target="http://force.com" TargetMode="External"/><Relationship Id="rId3484" Type="http://schemas.openxmlformats.org/officeDocument/2006/relationships/hyperlink" Target="http://force.com" TargetMode="External"/><Relationship Id="rId2155" Type="http://schemas.openxmlformats.org/officeDocument/2006/relationships/hyperlink" Target="http://force.com" TargetMode="External"/><Relationship Id="rId3487" Type="http://schemas.openxmlformats.org/officeDocument/2006/relationships/hyperlink" Target="http://force.com" TargetMode="External"/><Relationship Id="rId2156" Type="http://schemas.openxmlformats.org/officeDocument/2006/relationships/hyperlink" Target="http://force.com" TargetMode="External"/><Relationship Id="rId3486" Type="http://schemas.openxmlformats.org/officeDocument/2006/relationships/hyperlink" Target="http://force.com" TargetMode="External"/><Relationship Id="rId2157" Type="http://schemas.openxmlformats.org/officeDocument/2006/relationships/hyperlink" Target="http://force.com" TargetMode="External"/><Relationship Id="rId3489" Type="http://schemas.openxmlformats.org/officeDocument/2006/relationships/hyperlink" Target="http://force.com" TargetMode="External"/><Relationship Id="rId2158" Type="http://schemas.openxmlformats.org/officeDocument/2006/relationships/hyperlink" Target="http://force.com" TargetMode="External"/><Relationship Id="rId3488" Type="http://schemas.openxmlformats.org/officeDocument/2006/relationships/hyperlink" Target="http://force.com" TargetMode="External"/><Relationship Id="rId2104" Type="http://schemas.openxmlformats.org/officeDocument/2006/relationships/hyperlink" Target="http://force.com" TargetMode="External"/><Relationship Id="rId3436" Type="http://schemas.openxmlformats.org/officeDocument/2006/relationships/hyperlink" Target="http://force.com" TargetMode="External"/><Relationship Id="rId4767" Type="http://schemas.openxmlformats.org/officeDocument/2006/relationships/hyperlink" Target="http://force.com" TargetMode="External"/><Relationship Id="rId2105" Type="http://schemas.openxmlformats.org/officeDocument/2006/relationships/hyperlink" Target="http://force.com" TargetMode="External"/><Relationship Id="rId3435" Type="http://schemas.openxmlformats.org/officeDocument/2006/relationships/hyperlink" Target="http://force.com" TargetMode="External"/><Relationship Id="rId4766" Type="http://schemas.openxmlformats.org/officeDocument/2006/relationships/hyperlink" Target="http://force.com" TargetMode="External"/><Relationship Id="rId2106" Type="http://schemas.openxmlformats.org/officeDocument/2006/relationships/hyperlink" Target="http://force.com" TargetMode="External"/><Relationship Id="rId3438" Type="http://schemas.openxmlformats.org/officeDocument/2006/relationships/hyperlink" Target="http://force.com" TargetMode="External"/><Relationship Id="rId4769" Type="http://schemas.openxmlformats.org/officeDocument/2006/relationships/hyperlink" Target="http://force.com" TargetMode="External"/><Relationship Id="rId2107" Type="http://schemas.openxmlformats.org/officeDocument/2006/relationships/hyperlink" Target="http://force.com" TargetMode="External"/><Relationship Id="rId3437" Type="http://schemas.openxmlformats.org/officeDocument/2006/relationships/hyperlink" Target="http://force.com" TargetMode="External"/><Relationship Id="rId4768" Type="http://schemas.openxmlformats.org/officeDocument/2006/relationships/hyperlink" Target="http://force.com" TargetMode="External"/><Relationship Id="rId2108" Type="http://schemas.openxmlformats.org/officeDocument/2006/relationships/hyperlink" Target="http://force.com" TargetMode="External"/><Relationship Id="rId2109" Type="http://schemas.openxmlformats.org/officeDocument/2006/relationships/hyperlink" Target="http://force.com" TargetMode="External"/><Relationship Id="rId3439" Type="http://schemas.openxmlformats.org/officeDocument/2006/relationships/hyperlink" Target="http://force.com" TargetMode="External"/><Relationship Id="rId3430" Type="http://schemas.openxmlformats.org/officeDocument/2006/relationships/hyperlink" Target="http://force.com" TargetMode="External"/><Relationship Id="rId4761" Type="http://schemas.openxmlformats.org/officeDocument/2006/relationships/hyperlink" Target="http://force.com" TargetMode="External"/><Relationship Id="rId4760" Type="http://schemas.openxmlformats.org/officeDocument/2006/relationships/hyperlink" Target="http://force.com" TargetMode="External"/><Relationship Id="rId2100" Type="http://schemas.openxmlformats.org/officeDocument/2006/relationships/hyperlink" Target="http://force.com" TargetMode="External"/><Relationship Id="rId3432" Type="http://schemas.openxmlformats.org/officeDocument/2006/relationships/hyperlink" Target="http://force.com" TargetMode="External"/><Relationship Id="rId4763" Type="http://schemas.openxmlformats.org/officeDocument/2006/relationships/hyperlink" Target="http://force.com" TargetMode="External"/><Relationship Id="rId2101" Type="http://schemas.openxmlformats.org/officeDocument/2006/relationships/hyperlink" Target="http://force.com" TargetMode="External"/><Relationship Id="rId3431" Type="http://schemas.openxmlformats.org/officeDocument/2006/relationships/hyperlink" Target="http://force.com" TargetMode="External"/><Relationship Id="rId4762" Type="http://schemas.openxmlformats.org/officeDocument/2006/relationships/hyperlink" Target="http://force.com" TargetMode="External"/><Relationship Id="rId2102" Type="http://schemas.openxmlformats.org/officeDocument/2006/relationships/hyperlink" Target="http://force.com" TargetMode="External"/><Relationship Id="rId3434" Type="http://schemas.openxmlformats.org/officeDocument/2006/relationships/hyperlink" Target="http://force.com" TargetMode="External"/><Relationship Id="rId4765" Type="http://schemas.openxmlformats.org/officeDocument/2006/relationships/hyperlink" Target="http://force.com" TargetMode="External"/><Relationship Id="rId2103" Type="http://schemas.openxmlformats.org/officeDocument/2006/relationships/hyperlink" Target="http://force.com" TargetMode="External"/><Relationship Id="rId3433" Type="http://schemas.openxmlformats.org/officeDocument/2006/relationships/hyperlink" Target="http://force.com" TargetMode="External"/><Relationship Id="rId4764" Type="http://schemas.openxmlformats.org/officeDocument/2006/relationships/hyperlink" Target="http://force.com" TargetMode="External"/><Relationship Id="rId3425" Type="http://schemas.openxmlformats.org/officeDocument/2006/relationships/hyperlink" Target="http://force.com" TargetMode="External"/><Relationship Id="rId4756" Type="http://schemas.openxmlformats.org/officeDocument/2006/relationships/hyperlink" Target="http://force.com" TargetMode="External"/><Relationship Id="rId3424" Type="http://schemas.openxmlformats.org/officeDocument/2006/relationships/hyperlink" Target="http://force.com" TargetMode="External"/><Relationship Id="rId4755" Type="http://schemas.openxmlformats.org/officeDocument/2006/relationships/hyperlink" Target="http://force.com" TargetMode="External"/><Relationship Id="rId3427" Type="http://schemas.openxmlformats.org/officeDocument/2006/relationships/hyperlink" Target="http://force.com" TargetMode="External"/><Relationship Id="rId4758" Type="http://schemas.openxmlformats.org/officeDocument/2006/relationships/hyperlink" Target="http://force.com" TargetMode="External"/><Relationship Id="rId3426" Type="http://schemas.openxmlformats.org/officeDocument/2006/relationships/hyperlink" Target="http://force.com" TargetMode="External"/><Relationship Id="rId4757" Type="http://schemas.openxmlformats.org/officeDocument/2006/relationships/hyperlink" Target="http://force.com" TargetMode="External"/><Relationship Id="rId3429" Type="http://schemas.openxmlformats.org/officeDocument/2006/relationships/hyperlink" Target="http://force.com" TargetMode="External"/><Relationship Id="rId3428" Type="http://schemas.openxmlformats.org/officeDocument/2006/relationships/hyperlink" Target="http://force.com" TargetMode="External"/><Relationship Id="rId4759" Type="http://schemas.openxmlformats.org/officeDocument/2006/relationships/hyperlink" Target="http://force.com" TargetMode="External"/><Relationship Id="rId899" Type="http://schemas.openxmlformats.org/officeDocument/2006/relationships/hyperlink" Target="http://force.com" TargetMode="External"/><Relationship Id="rId898" Type="http://schemas.openxmlformats.org/officeDocument/2006/relationships/hyperlink" Target="http://force.com" TargetMode="External"/><Relationship Id="rId897" Type="http://schemas.openxmlformats.org/officeDocument/2006/relationships/hyperlink" Target="http://force.com" TargetMode="External"/><Relationship Id="rId896" Type="http://schemas.openxmlformats.org/officeDocument/2006/relationships/hyperlink" Target="http://force.com" TargetMode="External"/><Relationship Id="rId891" Type="http://schemas.openxmlformats.org/officeDocument/2006/relationships/hyperlink" Target="http://force.com" TargetMode="External"/><Relationship Id="rId890" Type="http://schemas.openxmlformats.org/officeDocument/2006/relationships/hyperlink" Target="http://force.com" TargetMode="External"/><Relationship Id="rId4750" Type="http://schemas.openxmlformats.org/officeDocument/2006/relationships/hyperlink" Target="http://force.com" TargetMode="External"/><Relationship Id="rId895" Type="http://schemas.openxmlformats.org/officeDocument/2006/relationships/hyperlink" Target="http://force.com" TargetMode="External"/><Relationship Id="rId3421" Type="http://schemas.openxmlformats.org/officeDocument/2006/relationships/hyperlink" Target="http://force.com" TargetMode="External"/><Relationship Id="rId4752" Type="http://schemas.openxmlformats.org/officeDocument/2006/relationships/hyperlink" Target="http://force.com" TargetMode="External"/><Relationship Id="rId894" Type="http://schemas.openxmlformats.org/officeDocument/2006/relationships/hyperlink" Target="http://force.com" TargetMode="External"/><Relationship Id="rId3420" Type="http://schemas.openxmlformats.org/officeDocument/2006/relationships/hyperlink" Target="http://force.com" TargetMode="External"/><Relationship Id="rId4751" Type="http://schemas.openxmlformats.org/officeDocument/2006/relationships/hyperlink" Target="http://force.com" TargetMode="External"/><Relationship Id="rId893" Type="http://schemas.openxmlformats.org/officeDocument/2006/relationships/hyperlink" Target="http://force.com" TargetMode="External"/><Relationship Id="rId3423" Type="http://schemas.openxmlformats.org/officeDocument/2006/relationships/hyperlink" Target="http://force.com" TargetMode="External"/><Relationship Id="rId4754" Type="http://schemas.openxmlformats.org/officeDocument/2006/relationships/hyperlink" Target="http://force.com" TargetMode="External"/><Relationship Id="rId892" Type="http://schemas.openxmlformats.org/officeDocument/2006/relationships/hyperlink" Target="http://force.com" TargetMode="External"/><Relationship Id="rId3422" Type="http://schemas.openxmlformats.org/officeDocument/2006/relationships/hyperlink" Target="http://force.com" TargetMode="External"/><Relationship Id="rId4753" Type="http://schemas.openxmlformats.org/officeDocument/2006/relationships/hyperlink" Target="http://force.com" TargetMode="External"/><Relationship Id="rId2126" Type="http://schemas.openxmlformats.org/officeDocument/2006/relationships/hyperlink" Target="http://force.com" TargetMode="External"/><Relationship Id="rId3458" Type="http://schemas.openxmlformats.org/officeDocument/2006/relationships/hyperlink" Target="http://force.com" TargetMode="External"/><Relationship Id="rId4789" Type="http://schemas.openxmlformats.org/officeDocument/2006/relationships/hyperlink" Target="http://force.com" TargetMode="External"/><Relationship Id="rId2127" Type="http://schemas.openxmlformats.org/officeDocument/2006/relationships/hyperlink" Target="http://force.com" TargetMode="External"/><Relationship Id="rId3457" Type="http://schemas.openxmlformats.org/officeDocument/2006/relationships/hyperlink" Target="http://force.com" TargetMode="External"/><Relationship Id="rId4788" Type="http://schemas.openxmlformats.org/officeDocument/2006/relationships/hyperlink" Target="http://force.com" TargetMode="External"/><Relationship Id="rId2128" Type="http://schemas.openxmlformats.org/officeDocument/2006/relationships/hyperlink" Target="http://force.com" TargetMode="External"/><Relationship Id="rId2129" Type="http://schemas.openxmlformats.org/officeDocument/2006/relationships/hyperlink" Target="http://force.com" TargetMode="External"/><Relationship Id="rId3459" Type="http://schemas.openxmlformats.org/officeDocument/2006/relationships/hyperlink" Target="http://force.com" TargetMode="External"/><Relationship Id="rId3450" Type="http://schemas.openxmlformats.org/officeDocument/2006/relationships/hyperlink" Target="http://force.com" TargetMode="External"/><Relationship Id="rId4781" Type="http://schemas.openxmlformats.org/officeDocument/2006/relationships/hyperlink" Target="http://force.com" TargetMode="External"/><Relationship Id="rId4780" Type="http://schemas.openxmlformats.org/officeDocument/2006/relationships/hyperlink" Target="http://force.com" TargetMode="External"/><Relationship Id="rId2120" Type="http://schemas.openxmlformats.org/officeDocument/2006/relationships/hyperlink" Target="http://force.com" TargetMode="External"/><Relationship Id="rId3452" Type="http://schemas.openxmlformats.org/officeDocument/2006/relationships/hyperlink" Target="http://force.com" TargetMode="External"/><Relationship Id="rId4783" Type="http://schemas.openxmlformats.org/officeDocument/2006/relationships/hyperlink" Target="http://force.com" TargetMode="External"/><Relationship Id="rId2121" Type="http://schemas.openxmlformats.org/officeDocument/2006/relationships/hyperlink" Target="http://force.com" TargetMode="External"/><Relationship Id="rId3451" Type="http://schemas.openxmlformats.org/officeDocument/2006/relationships/hyperlink" Target="http://force.com" TargetMode="External"/><Relationship Id="rId4782" Type="http://schemas.openxmlformats.org/officeDocument/2006/relationships/hyperlink" Target="http://force.com" TargetMode="External"/><Relationship Id="rId2122" Type="http://schemas.openxmlformats.org/officeDocument/2006/relationships/hyperlink" Target="http://force.com" TargetMode="External"/><Relationship Id="rId3454" Type="http://schemas.openxmlformats.org/officeDocument/2006/relationships/hyperlink" Target="http://force.com" TargetMode="External"/><Relationship Id="rId4785" Type="http://schemas.openxmlformats.org/officeDocument/2006/relationships/hyperlink" Target="http://force.com" TargetMode="External"/><Relationship Id="rId2123" Type="http://schemas.openxmlformats.org/officeDocument/2006/relationships/hyperlink" Target="http://force.com" TargetMode="External"/><Relationship Id="rId3453" Type="http://schemas.openxmlformats.org/officeDocument/2006/relationships/hyperlink" Target="http://force.com" TargetMode="External"/><Relationship Id="rId4784" Type="http://schemas.openxmlformats.org/officeDocument/2006/relationships/hyperlink" Target="http://force.com" TargetMode="External"/><Relationship Id="rId2124" Type="http://schemas.openxmlformats.org/officeDocument/2006/relationships/hyperlink" Target="http://force.com" TargetMode="External"/><Relationship Id="rId3456" Type="http://schemas.openxmlformats.org/officeDocument/2006/relationships/hyperlink" Target="http://force.com" TargetMode="External"/><Relationship Id="rId4787" Type="http://schemas.openxmlformats.org/officeDocument/2006/relationships/hyperlink" Target="http://force.com" TargetMode="External"/><Relationship Id="rId2125" Type="http://schemas.openxmlformats.org/officeDocument/2006/relationships/hyperlink" Target="http://force.com" TargetMode="External"/><Relationship Id="rId3455" Type="http://schemas.openxmlformats.org/officeDocument/2006/relationships/hyperlink" Target="http://force.com" TargetMode="External"/><Relationship Id="rId4786" Type="http://schemas.openxmlformats.org/officeDocument/2006/relationships/hyperlink" Target="http://force.com" TargetMode="External"/><Relationship Id="rId2115" Type="http://schemas.openxmlformats.org/officeDocument/2006/relationships/hyperlink" Target="http://force.com" TargetMode="External"/><Relationship Id="rId3447" Type="http://schemas.openxmlformats.org/officeDocument/2006/relationships/hyperlink" Target="http://force.com" TargetMode="External"/><Relationship Id="rId4778" Type="http://schemas.openxmlformats.org/officeDocument/2006/relationships/hyperlink" Target="http://force.com" TargetMode="External"/><Relationship Id="rId2116" Type="http://schemas.openxmlformats.org/officeDocument/2006/relationships/hyperlink" Target="http://force.com" TargetMode="External"/><Relationship Id="rId3446" Type="http://schemas.openxmlformats.org/officeDocument/2006/relationships/hyperlink" Target="http://force.com" TargetMode="External"/><Relationship Id="rId4777" Type="http://schemas.openxmlformats.org/officeDocument/2006/relationships/hyperlink" Target="http://force.com" TargetMode="External"/><Relationship Id="rId2117" Type="http://schemas.openxmlformats.org/officeDocument/2006/relationships/hyperlink" Target="http://force.com" TargetMode="External"/><Relationship Id="rId3449" Type="http://schemas.openxmlformats.org/officeDocument/2006/relationships/hyperlink" Target="http://force.com" TargetMode="External"/><Relationship Id="rId2118" Type="http://schemas.openxmlformats.org/officeDocument/2006/relationships/hyperlink" Target="http://force.com" TargetMode="External"/><Relationship Id="rId3448" Type="http://schemas.openxmlformats.org/officeDocument/2006/relationships/hyperlink" Target="http://force.com" TargetMode="External"/><Relationship Id="rId4779" Type="http://schemas.openxmlformats.org/officeDocument/2006/relationships/hyperlink" Target="http://force.com" TargetMode="External"/><Relationship Id="rId2119" Type="http://schemas.openxmlformats.org/officeDocument/2006/relationships/hyperlink" Target="http://force.com" TargetMode="External"/><Relationship Id="rId4770" Type="http://schemas.openxmlformats.org/officeDocument/2006/relationships/hyperlink" Target="http://force.com" TargetMode="External"/><Relationship Id="rId3441" Type="http://schemas.openxmlformats.org/officeDocument/2006/relationships/hyperlink" Target="http://force.com" TargetMode="External"/><Relationship Id="rId4772" Type="http://schemas.openxmlformats.org/officeDocument/2006/relationships/hyperlink" Target="http://force.com" TargetMode="External"/><Relationship Id="rId2110" Type="http://schemas.openxmlformats.org/officeDocument/2006/relationships/hyperlink" Target="http://force.com" TargetMode="External"/><Relationship Id="rId3440" Type="http://schemas.openxmlformats.org/officeDocument/2006/relationships/hyperlink" Target="http://force.com" TargetMode="External"/><Relationship Id="rId4771" Type="http://schemas.openxmlformats.org/officeDocument/2006/relationships/hyperlink" Target="http://force.com" TargetMode="External"/><Relationship Id="rId2111" Type="http://schemas.openxmlformats.org/officeDocument/2006/relationships/hyperlink" Target="http://force.com" TargetMode="External"/><Relationship Id="rId3443" Type="http://schemas.openxmlformats.org/officeDocument/2006/relationships/hyperlink" Target="http://force.com" TargetMode="External"/><Relationship Id="rId4774" Type="http://schemas.openxmlformats.org/officeDocument/2006/relationships/hyperlink" Target="http://force.com" TargetMode="External"/><Relationship Id="rId2112" Type="http://schemas.openxmlformats.org/officeDocument/2006/relationships/hyperlink" Target="http://force.com" TargetMode="External"/><Relationship Id="rId3442" Type="http://schemas.openxmlformats.org/officeDocument/2006/relationships/hyperlink" Target="http://force.com" TargetMode="External"/><Relationship Id="rId4773" Type="http://schemas.openxmlformats.org/officeDocument/2006/relationships/hyperlink" Target="http://force.com" TargetMode="External"/><Relationship Id="rId2113" Type="http://schemas.openxmlformats.org/officeDocument/2006/relationships/hyperlink" Target="http://force.com" TargetMode="External"/><Relationship Id="rId3445" Type="http://schemas.openxmlformats.org/officeDocument/2006/relationships/hyperlink" Target="http://force.com" TargetMode="External"/><Relationship Id="rId4776" Type="http://schemas.openxmlformats.org/officeDocument/2006/relationships/hyperlink" Target="http://force.com" TargetMode="External"/><Relationship Id="rId2114" Type="http://schemas.openxmlformats.org/officeDocument/2006/relationships/hyperlink" Target="http://force.com" TargetMode="External"/><Relationship Id="rId3444" Type="http://schemas.openxmlformats.org/officeDocument/2006/relationships/hyperlink" Target="http://force.com" TargetMode="External"/><Relationship Id="rId4775" Type="http://schemas.openxmlformats.org/officeDocument/2006/relationships/hyperlink" Target="http://for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46.75"/>
    <col customWidth="1" min="3" max="3" width="38.63"/>
  </cols>
  <sheetData>
    <row r="1">
      <c r="A1" s="1" t="s">
        <v>0</v>
      </c>
    </row>
    <row r="2">
      <c r="A2" s="2" t="s">
        <v>1</v>
      </c>
      <c r="B2" s="3" t="s">
        <v>2</v>
      </c>
    </row>
    <row r="3">
      <c r="A3" s="2" t="s">
        <v>3</v>
      </c>
      <c r="B3" s="3" t="s">
        <v>4</v>
      </c>
    </row>
    <row r="4">
      <c r="A4" s="2" t="s">
        <v>5</v>
      </c>
      <c r="B4" s="3" t="s">
        <v>6</v>
      </c>
    </row>
    <row r="5">
      <c r="A5" s="4" t="s">
        <v>7</v>
      </c>
      <c r="B5" s="5" t="s">
        <v>8</v>
      </c>
    </row>
    <row r="6">
      <c r="A6" s="6"/>
      <c r="B6" s="6"/>
    </row>
    <row r="7">
      <c r="A7" s="1" t="s">
        <v>9</v>
      </c>
    </row>
    <row r="8">
      <c r="A8" s="2" t="s">
        <v>10</v>
      </c>
      <c r="B8" s="7" t="s">
        <v>11</v>
      </c>
    </row>
    <row r="9">
      <c r="A9" s="2" t="s">
        <v>12</v>
      </c>
      <c r="B9" s="3" t="s">
        <v>13</v>
      </c>
    </row>
    <row r="10">
      <c r="A10" s="2" t="s">
        <v>14</v>
      </c>
      <c r="B10" s="3" t="s">
        <v>15</v>
      </c>
    </row>
    <row r="11">
      <c r="A11" s="2" t="s">
        <v>16</v>
      </c>
      <c r="B11" s="3" t="s">
        <v>17</v>
      </c>
    </row>
    <row r="12">
      <c r="A12" s="2" t="s">
        <v>18</v>
      </c>
      <c r="B12" s="3" t="s">
        <v>19</v>
      </c>
    </row>
    <row r="13">
      <c r="A13" s="2" t="s">
        <v>20</v>
      </c>
      <c r="B13" s="8" t="s">
        <v>21</v>
      </c>
    </row>
    <row r="14">
      <c r="A14" s="2" t="s">
        <v>22</v>
      </c>
      <c r="B14" s="3" t="s">
        <v>23</v>
      </c>
    </row>
    <row r="15">
      <c r="A15" s="2" t="s">
        <v>24</v>
      </c>
      <c r="B15" s="3" t="s">
        <v>25</v>
      </c>
    </row>
    <row r="16">
      <c r="A16" s="2" t="s">
        <v>26</v>
      </c>
      <c r="B16" s="3" t="s">
        <v>27</v>
      </c>
    </row>
    <row r="17">
      <c r="A17" s="2" t="s">
        <v>28</v>
      </c>
      <c r="B17" s="3" t="s">
        <v>29</v>
      </c>
    </row>
    <row r="18">
      <c r="A18" s="2" t="s">
        <v>30</v>
      </c>
      <c r="B18" s="3" t="s">
        <v>31</v>
      </c>
    </row>
    <row r="19">
      <c r="A19" s="2" t="s">
        <v>32</v>
      </c>
      <c r="B19" s="7" t="s">
        <v>33</v>
      </c>
    </row>
    <row r="20">
      <c r="A20" s="2" t="s">
        <v>34</v>
      </c>
      <c r="B20" s="3" t="s">
        <v>35</v>
      </c>
    </row>
    <row r="21">
      <c r="A21" s="9" t="s">
        <v>36</v>
      </c>
      <c r="B21" s="10" t="s">
        <v>37</v>
      </c>
    </row>
    <row r="22">
      <c r="A22" s="9" t="s">
        <v>38</v>
      </c>
      <c r="B22" s="10" t="s">
        <v>39</v>
      </c>
    </row>
    <row r="23">
      <c r="A23" s="9" t="s">
        <v>40</v>
      </c>
      <c r="B23" s="10" t="s">
        <v>41</v>
      </c>
    </row>
    <row r="24">
      <c r="A24" s="9" t="s">
        <v>42</v>
      </c>
      <c r="B24" s="10" t="s">
        <v>43</v>
      </c>
    </row>
    <row r="25">
      <c r="A25" s="9" t="s">
        <v>44</v>
      </c>
      <c r="B25" s="10" t="s">
        <v>45</v>
      </c>
    </row>
  </sheetData>
  <mergeCells count="2">
    <mergeCell ref="A1:B1"/>
    <mergeCell ref="A7:B7"/>
  </mergeCells>
  <hyperlinks>
    <hyperlink r:id="rId1" ref="B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7.25"/>
    <col customWidth="1" min="4" max="4" width="15.63"/>
    <col customWidth="1" min="7" max="7" width="17.5"/>
    <col customWidth="1" min="11" max="11" width="13.5"/>
    <col customWidth="1" min="12" max="12" width="14.25"/>
    <col customWidth="1" min="13" max="13" width="16.25"/>
  </cols>
  <sheetData>
    <row r="1">
      <c r="A1" s="11"/>
      <c r="B1" s="11"/>
      <c r="C1" s="11"/>
      <c r="D1" s="11"/>
      <c r="E1" s="11"/>
      <c r="F1" s="11"/>
      <c r="G1" s="11"/>
      <c r="H1" s="11"/>
      <c r="I1" s="11"/>
      <c r="J1" s="11"/>
      <c r="K1" s="11"/>
      <c r="L1" s="11"/>
      <c r="M1" s="11"/>
      <c r="N1" s="11"/>
      <c r="O1" s="11"/>
      <c r="P1" s="11"/>
      <c r="Q1" s="11"/>
      <c r="R1" s="12"/>
      <c r="S1" s="12"/>
      <c r="T1" s="12"/>
      <c r="U1" s="12"/>
      <c r="V1" s="12"/>
      <c r="W1" s="12"/>
      <c r="X1" s="12"/>
      <c r="Y1" s="12"/>
      <c r="Z1" s="12"/>
      <c r="AA1" s="12"/>
      <c r="AB1" s="12"/>
      <c r="AC1" s="12"/>
    </row>
    <row r="2">
      <c r="A2" s="2" t="s">
        <v>10</v>
      </c>
      <c r="B2" s="2" t="s">
        <v>12</v>
      </c>
      <c r="C2" s="2" t="s">
        <v>14</v>
      </c>
      <c r="D2" s="2" t="s">
        <v>16</v>
      </c>
      <c r="E2" s="2" t="s">
        <v>18</v>
      </c>
      <c r="F2" s="2" t="s">
        <v>20</v>
      </c>
      <c r="G2" s="2" t="s">
        <v>22</v>
      </c>
      <c r="H2" s="2" t="s">
        <v>46</v>
      </c>
      <c r="I2" s="2" t="s">
        <v>24</v>
      </c>
      <c r="J2" s="2" t="s">
        <v>32</v>
      </c>
      <c r="K2" s="2" t="s">
        <v>36</v>
      </c>
      <c r="L2" s="2" t="s">
        <v>40</v>
      </c>
      <c r="M2" s="2" t="s">
        <v>42</v>
      </c>
      <c r="N2" s="7"/>
      <c r="O2" s="7"/>
      <c r="P2" s="7"/>
      <c r="Q2" s="7"/>
      <c r="R2" s="6"/>
      <c r="S2" s="6"/>
      <c r="T2" s="6"/>
      <c r="U2" s="6"/>
      <c r="V2" s="6"/>
      <c r="W2" s="6"/>
      <c r="X2" s="6"/>
      <c r="Y2" s="6"/>
      <c r="Z2" s="6"/>
      <c r="AA2" s="6"/>
      <c r="AB2" s="6"/>
      <c r="AC2" s="6"/>
    </row>
    <row r="3">
      <c r="A3" s="13">
        <v>45901.0</v>
      </c>
      <c r="B3" s="14" t="s">
        <v>47</v>
      </c>
      <c r="C3" s="14" t="s">
        <v>48</v>
      </c>
      <c r="D3" s="14" t="s">
        <v>49</v>
      </c>
      <c r="E3" s="14" t="s">
        <v>50</v>
      </c>
      <c r="F3" s="15" t="s">
        <v>51</v>
      </c>
      <c r="G3" s="14" t="s">
        <v>52</v>
      </c>
      <c r="H3" s="14" t="s">
        <v>53</v>
      </c>
      <c r="I3" s="14" t="s">
        <v>54</v>
      </c>
      <c r="J3" s="14" t="s">
        <v>55</v>
      </c>
      <c r="K3" s="16">
        <v>72.0</v>
      </c>
      <c r="L3" s="17" t="str">
        <f t="shared" ref="L3:L4" si="1">"+3"</f>
        <v>+3</v>
      </c>
      <c r="M3" s="18" t="str">
        <f>"+7"</f>
        <v>+7</v>
      </c>
    </row>
    <row r="4">
      <c r="A4" s="13">
        <v>45901.0</v>
      </c>
      <c r="B4" s="14" t="s">
        <v>47</v>
      </c>
      <c r="C4" s="14" t="s">
        <v>48</v>
      </c>
      <c r="D4" s="14" t="s">
        <v>56</v>
      </c>
      <c r="E4" s="14" t="s">
        <v>57</v>
      </c>
      <c r="F4" s="15" t="s">
        <v>51</v>
      </c>
      <c r="G4" s="14" t="s">
        <v>58</v>
      </c>
      <c r="H4" s="14" t="s">
        <v>56</v>
      </c>
      <c r="I4" s="14" t="s">
        <v>59</v>
      </c>
      <c r="J4" s="14" t="s">
        <v>55</v>
      </c>
      <c r="K4" s="16">
        <v>56.0</v>
      </c>
      <c r="L4" s="17" t="str">
        <f t="shared" si="1"/>
        <v>+3</v>
      </c>
      <c r="M4" s="18" t="str">
        <f t="shared" ref="M4:M5" si="2">"+3"</f>
        <v>+3</v>
      </c>
    </row>
    <row r="5">
      <c r="A5" s="13">
        <v>45901.0</v>
      </c>
      <c r="B5" s="14" t="s">
        <v>47</v>
      </c>
      <c r="C5" s="14" t="s">
        <v>48</v>
      </c>
      <c r="D5" s="14" t="s">
        <v>60</v>
      </c>
      <c r="E5" s="14" t="s">
        <v>61</v>
      </c>
      <c r="F5" s="15" t="s">
        <v>51</v>
      </c>
      <c r="G5" s="14" t="s">
        <v>62</v>
      </c>
      <c r="H5" s="14" t="s">
        <v>60</v>
      </c>
      <c r="I5" s="14" t="s">
        <v>59</v>
      </c>
      <c r="J5" s="14" t="s">
        <v>55</v>
      </c>
      <c r="K5" s="16">
        <v>51.0</v>
      </c>
      <c r="L5" s="17" t="str">
        <f>"+4"</f>
        <v>+4</v>
      </c>
      <c r="M5" s="18" t="str">
        <f t="shared" si="2"/>
        <v>+3</v>
      </c>
    </row>
    <row r="6">
      <c r="A6" s="13">
        <v>45901.0</v>
      </c>
      <c r="B6" s="14" t="s">
        <v>47</v>
      </c>
      <c r="C6" s="14" t="s">
        <v>48</v>
      </c>
      <c r="D6" s="14" t="s">
        <v>63</v>
      </c>
      <c r="E6" s="14" t="s">
        <v>64</v>
      </c>
      <c r="F6" s="15" t="s">
        <v>51</v>
      </c>
      <c r="G6" s="14" t="s">
        <v>65</v>
      </c>
      <c r="H6" s="14" t="s">
        <v>63</v>
      </c>
      <c r="I6" s="14" t="s">
        <v>54</v>
      </c>
      <c r="J6" s="14" t="s">
        <v>55</v>
      </c>
      <c r="K6" s="16">
        <v>68.0</v>
      </c>
      <c r="L6" s="17" t="str">
        <f>"+1"</f>
        <v>+1</v>
      </c>
      <c r="M6" s="18" t="str">
        <f>"+7"</f>
        <v>+7</v>
      </c>
    </row>
    <row r="7">
      <c r="A7" s="13">
        <v>45901.0</v>
      </c>
      <c r="B7" s="14" t="s">
        <v>47</v>
      </c>
      <c r="C7" s="14" t="s">
        <v>48</v>
      </c>
      <c r="D7" s="14" t="s">
        <v>66</v>
      </c>
      <c r="E7" s="14" t="s">
        <v>67</v>
      </c>
      <c r="F7" s="15" t="s">
        <v>51</v>
      </c>
      <c r="G7" s="14" t="s">
        <v>68</v>
      </c>
      <c r="H7" s="14" t="s">
        <v>66</v>
      </c>
      <c r="I7" s="14" t="s">
        <v>59</v>
      </c>
      <c r="J7" s="14" t="s">
        <v>55</v>
      </c>
      <c r="K7" s="16">
        <v>33.0</v>
      </c>
      <c r="L7" s="17" t="str">
        <f>"-2"</f>
        <v>-2</v>
      </c>
      <c r="M7" s="18" t="str">
        <f>"-7"</f>
        <v>-7</v>
      </c>
    </row>
    <row r="8">
      <c r="A8" s="13">
        <v>45901.0</v>
      </c>
      <c r="B8" s="14" t="s">
        <v>47</v>
      </c>
      <c r="C8" s="14" t="s">
        <v>48</v>
      </c>
      <c r="D8" s="14" t="s">
        <v>69</v>
      </c>
      <c r="E8" s="14" t="s">
        <v>70</v>
      </c>
      <c r="F8" s="14" t="s">
        <v>71</v>
      </c>
      <c r="G8" s="14">
        <v>1.00002092E8</v>
      </c>
      <c r="H8" s="14" t="s">
        <v>72</v>
      </c>
      <c r="I8" s="14" t="s">
        <v>54</v>
      </c>
      <c r="J8" s="14" t="s">
        <v>55</v>
      </c>
      <c r="K8" s="16">
        <v>80.0</v>
      </c>
      <c r="L8" s="17" t="str">
        <f>"+0"</f>
        <v>+0</v>
      </c>
      <c r="M8" s="18" t="str">
        <f>"-3"</f>
        <v>-3</v>
      </c>
    </row>
    <row r="9">
      <c r="A9" s="13">
        <v>45901.0</v>
      </c>
      <c r="B9" s="14" t="s">
        <v>47</v>
      </c>
      <c r="C9" s="14" t="s">
        <v>48</v>
      </c>
      <c r="D9" s="14" t="s">
        <v>73</v>
      </c>
      <c r="E9" s="14" t="s">
        <v>74</v>
      </c>
      <c r="F9" s="15" t="s">
        <v>51</v>
      </c>
      <c r="G9" s="14" t="s">
        <v>75</v>
      </c>
      <c r="H9" s="14" t="s">
        <v>76</v>
      </c>
      <c r="I9" s="14" t="s">
        <v>59</v>
      </c>
      <c r="J9" s="14" t="s">
        <v>55</v>
      </c>
      <c r="K9" s="16">
        <v>50.0</v>
      </c>
      <c r="L9" s="17" t="str">
        <f>"+2"</f>
        <v>+2</v>
      </c>
      <c r="M9" s="18" t="str">
        <f>"+3"</f>
        <v>+3</v>
      </c>
    </row>
    <row r="10">
      <c r="A10" s="13">
        <v>45901.0</v>
      </c>
      <c r="B10" s="14" t="s">
        <v>47</v>
      </c>
      <c r="C10" s="14" t="s">
        <v>48</v>
      </c>
      <c r="D10" s="14" t="s">
        <v>77</v>
      </c>
      <c r="E10" s="14" t="s">
        <v>78</v>
      </c>
      <c r="F10" s="14" t="s">
        <v>79</v>
      </c>
      <c r="G10" s="14" t="s">
        <v>80</v>
      </c>
      <c r="H10" s="14" t="s">
        <v>81</v>
      </c>
      <c r="J10" s="14" t="s">
        <v>55</v>
      </c>
      <c r="K10" s="16">
        <v>36.0</v>
      </c>
      <c r="L10" s="17" t="str">
        <f>"+0"</f>
        <v>+0</v>
      </c>
      <c r="M10" s="18" t="str">
        <f>"+23"</f>
        <v>+23</v>
      </c>
    </row>
    <row r="11">
      <c r="A11" s="13">
        <v>45901.0</v>
      </c>
      <c r="B11" s="14" t="s">
        <v>47</v>
      </c>
      <c r="C11" s="14" t="s">
        <v>48</v>
      </c>
      <c r="D11" s="14" t="s">
        <v>82</v>
      </c>
      <c r="E11" s="14" t="s">
        <v>83</v>
      </c>
      <c r="F11" s="15" t="s">
        <v>51</v>
      </c>
      <c r="G11" s="14" t="s">
        <v>84</v>
      </c>
      <c r="H11" s="14" t="s">
        <v>82</v>
      </c>
      <c r="I11" s="14" t="s">
        <v>59</v>
      </c>
      <c r="J11" s="14" t="s">
        <v>55</v>
      </c>
      <c r="K11" s="16">
        <v>54.0</v>
      </c>
      <c r="L11" s="17" t="str">
        <f>"+1"</f>
        <v>+1</v>
      </c>
      <c r="M11" s="18" t="str">
        <f>"+2"</f>
        <v>+2</v>
      </c>
    </row>
    <row r="12">
      <c r="A12" s="13">
        <v>45901.0</v>
      </c>
      <c r="B12" s="14" t="s">
        <v>47</v>
      </c>
      <c r="C12" s="14" t="s">
        <v>48</v>
      </c>
      <c r="D12" s="14" t="s">
        <v>85</v>
      </c>
      <c r="E12" s="14" t="s">
        <v>86</v>
      </c>
      <c r="F12" s="14" t="s">
        <v>71</v>
      </c>
      <c r="G12" s="14">
        <v>88285.0</v>
      </c>
      <c r="H12" s="14" t="s">
        <v>85</v>
      </c>
      <c r="I12" s="14" t="s">
        <v>59</v>
      </c>
      <c r="J12" s="14" t="s">
        <v>55</v>
      </c>
      <c r="K12" s="16">
        <v>21.0</v>
      </c>
      <c r="L12" s="17" t="str">
        <f t="shared" ref="L12:M12" si="3">"-1"</f>
        <v>-1</v>
      </c>
      <c r="M12" s="18" t="str">
        <f t="shared" si="3"/>
        <v>-1</v>
      </c>
    </row>
    <row r="13">
      <c r="A13" s="13">
        <v>45901.0</v>
      </c>
      <c r="B13" s="14" t="s">
        <v>47</v>
      </c>
      <c r="C13" s="14" t="s">
        <v>48</v>
      </c>
      <c r="D13" s="14" t="s">
        <v>87</v>
      </c>
      <c r="E13" s="14" t="s">
        <v>88</v>
      </c>
      <c r="F13" s="15" t="s">
        <v>51</v>
      </c>
      <c r="G13" s="14" t="s">
        <v>89</v>
      </c>
      <c r="H13" s="14" t="s">
        <v>90</v>
      </c>
      <c r="I13" s="14" t="s">
        <v>59</v>
      </c>
      <c r="J13" s="14" t="s">
        <v>55</v>
      </c>
      <c r="K13" s="16">
        <v>61.0</v>
      </c>
      <c r="L13" s="17" t="str">
        <f>"+4"</f>
        <v>+4</v>
      </c>
      <c r="M13" s="18" t="str">
        <f>"+5"</f>
        <v>+5</v>
      </c>
    </row>
    <row r="14">
      <c r="A14" s="13">
        <v>45901.0</v>
      </c>
      <c r="B14" s="14" t="s">
        <v>47</v>
      </c>
      <c r="C14" s="14" t="s">
        <v>48</v>
      </c>
      <c r="D14" s="14" t="s">
        <v>91</v>
      </c>
      <c r="E14" s="14" t="s">
        <v>92</v>
      </c>
      <c r="F14" s="14" t="s">
        <v>71</v>
      </c>
      <c r="G14" s="14">
        <v>7295600.0</v>
      </c>
      <c r="H14" s="14" t="s">
        <v>91</v>
      </c>
      <c r="I14" s="14" t="s">
        <v>54</v>
      </c>
      <c r="J14" s="14" t="s">
        <v>55</v>
      </c>
      <c r="K14" s="16">
        <v>99.0</v>
      </c>
      <c r="L14" s="17" t="str">
        <f t="shared" ref="L14:M14" si="4">"+0"</f>
        <v>+0</v>
      </c>
      <c r="M14" s="18" t="str">
        <f t="shared" si="4"/>
        <v>+0</v>
      </c>
    </row>
    <row r="15">
      <c r="A15" s="13">
        <v>45901.0</v>
      </c>
      <c r="B15" s="14" t="s">
        <v>47</v>
      </c>
      <c r="C15" s="14" t="s">
        <v>48</v>
      </c>
      <c r="D15" s="14" t="s">
        <v>93</v>
      </c>
      <c r="E15" s="14" t="s">
        <v>94</v>
      </c>
      <c r="F15" s="14" t="s">
        <v>71</v>
      </c>
      <c r="G15" s="14">
        <v>5.36001438E8</v>
      </c>
      <c r="H15" s="14" t="s">
        <v>95</v>
      </c>
      <c r="I15" s="14" t="s">
        <v>59</v>
      </c>
      <c r="J15" s="14" t="s">
        <v>55</v>
      </c>
      <c r="K15" s="16">
        <v>8.0</v>
      </c>
      <c r="L15" s="17" t="str">
        <f>"+0"</f>
        <v>+0</v>
      </c>
      <c r="M15" s="18" t="str">
        <f>"+1"</f>
        <v>+1</v>
      </c>
    </row>
    <row r="16">
      <c r="A16" s="13">
        <v>45901.0</v>
      </c>
      <c r="B16" s="14" t="s">
        <v>47</v>
      </c>
      <c r="C16" s="14" t="s">
        <v>48</v>
      </c>
      <c r="D16" s="14" t="s">
        <v>91</v>
      </c>
      <c r="E16" s="14" t="s">
        <v>92</v>
      </c>
      <c r="F16" s="14" t="s">
        <v>71</v>
      </c>
      <c r="G16" s="14">
        <v>5.00008613E8</v>
      </c>
      <c r="H16" s="14" t="s">
        <v>91</v>
      </c>
      <c r="I16" s="14" t="s">
        <v>59</v>
      </c>
      <c r="J16" s="14" t="s">
        <v>55</v>
      </c>
      <c r="K16" s="16">
        <v>30.0</v>
      </c>
      <c r="L16" s="17" t="str">
        <f t="shared" ref="L16:M16" si="5">"+1"</f>
        <v>+1</v>
      </c>
      <c r="M16" s="18" t="str">
        <f t="shared" si="5"/>
        <v>+1</v>
      </c>
    </row>
    <row r="17">
      <c r="A17" s="13">
        <v>45901.0</v>
      </c>
      <c r="B17" s="14" t="s">
        <v>47</v>
      </c>
      <c r="C17" s="14" t="s">
        <v>48</v>
      </c>
      <c r="D17" s="14" t="s">
        <v>91</v>
      </c>
      <c r="E17" s="14" t="s">
        <v>92</v>
      </c>
      <c r="F17" s="14" t="s">
        <v>71</v>
      </c>
      <c r="G17" s="14">
        <v>5.10000484E8</v>
      </c>
      <c r="H17" s="14" t="s">
        <v>91</v>
      </c>
      <c r="I17" s="14" t="s">
        <v>54</v>
      </c>
      <c r="J17" s="14" t="s">
        <v>55</v>
      </c>
      <c r="K17" s="16">
        <v>58.0</v>
      </c>
      <c r="L17" s="17" t="str">
        <f>"+0"</f>
        <v>+0</v>
      </c>
      <c r="M17" s="18" t="str">
        <f>"+2"</f>
        <v>+2</v>
      </c>
    </row>
    <row r="18">
      <c r="A18" s="13">
        <v>45901.0</v>
      </c>
      <c r="B18" s="14" t="s">
        <v>47</v>
      </c>
      <c r="C18" s="14" t="s">
        <v>48</v>
      </c>
      <c r="D18" s="14" t="s">
        <v>96</v>
      </c>
      <c r="E18" s="14" t="s">
        <v>97</v>
      </c>
      <c r="F18" s="15" t="s">
        <v>51</v>
      </c>
      <c r="G18" s="14" t="s">
        <v>98</v>
      </c>
      <c r="H18" s="14" t="s">
        <v>96</v>
      </c>
      <c r="I18" s="14" t="s">
        <v>59</v>
      </c>
      <c r="J18" s="14" t="s">
        <v>55</v>
      </c>
      <c r="K18" s="16">
        <v>40.0</v>
      </c>
      <c r="L18" s="17" t="str">
        <f>"+2"</f>
        <v>+2</v>
      </c>
      <c r="M18" s="18" t="str">
        <f>"-1"</f>
        <v>-1</v>
      </c>
    </row>
    <row r="19">
      <c r="A19" s="13">
        <v>45901.0</v>
      </c>
      <c r="B19" s="14" t="s">
        <v>47</v>
      </c>
      <c r="C19" s="14" t="s">
        <v>48</v>
      </c>
      <c r="D19" s="14" t="s">
        <v>99</v>
      </c>
      <c r="E19" s="14" t="s">
        <v>100</v>
      </c>
      <c r="F19" s="15" t="s">
        <v>51</v>
      </c>
      <c r="G19" s="14" t="s">
        <v>101</v>
      </c>
      <c r="H19" s="14" t="s">
        <v>102</v>
      </c>
      <c r="I19" s="14" t="s">
        <v>54</v>
      </c>
      <c r="J19" s="14" t="s">
        <v>55</v>
      </c>
      <c r="K19" s="16">
        <v>52.0</v>
      </c>
      <c r="L19" s="17" t="str">
        <f>"+3"</f>
        <v>+3</v>
      </c>
      <c r="M19" s="18" t="str">
        <f>"+13"</f>
        <v>+13</v>
      </c>
    </row>
    <row r="20">
      <c r="A20" s="13">
        <v>45901.0</v>
      </c>
      <c r="B20" s="14" t="s">
        <v>47</v>
      </c>
      <c r="C20" s="14" t="s">
        <v>48</v>
      </c>
      <c r="D20" s="14" t="s">
        <v>91</v>
      </c>
      <c r="E20" s="14" t="s">
        <v>92</v>
      </c>
      <c r="F20" s="14" t="s">
        <v>71</v>
      </c>
      <c r="G20" s="14">
        <v>1.00004432E8</v>
      </c>
      <c r="H20" s="14" t="s">
        <v>91</v>
      </c>
      <c r="I20" s="14" t="s">
        <v>59</v>
      </c>
      <c r="J20" s="14" t="s">
        <v>55</v>
      </c>
      <c r="K20" s="16">
        <v>83.0</v>
      </c>
      <c r="L20" s="17" t="str">
        <f t="shared" ref="L20:M20" si="6">"-8"</f>
        <v>-8</v>
      </c>
      <c r="M20" s="18" t="str">
        <f t="shared" si="6"/>
        <v>-8</v>
      </c>
    </row>
    <row r="21">
      <c r="A21" s="13">
        <v>45901.0</v>
      </c>
      <c r="B21" s="14" t="s">
        <v>47</v>
      </c>
      <c r="C21" s="14" t="s">
        <v>48</v>
      </c>
      <c r="D21" s="14" t="s">
        <v>103</v>
      </c>
      <c r="E21" s="14" t="s">
        <v>104</v>
      </c>
      <c r="F21" s="15" t="s">
        <v>51</v>
      </c>
      <c r="G21" s="14" t="s">
        <v>105</v>
      </c>
      <c r="H21" s="14" t="s">
        <v>106</v>
      </c>
      <c r="I21" s="14" t="s">
        <v>59</v>
      </c>
      <c r="J21" s="14" t="s">
        <v>55</v>
      </c>
      <c r="K21" s="16">
        <v>47.0</v>
      </c>
      <c r="L21" s="17" t="str">
        <f t="shared" ref="L21:M21" si="7">"+6"</f>
        <v>+6</v>
      </c>
      <c r="M21" s="18" t="str">
        <f t="shared" si="7"/>
        <v>+6</v>
      </c>
    </row>
    <row r="22">
      <c r="A22" s="13">
        <v>45901.0</v>
      </c>
      <c r="B22" s="14" t="s">
        <v>47</v>
      </c>
      <c r="C22" s="14" t="s">
        <v>48</v>
      </c>
      <c r="D22" s="14" t="s">
        <v>87</v>
      </c>
      <c r="E22" s="14" t="s">
        <v>88</v>
      </c>
      <c r="F22" s="14" t="s">
        <v>71</v>
      </c>
      <c r="G22" s="14">
        <v>5.46000941E8</v>
      </c>
      <c r="H22" s="14" t="s">
        <v>90</v>
      </c>
      <c r="I22" s="14" t="s">
        <v>107</v>
      </c>
      <c r="J22" s="14" t="s">
        <v>55</v>
      </c>
      <c r="K22" s="16">
        <v>37.0</v>
      </c>
      <c r="L22" s="17" t="str">
        <f t="shared" ref="L22:L23" si="8">"+0"</f>
        <v>+0</v>
      </c>
      <c r="M22" s="18" t="str">
        <f>"-5"</f>
        <v>-5</v>
      </c>
    </row>
    <row r="23">
      <c r="A23" s="13">
        <v>45901.0</v>
      </c>
      <c r="B23" s="14" t="s">
        <v>47</v>
      </c>
      <c r="C23" s="14" t="s">
        <v>48</v>
      </c>
      <c r="D23" s="14" t="s">
        <v>108</v>
      </c>
      <c r="E23" s="14" t="s">
        <v>109</v>
      </c>
      <c r="F23" s="15" t="s">
        <v>51</v>
      </c>
      <c r="G23" s="14" t="s">
        <v>110</v>
      </c>
      <c r="H23" s="14" t="s">
        <v>108</v>
      </c>
      <c r="I23" s="14" t="s">
        <v>59</v>
      </c>
      <c r="J23" s="14" t="s">
        <v>55</v>
      </c>
      <c r="K23" s="16">
        <v>40.0</v>
      </c>
      <c r="L23" s="17" t="str">
        <f t="shared" si="8"/>
        <v>+0</v>
      </c>
      <c r="M23" s="18" t="str">
        <f>"-1"</f>
        <v>-1</v>
      </c>
    </row>
    <row r="24">
      <c r="A24" s="13">
        <v>45901.0</v>
      </c>
      <c r="B24" s="14" t="s">
        <v>47</v>
      </c>
      <c r="C24" s="14" t="s">
        <v>48</v>
      </c>
      <c r="D24" s="14" t="s">
        <v>63</v>
      </c>
      <c r="E24" s="14" t="s">
        <v>64</v>
      </c>
      <c r="F24" s="14" t="s">
        <v>111</v>
      </c>
      <c r="G24" s="14">
        <v>4916210.0</v>
      </c>
      <c r="H24" s="14" t="s">
        <v>63</v>
      </c>
      <c r="I24" s="14" t="s">
        <v>59</v>
      </c>
      <c r="J24" s="14" t="s">
        <v>55</v>
      </c>
      <c r="K24" s="16">
        <v>73.0</v>
      </c>
      <c r="L24" s="17" t="str">
        <f>"+1"</f>
        <v>+1</v>
      </c>
      <c r="M24" s="18" t="str">
        <f>"+0"</f>
        <v>+0</v>
      </c>
    </row>
    <row r="25">
      <c r="A25" s="13">
        <v>45901.0</v>
      </c>
      <c r="B25" s="14" t="s">
        <v>47</v>
      </c>
      <c r="C25" s="14" t="s">
        <v>48</v>
      </c>
      <c r="D25" s="14" t="s">
        <v>112</v>
      </c>
      <c r="E25" s="14" t="s">
        <v>113</v>
      </c>
      <c r="F25" s="15" t="s">
        <v>51</v>
      </c>
      <c r="G25" s="14" t="s">
        <v>114</v>
      </c>
      <c r="H25" s="14" t="s">
        <v>112</v>
      </c>
      <c r="I25" s="14" t="s">
        <v>59</v>
      </c>
      <c r="J25" s="14" t="s">
        <v>55</v>
      </c>
      <c r="K25" s="16">
        <v>37.0</v>
      </c>
      <c r="L25" s="17" t="str">
        <f>"+3"</f>
        <v>+3</v>
      </c>
      <c r="M25" s="18" t="str">
        <f>"+4"</f>
        <v>+4</v>
      </c>
    </row>
    <row r="26">
      <c r="A26" s="13">
        <v>45901.0</v>
      </c>
      <c r="B26" s="14" t="s">
        <v>47</v>
      </c>
      <c r="C26" s="14" t="s">
        <v>48</v>
      </c>
      <c r="D26" s="14" t="s">
        <v>56</v>
      </c>
      <c r="E26" s="14" t="s">
        <v>57</v>
      </c>
      <c r="F26" s="14" t="s">
        <v>71</v>
      </c>
      <c r="G26" s="14">
        <v>5.36003976E8</v>
      </c>
      <c r="H26" s="14" t="s">
        <v>56</v>
      </c>
      <c r="I26" s="14" t="s">
        <v>59</v>
      </c>
      <c r="J26" s="14" t="s">
        <v>55</v>
      </c>
      <c r="K26" s="16">
        <v>15.0</v>
      </c>
      <c r="L26" s="17" t="str">
        <f>"-1"</f>
        <v>-1</v>
      </c>
      <c r="M26" s="18" t="str">
        <f>"+0"</f>
        <v>+0</v>
      </c>
    </row>
    <row r="27">
      <c r="A27" s="13">
        <v>45901.0</v>
      </c>
      <c r="B27" s="14" t="s">
        <v>47</v>
      </c>
      <c r="C27" s="14" t="s">
        <v>48</v>
      </c>
      <c r="D27" s="14" t="s">
        <v>69</v>
      </c>
      <c r="E27" s="14" t="s">
        <v>70</v>
      </c>
      <c r="F27" s="15" t="s">
        <v>51</v>
      </c>
      <c r="G27" s="14" t="s">
        <v>115</v>
      </c>
      <c r="H27" s="14" t="s">
        <v>72</v>
      </c>
      <c r="I27" s="14" t="s">
        <v>54</v>
      </c>
      <c r="J27" s="14" t="s">
        <v>55</v>
      </c>
      <c r="K27" s="16">
        <v>67.0</v>
      </c>
      <c r="L27" s="17" t="str">
        <f>"+3"</f>
        <v>+3</v>
      </c>
      <c r="M27" s="18" t="str">
        <f>"+7"</f>
        <v>+7</v>
      </c>
    </row>
    <row r="28">
      <c r="A28" s="13">
        <v>45901.0</v>
      </c>
      <c r="B28" s="14" t="s">
        <v>47</v>
      </c>
      <c r="C28" s="14" t="s">
        <v>48</v>
      </c>
      <c r="D28" s="14" t="s">
        <v>116</v>
      </c>
      <c r="E28" s="14" t="s">
        <v>117</v>
      </c>
      <c r="F28" s="14" t="s">
        <v>111</v>
      </c>
      <c r="G28" s="14">
        <v>5298600.0</v>
      </c>
      <c r="H28" s="14" t="s">
        <v>116</v>
      </c>
      <c r="I28" s="14" t="s">
        <v>59</v>
      </c>
      <c r="J28" s="14" t="s">
        <v>55</v>
      </c>
      <c r="K28" s="16">
        <v>52.0</v>
      </c>
      <c r="L28" s="17" t="str">
        <f>"+0"</f>
        <v>+0</v>
      </c>
      <c r="M28" s="18" t="str">
        <f>"-6"</f>
        <v>-6</v>
      </c>
    </row>
    <row r="29">
      <c r="A29" s="13">
        <v>45901.0</v>
      </c>
      <c r="B29" s="14" t="s">
        <v>47</v>
      </c>
      <c r="C29" s="14" t="s">
        <v>48</v>
      </c>
      <c r="D29" s="14" t="s">
        <v>118</v>
      </c>
      <c r="E29" s="14" t="s">
        <v>119</v>
      </c>
      <c r="F29" s="15" t="s">
        <v>51</v>
      </c>
      <c r="G29" s="14" t="s">
        <v>120</v>
      </c>
      <c r="H29" s="14" t="s">
        <v>118</v>
      </c>
      <c r="I29" s="14" t="s">
        <v>59</v>
      </c>
      <c r="J29" s="14" t="s">
        <v>55</v>
      </c>
      <c r="K29" s="16">
        <v>48.0</v>
      </c>
      <c r="L29" s="17" t="str">
        <f>"+4"</f>
        <v>+4</v>
      </c>
      <c r="M29" s="18" t="str">
        <f>"+3"</f>
        <v>+3</v>
      </c>
    </row>
    <row r="30">
      <c r="A30" s="13">
        <v>45901.0</v>
      </c>
      <c r="B30" s="14" t="s">
        <v>47</v>
      </c>
      <c r="C30" s="14" t="s">
        <v>48</v>
      </c>
      <c r="D30" s="14" t="s">
        <v>121</v>
      </c>
      <c r="E30" s="14" t="s">
        <v>122</v>
      </c>
      <c r="F30" s="15" t="s">
        <v>51</v>
      </c>
      <c r="G30" s="14" t="s">
        <v>123</v>
      </c>
      <c r="H30" s="14" t="s">
        <v>124</v>
      </c>
      <c r="I30" s="14" t="s">
        <v>59</v>
      </c>
      <c r="J30" s="14" t="s">
        <v>55</v>
      </c>
      <c r="K30" s="16">
        <v>41.0</v>
      </c>
      <c r="L30" s="17" t="str">
        <f>"+6"</f>
        <v>+6</v>
      </c>
      <c r="M30" s="18" t="str">
        <f>"+5"</f>
        <v>+5</v>
      </c>
    </row>
    <row r="31">
      <c r="A31" s="13">
        <v>45901.0</v>
      </c>
      <c r="B31" s="14" t="s">
        <v>47</v>
      </c>
      <c r="C31" s="14" t="s">
        <v>48</v>
      </c>
      <c r="D31" s="14" t="s">
        <v>125</v>
      </c>
      <c r="E31" s="14" t="s">
        <v>126</v>
      </c>
      <c r="F31" s="15" t="s">
        <v>51</v>
      </c>
      <c r="G31" s="14" t="s">
        <v>127</v>
      </c>
      <c r="H31" s="14" t="s">
        <v>125</v>
      </c>
      <c r="I31" s="14" t="s">
        <v>59</v>
      </c>
      <c r="J31" s="14" t="s">
        <v>55</v>
      </c>
      <c r="K31" s="16">
        <v>42.0</v>
      </c>
      <c r="L31" s="17" t="str">
        <f>"+1"</f>
        <v>+1</v>
      </c>
      <c r="M31" s="18" t="str">
        <f t="shared" ref="M31:M32" si="9">"+3"</f>
        <v>+3</v>
      </c>
    </row>
    <row r="32">
      <c r="A32" s="13">
        <v>45901.0</v>
      </c>
      <c r="B32" s="14" t="s">
        <v>47</v>
      </c>
      <c r="C32" s="14" t="s">
        <v>48</v>
      </c>
      <c r="D32" s="14" t="s">
        <v>77</v>
      </c>
      <c r="E32" s="14" t="s">
        <v>78</v>
      </c>
      <c r="F32" s="15" t="s">
        <v>51</v>
      </c>
      <c r="G32" s="14" t="s">
        <v>128</v>
      </c>
      <c r="H32" s="14" t="s">
        <v>81</v>
      </c>
      <c r="I32" s="14" t="s">
        <v>59</v>
      </c>
      <c r="J32" s="14" t="s">
        <v>55</v>
      </c>
      <c r="K32" s="16">
        <v>37.0</v>
      </c>
      <c r="L32" s="17" t="str">
        <f>"+4"</f>
        <v>+4</v>
      </c>
      <c r="M32" s="18" t="str">
        <f t="shared" si="9"/>
        <v>+3</v>
      </c>
    </row>
    <row r="33">
      <c r="A33" s="13">
        <v>45901.0</v>
      </c>
      <c r="B33" s="14" t="s">
        <v>47</v>
      </c>
      <c r="C33" s="14" t="s">
        <v>48</v>
      </c>
      <c r="D33" s="14" t="s">
        <v>129</v>
      </c>
      <c r="E33" s="14" t="s">
        <v>130</v>
      </c>
      <c r="F33" s="15" t="s">
        <v>51</v>
      </c>
      <c r="G33" s="14" t="s">
        <v>131</v>
      </c>
      <c r="H33" s="14" t="s">
        <v>129</v>
      </c>
      <c r="I33" s="14" t="s">
        <v>59</v>
      </c>
      <c r="J33" s="14" t="s">
        <v>55</v>
      </c>
      <c r="K33" s="16">
        <v>49.0</v>
      </c>
      <c r="L33" s="17" t="str">
        <f t="shared" ref="L33:M33" si="10">"+3"</f>
        <v>+3</v>
      </c>
      <c r="M33" s="18" t="str">
        <f t="shared" si="10"/>
        <v>+3</v>
      </c>
    </row>
    <row r="34">
      <c r="A34" s="13">
        <v>45901.0</v>
      </c>
      <c r="B34" s="14" t="s">
        <v>47</v>
      </c>
      <c r="C34" s="14" t="s">
        <v>48</v>
      </c>
      <c r="D34" s="14" t="s">
        <v>132</v>
      </c>
      <c r="E34" s="14" t="s">
        <v>133</v>
      </c>
      <c r="F34" s="15" t="s">
        <v>51</v>
      </c>
      <c r="G34" s="14" t="s">
        <v>134</v>
      </c>
      <c r="H34" s="14" t="s">
        <v>135</v>
      </c>
      <c r="I34" s="14" t="s">
        <v>59</v>
      </c>
      <c r="J34" s="14" t="s">
        <v>55</v>
      </c>
      <c r="K34" s="16">
        <v>45.0</v>
      </c>
      <c r="L34" s="17" t="str">
        <f>"+3"</f>
        <v>+3</v>
      </c>
      <c r="M34" s="18" t="str">
        <f>"+7"</f>
        <v>+7</v>
      </c>
    </row>
    <row r="35">
      <c r="A35" s="13">
        <v>45901.0</v>
      </c>
      <c r="B35" s="14" t="s">
        <v>47</v>
      </c>
      <c r="C35" s="14" t="s">
        <v>48</v>
      </c>
      <c r="D35" s="14" t="s">
        <v>136</v>
      </c>
      <c r="E35" s="14" t="s">
        <v>137</v>
      </c>
      <c r="F35" s="15" t="s">
        <v>51</v>
      </c>
      <c r="G35" s="14" t="s">
        <v>138</v>
      </c>
      <c r="H35" s="14" t="s">
        <v>139</v>
      </c>
      <c r="I35" s="14" t="s">
        <v>59</v>
      </c>
      <c r="J35" s="14" t="s">
        <v>55</v>
      </c>
      <c r="K35" s="16">
        <v>47.0</v>
      </c>
      <c r="L35" s="17" t="str">
        <f>"+1"</f>
        <v>+1</v>
      </c>
      <c r="M35" s="18" t="str">
        <f>"+2"</f>
        <v>+2</v>
      </c>
    </row>
    <row r="36">
      <c r="A36" s="13">
        <v>45901.0</v>
      </c>
      <c r="B36" s="14" t="s">
        <v>47</v>
      </c>
      <c r="C36" s="14" t="s">
        <v>48</v>
      </c>
      <c r="D36" s="14" t="s">
        <v>140</v>
      </c>
      <c r="E36" s="14" t="s">
        <v>141</v>
      </c>
      <c r="F36" s="15" t="s">
        <v>51</v>
      </c>
      <c r="G36" s="14" t="s">
        <v>142</v>
      </c>
      <c r="H36" s="14" t="s">
        <v>140</v>
      </c>
      <c r="I36" s="14" t="s">
        <v>59</v>
      </c>
      <c r="J36" s="14" t="s">
        <v>55</v>
      </c>
      <c r="K36" s="16">
        <v>40.0</v>
      </c>
      <c r="L36" s="17" t="str">
        <f t="shared" ref="L36:M36" si="11">"+3"</f>
        <v>+3</v>
      </c>
      <c r="M36" s="18" t="str">
        <f t="shared" si="11"/>
        <v>+3</v>
      </c>
    </row>
    <row r="37">
      <c r="A37" s="13">
        <v>45901.0</v>
      </c>
      <c r="B37" s="14" t="s">
        <v>47</v>
      </c>
      <c r="C37" s="14" t="s">
        <v>48</v>
      </c>
      <c r="D37" s="14" t="s">
        <v>91</v>
      </c>
      <c r="E37" s="14" t="s">
        <v>92</v>
      </c>
      <c r="F37" s="14" t="s">
        <v>71</v>
      </c>
      <c r="G37" s="14">
        <v>1.00005882E8</v>
      </c>
      <c r="H37" s="14" t="s">
        <v>91</v>
      </c>
      <c r="I37" s="14" t="s">
        <v>59</v>
      </c>
      <c r="J37" s="14" t="s">
        <v>55</v>
      </c>
      <c r="K37" s="16">
        <v>45.0</v>
      </c>
      <c r="L37" s="17" t="str">
        <f>"-1"</f>
        <v>-1</v>
      </c>
      <c r="M37" s="18" t="str">
        <f>"-5"</f>
        <v>-5</v>
      </c>
    </row>
    <row r="38">
      <c r="A38" s="13">
        <v>45901.0</v>
      </c>
      <c r="B38" s="14" t="s">
        <v>47</v>
      </c>
      <c r="C38" s="14" t="s">
        <v>48</v>
      </c>
      <c r="D38" s="14" t="s">
        <v>143</v>
      </c>
      <c r="E38" s="14" t="s">
        <v>144</v>
      </c>
      <c r="F38" s="15" t="s">
        <v>51</v>
      </c>
      <c r="G38" s="14" t="s">
        <v>145</v>
      </c>
      <c r="H38" s="14" t="s">
        <v>143</v>
      </c>
      <c r="I38" s="14" t="s">
        <v>59</v>
      </c>
      <c r="J38" s="14" t="s">
        <v>55</v>
      </c>
      <c r="K38" s="16">
        <v>56.0</v>
      </c>
      <c r="L38" s="17" t="str">
        <f>"+4"</f>
        <v>+4</v>
      </c>
      <c r="M38" s="18" t="str">
        <f>"+3"</f>
        <v>+3</v>
      </c>
    </row>
    <row r="39">
      <c r="A39" s="13">
        <v>45901.0</v>
      </c>
      <c r="B39" s="14" t="s">
        <v>47</v>
      </c>
      <c r="C39" s="14" t="s">
        <v>48</v>
      </c>
      <c r="D39" s="14" t="s">
        <v>91</v>
      </c>
      <c r="E39" s="14" t="s">
        <v>92</v>
      </c>
      <c r="F39" s="14" t="s">
        <v>146</v>
      </c>
      <c r="G39" s="14" t="s">
        <v>147</v>
      </c>
      <c r="H39" s="14" t="s">
        <v>91</v>
      </c>
      <c r="I39" s="14" t="s">
        <v>107</v>
      </c>
      <c r="J39" s="14" t="s">
        <v>55</v>
      </c>
      <c r="K39" s="16">
        <v>65.0</v>
      </c>
      <c r="L39" s="17" t="str">
        <f t="shared" ref="L39:L40" si="12">"+1"</f>
        <v>+1</v>
      </c>
      <c r="M39" s="18" t="str">
        <f>"-3"</f>
        <v>-3</v>
      </c>
    </row>
    <row r="40">
      <c r="A40" s="13">
        <v>45901.0</v>
      </c>
      <c r="B40" s="14" t="s">
        <v>47</v>
      </c>
      <c r="C40" s="14" t="s">
        <v>48</v>
      </c>
      <c r="D40" s="14" t="s">
        <v>85</v>
      </c>
      <c r="E40" s="14" t="s">
        <v>86</v>
      </c>
      <c r="F40" s="15" t="s">
        <v>51</v>
      </c>
      <c r="G40" s="14" t="s">
        <v>148</v>
      </c>
      <c r="H40" s="14" t="s">
        <v>85</v>
      </c>
      <c r="I40" s="14" t="s">
        <v>59</v>
      </c>
      <c r="J40" s="14" t="s">
        <v>55</v>
      </c>
      <c r="K40" s="16">
        <v>51.0</v>
      </c>
      <c r="L40" s="17" t="str">
        <f t="shared" si="12"/>
        <v>+1</v>
      </c>
      <c r="M40" s="18" t="str">
        <f>"+0"</f>
        <v>+0</v>
      </c>
    </row>
    <row r="41">
      <c r="A41" s="13">
        <v>45901.0</v>
      </c>
      <c r="B41" s="14" t="s">
        <v>47</v>
      </c>
      <c r="C41" s="14" t="s">
        <v>48</v>
      </c>
      <c r="D41" s="14" t="s">
        <v>149</v>
      </c>
      <c r="E41" s="14" t="s">
        <v>150</v>
      </c>
      <c r="F41" s="15" t="s">
        <v>51</v>
      </c>
      <c r="G41" s="14" t="s">
        <v>151</v>
      </c>
      <c r="H41" s="14" t="s">
        <v>152</v>
      </c>
      <c r="I41" s="14" t="s">
        <v>54</v>
      </c>
      <c r="J41" s="14" t="s">
        <v>55</v>
      </c>
      <c r="K41" s="14">
        <v>71.0</v>
      </c>
      <c r="L41" s="17" t="str">
        <f t="shared" ref="L41:L42" si="13">"+0"</f>
        <v>+0</v>
      </c>
      <c r="M41" s="18" t="str">
        <f>"+5"</f>
        <v>+5</v>
      </c>
    </row>
    <row r="42">
      <c r="A42" s="13">
        <v>45901.0</v>
      </c>
      <c r="B42" s="14" t="s">
        <v>47</v>
      </c>
      <c r="C42" s="14" t="s">
        <v>48</v>
      </c>
      <c r="D42" s="14" t="s">
        <v>108</v>
      </c>
      <c r="E42" s="14" t="s">
        <v>109</v>
      </c>
      <c r="F42" s="14" t="s">
        <v>79</v>
      </c>
      <c r="G42" s="14" t="s">
        <v>153</v>
      </c>
      <c r="H42" s="14" t="s">
        <v>108</v>
      </c>
      <c r="I42" s="14" t="s">
        <v>154</v>
      </c>
      <c r="J42" s="14" t="s">
        <v>55</v>
      </c>
      <c r="K42" s="14">
        <v>34.0</v>
      </c>
      <c r="L42" s="17" t="str">
        <f t="shared" si="13"/>
        <v>+0</v>
      </c>
    </row>
    <row r="43">
      <c r="A43" s="13">
        <v>45901.0</v>
      </c>
      <c r="B43" s="14" t="s">
        <v>47</v>
      </c>
      <c r="C43" s="14" t="s">
        <v>48</v>
      </c>
      <c r="D43" s="14" t="s">
        <v>155</v>
      </c>
      <c r="E43" s="14" t="s">
        <v>156</v>
      </c>
      <c r="F43" s="15" t="s">
        <v>51</v>
      </c>
      <c r="G43" s="14" t="s">
        <v>157</v>
      </c>
      <c r="H43" s="14" t="s">
        <v>155</v>
      </c>
      <c r="I43" s="14" t="s">
        <v>59</v>
      </c>
      <c r="J43" s="14" t="s">
        <v>55</v>
      </c>
      <c r="K43" s="14">
        <v>36.0</v>
      </c>
      <c r="L43" s="17" t="str">
        <f>"+1"</f>
        <v>+1</v>
      </c>
      <c r="M43" s="18" t="str">
        <f>"+2"</f>
        <v>+2</v>
      </c>
    </row>
    <row r="44">
      <c r="A44" s="13">
        <v>45901.0</v>
      </c>
      <c r="B44" s="14" t="s">
        <v>47</v>
      </c>
      <c r="C44" s="14" t="s">
        <v>48</v>
      </c>
      <c r="D44" s="14" t="s">
        <v>158</v>
      </c>
      <c r="E44" s="14" t="s">
        <v>159</v>
      </c>
      <c r="F44" s="15" t="s">
        <v>51</v>
      </c>
      <c r="G44" s="14" t="s">
        <v>160</v>
      </c>
      <c r="H44" s="14" t="s">
        <v>158</v>
      </c>
      <c r="I44" s="14" t="s">
        <v>54</v>
      </c>
      <c r="J44" s="14" t="s">
        <v>55</v>
      </c>
      <c r="K44" s="14">
        <v>52.0</v>
      </c>
      <c r="L44" s="17" t="str">
        <f>"+0"</f>
        <v>+0</v>
      </c>
      <c r="M44" s="18" t="str">
        <f>"+5"</f>
        <v>+5</v>
      </c>
    </row>
    <row r="45">
      <c r="A45" s="13">
        <v>45901.0</v>
      </c>
      <c r="B45" s="14" t="s">
        <v>47</v>
      </c>
      <c r="C45" s="14" t="s">
        <v>48</v>
      </c>
      <c r="D45" s="14" t="s">
        <v>116</v>
      </c>
      <c r="E45" s="14" t="s">
        <v>117</v>
      </c>
      <c r="F45" s="15" t="s">
        <v>51</v>
      </c>
      <c r="G45" s="14" t="s">
        <v>161</v>
      </c>
      <c r="H45" s="14" t="s">
        <v>116</v>
      </c>
      <c r="I45" s="14" t="s">
        <v>54</v>
      </c>
      <c r="J45" s="14" t="s">
        <v>55</v>
      </c>
      <c r="K45" s="14">
        <v>64.0</v>
      </c>
      <c r="L45" s="17" t="str">
        <f>"+3"</f>
        <v>+3</v>
      </c>
      <c r="M45" s="18" t="str">
        <f>"+6"</f>
        <v>+6</v>
      </c>
    </row>
    <row r="46">
      <c r="A46" s="13">
        <v>45901.0</v>
      </c>
      <c r="B46" s="14" t="s">
        <v>47</v>
      </c>
      <c r="C46" s="14" t="s">
        <v>48</v>
      </c>
      <c r="D46" s="14" t="s">
        <v>85</v>
      </c>
      <c r="E46" s="14" t="s">
        <v>86</v>
      </c>
      <c r="F46" s="14" t="s">
        <v>146</v>
      </c>
      <c r="G46" s="14" t="s">
        <v>162</v>
      </c>
      <c r="H46" s="14" t="s">
        <v>85</v>
      </c>
      <c r="I46" s="14" t="s">
        <v>107</v>
      </c>
      <c r="J46" s="14" t="s">
        <v>55</v>
      </c>
      <c r="K46" s="14">
        <v>14.0</v>
      </c>
      <c r="L46" s="17" t="str">
        <f t="shared" ref="L46:M46" si="14">"+0"</f>
        <v>+0</v>
      </c>
      <c r="M46" s="18" t="str">
        <f t="shared" si="14"/>
        <v>+0</v>
      </c>
    </row>
    <row r="47">
      <c r="A47" s="13">
        <v>45901.0</v>
      </c>
      <c r="B47" s="14" t="s">
        <v>47</v>
      </c>
      <c r="C47" s="14" t="s">
        <v>48</v>
      </c>
      <c r="D47" s="14" t="s">
        <v>91</v>
      </c>
      <c r="E47" s="14" t="s">
        <v>92</v>
      </c>
      <c r="F47" s="15" t="s">
        <v>51</v>
      </c>
      <c r="G47" s="14" t="s">
        <v>163</v>
      </c>
      <c r="H47" s="14" t="s">
        <v>91</v>
      </c>
      <c r="I47" s="14" t="s">
        <v>59</v>
      </c>
      <c r="J47" s="14" t="s">
        <v>55</v>
      </c>
      <c r="K47" s="14">
        <v>55.0</v>
      </c>
      <c r="L47" s="17" t="str">
        <f t="shared" ref="L47:M47" si="15">"-1"</f>
        <v>-1</v>
      </c>
      <c r="M47" s="18" t="str">
        <f t="shared" si="15"/>
        <v>-1</v>
      </c>
    </row>
    <row r="48">
      <c r="A48" s="13">
        <v>45901.0</v>
      </c>
      <c r="B48" s="14" t="s">
        <v>47</v>
      </c>
      <c r="C48" s="14" t="s">
        <v>48</v>
      </c>
      <c r="D48" s="14" t="s">
        <v>91</v>
      </c>
      <c r="E48" s="14" t="s">
        <v>92</v>
      </c>
      <c r="F48" s="14" t="s">
        <v>79</v>
      </c>
      <c r="G48" s="14" t="s">
        <v>164</v>
      </c>
      <c r="H48" s="14" t="s">
        <v>91</v>
      </c>
      <c r="I48" s="14" t="s">
        <v>154</v>
      </c>
      <c r="J48" s="14" t="s">
        <v>55</v>
      </c>
      <c r="K48" s="14">
        <v>42.0</v>
      </c>
      <c r="L48" s="17" t="str">
        <f>"-3"</f>
        <v>-3</v>
      </c>
      <c r="M48" s="18" t="str">
        <f>"+3"</f>
        <v>+3</v>
      </c>
    </row>
    <row r="49">
      <c r="A49" s="13">
        <v>45901.0</v>
      </c>
      <c r="B49" s="14" t="s">
        <v>47</v>
      </c>
      <c r="C49" s="14" t="s">
        <v>48</v>
      </c>
      <c r="D49" s="14" t="s">
        <v>165</v>
      </c>
      <c r="E49" s="14" t="s">
        <v>166</v>
      </c>
      <c r="F49" s="15" t="s">
        <v>51</v>
      </c>
      <c r="G49" s="14" t="s">
        <v>167</v>
      </c>
      <c r="H49" s="14" t="s">
        <v>165</v>
      </c>
      <c r="I49" s="14" t="s">
        <v>54</v>
      </c>
      <c r="J49" s="14" t="s">
        <v>55</v>
      </c>
      <c r="K49" s="14">
        <v>66.0</v>
      </c>
      <c r="L49" s="17" t="str">
        <f>"+0"</f>
        <v>+0</v>
      </c>
      <c r="M49" s="18" t="str">
        <f>"+5"</f>
        <v>+5</v>
      </c>
    </row>
    <row r="50">
      <c r="A50" s="13">
        <v>45901.0</v>
      </c>
      <c r="B50" s="14" t="s">
        <v>47</v>
      </c>
      <c r="C50" s="14" t="s">
        <v>48</v>
      </c>
      <c r="D50" s="14" t="s">
        <v>168</v>
      </c>
      <c r="E50" s="14" t="s">
        <v>169</v>
      </c>
      <c r="F50" s="15" t="s">
        <v>51</v>
      </c>
      <c r="G50" s="14" t="s">
        <v>170</v>
      </c>
      <c r="H50" s="14" t="s">
        <v>168</v>
      </c>
      <c r="I50" s="14" t="s">
        <v>59</v>
      </c>
      <c r="J50" s="14" t="s">
        <v>55</v>
      </c>
      <c r="K50" s="14">
        <v>48.0</v>
      </c>
      <c r="L50" s="17" t="str">
        <f>"+4"</f>
        <v>+4</v>
      </c>
      <c r="M50" s="18" t="str">
        <f>"+6"</f>
        <v>+6</v>
      </c>
    </row>
    <row r="51">
      <c r="A51" s="13">
        <v>45901.0</v>
      </c>
      <c r="B51" s="14" t="s">
        <v>47</v>
      </c>
      <c r="C51" s="14" t="s">
        <v>48</v>
      </c>
      <c r="D51" s="14" t="s">
        <v>171</v>
      </c>
      <c r="E51" s="14" t="s">
        <v>172</v>
      </c>
      <c r="F51" s="15" t="s">
        <v>51</v>
      </c>
      <c r="G51" s="14" t="s">
        <v>173</v>
      </c>
      <c r="H51" s="14" t="s">
        <v>171</v>
      </c>
      <c r="I51" s="14" t="s">
        <v>59</v>
      </c>
      <c r="J51" s="14" t="s">
        <v>55</v>
      </c>
      <c r="K51" s="14">
        <v>46.0</v>
      </c>
      <c r="L51" s="17" t="str">
        <f>"+2"</f>
        <v>+2</v>
      </c>
      <c r="M51" s="18" t="str">
        <f>"+3"</f>
        <v>+3</v>
      </c>
    </row>
    <row r="52">
      <c r="A52" s="13">
        <v>45901.0</v>
      </c>
      <c r="B52" s="14" t="s">
        <v>47</v>
      </c>
      <c r="C52" s="14" t="s">
        <v>48</v>
      </c>
      <c r="D52" s="14" t="s">
        <v>91</v>
      </c>
      <c r="E52" s="14" t="s">
        <v>92</v>
      </c>
      <c r="F52" s="14" t="s">
        <v>71</v>
      </c>
      <c r="G52" s="14">
        <v>5.00008343E8</v>
      </c>
      <c r="H52" s="14" t="s">
        <v>91</v>
      </c>
      <c r="I52" s="14" t="s">
        <v>59</v>
      </c>
      <c r="J52" s="14" t="s">
        <v>55</v>
      </c>
      <c r="K52" s="14">
        <v>42.0</v>
      </c>
      <c r="L52" s="17" t="str">
        <f t="shared" ref="L52:M52" si="16">"+0"</f>
        <v>+0</v>
      </c>
      <c r="M52" s="18" t="str">
        <f t="shared" si="16"/>
        <v>+0</v>
      </c>
    </row>
    <row r="53">
      <c r="A53" s="13">
        <v>45901.0</v>
      </c>
      <c r="B53" s="14" t="s">
        <v>47</v>
      </c>
      <c r="C53" s="14" t="s">
        <v>48</v>
      </c>
      <c r="D53" s="14" t="s">
        <v>174</v>
      </c>
      <c r="E53" s="14" t="s">
        <v>175</v>
      </c>
      <c r="F53" s="15" t="s">
        <v>51</v>
      </c>
      <c r="G53" s="14" t="s">
        <v>176</v>
      </c>
      <c r="H53" s="14" t="s">
        <v>174</v>
      </c>
      <c r="I53" s="14" t="s">
        <v>59</v>
      </c>
      <c r="J53" s="14" t="s">
        <v>55</v>
      </c>
      <c r="K53" s="14">
        <v>56.0</v>
      </c>
      <c r="L53" s="17" t="str">
        <f>"+1"</f>
        <v>+1</v>
      </c>
      <c r="M53" s="18" t="str">
        <f>"-2"</f>
        <v>-2</v>
      </c>
    </row>
    <row r="54">
      <c r="A54" s="13">
        <v>45901.0</v>
      </c>
      <c r="B54" s="14" t="s">
        <v>47</v>
      </c>
      <c r="C54" s="14" t="s">
        <v>48</v>
      </c>
      <c r="D54" s="14" t="s">
        <v>177</v>
      </c>
      <c r="E54" s="14" t="s">
        <v>178</v>
      </c>
      <c r="F54" s="14" t="s">
        <v>146</v>
      </c>
      <c r="G54" s="14" t="s">
        <v>179</v>
      </c>
      <c r="H54" s="14" t="s">
        <v>177</v>
      </c>
      <c r="I54" s="14" t="s">
        <v>107</v>
      </c>
      <c r="J54" s="14" t="s">
        <v>55</v>
      </c>
      <c r="K54" s="14">
        <v>56.0</v>
      </c>
      <c r="L54" s="17" t="str">
        <f t="shared" ref="L54:M54" si="17">"+0"</f>
        <v>+0</v>
      </c>
      <c r="M54" s="18" t="str">
        <f t="shared" si="17"/>
        <v>+0</v>
      </c>
    </row>
    <row r="55">
      <c r="A55" s="13">
        <v>45901.0</v>
      </c>
      <c r="B55" s="14" t="s">
        <v>47</v>
      </c>
      <c r="C55" s="14" t="s">
        <v>48</v>
      </c>
      <c r="D55" s="14" t="s">
        <v>108</v>
      </c>
      <c r="E55" s="14" t="s">
        <v>109</v>
      </c>
      <c r="F55" s="14" t="s">
        <v>146</v>
      </c>
      <c r="G55" s="14" t="s">
        <v>180</v>
      </c>
      <c r="H55" s="14" t="s">
        <v>108</v>
      </c>
      <c r="I55" s="14" t="s">
        <v>59</v>
      </c>
      <c r="J55" s="14" t="s">
        <v>55</v>
      </c>
      <c r="K55" s="14">
        <v>62.0</v>
      </c>
      <c r="L55" s="17" t="str">
        <f>"-3"</f>
        <v>-3</v>
      </c>
    </row>
    <row r="56">
      <c r="A56" s="13">
        <v>45901.0</v>
      </c>
      <c r="B56" s="14" t="s">
        <v>47</v>
      </c>
      <c r="C56" s="14" t="s">
        <v>48</v>
      </c>
      <c r="D56" s="14" t="s">
        <v>181</v>
      </c>
      <c r="E56" s="14" t="s">
        <v>182</v>
      </c>
      <c r="F56" s="15" t="s">
        <v>51</v>
      </c>
      <c r="G56" s="14" t="s">
        <v>183</v>
      </c>
      <c r="H56" s="14" t="s">
        <v>181</v>
      </c>
      <c r="I56" s="14" t="s">
        <v>59</v>
      </c>
      <c r="J56" s="14" t="s">
        <v>55</v>
      </c>
      <c r="K56" s="14">
        <v>43.0</v>
      </c>
      <c r="L56" s="17" t="str">
        <f>"+2"</f>
        <v>+2</v>
      </c>
      <c r="M56" s="18" t="str">
        <f>"+4"</f>
        <v>+4</v>
      </c>
    </row>
    <row r="57">
      <c r="A57" s="13">
        <v>45901.0</v>
      </c>
      <c r="B57" s="14" t="s">
        <v>47</v>
      </c>
      <c r="C57" s="14" t="s">
        <v>48</v>
      </c>
      <c r="D57" s="14" t="s">
        <v>77</v>
      </c>
      <c r="E57" s="14" t="s">
        <v>78</v>
      </c>
      <c r="F57" s="14" t="s">
        <v>71</v>
      </c>
      <c r="G57" s="14">
        <v>5.36009043E8</v>
      </c>
      <c r="H57" s="14" t="s">
        <v>81</v>
      </c>
      <c r="J57" s="14" t="s">
        <v>55</v>
      </c>
      <c r="K57" s="14">
        <v>20.0</v>
      </c>
      <c r="L57" s="17" t="str">
        <f>"+0"</f>
        <v>+0</v>
      </c>
    </row>
    <row r="58">
      <c r="A58" s="13">
        <v>45901.0</v>
      </c>
      <c r="B58" s="14" t="s">
        <v>47</v>
      </c>
      <c r="C58" s="14" t="s">
        <v>48</v>
      </c>
      <c r="D58" s="14" t="s">
        <v>91</v>
      </c>
      <c r="E58" s="14" t="s">
        <v>92</v>
      </c>
      <c r="F58" s="14" t="s">
        <v>71</v>
      </c>
      <c r="G58" s="14">
        <v>5.10011769E8</v>
      </c>
      <c r="H58" s="14" t="s">
        <v>91</v>
      </c>
      <c r="I58" s="14" t="s">
        <v>59</v>
      </c>
      <c r="J58" s="14" t="s">
        <v>55</v>
      </c>
      <c r="K58" s="14">
        <v>22.0</v>
      </c>
      <c r="L58" s="17" t="str">
        <f>"+3"</f>
        <v>+3</v>
      </c>
      <c r="M58" s="18" t="str">
        <f>"+4"</f>
        <v>+4</v>
      </c>
    </row>
    <row r="59">
      <c r="A59" s="13">
        <v>45901.0</v>
      </c>
      <c r="B59" s="14" t="s">
        <v>47</v>
      </c>
      <c r="C59" s="14" t="s">
        <v>48</v>
      </c>
      <c r="D59" s="14" t="s">
        <v>184</v>
      </c>
      <c r="E59" s="14" t="s">
        <v>185</v>
      </c>
      <c r="F59" s="15" t="s">
        <v>51</v>
      </c>
      <c r="G59" s="14" t="s">
        <v>186</v>
      </c>
      <c r="H59" s="14" t="s">
        <v>187</v>
      </c>
      <c r="I59" s="14" t="s">
        <v>59</v>
      </c>
      <c r="J59" s="14" t="s">
        <v>55</v>
      </c>
      <c r="K59" s="14">
        <v>47.0</v>
      </c>
      <c r="L59" s="17" t="str">
        <f t="shared" ref="L59:M59" si="18">"+1"</f>
        <v>+1</v>
      </c>
      <c r="M59" s="18" t="str">
        <f t="shared" si="18"/>
        <v>+1</v>
      </c>
    </row>
    <row r="60">
      <c r="A60" s="13">
        <v>45901.0</v>
      </c>
      <c r="B60" s="14" t="s">
        <v>47</v>
      </c>
      <c r="C60" s="14" t="s">
        <v>48</v>
      </c>
      <c r="D60" s="14" t="s">
        <v>165</v>
      </c>
      <c r="E60" s="14" t="s">
        <v>166</v>
      </c>
      <c r="F60" s="14" t="s">
        <v>111</v>
      </c>
      <c r="G60" s="14">
        <v>7116371.0</v>
      </c>
      <c r="H60" s="14" t="s">
        <v>165</v>
      </c>
      <c r="I60" s="14" t="s">
        <v>59</v>
      </c>
      <c r="J60" s="14" t="s">
        <v>55</v>
      </c>
      <c r="K60" s="14">
        <v>61.0</v>
      </c>
      <c r="L60" s="17" t="str">
        <f t="shared" ref="L60:M60" si="19">"+0"</f>
        <v>+0</v>
      </c>
      <c r="M60" s="18" t="str">
        <f t="shared" si="19"/>
        <v>+0</v>
      </c>
    </row>
    <row r="61">
      <c r="A61" s="13">
        <v>45901.0</v>
      </c>
      <c r="B61" s="14" t="s">
        <v>47</v>
      </c>
      <c r="C61" s="14" t="s">
        <v>48</v>
      </c>
      <c r="D61" s="14" t="s">
        <v>188</v>
      </c>
      <c r="E61" s="14" t="s">
        <v>189</v>
      </c>
      <c r="F61" s="15" t="s">
        <v>51</v>
      </c>
      <c r="G61" s="14" t="s">
        <v>190</v>
      </c>
      <c r="H61" s="14" t="s">
        <v>188</v>
      </c>
      <c r="J61" s="14" t="s">
        <v>55</v>
      </c>
      <c r="K61" s="14">
        <v>0.0</v>
      </c>
      <c r="L61" s="17" t="str">
        <f t="shared" ref="L61:M61" si="20">"+0"</f>
        <v>+0</v>
      </c>
      <c r="M61" s="18" t="str">
        <f t="shared" si="20"/>
        <v>+0</v>
      </c>
    </row>
    <row r="62">
      <c r="A62" s="13">
        <v>45901.0</v>
      </c>
      <c r="B62" s="14" t="s">
        <v>47</v>
      </c>
      <c r="C62" s="14" t="s">
        <v>48</v>
      </c>
      <c r="D62" s="14" t="s">
        <v>93</v>
      </c>
      <c r="E62" s="14" t="s">
        <v>94</v>
      </c>
      <c r="F62" s="15" t="s">
        <v>51</v>
      </c>
      <c r="G62" s="14" t="s">
        <v>191</v>
      </c>
      <c r="H62" s="14" t="s">
        <v>95</v>
      </c>
      <c r="I62" s="14" t="s">
        <v>59</v>
      </c>
      <c r="J62" s="14" t="s">
        <v>55</v>
      </c>
      <c r="K62" s="14">
        <v>36.0</v>
      </c>
      <c r="L62" s="17" t="str">
        <f>"+3"</f>
        <v>+3</v>
      </c>
      <c r="M62" s="18" t="str">
        <f>"+2"</f>
        <v>+2</v>
      </c>
    </row>
    <row r="63">
      <c r="A63" s="13">
        <v>45901.0</v>
      </c>
      <c r="B63" s="14" t="s">
        <v>47</v>
      </c>
      <c r="C63" s="14" t="s">
        <v>48</v>
      </c>
      <c r="D63" s="14" t="s">
        <v>192</v>
      </c>
      <c r="E63" s="14" t="s">
        <v>193</v>
      </c>
      <c r="F63" s="15" t="s">
        <v>51</v>
      </c>
      <c r="G63" s="14" t="s">
        <v>194</v>
      </c>
      <c r="H63" s="14" t="s">
        <v>192</v>
      </c>
      <c r="I63" s="14" t="s">
        <v>54</v>
      </c>
      <c r="J63" s="14" t="s">
        <v>55</v>
      </c>
      <c r="K63" s="14">
        <v>68.0</v>
      </c>
      <c r="L63" s="17" t="str">
        <f>"+2"</f>
        <v>+2</v>
      </c>
      <c r="M63" s="18" t="str">
        <f>"+6"</f>
        <v>+6</v>
      </c>
    </row>
    <row r="64">
      <c r="A64" s="13">
        <v>45901.0</v>
      </c>
      <c r="B64" s="14" t="s">
        <v>47</v>
      </c>
      <c r="C64" s="14" t="s">
        <v>48</v>
      </c>
      <c r="D64" s="14" t="s">
        <v>91</v>
      </c>
      <c r="E64" s="14" t="s">
        <v>92</v>
      </c>
      <c r="F64" s="14" t="s">
        <v>71</v>
      </c>
      <c r="G64" s="14">
        <v>5.10001669E8</v>
      </c>
      <c r="H64" s="14" t="s">
        <v>91</v>
      </c>
      <c r="I64" s="14" t="s">
        <v>107</v>
      </c>
      <c r="J64" s="14" t="s">
        <v>55</v>
      </c>
      <c r="K64" s="14">
        <v>29.0</v>
      </c>
      <c r="L64" s="17" t="str">
        <f t="shared" ref="L64:M64" si="21">"+0"</f>
        <v>+0</v>
      </c>
      <c r="M64" s="18" t="str">
        <f t="shared" si="21"/>
        <v>+0</v>
      </c>
    </row>
    <row r="65">
      <c r="A65" s="13">
        <v>45901.0</v>
      </c>
      <c r="B65" s="14" t="s">
        <v>47</v>
      </c>
      <c r="C65" s="14" t="s">
        <v>48</v>
      </c>
      <c r="D65" s="14" t="s">
        <v>195</v>
      </c>
      <c r="E65" s="14" t="s">
        <v>196</v>
      </c>
      <c r="F65" s="14" t="s">
        <v>111</v>
      </c>
      <c r="G65" s="14">
        <v>5252823.0</v>
      </c>
      <c r="H65" s="14" t="s">
        <v>197</v>
      </c>
      <c r="I65" s="14" t="s">
        <v>59</v>
      </c>
      <c r="J65" s="14" t="s">
        <v>55</v>
      </c>
      <c r="K65" s="14">
        <v>68.0</v>
      </c>
      <c r="L65" s="17" t="str">
        <f t="shared" ref="L65:L66" si="22">"+0"</f>
        <v>+0</v>
      </c>
      <c r="M65" s="18" t="str">
        <f>"-2"</f>
        <v>-2</v>
      </c>
    </row>
    <row r="66">
      <c r="A66" s="13">
        <v>45901.0</v>
      </c>
      <c r="B66" s="14" t="s">
        <v>47</v>
      </c>
      <c r="C66" s="14" t="s">
        <v>48</v>
      </c>
      <c r="D66" s="14" t="s">
        <v>91</v>
      </c>
      <c r="E66" s="14" t="s">
        <v>92</v>
      </c>
      <c r="F66" s="14" t="s">
        <v>71</v>
      </c>
      <c r="G66" s="14">
        <v>5.00008612E8</v>
      </c>
      <c r="H66" s="14" t="s">
        <v>91</v>
      </c>
      <c r="I66" s="14" t="s">
        <v>59</v>
      </c>
      <c r="J66" s="14" t="s">
        <v>55</v>
      </c>
      <c r="K66" s="14">
        <v>76.0</v>
      </c>
      <c r="L66" s="17" t="str">
        <f t="shared" si="22"/>
        <v>+0</v>
      </c>
      <c r="M66" s="18" t="str">
        <f>"-1"</f>
        <v>-1</v>
      </c>
    </row>
    <row r="67">
      <c r="A67" s="19"/>
      <c r="K67" s="20"/>
      <c r="L67" s="17"/>
    </row>
    <row r="68">
      <c r="A68" s="19"/>
      <c r="K68" s="20"/>
      <c r="L68" s="17"/>
    </row>
    <row r="69">
      <c r="A69" s="19"/>
      <c r="K69" s="20"/>
      <c r="L69" s="17"/>
    </row>
    <row r="70">
      <c r="A70" s="19"/>
      <c r="K70" s="20"/>
      <c r="L70" s="17"/>
    </row>
    <row r="71">
      <c r="A71" s="19"/>
      <c r="K71" s="20"/>
      <c r="L71" s="17"/>
    </row>
    <row r="72">
      <c r="A72" s="19"/>
      <c r="K72" s="20"/>
      <c r="L72" s="17"/>
    </row>
    <row r="73">
      <c r="A73" s="19"/>
      <c r="K73" s="20"/>
      <c r="L73" s="17"/>
    </row>
    <row r="74">
      <c r="A74" s="19"/>
      <c r="K74" s="20"/>
      <c r="L74" s="17"/>
    </row>
    <row r="75">
      <c r="A75" s="19"/>
      <c r="K75" s="20"/>
      <c r="L75" s="17"/>
    </row>
    <row r="76">
      <c r="A76" s="19"/>
      <c r="K76" s="20"/>
      <c r="L76" s="17"/>
    </row>
    <row r="77">
      <c r="A77" s="19"/>
      <c r="K77" s="20"/>
      <c r="L77" s="17"/>
    </row>
    <row r="78">
      <c r="A78" s="19"/>
      <c r="K78" s="20"/>
      <c r="L78" s="17"/>
    </row>
    <row r="79">
      <c r="A79" s="19"/>
      <c r="K79" s="20"/>
      <c r="L79" s="17"/>
    </row>
    <row r="80">
      <c r="A80" s="19"/>
      <c r="K80" s="20"/>
      <c r="L80" s="17"/>
    </row>
    <row r="81">
      <c r="A81" s="19"/>
      <c r="K81" s="20"/>
      <c r="L81" s="17"/>
    </row>
    <row r="82">
      <c r="A82" s="19"/>
      <c r="K82" s="20"/>
      <c r="L82" s="17"/>
    </row>
    <row r="83">
      <c r="A83" s="19"/>
      <c r="K83" s="20"/>
      <c r="L83" s="17"/>
    </row>
    <row r="84">
      <c r="A84" s="19"/>
      <c r="K84" s="20"/>
      <c r="L84" s="17"/>
    </row>
    <row r="85">
      <c r="A85" s="19"/>
      <c r="K85" s="20"/>
      <c r="L85" s="17"/>
    </row>
    <row r="86">
      <c r="A86" s="19"/>
      <c r="K86" s="20"/>
      <c r="L86" s="17"/>
    </row>
    <row r="87">
      <c r="A87" s="19"/>
      <c r="K87" s="20"/>
      <c r="L87" s="17"/>
    </row>
    <row r="88">
      <c r="A88" s="19"/>
      <c r="K88" s="20"/>
      <c r="L88" s="17"/>
    </row>
    <row r="89">
      <c r="A89" s="19"/>
      <c r="K89" s="20"/>
      <c r="L89" s="17"/>
    </row>
    <row r="90">
      <c r="A90" s="19"/>
      <c r="K90" s="20"/>
      <c r="L90" s="17"/>
    </row>
    <row r="91">
      <c r="A91" s="19"/>
      <c r="K91" s="20"/>
      <c r="L91" s="17"/>
    </row>
    <row r="92">
      <c r="A92" s="19"/>
      <c r="K92" s="20"/>
      <c r="L92" s="17"/>
    </row>
    <row r="93">
      <c r="A93" s="19"/>
      <c r="K93" s="20"/>
      <c r="L93" s="17"/>
    </row>
    <row r="94">
      <c r="A94" s="19"/>
      <c r="K94" s="20"/>
      <c r="L94" s="17"/>
    </row>
    <row r="95">
      <c r="A95" s="19"/>
      <c r="K95" s="20"/>
      <c r="L95" s="17"/>
    </row>
    <row r="96">
      <c r="A96" s="19"/>
      <c r="K96" s="20"/>
      <c r="L96" s="17"/>
    </row>
    <row r="97">
      <c r="A97" s="19"/>
      <c r="K97" s="20"/>
      <c r="L97" s="17"/>
    </row>
    <row r="98">
      <c r="A98" s="19"/>
      <c r="K98" s="20"/>
      <c r="L98" s="17"/>
    </row>
    <row r="99">
      <c r="A99" s="19"/>
      <c r="K99" s="20"/>
      <c r="L99" s="17"/>
    </row>
    <row r="100">
      <c r="A100" s="19"/>
      <c r="K100" s="20"/>
      <c r="L100" s="17"/>
    </row>
    <row r="101">
      <c r="A101" s="19"/>
      <c r="K101" s="20"/>
      <c r="L101" s="17"/>
    </row>
    <row r="102">
      <c r="A102" s="19"/>
      <c r="K102" s="20"/>
      <c r="L102" s="17"/>
    </row>
    <row r="103">
      <c r="A103" s="19"/>
      <c r="K103" s="20"/>
      <c r="L103" s="17"/>
    </row>
    <row r="104">
      <c r="A104" s="19"/>
      <c r="K104" s="20"/>
      <c r="L104" s="17"/>
    </row>
    <row r="105">
      <c r="A105" s="19"/>
      <c r="K105" s="20"/>
      <c r="L105" s="17"/>
    </row>
    <row r="106">
      <c r="A106" s="19"/>
      <c r="K106" s="20"/>
      <c r="L106" s="17"/>
    </row>
    <row r="107">
      <c r="A107" s="19"/>
      <c r="K107" s="20"/>
      <c r="L107" s="17"/>
    </row>
    <row r="108">
      <c r="A108" s="19"/>
      <c r="K108" s="20"/>
      <c r="L108" s="17"/>
    </row>
    <row r="109">
      <c r="A109" s="19"/>
      <c r="K109" s="20"/>
      <c r="L109" s="17"/>
    </row>
    <row r="110">
      <c r="A110" s="19"/>
      <c r="K110" s="20"/>
      <c r="L110" s="17"/>
    </row>
    <row r="111">
      <c r="A111" s="19"/>
      <c r="K111" s="20"/>
      <c r="L111" s="17"/>
    </row>
    <row r="112">
      <c r="A112" s="19"/>
      <c r="K112" s="20"/>
      <c r="L112" s="17"/>
    </row>
    <row r="113">
      <c r="A113" s="19"/>
      <c r="K113" s="20"/>
      <c r="L113" s="17"/>
    </row>
    <row r="114">
      <c r="A114" s="19"/>
      <c r="K114" s="20"/>
      <c r="L114" s="17"/>
    </row>
    <row r="115">
      <c r="A115" s="19"/>
      <c r="K115" s="20"/>
      <c r="L115" s="17"/>
    </row>
    <row r="116">
      <c r="A116" s="19"/>
      <c r="K116" s="20"/>
      <c r="L116" s="17"/>
    </row>
    <row r="117">
      <c r="A117" s="19"/>
      <c r="K117" s="20"/>
      <c r="L117" s="17"/>
    </row>
    <row r="118">
      <c r="A118" s="19"/>
      <c r="K118" s="20"/>
      <c r="L118" s="17"/>
    </row>
    <row r="119">
      <c r="A119" s="19"/>
      <c r="K119" s="20"/>
      <c r="L119" s="17"/>
    </row>
    <row r="120">
      <c r="A120" s="19"/>
      <c r="K120" s="20"/>
      <c r="L120" s="17"/>
    </row>
    <row r="121">
      <c r="A121" s="19"/>
      <c r="K121" s="20"/>
      <c r="L121" s="17"/>
    </row>
    <row r="122">
      <c r="A122" s="19"/>
      <c r="K122" s="20"/>
      <c r="L122" s="17"/>
    </row>
    <row r="123">
      <c r="A123" s="19"/>
      <c r="K123" s="20"/>
      <c r="L123" s="17"/>
    </row>
    <row r="124">
      <c r="A124" s="19"/>
      <c r="K124" s="20"/>
      <c r="L124" s="17"/>
    </row>
    <row r="125">
      <c r="A125" s="19"/>
      <c r="K125" s="20"/>
      <c r="L125" s="17"/>
    </row>
    <row r="126">
      <c r="A126" s="19"/>
      <c r="K126" s="20"/>
      <c r="L126" s="17"/>
    </row>
    <row r="127">
      <c r="A127" s="19"/>
      <c r="K127" s="20"/>
      <c r="L127" s="17"/>
    </row>
    <row r="128">
      <c r="A128" s="19"/>
      <c r="K128" s="20"/>
      <c r="L128" s="17"/>
    </row>
    <row r="129">
      <c r="A129" s="19"/>
      <c r="K129" s="20"/>
      <c r="L129" s="17"/>
    </row>
    <row r="130">
      <c r="A130" s="19"/>
      <c r="K130" s="20"/>
      <c r="L130" s="17"/>
    </row>
    <row r="131">
      <c r="A131" s="19"/>
      <c r="K131" s="20"/>
      <c r="L131" s="17"/>
    </row>
    <row r="132">
      <c r="A132" s="19"/>
      <c r="K132" s="20"/>
      <c r="L132" s="17"/>
    </row>
    <row r="133">
      <c r="A133" s="19"/>
      <c r="K133" s="20"/>
      <c r="L133" s="17"/>
    </row>
    <row r="134">
      <c r="A134" s="19"/>
      <c r="K134" s="20"/>
      <c r="L134" s="17"/>
    </row>
    <row r="135">
      <c r="A135" s="19"/>
      <c r="K135" s="20"/>
      <c r="L135" s="17"/>
    </row>
    <row r="136">
      <c r="A136" s="19"/>
      <c r="K136" s="20"/>
      <c r="L136" s="17"/>
    </row>
    <row r="137">
      <c r="A137" s="19"/>
      <c r="K137" s="20"/>
      <c r="L137" s="17"/>
    </row>
    <row r="138">
      <c r="A138" s="19"/>
      <c r="K138" s="20"/>
      <c r="L138" s="17"/>
    </row>
    <row r="139">
      <c r="A139" s="19"/>
      <c r="K139" s="20"/>
      <c r="L139" s="17"/>
    </row>
    <row r="140">
      <c r="A140" s="19"/>
      <c r="K140" s="20"/>
      <c r="L140" s="17"/>
    </row>
    <row r="141">
      <c r="A141" s="19"/>
      <c r="K141" s="20"/>
      <c r="L141" s="17"/>
    </row>
    <row r="142">
      <c r="A142" s="19"/>
      <c r="K142" s="20"/>
      <c r="L142" s="17"/>
    </row>
    <row r="143">
      <c r="A143" s="19"/>
      <c r="K143" s="20"/>
      <c r="L143" s="17"/>
    </row>
    <row r="144">
      <c r="A144" s="19"/>
      <c r="K144" s="20"/>
      <c r="L144" s="17"/>
    </row>
    <row r="145">
      <c r="A145" s="19"/>
      <c r="K145" s="20"/>
      <c r="L145" s="17"/>
    </row>
    <row r="146">
      <c r="A146" s="19"/>
      <c r="K146" s="20"/>
      <c r="L146" s="17"/>
    </row>
    <row r="147">
      <c r="A147" s="19"/>
      <c r="K147" s="20"/>
      <c r="L147" s="17"/>
    </row>
    <row r="148">
      <c r="A148" s="19"/>
      <c r="K148" s="20"/>
      <c r="L148" s="17"/>
    </row>
    <row r="149">
      <c r="A149" s="19"/>
      <c r="K149" s="20"/>
      <c r="L149" s="17"/>
    </row>
    <row r="150">
      <c r="A150" s="19"/>
      <c r="K150" s="20"/>
      <c r="L150" s="17"/>
    </row>
    <row r="151">
      <c r="A151" s="19"/>
      <c r="K151" s="20"/>
      <c r="L151" s="17"/>
    </row>
    <row r="152">
      <c r="A152" s="19"/>
      <c r="K152" s="20"/>
      <c r="L152" s="17"/>
    </row>
    <row r="153">
      <c r="A153" s="19"/>
      <c r="K153" s="20"/>
      <c r="L153" s="17"/>
    </row>
    <row r="154">
      <c r="A154" s="19"/>
      <c r="K154" s="20"/>
      <c r="L154" s="17"/>
    </row>
    <row r="155">
      <c r="A155" s="19"/>
      <c r="K155" s="20"/>
      <c r="L155" s="17"/>
    </row>
    <row r="156">
      <c r="A156" s="19"/>
      <c r="K156" s="20"/>
      <c r="L156" s="17"/>
    </row>
    <row r="157">
      <c r="A157" s="19"/>
      <c r="K157" s="20"/>
      <c r="L157" s="17"/>
    </row>
    <row r="158">
      <c r="A158" s="19"/>
      <c r="K158" s="20"/>
      <c r="L158" s="17"/>
    </row>
    <row r="159">
      <c r="A159" s="19"/>
      <c r="K159" s="20"/>
      <c r="L159" s="17"/>
    </row>
    <row r="160">
      <c r="A160" s="19"/>
      <c r="K160" s="20"/>
      <c r="L160" s="17"/>
    </row>
    <row r="161">
      <c r="A161" s="19"/>
      <c r="K161" s="20"/>
      <c r="L161" s="17"/>
    </row>
    <row r="162">
      <c r="A162" s="19"/>
      <c r="K162" s="20"/>
      <c r="L162" s="17"/>
    </row>
    <row r="163">
      <c r="A163" s="19"/>
      <c r="K163" s="20"/>
      <c r="L163" s="17"/>
    </row>
    <row r="164">
      <c r="A164" s="19"/>
      <c r="K164" s="20"/>
      <c r="L164" s="17"/>
    </row>
    <row r="165">
      <c r="A165" s="19"/>
      <c r="K165" s="20"/>
      <c r="L165" s="17"/>
    </row>
    <row r="166">
      <c r="A166" s="19"/>
      <c r="K166" s="20"/>
      <c r="L166" s="17"/>
    </row>
    <row r="167">
      <c r="A167" s="19"/>
      <c r="K167" s="20"/>
      <c r="L167" s="17"/>
    </row>
    <row r="168">
      <c r="A168" s="19"/>
      <c r="K168" s="20"/>
      <c r="L168" s="17"/>
    </row>
    <row r="169">
      <c r="A169" s="19"/>
      <c r="K169" s="20"/>
      <c r="L169" s="17"/>
    </row>
    <row r="170">
      <c r="A170" s="19"/>
      <c r="K170" s="20"/>
      <c r="L170" s="17"/>
    </row>
    <row r="171">
      <c r="A171" s="19"/>
      <c r="K171" s="20"/>
      <c r="L171" s="17"/>
    </row>
    <row r="172">
      <c r="A172" s="19"/>
      <c r="K172" s="20"/>
      <c r="L172" s="17"/>
    </row>
    <row r="173">
      <c r="A173" s="19"/>
      <c r="K173" s="20"/>
      <c r="L173" s="17"/>
    </row>
    <row r="174">
      <c r="A174" s="19"/>
      <c r="K174" s="20"/>
      <c r="L174" s="17"/>
    </row>
    <row r="175">
      <c r="A175" s="19"/>
      <c r="K175" s="20"/>
      <c r="L175" s="17"/>
    </row>
    <row r="176">
      <c r="A176" s="19"/>
      <c r="K176" s="20"/>
      <c r="L176" s="17"/>
    </row>
    <row r="177">
      <c r="A177" s="19"/>
      <c r="K177" s="20"/>
      <c r="L177" s="17"/>
    </row>
    <row r="178">
      <c r="A178" s="19"/>
      <c r="K178" s="20"/>
      <c r="L178" s="17"/>
    </row>
    <row r="179">
      <c r="A179" s="19"/>
      <c r="K179" s="20"/>
      <c r="L179" s="17"/>
    </row>
    <row r="180">
      <c r="A180" s="19"/>
      <c r="K180" s="20"/>
      <c r="L180" s="17"/>
    </row>
    <row r="181">
      <c r="A181" s="19"/>
      <c r="K181" s="20"/>
      <c r="L181" s="17"/>
    </row>
    <row r="182">
      <c r="A182" s="19"/>
      <c r="K182" s="20"/>
      <c r="L182" s="17"/>
    </row>
    <row r="183">
      <c r="A183" s="19"/>
      <c r="K183" s="20"/>
      <c r="L183" s="17"/>
    </row>
    <row r="184">
      <c r="A184" s="19"/>
      <c r="K184" s="20"/>
      <c r="L184" s="17"/>
    </row>
    <row r="185">
      <c r="A185" s="19"/>
      <c r="K185" s="20"/>
      <c r="L185" s="17"/>
    </row>
    <row r="186">
      <c r="A186" s="19"/>
      <c r="K186" s="20"/>
      <c r="L186" s="17"/>
    </row>
    <row r="187">
      <c r="A187" s="19"/>
      <c r="K187" s="20"/>
      <c r="L187" s="17"/>
    </row>
    <row r="188">
      <c r="A188" s="19"/>
      <c r="K188" s="20"/>
      <c r="L188" s="17"/>
    </row>
    <row r="189">
      <c r="A189" s="19"/>
      <c r="K189" s="20"/>
      <c r="L189" s="17"/>
    </row>
    <row r="190">
      <c r="A190" s="19"/>
      <c r="K190" s="20"/>
      <c r="L190" s="17"/>
    </row>
    <row r="191">
      <c r="A191" s="19"/>
      <c r="K191" s="20"/>
      <c r="L191" s="17"/>
    </row>
    <row r="192">
      <c r="A192" s="19"/>
      <c r="K192" s="20"/>
      <c r="L192" s="17"/>
    </row>
    <row r="193">
      <c r="A193" s="19"/>
      <c r="K193" s="20"/>
      <c r="L193" s="17"/>
    </row>
    <row r="194">
      <c r="A194" s="19"/>
      <c r="K194" s="20"/>
      <c r="L194" s="17"/>
    </row>
    <row r="195">
      <c r="A195" s="19"/>
      <c r="K195" s="20"/>
      <c r="L195" s="17"/>
    </row>
    <row r="196">
      <c r="A196" s="19"/>
      <c r="K196" s="20"/>
      <c r="L196" s="17"/>
    </row>
    <row r="197">
      <c r="A197" s="19"/>
      <c r="K197" s="20"/>
      <c r="L197" s="17"/>
    </row>
    <row r="198">
      <c r="A198" s="19"/>
      <c r="K198" s="20"/>
      <c r="L198" s="17"/>
    </row>
    <row r="199">
      <c r="A199" s="19"/>
      <c r="K199" s="20"/>
      <c r="L199" s="17"/>
    </row>
    <row r="200">
      <c r="A200" s="19"/>
      <c r="K200" s="20"/>
      <c r="L200" s="17"/>
    </row>
    <row r="201">
      <c r="A201" s="19"/>
      <c r="K201" s="20"/>
      <c r="L201" s="17"/>
    </row>
    <row r="202">
      <c r="A202" s="19"/>
      <c r="K202" s="20"/>
      <c r="L202" s="17"/>
    </row>
    <row r="203">
      <c r="A203" s="19"/>
      <c r="K203" s="20"/>
      <c r="L203" s="17"/>
    </row>
    <row r="204">
      <c r="A204" s="19"/>
      <c r="K204" s="20"/>
      <c r="L204" s="17"/>
    </row>
    <row r="205">
      <c r="A205" s="19"/>
      <c r="K205" s="20"/>
      <c r="L205" s="17"/>
    </row>
    <row r="206">
      <c r="A206" s="19"/>
      <c r="K206" s="20"/>
      <c r="L206" s="17"/>
    </row>
    <row r="207">
      <c r="A207" s="19"/>
      <c r="K207" s="20"/>
      <c r="L207" s="17"/>
    </row>
    <row r="208">
      <c r="A208" s="19"/>
      <c r="K208" s="20"/>
      <c r="L208" s="17"/>
    </row>
    <row r="209">
      <c r="K209" s="20"/>
      <c r="L209" s="17"/>
    </row>
    <row r="210">
      <c r="K210" s="20"/>
      <c r="L210" s="17"/>
    </row>
    <row r="211">
      <c r="K211" s="20"/>
      <c r="L211" s="17"/>
    </row>
    <row r="212">
      <c r="K212" s="20"/>
      <c r="L212" s="17"/>
    </row>
    <row r="213">
      <c r="K213" s="20"/>
      <c r="L213" s="17"/>
    </row>
    <row r="214">
      <c r="K214" s="20"/>
      <c r="L214" s="17"/>
    </row>
    <row r="215">
      <c r="K215" s="20"/>
      <c r="L215" s="17"/>
    </row>
    <row r="216">
      <c r="K216" s="20"/>
      <c r="L216" s="17"/>
    </row>
    <row r="217">
      <c r="K217" s="20"/>
      <c r="L217" s="17"/>
    </row>
    <row r="218">
      <c r="K218" s="20"/>
      <c r="L218" s="17"/>
    </row>
    <row r="219">
      <c r="K219" s="20"/>
      <c r="L219" s="17"/>
    </row>
    <row r="220">
      <c r="K220" s="20"/>
      <c r="L220" s="17"/>
    </row>
    <row r="221">
      <c r="K221" s="20"/>
      <c r="L221" s="17"/>
    </row>
    <row r="222">
      <c r="K222" s="20"/>
      <c r="L222" s="17"/>
    </row>
    <row r="223">
      <c r="K223" s="20"/>
      <c r="L223" s="17"/>
    </row>
    <row r="224">
      <c r="K224" s="20"/>
      <c r="L224" s="17"/>
    </row>
    <row r="225">
      <c r="K225" s="20"/>
      <c r="L225" s="17"/>
    </row>
    <row r="226">
      <c r="K226" s="20"/>
      <c r="L226" s="17"/>
    </row>
    <row r="227">
      <c r="K227" s="20"/>
      <c r="L227" s="17"/>
    </row>
    <row r="228">
      <c r="K228" s="20"/>
      <c r="L228" s="17"/>
    </row>
    <row r="229">
      <c r="K229" s="20"/>
      <c r="L229" s="17"/>
    </row>
    <row r="230">
      <c r="K230" s="20"/>
      <c r="L230" s="17"/>
    </row>
    <row r="231">
      <c r="K231" s="20"/>
      <c r="L231" s="17"/>
    </row>
    <row r="232">
      <c r="K232" s="20"/>
      <c r="L232" s="17"/>
    </row>
    <row r="233">
      <c r="K233" s="20"/>
      <c r="L233" s="17"/>
    </row>
    <row r="234">
      <c r="K234" s="20"/>
      <c r="L234" s="17"/>
    </row>
    <row r="235">
      <c r="K235" s="20"/>
      <c r="L235" s="17"/>
    </row>
    <row r="236">
      <c r="K236" s="20"/>
      <c r="L236" s="17"/>
    </row>
    <row r="237">
      <c r="K237" s="20"/>
      <c r="L237" s="17"/>
    </row>
    <row r="238">
      <c r="K238" s="20"/>
      <c r="L238" s="17"/>
    </row>
    <row r="239">
      <c r="K239" s="20"/>
      <c r="L239" s="17"/>
    </row>
    <row r="240">
      <c r="K240" s="20"/>
      <c r="L240" s="17"/>
    </row>
    <row r="241">
      <c r="K241" s="20"/>
      <c r="L241" s="17"/>
    </row>
    <row r="242">
      <c r="K242" s="20"/>
      <c r="L242" s="17"/>
    </row>
    <row r="243">
      <c r="K243" s="20"/>
      <c r="L243" s="17"/>
    </row>
    <row r="244">
      <c r="K244" s="20"/>
      <c r="L244" s="17"/>
    </row>
    <row r="245">
      <c r="K245" s="20"/>
      <c r="L245" s="17"/>
    </row>
    <row r="246">
      <c r="K246" s="20"/>
      <c r="L246" s="17"/>
    </row>
    <row r="247">
      <c r="K247" s="20"/>
      <c r="L247" s="17"/>
    </row>
    <row r="248">
      <c r="K248" s="20"/>
      <c r="L248" s="17"/>
    </row>
    <row r="249">
      <c r="K249" s="20"/>
      <c r="L249" s="17"/>
    </row>
    <row r="250">
      <c r="K250" s="20"/>
      <c r="L250" s="17"/>
    </row>
    <row r="251">
      <c r="K251" s="20"/>
      <c r="L251" s="17"/>
    </row>
    <row r="252">
      <c r="K252" s="20"/>
      <c r="L252" s="17"/>
    </row>
    <row r="253">
      <c r="K253" s="20"/>
      <c r="L253" s="17"/>
    </row>
    <row r="254">
      <c r="K254" s="20"/>
      <c r="L254" s="17"/>
    </row>
    <row r="255">
      <c r="K255" s="20"/>
      <c r="L255" s="17"/>
    </row>
    <row r="256">
      <c r="K256" s="20"/>
      <c r="L256" s="17"/>
    </row>
    <row r="257">
      <c r="K257" s="20"/>
      <c r="L257" s="17"/>
    </row>
    <row r="258">
      <c r="K258" s="20"/>
      <c r="L258" s="17"/>
    </row>
    <row r="259">
      <c r="K259" s="20"/>
      <c r="L259" s="17"/>
    </row>
    <row r="260">
      <c r="K260" s="20"/>
      <c r="L260" s="17"/>
    </row>
    <row r="261">
      <c r="K261" s="20"/>
      <c r="L261" s="17"/>
    </row>
    <row r="262">
      <c r="K262" s="20"/>
      <c r="L262" s="17"/>
    </row>
    <row r="263">
      <c r="K263" s="20"/>
      <c r="L263" s="17"/>
    </row>
    <row r="264">
      <c r="K264" s="20"/>
      <c r="L264" s="17"/>
    </row>
    <row r="265">
      <c r="K265" s="20"/>
      <c r="L265" s="17"/>
    </row>
    <row r="266">
      <c r="K266" s="20"/>
      <c r="L266" s="17"/>
    </row>
    <row r="267">
      <c r="K267" s="20"/>
      <c r="L267" s="17"/>
    </row>
    <row r="268">
      <c r="K268" s="20"/>
      <c r="L268" s="17"/>
    </row>
    <row r="269">
      <c r="K269" s="20"/>
      <c r="L269" s="17"/>
    </row>
    <row r="270">
      <c r="K270" s="20"/>
      <c r="L270" s="17"/>
    </row>
    <row r="271">
      <c r="K271" s="20"/>
      <c r="L271" s="17"/>
    </row>
    <row r="272">
      <c r="K272" s="20"/>
      <c r="L272" s="17"/>
    </row>
    <row r="273">
      <c r="K273" s="20"/>
      <c r="L273" s="17"/>
    </row>
    <row r="274">
      <c r="K274" s="20"/>
      <c r="L274" s="17"/>
    </row>
    <row r="275">
      <c r="K275" s="20"/>
      <c r="L275" s="17"/>
    </row>
    <row r="276">
      <c r="K276" s="20"/>
      <c r="L276" s="17"/>
    </row>
    <row r="277">
      <c r="K277" s="20"/>
      <c r="L277" s="17"/>
    </row>
    <row r="278">
      <c r="K278" s="20"/>
      <c r="L278" s="17"/>
    </row>
    <row r="279">
      <c r="K279" s="20"/>
      <c r="L279" s="17"/>
    </row>
    <row r="280">
      <c r="K280" s="20"/>
      <c r="L280" s="17"/>
    </row>
    <row r="281">
      <c r="K281" s="20"/>
      <c r="L281" s="17"/>
    </row>
    <row r="282">
      <c r="K282" s="20"/>
      <c r="L282" s="17"/>
    </row>
    <row r="283">
      <c r="K283" s="20"/>
      <c r="L283" s="17"/>
    </row>
    <row r="284">
      <c r="K284" s="20"/>
      <c r="L284" s="17"/>
    </row>
    <row r="285">
      <c r="K285" s="20"/>
      <c r="L285" s="17"/>
    </row>
    <row r="286">
      <c r="K286" s="20"/>
      <c r="L286" s="17"/>
    </row>
    <row r="287">
      <c r="K287" s="20"/>
      <c r="L287" s="17"/>
    </row>
    <row r="288">
      <c r="K288" s="20"/>
      <c r="L288" s="17"/>
    </row>
    <row r="289">
      <c r="K289" s="20"/>
      <c r="L289" s="17"/>
    </row>
    <row r="290">
      <c r="K290" s="20"/>
      <c r="L290" s="17"/>
    </row>
    <row r="291">
      <c r="K291" s="20"/>
      <c r="L291" s="17"/>
    </row>
    <row r="292">
      <c r="K292" s="20"/>
      <c r="L292" s="17"/>
    </row>
    <row r="293">
      <c r="K293" s="20"/>
      <c r="L293" s="17"/>
    </row>
    <row r="294">
      <c r="K294" s="20"/>
      <c r="L294" s="17"/>
    </row>
    <row r="295">
      <c r="K295" s="20"/>
      <c r="L295" s="17"/>
    </row>
    <row r="296">
      <c r="K296" s="20"/>
      <c r="L296" s="17"/>
    </row>
    <row r="297">
      <c r="K297" s="20"/>
      <c r="L297" s="17"/>
    </row>
    <row r="298">
      <c r="K298" s="20"/>
      <c r="L298" s="17"/>
    </row>
    <row r="299">
      <c r="K299" s="20"/>
      <c r="L299" s="17"/>
    </row>
    <row r="300">
      <c r="K300" s="20"/>
      <c r="L300" s="17"/>
    </row>
    <row r="301">
      <c r="K301" s="20"/>
      <c r="L301" s="17"/>
    </row>
    <row r="302">
      <c r="K302" s="20"/>
      <c r="L302" s="17"/>
    </row>
    <row r="303">
      <c r="K303" s="20"/>
      <c r="L303" s="17"/>
    </row>
    <row r="304">
      <c r="K304" s="20"/>
      <c r="L304" s="17"/>
    </row>
    <row r="305">
      <c r="K305" s="20"/>
      <c r="L305" s="17"/>
    </row>
    <row r="306">
      <c r="K306" s="20"/>
      <c r="L306" s="17"/>
    </row>
    <row r="307">
      <c r="K307" s="20"/>
      <c r="L307" s="17"/>
    </row>
    <row r="308">
      <c r="K308" s="20"/>
      <c r="L308" s="17"/>
    </row>
    <row r="309">
      <c r="K309" s="20"/>
      <c r="L309" s="17"/>
    </row>
    <row r="310">
      <c r="K310" s="20"/>
      <c r="L310" s="17"/>
    </row>
    <row r="311">
      <c r="K311" s="20"/>
      <c r="L311" s="17"/>
    </row>
    <row r="312">
      <c r="K312" s="20"/>
      <c r="L312" s="17"/>
    </row>
    <row r="313">
      <c r="K313" s="20"/>
      <c r="L313" s="17"/>
    </row>
    <row r="314">
      <c r="K314" s="20"/>
      <c r="L314" s="17"/>
    </row>
    <row r="315">
      <c r="K315" s="20"/>
      <c r="L315" s="17"/>
    </row>
    <row r="316">
      <c r="K316" s="20"/>
      <c r="L316" s="17"/>
    </row>
    <row r="317">
      <c r="K317" s="20"/>
      <c r="L317" s="17"/>
    </row>
    <row r="318">
      <c r="K318" s="20"/>
      <c r="L318" s="17"/>
    </row>
    <row r="319">
      <c r="K319" s="20"/>
      <c r="L319" s="17"/>
    </row>
    <row r="320">
      <c r="K320" s="20"/>
      <c r="L320" s="17"/>
    </row>
    <row r="321">
      <c r="K321" s="20"/>
      <c r="L321" s="17"/>
    </row>
    <row r="322">
      <c r="K322" s="20"/>
      <c r="L322" s="17"/>
    </row>
    <row r="323">
      <c r="K323" s="20"/>
      <c r="L323" s="17"/>
    </row>
    <row r="324">
      <c r="K324" s="20"/>
      <c r="L324" s="17"/>
    </row>
    <row r="325">
      <c r="K325" s="20"/>
      <c r="L325" s="17"/>
    </row>
    <row r="326">
      <c r="K326" s="20"/>
      <c r="L326" s="17"/>
    </row>
    <row r="327">
      <c r="K327" s="20"/>
      <c r="L327" s="17"/>
    </row>
    <row r="328">
      <c r="K328" s="20"/>
      <c r="L328" s="17"/>
    </row>
    <row r="329">
      <c r="K329" s="20"/>
      <c r="L329" s="17"/>
    </row>
    <row r="330">
      <c r="K330" s="20"/>
      <c r="L330" s="17"/>
    </row>
    <row r="331">
      <c r="K331" s="20"/>
      <c r="L331" s="17"/>
    </row>
    <row r="332">
      <c r="K332" s="20"/>
      <c r="L332" s="17"/>
    </row>
    <row r="333">
      <c r="K333" s="20"/>
      <c r="L333" s="17"/>
    </row>
    <row r="334">
      <c r="K334" s="20"/>
      <c r="L334" s="17"/>
    </row>
    <row r="335">
      <c r="K335" s="20"/>
      <c r="L335" s="17"/>
    </row>
    <row r="336">
      <c r="K336" s="20"/>
      <c r="L336" s="17"/>
    </row>
    <row r="337">
      <c r="K337" s="20"/>
      <c r="L337" s="17"/>
    </row>
    <row r="338">
      <c r="K338" s="20"/>
      <c r="L338" s="17"/>
    </row>
    <row r="339">
      <c r="K339" s="20"/>
      <c r="L339" s="17"/>
    </row>
    <row r="340">
      <c r="K340" s="20"/>
      <c r="L340" s="17"/>
    </row>
    <row r="341">
      <c r="K341" s="20"/>
      <c r="L341" s="17"/>
    </row>
    <row r="342">
      <c r="K342" s="20"/>
      <c r="L342" s="17"/>
    </row>
    <row r="343">
      <c r="K343" s="20"/>
      <c r="L343" s="17"/>
    </row>
    <row r="344">
      <c r="K344" s="20"/>
      <c r="L344" s="17"/>
    </row>
    <row r="345">
      <c r="K345" s="20"/>
      <c r="L345" s="17"/>
    </row>
    <row r="346">
      <c r="K346" s="20"/>
      <c r="L346" s="17"/>
    </row>
    <row r="347">
      <c r="K347" s="20"/>
      <c r="L347" s="17"/>
    </row>
    <row r="348">
      <c r="K348" s="20"/>
      <c r="L348" s="17"/>
    </row>
    <row r="349">
      <c r="K349" s="20"/>
      <c r="L349" s="17"/>
    </row>
    <row r="350">
      <c r="K350" s="20"/>
      <c r="L350" s="17"/>
    </row>
    <row r="351">
      <c r="K351" s="20"/>
      <c r="L351" s="17"/>
    </row>
    <row r="352">
      <c r="K352" s="20"/>
      <c r="L352" s="17"/>
    </row>
    <row r="353">
      <c r="K353" s="20"/>
      <c r="L353" s="17"/>
    </row>
    <row r="354">
      <c r="K354" s="20"/>
      <c r="L354" s="17"/>
    </row>
    <row r="355">
      <c r="K355" s="20"/>
      <c r="L355" s="17"/>
    </row>
    <row r="356">
      <c r="K356" s="20"/>
      <c r="L356" s="17"/>
    </row>
    <row r="357">
      <c r="K357" s="20"/>
      <c r="L357" s="17"/>
    </row>
    <row r="358">
      <c r="K358" s="20"/>
      <c r="L358" s="17"/>
    </row>
    <row r="359">
      <c r="K359" s="20"/>
      <c r="L359" s="17"/>
    </row>
    <row r="360">
      <c r="K360" s="20"/>
      <c r="L360" s="17"/>
    </row>
    <row r="361">
      <c r="K361" s="20"/>
      <c r="L361" s="17"/>
    </row>
    <row r="362">
      <c r="K362" s="20"/>
      <c r="L362" s="17"/>
    </row>
    <row r="363">
      <c r="K363" s="20"/>
      <c r="L363" s="17"/>
    </row>
    <row r="364">
      <c r="K364" s="20"/>
      <c r="L364" s="17"/>
    </row>
    <row r="365">
      <c r="K365" s="20"/>
      <c r="L365" s="17"/>
    </row>
    <row r="366">
      <c r="K366" s="20"/>
      <c r="L366" s="17"/>
    </row>
    <row r="367">
      <c r="K367" s="20"/>
      <c r="L367" s="17"/>
    </row>
    <row r="368">
      <c r="K368" s="20"/>
      <c r="L368" s="17"/>
    </row>
    <row r="369">
      <c r="K369" s="20"/>
      <c r="L369" s="17"/>
    </row>
    <row r="370">
      <c r="K370" s="20"/>
      <c r="L370" s="17"/>
    </row>
    <row r="371">
      <c r="K371" s="20"/>
      <c r="L371" s="17"/>
    </row>
    <row r="372">
      <c r="K372" s="20"/>
      <c r="L372" s="17"/>
    </row>
    <row r="373">
      <c r="K373" s="20"/>
      <c r="L373" s="17"/>
    </row>
    <row r="374">
      <c r="K374" s="20"/>
      <c r="L374" s="17"/>
    </row>
    <row r="375">
      <c r="K375" s="20"/>
      <c r="L375" s="17"/>
    </row>
    <row r="376">
      <c r="K376" s="20"/>
      <c r="L376" s="17"/>
    </row>
    <row r="377">
      <c r="K377" s="20"/>
      <c r="L377" s="17"/>
    </row>
    <row r="378">
      <c r="K378" s="20"/>
      <c r="L378" s="17"/>
    </row>
    <row r="379">
      <c r="K379" s="20"/>
      <c r="L379" s="17"/>
    </row>
    <row r="380">
      <c r="K380" s="20"/>
      <c r="L380" s="17"/>
    </row>
    <row r="381">
      <c r="K381" s="20"/>
      <c r="L381" s="17"/>
    </row>
    <row r="382">
      <c r="K382" s="20"/>
      <c r="L382" s="17"/>
    </row>
    <row r="383">
      <c r="K383" s="20"/>
      <c r="L383" s="17"/>
    </row>
    <row r="384">
      <c r="K384" s="20"/>
      <c r="L384" s="17"/>
    </row>
    <row r="385">
      <c r="K385" s="20"/>
      <c r="L385" s="17"/>
    </row>
    <row r="386">
      <c r="K386" s="20"/>
      <c r="L386" s="17"/>
    </row>
    <row r="387">
      <c r="K387" s="20"/>
      <c r="L387" s="17"/>
    </row>
    <row r="388">
      <c r="K388" s="20"/>
      <c r="L388" s="17"/>
    </row>
    <row r="389">
      <c r="K389" s="20"/>
      <c r="L389" s="17"/>
    </row>
    <row r="390">
      <c r="K390" s="20"/>
      <c r="L390" s="17"/>
    </row>
    <row r="391">
      <c r="K391" s="20"/>
      <c r="L391" s="17"/>
    </row>
    <row r="392">
      <c r="K392" s="20"/>
      <c r="L392" s="17"/>
    </row>
    <row r="393">
      <c r="K393" s="20"/>
      <c r="L393" s="17"/>
    </row>
    <row r="394">
      <c r="K394" s="20"/>
      <c r="L394" s="17"/>
    </row>
    <row r="395">
      <c r="K395" s="20"/>
      <c r="L395" s="17"/>
    </row>
    <row r="396">
      <c r="K396" s="20"/>
      <c r="L396" s="17"/>
    </row>
    <row r="397">
      <c r="K397" s="20"/>
      <c r="L397" s="17"/>
    </row>
    <row r="398">
      <c r="K398" s="20"/>
      <c r="L398" s="17"/>
    </row>
    <row r="399">
      <c r="K399" s="20"/>
      <c r="L399" s="17"/>
    </row>
    <row r="400">
      <c r="K400" s="20"/>
      <c r="L400" s="17"/>
    </row>
    <row r="401">
      <c r="K401" s="20"/>
      <c r="L401" s="17"/>
    </row>
    <row r="402">
      <c r="K402" s="20"/>
      <c r="L402" s="17"/>
    </row>
    <row r="403">
      <c r="K403" s="20"/>
      <c r="L403" s="17"/>
    </row>
    <row r="404">
      <c r="K404" s="20"/>
      <c r="L404" s="17"/>
    </row>
    <row r="405">
      <c r="K405" s="20"/>
      <c r="L405" s="17"/>
    </row>
    <row r="406">
      <c r="K406" s="20"/>
      <c r="L406" s="17"/>
    </row>
    <row r="407">
      <c r="K407" s="20"/>
      <c r="L407" s="17"/>
    </row>
    <row r="408">
      <c r="K408" s="20"/>
      <c r="L408" s="17"/>
    </row>
    <row r="409">
      <c r="K409" s="20"/>
      <c r="L409" s="17"/>
    </row>
    <row r="410">
      <c r="K410" s="20"/>
      <c r="L410" s="17"/>
    </row>
    <row r="411">
      <c r="K411" s="20"/>
      <c r="L411" s="17"/>
    </row>
    <row r="412">
      <c r="K412" s="20"/>
      <c r="L412" s="17"/>
    </row>
    <row r="413">
      <c r="K413" s="20"/>
      <c r="L413" s="17"/>
    </row>
    <row r="414">
      <c r="K414" s="20"/>
      <c r="L414" s="17"/>
    </row>
    <row r="415">
      <c r="K415" s="20"/>
      <c r="L415" s="17"/>
    </row>
    <row r="416">
      <c r="K416" s="20"/>
      <c r="L416" s="17"/>
    </row>
    <row r="417">
      <c r="K417" s="20"/>
      <c r="L417" s="17"/>
    </row>
    <row r="418">
      <c r="K418" s="20"/>
      <c r="L418" s="17"/>
    </row>
    <row r="419">
      <c r="K419" s="20"/>
      <c r="L419" s="17"/>
    </row>
    <row r="420">
      <c r="K420" s="20"/>
      <c r="L420" s="17"/>
    </row>
    <row r="421">
      <c r="K421" s="20"/>
      <c r="L421" s="17"/>
    </row>
    <row r="422">
      <c r="K422" s="20"/>
      <c r="L422" s="17"/>
    </row>
    <row r="423">
      <c r="K423" s="20"/>
      <c r="L423" s="17"/>
    </row>
    <row r="424">
      <c r="K424" s="20"/>
      <c r="L424" s="17"/>
    </row>
    <row r="425">
      <c r="K425" s="20"/>
      <c r="L425" s="17"/>
    </row>
    <row r="426">
      <c r="K426" s="20"/>
      <c r="L426" s="17"/>
    </row>
    <row r="427">
      <c r="K427" s="20"/>
      <c r="L427" s="17"/>
    </row>
    <row r="428">
      <c r="K428" s="20"/>
      <c r="L428" s="17"/>
    </row>
    <row r="429">
      <c r="K429" s="20"/>
      <c r="L429" s="17"/>
    </row>
    <row r="430">
      <c r="K430" s="20"/>
      <c r="L430" s="17"/>
    </row>
    <row r="431">
      <c r="K431" s="20"/>
      <c r="L431" s="17"/>
    </row>
    <row r="432">
      <c r="K432" s="20"/>
      <c r="L432" s="17"/>
    </row>
    <row r="433">
      <c r="K433" s="20"/>
      <c r="L433" s="17"/>
    </row>
    <row r="434">
      <c r="K434" s="20"/>
      <c r="L434" s="17"/>
    </row>
    <row r="435">
      <c r="K435" s="20"/>
      <c r="L435" s="17"/>
    </row>
    <row r="436">
      <c r="K436" s="20"/>
      <c r="L436" s="17"/>
    </row>
    <row r="437">
      <c r="K437" s="20"/>
      <c r="L437" s="17"/>
    </row>
    <row r="438">
      <c r="K438" s="20"/>
      <c r="L438" s="17"/>
    </row>
    <row r="439">
      <c r="K439" s="20"/>
      <c r="L439" s="17"/>
    </row>
    <row r="440">
      <c r="K440" s="20"/>
      <c r="L440" s="17"/>
    </row>
    <row r="441">
      <c r="K441" s="20"/>
      <c r="L441" s="17"/>
    </row>
    <row r="442">
      <c r="K442" s="20"/>
      <c r="L442" s="17"/>
    </row>
    <row r="443">
      <c r="K443" s="20"/>
      <c r="L443" s="17"/>
    </row>
    <row r="444">
      <c r="K444" s="20"/>
      <c r="L444" s="17"/>
    </row>
    <row r="445">
      <c r="K445" s="20"/>
      <c r="L445" s="17"/>
    </row>
    <row r="446">
      <c r="K446" s="20"/>
      <c r="L446" s="17"/>
    </row>
    <row r="447">
      <c r="K447" s="20"/>
      <c r="L447" s="17"/>
    </row>
    <row r="448">
      <c r="K448" s="20"/>
      <c r="L448" s="17"/>
    </row>
    <row r="449">
      <c r="K449" s="20"/>
      <c r="L449" s="17"/>
    </row>
    <row r="450">
      <c r="K450" s="20"/>
      <c r="L450" s="17"/>
    </row>
    <row r="451">
      <c r="K451" s="20"/>
      <c r="L451" s="17"/>
    </row>
    <row r="452">
      <c r="K452" s="20"/>
      <c r="L452" s="17"/>
    </row>
    <row r="453">
      <c r="K453" s="20"/>
      <c r="L453" s="17"/>
    </row>
    <row r="454">
      <c r="K454" s="20"/>
      <c r="L454" s="17"/>
    </row>
    <row r="455">
      <c r="K455" s="20"/>
      <c r="L455" s="17"/>
    </row>
    <row r="456">
      <c r="K456" s="20"/>
      <c r="L456" s="17"/>
    </row>
    <row r="457">
      <c r="K457" s="20"/>
      <c r="L457" s="17"/>
    </row>
    <row r="458">
      <c r="K458" s="20"/>
      <c r="L458" s="17"/>
    </row>
    <row r="459">
      <c r="K459" s="20"/>
      <c r="L459" s="17"/>
    </row>
    <row r="460">
      <c r="K460" s="20"/>
      <c r="L460" s="17"/>
    </row>
    <row r="461">
      <c r="K461" s="20"/>
      <c r="L461" s="17"/>
    </row>
    <row r="462">
      <c r="K462" s="20"/>
      <c r="L462" s="17"/>
    </row>
    <row r="463">
      <c r="K463" s="20"/>
      <c r="L463" s="17"/>
    </row>
    <row r="464">
      <c r="K464" s="20"/>
      <c r="L464" s="17"/>
    </row>
    <row r="465">
      <c r="K465" s="20"/>
      <c r="L465" s="17"/>
    </row>
    <row r="466">
      <c r="K466" s="20"/>
      <c r="L466" s="17"/>
    </row>
    <row r="467">
      <c r="K467" s="20"/>
      <c r="L467" s="17"/>
    </row>
    <row r="468">
      <c r="K468" s="20"/>
      <c r="L468" s="17"/>
    </row>
    <row r="469">
      <c r="K469" s="20"/>
      <c r="L469" s="17"/>
    </row>
    <row r="470">
      <c r="K470" s="20"/>
      <c r="L470" s="17"/>
    </row>
    <row r="471">
      <c r="K471" s="20"/>
      <c r="L471" s="17"/>
    </row>
    <row r="472">
      <c r="K472" s="20"/>
      <c r="L472" s="17"/>
    </row>
    <row r="473">
      <c r="K473" s="20"/>
      <c r="L473" s="17"/>
    </row>
    <row r="474">
      <c r="K474" s="20"/>
      <c r="L474" s="17"/>
    </row>
    <row r="475">
      <c r="K475" s="20"/>
      <c r="L475" s="17"/>
    </row>
    <row r="476">
      <c r="K476" s="20"/>
      <c r="L476" s="17"/>
    </row>
    <row r="477">
      <c r="K477" s="20"/>
      <c r="L477" s="17"/>
    </row>
    <row r="478">
      <c r="K478" s="20"/>
      <c r="L478" s="17"/>
    </row>
    <row r="479">
      <c r="K479" s="20"/>
      <c r="L479" s="17"/>
    </row>
    <row r="480">
      <c r="K480" s="20"/>
      <c r="L480" s="17"/>
    </row>
    <row r="481">
      <c r="K481" s="20"/>
      <c r="L481" s="17"/>
    </row>
    <row r="482">
      <c r="K482" s="20"/>
      <c r="L482" s="17"/>
    </row>
    <row r="483">
      <c r="K483" s="20"/>
      <c r="L483" s="17"/>
    </row>
    <row r="484">
      <c r="K484" s="20"/>
      <c r="L484" s="17"/>
    </row>
    <row r="485">
      <c r="K485" s="20"/>
      <c r="L485" s="17"/>
    </row>
    <row r="486">
      <c r="K486" s="20"/>
      <c r="L486" s="17"/>
    </row>
    <row r="487">
      <c r="K487" s="20"/>
      <c r="L487" s="17"/>
    </row>
    <row r="488">
      <c r="K488" s="20"/>
      <c r="L488" s="17"/>
    </row>
    <row r="489">
      <c r="K489" s="20"/>
      <c r="L489" s="17"/>
    </row>
    <row r="490">
      <c r="K490" s="20"/>
      <c r="L490" s="17"/>
    </row>
    <row r="491">
      <c r="K491" s="20"/>
      <c r="L491" s="17"/>
    </row>
    <row r="492">
      <c r="K492" s="20"/>
      <c r="L492" s="17"/>
    </row>
    <row r="493">
      <c r="K493" s="20"/>
      <c r="L493" s="17"/>
    </row>
    <row r="494">
      <c r="K494" s="20"/>
      <c r="L494" s="17"/>
    </row>
    <row r="495">
      <c r="K495" s="20"/>
      <c r="L495" s="17"/>
    </row>
    <row r="496">
      <c r="K496" s="20"/>
      <c r="L496" s="17"/>
    </row>
    <row r="497">
      <c r="K497" s="20"/>
      <c r="L497" s="17"/>
    </row>
    <row r="498">
      <c r="K498" s="20"/>
      <c r="L498" s="17"/>
    </row>
    <row r="499">
      <c r="K499" s="20"/>
      <c r="L499" s="17"/>
    </row>
    <row r="500">
      <c r="K500" s="20"/>
      <c r="L500" s="17"/>
    </row>
    <row r="501">
      <c r="K501" s="20"/>
      <c r="L501" s="17"/>
    </row>
    <row r="502">
      <c r="K502" s="20"/>
      <c r="L502" s="17"/>
    </row>
    <row r="503">
      <c r="K503" s="20"/>
      <c r="L503" s="17"/>
    </row>
    <row r="504">
      <c r="K504" s="20"/>
      <c r="L504" s="17"/>
    </row>
    <row r="505">
      <c r="K505" s="20"/>
      <c r="L505" s="17"/>
    </row>
    <row r="506">
      <c r="K506" s="20"/>
      <c r="L506" s="17"/>
    </row>
    <row r="507">
      <c r="K507" s="20"/>
      <c r="L507" s="17"/>
    </row>
    <row r="508">
      <c r="K508" s="20"/>
      <c r="L508" s="17"/>
    </row>
    <row r="509">
      <c r="K509" s="20"/>
      <c r="L509" s="17"/>
    </row>
    <row r="510">
      <c r="K510" s="20"/>
      <c r="L510" s="17"/>
    </row>
    <row r="511">
      <c r="K511" s="20"/>
      <c r="L511" s="17"/>
    </row>
    <row r="512">
      <c r="K512" s="20"/>
      <c r="L512" s="17"/>
    </row>
    <row r="513">
      <c r="K513" s="20"/>
      <c r="L513" s="17"/>
    </row>
    <row r="514">
      <c r="K514" s="20"/>
      <c r="L514" s="17"/>
    </row>
    <row r="515">
      <c r="K515" s="20"/>
      <c r="L515" s="17"/>
    </row>
    <row r="516">
      <c r="K516" s="20"/>
      <c r="L516" s="17"/>
    </row>
    <row r="517">
      <c r="K517" s="20"/>
      <c r="L517" s="17"/>
    </row>
    <row r="518">
      <c r="K518" s="20"/>
      <c r="L518" s="17"/>
    </row>
    <row r="519">
      <c r="K519" s="20"/>
      <c r="L519" s="17"/>
    </row>
    <row r="520">
      <c r="K520" s="20"/>
      <c r="L520" s="17"/>
    </row>
    <row r="521">
      <c r="K521" s="20"/>
      <c r="L521" s="17"/>
    </row>
    <row r="522">
      <c r="K522" s="20"/>
      <c r="L522" s="17"/>
    </row>
    <row r="523">
      <c r="K523" s="20"/>
      <c r="L523" s="17"/>
    </row>
    <row r="524">
      <c r="K524" s="20"/>
      <c r="L524" s="17"/>
    </row>
    <row r="525">
      <c r="K525" s="20"/>
      <c r="L525" s="17"/>
    </row>
    <row r="526">
      <c r="K526" s="20"/>
      <c r="L526" s="17"/>
    </row>
    <row r="527">
      <c r="K527" s="20"/>
      <c r="L527" s="17"/>
    </row>
    <row r="528">
      <c r="K528" s="20"/>
      <c r="L528" s="17"/>
    </row>
    <row r="529">
      <c r="K529" s="20"/>
      <c r="L529" s="17"/>
    </row>
    <row r="530">
      <c r="K530" s="20"/>
      <c r="L530" s="17"/>
    </row>
    <row r="531">
      <c r="K531" s="20"/>
      <c r="L531" s="17"/>
    </row>
    <row r="532">
      <c r="K532" s="20"/>
      <c r="L532" s="17"/>
    </row>
    <row r="533">
      <c r="K533" s="20"/>
      <c r="L533" s="17"/>
    </row>
    <row r="534">
      <c r="K534" s="20"/>
      <c r="L534" s="17"/>
    </row>
    <row r="535">
      <c r="K535" s="20"/>
      <c r="L535" s="17"/>
    </row>
    <row r="536">
      <c r="K536" s="20"/>
      <c r="L536" s="17"/>
    </row>
    <row r="537">
      <c r="K537" s="20"/>
      <c r="L537" s="17"/>
    </row>
    <row r="538">
      <c r="K538" s="20"/>
      <c r="L538" s="17"/>
    </row>
    <row r="539">
      <c r="K539" s="20"/>
      <c r="L539" s="17"/>
    </row>
    <row r="540">
      <c r="K540" s="20"/>
      <c r="L540" s="17"/>
    </row>
    <row r="541">
      <c r="K541" s="20"/>
      <c r="L541" s="17"/>
    </row>
    <row r="542">
      <c r="K542" s="20"/>
      <c r="L542" s="17"/>
    </row>
    <row r="543">
      <c r="K543" s="20"/>
      <c r="L543" s="17"/>
    </row>
    <row r="544">
      <c r="K544" s="20"/>
      <c r="L544" s="17"/>
    </row>
    <row r="545">
      <c r="K545" s="20"/>
      <c r="L545" s="17"/>
    </row>
    <row r="546">
      <c r="K546" s="20"/>
      <c r="L546" s="17"/>
    </row>
    <row r="547">
      <c r="K547" s="20"/>
      <c r="L547" s="17"/>
    </row>
    <row r="548">
      <c r="K548" s="20"/>
      <c r="L548" s="17"/>
    </row>
    <row r="549">
      <c r="K549" s="20"/>
      <c r="L549" s="17"/>
    </row>
    <row r="550">
      <c r="K550" s="20"/>
      <c r="L550" s="17"/>
    </row>
    <row r="551">
      <c r="K551" s="20"/>
      <c r="L551" s="17"/>
    </row>
    <row r="552">
      <c r="K552" s="20"/>
      <c r="L552" s="17"/>
    </row>
    <row r="553">
      <c r="K553" s="20"/>
      <c r="L553" s="17"/>
    </row>
    <row r="554">
      <c r="K554" s="20"/>
      <c r="L554" s="17"/>
    </row>
    <row r="555">
      <c r="K555" s="20"/>
      <c r="L555" s="17"/>
    </row>
    <row r="556">
      <c r="K556" s="20"/>
      <c r="L556" s="17"/>
    </row>
    <row r="557">
      <c r="K557" s="20"/>
      <c r="L557" s="17"/>
    </row>
    <row r="558">
      <c r="K558" s="20"/>
      <c r="L558" s="17"/>
    </row>
    <row r="559">
      <c r="K559" s="20"/>
      <c r="L559" s="17"/>
    </row>
    <row r="560">
      <c r="K560" s="20"/>
      <c r="L560" s="17"/>
    </row>
    <row r="561">
      <c r="K561" s="20"/>
      <c r="L561" s="17"/>
    </row>
    <row r="562">
      <c r="K562" s="20"/>
      <c r="L562" s="17"/>
    </row>
    <row r="563">
      <c r="K563" s="20"/>
      <c r="L563" s="17"/>
    </row>
    <row r="564">
      <c r="K564" s="20"/>
      <c r="L564" s="17"/>
    </row>
    <row r="565">
      <c r="K565" s="20"/>
      <c r="L565" s="17"/>
    </row>
    <row r="566">
      <c r="K566" s="20"/>
      <c r="L566" s="17"/>
    </row>
    <row r="567">
      <c r="K567" s="20"/>
      <c r="L567" s="17"/>
    </row>
    <row r="568">
      <c r="K568" s="20"/>
      <c r="L568" s="17"/>
    </row>
    <row r="569">
      <c r="K569" s="20"/>
      <c r="L569" s="17"/>
    </row>
    <row r="570">
      <c r="K570" s="20"/>
      <c r="L570" s="17"/>
    </row>
    <row r="571">
      <c r="K571" s="20"/>
      <c r="L571" s="17"/>
    </row>
    <row r="572">
      <c r="K572" s="20"/>
      <c r="L572" s="17"/>
    </row>
    <row r="573">
      <c r="K573" s="20"/>
      <c r="L573" s="17"/>
    </row>
    <row r="574">
      <c r="K574" s="20"/>
      <c r="L574" s="17"/>
    </row>
    <row r="575">
      <c r="K575" s="20"/>
      <c r="L575" s="17"/>
    </row>
    <row r="576">
      <c r="K576" s="20"/>
      <c r="L576" s="17"/>
    </row>
    <row r="577">
      <c r="K577" s="20"/>
      <c r="L577" s="17"/>
    </row>
    <row r="578">
      <c r="K578" s="20"/>
      <c r="L578" s="17"/>
    </row>
    <row r="579">
      <c r="K579" s="20"/>
      <c r="L579" s="17"/>
    </row>
    <row r="580">
      <c r="K580" s="20"/>
      <c r="L580" s="17"/>
    </row>
    <row r="581">
      <c r="K581" s="20"/>
      <c r="L581" s="17"/>
    </row>
    <row r="582">
      <c r="K582" s="20"/>
      <c r="L582" s="17"/>
    </row>
    <row r="583">
      <c r="K583" s="20"/>
      <c r="L583" s="17"/>
    </row>
    <row r="584">
      <c r="K584" s="20"/>
      <c r="L584" s="17"/>
    </row>
    <row r="585">
      <c r="K585" s="20"/>
      <c r="L585" s="17"/>
    </row>
    <row r="586">
      <c r="K586" s="20"/>
      <c r="L586" s="17"/>
    </row>
    <row r="587">
      <c r="K587" s="20"/>
      <c r="L587" s="17"/>
    </row>
    <row r="588">
      <c r="K588" s="20"/>
      <c r="L588" s="17"/>
    </row>
    <row r="589">
      <c r="K589" s="20"/>
      <c r="L589" s="17"/>
    </row>
    <row r="590">
      <c r="K590" s="20"/>
      <c r="L590" s="17"/>
    </row>
    <row r="591">
      <c r="K591" s="20"/>
      <c r="L591" s="17"/>
    </row>
    <row r="592">
      <c r="K592" s="20"/>
      <c r="L592" s="17"/>
    </row>
    <row r="593">
      <c r="K593" s="20"/>
      <c r="L593" s="17"/>
    </row>
    <row r="594">
      <c r="K594" s="20"/>
      <c r="L594" s="17"/>
    </row>
    <row r="595">
      <c r="K595" s="20"/>
      <c r="L595" s="17"/>
    </row>
    <row r="596">
      <c r="K596" s="20"/>
      <c r="L596" s="17"/>
    </row>
    <row r="597">
      <c r="K597" s="20"/>
      <c r="L597" s="17"/>
    </row>
    <row r="598">
      <c r="K598" s="20"/>
      <c r="L598" s="17"/>
    </row>
    <row r="599">
      <c r="K599" s="20"/>
      <c r="L599" s="17"/>
    </row>
    <row r="600">
      <c r="K600" s="20"/>
      <c r="L600" s="17"/>
    </row>
    <row r="601">
      <c r="K601" s="20"/>
      <c r="L601" s="17"/>
    </row>
    <row r="602">
      <c r="K602" s="20"/>
      <c r="L602" s="17"/>
    </row>
    <row r="603">
      <c r="K603" s="20"/>
      <c r="L603" s="17"/>
    </row>
    <row r="604">
      <c r="K604" s="20"/>
      <c r="L604" s="17"/>
    </row>
    <row r="605">
      <c r="K605" s="20"/>
      <c r="L605" s="17"/>
    </row>
    <row r="606">
      <c r="K606" s="20"/>
      <c r="L606" s="17"/>
    </row>
    <row r="607">
      <c r="K607" s="20"/>
      <c r="L607" s="17"/>
    </row>
    <row r="608">
      <c r="K608" s="20"/>
      <c r="L608" s="17"/>
    </row>
    <row r="609">
      <c r="K609" s="20"/>
      <c r="L609" s="17"/>
    </row>
    <row r="610">
      <c r="K610" s="20"/>
      <c r="L610" s="17"/>
    </row>
    <row r="611">
      <c r="K611" s="20"/>
      <c r="L611" s="17"/>
    </row>
    <row r="612">
      <c r="K612" s="20"/>
      <c r="L612" s="17"/>
    </row>
    <row r="613">
      <c r="K613" s="20"/>
      <c r="L613" s="17"/>
    </row>
    <row r="614">
      <c r="K614" s="20"/>
      <c r="L614" s="17"/>
    </row>
    <row r="615">
      <c r="K615" s="20"/>
      <c r="L615" s="17"/>
    </row>
    <row r="616">
      <c r="K616" s="20"/>
      <c r="L616" s="17"/>
    </row>
    <row r="617">
      <c r="K617" s="20"/>
      <c r="L617" s="17"/>
    </row>
    <row r="618">
      <c r="K618" s="20"/>
      <c r="L618" s="17"/>
    </row>
    <row r="619">
      <c r="K619" s="20"/>
      <c r="L619" s="17"/>
    </row>
    <row r="620">
      <c r="K620" s="20"/>
      <c r="L620" s="17"/>
    </row>
    <row r="621">
      <c r="K621" s="20"/>
      <c r="L621" s="17"/>
    </row>
    <row r="622">
      <c r="K622" s="20"/>
      <c r="L622" s="17"/>
    </row>
    <row r="623">
      <c r="K623" s="20"/>
      <c r="L623" s="17"/>
    </row>
    <row r="624">
      <c r="K624" s="20"/>
      <c r="L624" s="17"/>
    </row>
    <row r="625">
      <c r="K625" s="20"/>
      <c r="L625" s="17"/>
    </row>
    <row r="626">
      <c r="K626" s="20"/>
      <c r="L626" s="17"/>
    </row>
    <row r="627">
      <c r="K627" s="20"/>
      <c r="L627" s="17"/>
    </row>
    <row r="628">
      <c r="K628" s="20"/>
      <c r="L628" s="17"/>
    </row>
    <row r="629">
      <c r="K629" s="20"/>
      <c r="L629" s="17"/>
    </row>
    <row r="630">
      <c r="K630" s="20"/>
      <c r="L630" s="17"/>
    </row>
    <row r="631">
      <c r="K631" s="20"/>
      <c r="L631" s="17"/>
    </row>
    <row r="632">
      <c r="K632" s="20"/>
      <c r="L632" s="17"/>
    </row>
    <row r="633">
      <c r="K633" s="20"/>
      <c r="L633" s="17"/>
    </row>
    <row r="634">
      <c r="K634" s="20"/>
      <c r="L634" s="17"/>
    </row>
    <row r="635">
      <c r="K635" s="20"/>
      <c r="L635" s="17"/>
    </row>
    <row r="636">
      <c r="K636" s="20"/>
      <c r="L636" s="17"/>
    </row>
    <row r="637">
      <c r="K637" s="20"/>
      <c r="L637" s="17"/>
    </row>
    <row r="638">
      <c r="K638" s="20"/>
      <c r="L638" s="17"/>
    </row>
    <row r="639">
      <c r="K639" s="20"/>
      <c r="L639" s="17"/>
    </row>
    <row r="640">
      <c r="K640" s="20"/>
      <c r="L640" s="17"/>
    </row>
    <row r="641">
      <c r="K641" s="20"/>
      <c r="L641" s="17"/>
    </row>
    <row r="642">
      <c r="K642" s="20"/>
      <c r="L642" s="17"/>
    </row>
    <row r="643">
      <c r="K643" s="20"/>
      <c r="L643" s="17"/>
    </row>
    <row r="644">
      <c r="K644" s="20"/>
      <c r="L644" s="17"/>
    </row>
    <row r="645">
      <c r="K645" s="20"/>
      <c r="L645" s="17"/>
    </row>
    <row r="646">
      <c r="K646" s="20"/>
      <c r="L646" s="17"/>
    </row>
    <row r="647">
      <c r="K647" s="20"/>
      <c r="L647" s="17"/>
    </row>
    <row r="648">
      <c r="K648" s="20"/>
      <c r="L648" s="17"/>
    </row>
    <row r="649">
      <c r="K649" s="20"/>
      <c r="L649" s="17"/>
    </row>
    <row r="650">
      <c r="K650" s="20"/>
      <c r="L650" s="17"/>
    </row>
    <row r="651">
      <c r="K651" s="20"/>
      <c r="L651" s="17"/>
    </row>
    <row r="652">
      <c r="K652" s="20"/>
      <c r="L652" s="17"/>
    </row>
    <row r="653">
      <c r="K653" s="20"/>
      <c r="L653" s="17"/>
    </row>
    <row r="654">
      <c r="K654" s="20"/>
      <c r="L654" s="17"/>
    </row>
    <row r="655">
      <c r="K655" s="20"/>
      <c r="L655" s="17"/>
    </row>
    <row r="656">
      <c r="K656" s="20"/>
      <c r="L656" s="17"/>
    </row>
    <row r="657">
      <c r="K657" s="20"/>
      <c r="L657" s="17"/>
    </row>
    <row r="658">
      <c r="K658" s="20"/>
      <c r="L658" s="17"/>
    </row>
    <row r="659">
      <c r="K659" s="20"/>
      <c r="L659" s="17"/>
    </row>
    <row r="660">
      <c r="K660" s="20"/>
      <c r="L660" s="17"/>
    </row>
    <row r="661">
      <c r="K661" s="20"/>
      <c r="L661" s="17"/>
    </row>
    <row r="662">
      <c r="K662" s="20"/>
      <c r="L662" s="17"/>
    </row>
    <row r="663">
      <c r="K663" s="20"/>
      <c r="L663" s="17"/>
    </row>
    <row r="664">
      <c r="K664" s="20"/>
      <c r="L664" s="17"/>
    </row>
    <row r="665">
      <c r="K665" s="20"/>
      <c r="L665" s="17"/>
    </row>
    <row r="666">
      <c r="K666" s="20"/>
      <c r="L666" s="17"/>
    </row>
    <row r="667">
      <c r="K667" s="20"/>
      <c r="L667" s="17"/>
    </row>
    <row r="668">
      <c r="K668" s="20"/>
      <c r="L668" s="17"/>
    </row>
    <row r="669">
      <c r="K669" s="20"/>
      <c r="L669" s="17"/>
    </row>
    <row r="670">
      <c r="K670" s="20"/>
      <c r="L670" s="17"/>
    </row>
    <row r="671">
      <c r="K671" s="20"/>
      <c r="L671" s="17"/>
    </row>
    <row r="672">
      <c r="K672" s="20"/>
      <c r="L672" s="17"/>
    </row>
    <row r="673">
      <c r="K673" s="20"/>
      <c r="L673" s="17"/>
    </row>
    <row r="674">
      <c r="K674" s="20"/>
      <c r="L674" s="17"/>
    </row>
    <row r="675">
      <c r="K675" s="20"/>
      <c r="L675" s="17"/>
    </row>
    <row r="676">
      <c r="K676" s="20"/>
      <c r="L676" s="17"/>
    </row>
    <row r="677">
      <c r="K677" s="20"/>
      <c r="L677" s="17"/>
    </row>
    <row r="678">
      <c r="K678" s="20"/>
      <c r="L678" s="17"/>
    </row>
    <row r="679">
      <c r="K679" s="20"/>
      <c r="L679" s="17"/>
    </row>
    <row r="680">
      <c r="K680" s="20"/>
      <c r="L680" s="17"/>
    </row>
    <row r="681">
      <c r="K681" s="20"/>
      <c r="L681" s="17"/>
    </row>
    <row r="682">
      <c r="K682" s="20"/>
      <c r="L682" s="17"/>
    </row>
    <row r="683">
      <c r="K683" s="20"/>
      <c r="L683" s="17"/>
    </row>
    <row r="684">
      <c r="K684" s="20"/>
      <c r="L684" s="17"/>
    </row>
    <row r="685">
      <c r="K685" s="20"/>
      <c r="L685" s="17"/>
    </row>
    <row r="686">
      <c r="K686" s="20"/>
      <c r="L686" s="17"/>
    </row>
    <row r="687">
      <c r="K687" s="20"/>
      <c r="L687" s="17"/>
    </row>
    <row r="688">
      <c r="K688" s="20"/>
      <c r="L688" s="17"/>
    </row>
    <row r="689">
      <c r="K689" s="20"/>
      <c r="L689" s="17"/>
    </row>
    <row r="690">
      <c r="K690" s="20"/>
      <c r="L690" s="17"/>
    </row>
    <row r="691">
      <c r="K691" s="20"/>
      <c r="L691" s="17"/>
    </row>
    <row r="692">
      <c r="K692" s="20"/>
      <c r="L692" s="17"/>
    </row>
    <row r="693">
      <c r="K693" s="20"/>
      <c r="L693" s="17"/>
    </row>
    <row r="694">
      <c r="K694" s="20"/>
      <c r="L694" s="17"/>
    </row>
    <row r="695">
      <c r="K695" s="20"/>
      <c r="L695" s="17"/>
    </row>
    <row r="696">
      <c r="K696" s="20"/>
      <c r="L696" s="17"/>
    </row>
    <row r="697">
      <c r="K697" s="20"/>
      <c r="L697" s="17"/>
    </row>
    <row r="698">
      <c r="K698" s="20"/>
      <c r="L698" s="17"/>
    </row>
    <row r="699">
      <c r="K699" s="20"/>
      <c r="L699" s="17"/>
    </row>
    <row r="700">
      <c r="K700" s="20"/>
      <c r="L700" s="17"/>
    </row>
    <row r="701">
      <c r="K701" s="20"/>
      <c r="L701" s="17"/>
    </row>
    <row r="702">
      <c r="K702" s="20"/>
      <c r="L702" s="17"/>
    </row>
    <row r="703">
      <c r="K703" s="20"/>
      <c r="L703" s="17"/>
    </row>
    <row r="704">
      <c r="K704" s="20"/>
      <c r="L704" s="17"/>
    </row>
    <row r="705">
      <c r="K705" s="20"/>
      <c r="L705" s="17"/>
    </row>
    <row r="706">
      <c r="K706" s="20"/>
      <c r="L706" s="17"/>
    </row>
    <row r="707">
      <c r="K707" s="20"/>
      <c r="L707" s="17"/>
    </row>
    <row r="708">
      <c r="K708" s="20"/>
      <c r="L708" s="17"/>
    </row>
    <row r="709">
      <c r="K709" s="20"/>
      <c r="L709" s="17"/>
    </row>
    <row r="710">
      <c r="K710" s="20"/>
      <c r="L710" s="17"/>
    </row>
    <row r="711">
      <c r="K711" s="20"/>
      <c r="L711" s="17"/>
    </row>
    <row r="712">
      <c r="K712" s="20"/>
      <c r="L712" s="17"/>
    </row>
    <row r="713">
      <c r="K713" s="20"/>
      <c r="L713" s="17"/>
    </row>
    <row r="714">
      <c r="K714" s="20"/>
      <c r="L714" s="17"/>
    </row>
    <row r="715">
      <c r="K715" s="20"/>
      <c r="L715" s="17"/>
    </row>
    <row r="716">
      <c r="K716" s="20"/>
      <c r="L716" s="17"/>
    </row>
    <row r="717">
      <c r="K717" s="20"/>
      <c r="L717" s="17"/>
    </row>
    <row r="718">
      <c r="K718" s="20"/>
      <c r="L718" s="17"/>
    </row>
    <row r="719">
      <c r="K719" s="20"/>
      <c r="L719" s="17"/>
    </row>
    <row r="720">
      <c r="K720" s="20"/>
      <c r="L720" s="17"/>
    </row>
    <row r="721">
      <c r="K721" s="20"/>
      <c r="L721" s="17"/>
    </row>
    <row r="722">
      <c r="K722" s="20"/>
      <c r="L722" s="17"/>
    </row>
    <row r="723">
      <c r="K723" s="20"/>
      <c r="L723" s="17"/>
    </row>
    <row r="724">
      <c r="K724" s="20"/>
      <c r="L724" s="17"/>
    </row>
    <row r="725">
      <c r="K725" s="20"/>
      <c r="L725" s="17"/>
    </row>
    <row r="726">
      <c r="K726" s="20"/>
      <c r="L726" s="17"/>
    </row>
    <row r="727">
      <c r="K727" s="20"/>
      <c r="L727" s="17"/>
    </row>
    <row r="728">
      <c r="K728" s="20"/>
      <c r="L728" s="17"/>
    </row>
    <row r="729">
      <c r="K729" s="20"/>
      <c r="L729" s="17"/>
    </row>
    <row r="730">
      <c r="K730" s="20"/>
      <c r="L730" s="17"/>
    </row>
    <row r="731">
      <c r="K731" s="20"/>
      <c r="L731" s="17"/>
    </row>
    <row r="732">
      <c r="K732" s="20"/>
      <c r="L732" s="17"/>
    </row>
    <row r="733">
      <c r="K733" s="20"/>
      <c r="L733" s="17"/>
    </row>
    <row r="734">
      <c r="K734" s="20"/>
      <c r="L734" s="17"/>
    </row>
    <row r="735">
      <c r="K735" s="20"/>
      <c r="L735" s="17"/>
    </row>
    <row r="736">
      <c r="K736" s="20"/>
      <c r="L736" s="17"/>
    </row>
    <row r="737">
      <c r="K737" s="20"/>
      <c r="L737" s="17"/>
    </row>
    <row r="738">
      <c r="K738" s="20"/>
      <c r="L738" s="17"/>
    </row>
    <row r="739">
      <c r="K739" s="20"/>
      <c r="L739" s="17"/>
    </row>
    <row r="740">
      <c r="K740" s="20"/>
      <c r="L740" s="17"/>
    </row>
    <row r="741">
      <c r="K741" s="20"/>
      <c r="L741" s="17"/>
    </row>
    <row r="742">
      <c r="K742" s="20"/>
      <c r="L742" s="17"/>
    </row>
    <row r="743">
      <c r="K743" s="20"/>
      <c r="L743" s="17"/>
    </row>
    <row r="744">
      <c r="K744" s="20"/>
      <c r="L744" s="17"/>
    </row>
    <row r="745">
      <c r="K745" s="20"/>
      <c r="L745" s="17"/>
    </row>
    <row r="746">
      <c r="K746" s="20"/>
      <c r="L746" s="17"/>
    </row>
    <row r="747">
      <c r="K747" s="20"/>
      <c r="L747" s="17"/>
    </row>
    <row r="748">
      <c r="K748" s="20"/>
      <c r="L748" s="17"/>
    </row>
    <row r="749">
      <c r="K749" s="20"/>
      <c r="L749" s="17"/>
    </row>
    <row r="750">
      <c r="K750" s="20"/>
      <c r="L750" s="17"/>
    </row>
    <row r="751">
      <c r="K751" s="20"/>
      <c r="L751" s="17"/>
    </row>
    <row r="752">
      <c r="K752" s="20"/>
      <c r="L752" s="17"/>
    </row>
    <row r="753">
      <c r="K753" s="20"/>
      <c r="L753" s="17"/>
    </row>
    <row r="754">
      <c r="K754" s="20"/>
      <c r="L754" s="17"/>
    </row>
    <row r="755">
      <c r="K755" s="20"/>
      <c r="L755" s="17"/>
    </row>
    <row r="756">
      <c r="K756" s="20"/>
      <c r="L756" s="17"/>
    </row>
    <row r="757">
      <c r="K757" s="20"/>
      <c r="L757" s="17"/>
    </row>
    <row r="758">
      <c r="K758" s="20"/>
      <c r="L758" s="17"/>
    </row>
    <row r="759">
      <c r="K759" s="20"/>
      <c r="L759" s="17"/>
    </row>
    <row r="760">
      <c r="K760" s="20"/>
      <c r="L760" s="17"/>
    </row>
    <row r="761">
      <c r="K761" s="20"/>
      <c r="L761" s="17"/>
    </row>
    <row r="762">
      <c r="K762" s="20"/>
      <c r="L762" s="17"/>
    </row>
    <row r="763">
      <c r="K763" s="20"/>
      <c r="L763" s="17"/>
    </row>
    <row r="764">
      <c r="K764" s="20"/>
      <c r="L764" s="17"/>
    </row>
    <row r="765">
      <c r="K765" s="20"/>
      <c r="L765" s="17"/>
    </row>
    <row r="766">
      <c r="K766" s="20"/>
      <c r="L766" s="17"/>
    </row>
    <row r="767">
      <c r="K767" s="20"/>
      <c r="L767" s="17"/>
    </row>
    <row r="768">
      <c r="K768" s="20"/>
      <c r="L768" s="17"/>
    </row>
    <row r="769">
      <c r="K769" s="20"/>
      <c r="L769" s="17"/>
    </row>
    <row r="770">
      <c r="K770" s="20"/>
      <c r="L770" s="17"/>
    </row>
    <row r="771">
      <c r="K771" s="20"/>
      <c r="L771" s="17"/>
    </row>
    <row r="772">
      <c r="K772" s="20"/>
      <c r="L772" s="17"/>
    </row>
    <row r="773">
      <c r="K773" s="20"/>
      <c r="L773" s="17"/>
    </row>
    <row r="774">
      <c r="K774" s="20"/>
      <c r="L774" s="17"/>
    </row>
    <row r="775">
      <c r="K775" s="20"/>
      <c r="L775" s="17"/>
    </row>
    <row r="776">
      <c r="K776" s="20"/>
      <c r="L776" s="17"/>
    </row>
    <row r="777">
      <c r="K777" s="20"/>
      <c r="L777" s="17"/>
    </row>
    <row r="778">
      <c r="K778" s="20"/>
      <c r="L778" s="17"/>
    </row>
    <row r="779">
      <c r="K779" s="20"/>
      <c r="L779" s="17"/>
    </row>
    <row r="780">
      <c r="K780" s="20"/>
      <c r="L780" s="17"/>
    </row>
    <row r="781">
      <c r="K781" s="20"/>
      <c r="L781" s="17"/>
    </row>
    <row r="782">
      <c r="K782" s="20"/>
      <c r="L782" s="17"/>
    </row>
    <row r="783">
      <c r="K783" s="20"/>
      <c r="L783" s="17"/>
    </row>
    <row r="784">
      <c r="K784" s="20"/>
      <c r="L784" s="17"/>
    </row>
    <row r="785">
      <c r="K785" s="20"/>
      <c r="L785" s="17"/>
    </row>
    <row r="786">
      <c r="K786" s="20"/>
      <c r="L786" s="17"/>
    </row>
    <row r="787">
      <c r="K787" s="20"/>
      <c r="L787" s="17"/>
    </row>
    <row r="788">
      <c r="K788" s="20"/>
      <c r="L788" s="17"/>
    </row>
    <row r="789">
      <c r="K789" s="20"/>
      <c r="L789" s="17"/>
    </row>
    <row r="790">
      <c r="K790" s="20"/>
      <c r="L790" s="17"/>
    </row>
    <row r="791">
      <c r="K791" s="20"/>
      <c r="L791" s="17"/>
    </row>
    <row r="792">
      <c r="K792" s="20"/>
      <c r="L792" s="17"/>
    </row>
    <row r="793">
      <c r="K793" s="20"/>
      <c r="L793" s="17"/>
    </row>
    <row r="794">
      <c r="K794" s="20"/>
      <c r="L794" s="17"/>
    </row>
    <row r="795">
      <c r="K795" s="20"/>
      <c r="L795" s="17"/>
    </row>
    <row r="796">
      <c r="K796" s="20"/>
      <c r="L796" s="17"/>
    </row>
    <row r="797">
      <c r="K797" s="20"/>
      <c r="L797" s="17"/>
    </row>
    <row r="798">
      <c r="K798" s="20"/>
      <c r="L798" s="17"/>
    </row>
    <row r="799">
      <c r="K799" s="20"/>
      <c r="L799" s="17"/>
    </row>
    <row r="800">
      <c r="K800" s="20"/>
      <c r="L800" s="17"/>
    </row>
    <row r="801">
      <c r="K801" s="20"/>
      <c r="L801" s="17"/>
    </row>
    <row r="802">
      <c r="K802" s="20"/>
      <c r="L802" s="17"/>
    </row>
    <row r="803">
      <c r="K803" s="20"/>
      <c r="L803" s="17"/>
    </row>
    <row r="804">
      <c r="K804" s="20"/>
      <c r="L804" s="17"/>
    </row>
    <row r="805">
      <c r="K805" s="20"/>
      <c r="L805" s="17"/>
    </row>
    <row r="806">
      <c r="K806" s="20"/>
      <c r="L806" s="17"/>
    </row>
    <row r="807">
      <c r="K807" s="20"/>
      <c r="L807" s="17"/>
    </row>
    <row r="808">
      <c r="K808" s="20"/>
      <c r="L808" s="17"/>
    </row>
    <row r="809">
      <c r="K809" s="20"/>
      <c r="L809" s="17"/>
    </row>
    <row r="810">
      <c r="K810" s="20"/>
      <c r="L810" s="17"/>
    </row>
    <row r="811">
      <c r="K811" s="20"/>
      <c r="L811" s="17"/>
    </row>
    <row r="812">
      <c r="K812" s="20"/>
      <c r="L812" s="17"/>
    </row>
    <row r="813">
      <c r="K813" s="20"/>
      <c r="L813" s="17"/>
    </row>
    <row r="814">
      <c r="K814" s="20"/>
      <c r="L814" s="17"/>
    </row>
    <row r="815">
      <c r="K815" s="20"/>
      <c r="L815" s="17"/>
    </row>
    <row r="816">
      <c r="K816" s="20"/>
      <c r="L816" s="17"/>
    </row>
    <row r="817">
      <c r="K817" s="20"/>
      <c r="L817" s="17"/>
    </row>
    <row r="818">
      <c r="K818" s="20"/>
      <c r="L818" s="17"/>
    </row>
    <row r="819">
      <c r="K819" s="20"/>
      <c r="L819" s="17"/>
    </row>
    <row r="820">
      <c r="K820" s="20"/>
      <c r="L820" s="17"/>
    </row>
    <row r="821">
      <c r="K821" s="20"/>
      <c r="L821" s="17"/>
    </row>
    <row r="822">
      <c r="K822" s="20"/>
      <c r="L822" s="17"/>
    </row>
    <row r="823">
      <c r="K823" s="20"/>
      <c r="L823" s="17"/>
    </row>
    <row r="824">
      <c r="K824" s="20"/>
      <c r="L824" s="17"/>
    </row>
    <row r="825">
      <c r="K825" s="20"/>
      <c r="L825" s="17"/>
    </row>
    <row r="826">
      <c r="K826" s="20"/>
      <c r="L826" s="17"/>
    </row>
    <row r="827">
      <c r="K827" s="20"/>
      <c r="L827" s="17"/>
    </row>
    <row r="828">
      <c r="K828" s="20"/>
      <c r="L828" s="17"/>
    </row>
    <row r="829">
      <c r="K829" s="20"/>
      <c r="L829" s="17"/>
    </row>
    <row r="830">
      <c r="K830" s="20"/>
      <c r="L830" s="17"/>
    </row>
    <row r="831">
      <c r="K831" s="20"/>
      <c r="L831" s="17"/>
    </row>
    <row r="832">
      <c r="K832" s="20"/>
      <c r="L832" s="17"/>
    </row>
    <row r="833">
      <c r="K833" s="20"/>
      <c r="L833" s="17"/>
    </row>
    <row r="834">
      <c r="K834" s="20"/>
      <c r="L834" s="17"/>
    </row>
    <row r="835">
      <c r="K835" s="20"/>
      <c r="L835" s="17"/>
    </row>
    <row r="836">
      <c r="K836" s="20"/>
      <c r="L836" s="17"/>
    </row>
    <row r="837">
      <c r="K837" s="20"/>
      <c r="L837" s="17"/>
    </row>
    <row r="838">
      <c r="K838" s="20"/>
      <c r="L838" s="17"/>
    </row>
    <row r="839">
      <c r="K839" s="20"/>
      <c r="L839" s="17"/>
    </row>
    <row r="840">
      <c r="K840" s="20"/>
      <c r="L840" s="17"/>
    </row>
    <row r="841">
      <c r="K841" s="20"/>
      <c r="L841" s="17"/>
    </row>
    <row r="842">
      <c r="K842" s="20"/>
      <c r="L842" s="17"/>
    </row>
    <row r="843">
      <c r="K843" s="20"/>
      <c r="L843" s="17"/>
    </row>
    <row r="844">
      <c r="K844" s="20"/>
      <c r="L844" s="17"/>
    </row>
    <row r="845">
      <c r="K845" s="20"/>
      <c r="L845" s="17"/>
    </row>
    <row r="846">
      <c r="K846" s="20"/>
      <c r="L846" s="17"/>
    </row>
    <row r="847">
      <c r="K847" s="20"/>
      <c r="L847" s="17"/>
    </row>
    <row r="848">
      <c r="K848" s="20"/>
      <c r="L848" s="17"/>
    </row>
    <row r="849">
      <c r="K849" s="20"/>
      <c r="L849" s="17"/>
    </row>
    <row r="850">
      <c r="K850" s="20"/>
      <c r="L850" s="17"/>
    </row>
    <row r="851">
      <c r="K851" s="20"/>
      <c r="L851" s="17"/>
    </row>
    <row r="852">
      <c r="K852" s="20"/>
      <c r="L852" s="17"/>
    </row>
    <row r="853">
      <c r="K853" s="20"/>
      <c r="L853" s="17"/>
    </row>
  </sheetData>
  <hyperlinks>
    <hyperlink r:id="rId1" ref="F3"/>
    <hyperlink r:id="rId2" ref="F4"/>
    <hyperlink r:id="rId3" ref="F5"/>
    <hyperlink r:id="rId4" ref="F6"/>
    <hyperlink r:id="rId5" ref="F7"/>
    <hyperlink r:id="rId6" ref="F9"/>
    <hyperlink r:id="rId7" ref="F11"/>
    <hyperlink r:id="rId8" ref="F13"/>
    <hyperlink r:id="rId9" ref="F18"/>
    <hyperlink r:id="rId10" ref="F19"/>
    <hyperlink r:id="rId11" ref="F21"/>
    <hyperlink r:id="rId12" ref="F23"/>
    <hyperlink r:id="rId13" ref="F25"/>
    <hyperlink r:id="rId14" ref="F27"/>
    <hyperlink r:id="rId15" ref="F29"/>
    <hyperlink r:id="rId16" ref="F30"/>
    <hyperlink r:id="rId17" ref="F31"/>
    <hyperlink r:id="rId18" ref="F32"/>
    <hyperlink r:id="rId19" ref="F33"/>
    <hyperlink r:id="rId20" ref="F34"/>
    <hyperlink r:id="rId21" ref="F35"/>
    <hyperlink r:id="rId22" ref="F36"/>
    <hyperlink r:id="rId23" ref="F38"/>
    <hyperlink r:id="rId24" ref="F40"/>
    <hyperlink r:id="rId25" ref="F41"/>
    <hyperlink r:id="rId26" ref="F43"/>
    <hyperlink r:id="rId27" ref="F44"/>
    <hyperlink r:id="rId28" ref="F45"/>
    <hyperlink r:id="rId29" ref="F47"/>
    <hyperlink r:id="rId30" ref="F49"/>
    <hyperlink r:id="rId31" ref="F50"/>
    <hyperlink r:id="rId32" ref="F51"/>
    <hyperlink r:id="rId33" ref="F53"/>
    <hyperlink r:id="rId34" ref="F56"/>
    <hyperlink r:id="rId35" ref="F59"/>
    <hyperlink r:id="rId36" ref="F61"/>
    <hyperlink r:id="rId37" ref="F62"/>
    <hyperlink r:id="rId38" ref="F63"/>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5"/>
    <col customWidth="1" min="8" max="9" width="16.25"/>
    <col customWidth="1" min="13" max="13" width="13.75"/>
  </cols>
  <sheetData>
    <row r="1">
      <c r="A1" s="11"/>
      <c r="B1" s="11"/>
      <c r="C1" s="11"/>
      <c r="D1" s="11"/>
      <c r="E1" s="11"/>
      <c r="F1" s="11"/>
      <c r="G1" s="11"/>
      <c r="H1" s="11"/>
      <c r="I1" s="11"/>
      <c r="J1" s="11"/>
      <c r="K1" s="11"/>
      <c r="L1" s="11"/>
      <c r="M1" s="11"/>
    </row>
    <row r="2">
      <c r="A2" s="2" t="s">
        <v>10</v>
      </c>
      <c r="B2" s="2" t="s">
        <v>12</v>
      </c>
      <c r="C2" s="2" t="s">
        <v>14</v>
      </c>
      <c r="D2" s="2" t="s">
        <v>16</v>
      </c>
      <c r="E2" s="2" t="s">
        <v>18</v>
      </c>
      <c r="F2" s="2" t="s">
        <v>20</v>
      </c>
      <c r="G2" s="2" t="s">
        <v>22</v>
      </c>
      <c r="H2" s="2" t="s">
        <v>46</v>
      </c>
      <c r="I2" s="2" t="s">
        <v>24</v>
      </c>
      <c r="J2" s="2" t="s">
        <v>26</v>
      </c>
      <c r="K2" s="2" t="s">
        <v>36</v>
      </c>
      <c r="L2" s="2" t="s">
        <v>40</v>
      </c>
      <c r="M2" s="2" t="s">
        <v>42</v>
      </c>
      <c r="N2" s="6"/>
      <c r="O2" s="6"/>
      <c r="P2" s="6"/>
      <c r="Q2" s="6"/>
      <c r="R2" s="6"/>
      <c r="S2" s="6"/>
      <c r="T2" s="6"/>
      <c r="U2" s="6"/>
      <c r="V2" s="6"/>
      <c r="W2" s="6"/>
      <c r="X2" s="6"/>
      <c r="Y2" s="6"/>
      <c r="Z2" s="6"/>
      <c r="AA2" s="6"/>
      <c r="AB2" s="6"/>
    </row>
    <row r="3">
      <c r="A3" s="13">
        <v>45901.0</v>
      </c>
      <c r="B3" s="14" t="s">
        <v>47</v>
      </c>
      <c r="C3" s="14" t="s">
        <v>48</v>
      </c>
      <c r="D3" s="14" t="s">
        <v>96</v>
      </c>
      <c r="E3" s="14" t="s">
        <v>97</v>
      </c>
      <c r="F3" s="15" t="s">
        <v>51</v>
      </c>
      <c r="G3" s="14" t="s">
        <v>98</v>
      </c>
      <c r="H3" s="14" t="s">
        <v>96</v>
      </c>
      <c r="I3" s="14" t="s">
        <v>59</v>
      </c>
      <c r="J3" s="14" t="s">
        <v>198</v>
      </c>
      <c r="K3" s="16">
        <v>64.0</v>
      </c>
      <c r="L3" s="17" t="str">
        <f>"+4"</f>
        <v>+4</v>
      </c>
      <c r="M3" s="18" t="str">
        <f>"+10"</f>
        <v>+10</v>
      </c>
    </row>
    <row r="4">
      <c r="A4" s="13">
        <v>45901.0</v>
      </c>
      <c r="B4" s="14" t="s">
        <v>47</v>
      </c>
      <c r="C4" s="14" t="s">
        <v>48</v>
      </c>
      <c r="D4" s="14" t="s">
        <v>129</v>
      </c>
      <c r="E4" s="14" t="s">
        <v>130</v>
      </c>
      <c r="F4" s="15" t="s">
        <v>51</v>
      </c>
      <c r="G4" s="14" t="s">
        <v>131</v>
      </c>
      <c r="H4" s="14" t="s">
        <v>129</v>
      </c>
      <c r="I4" s="14" t="s">
        <v>59</v>
      </c>
      <c r="J4" s="14" t="s">
        <v>199</v>
      </c>
      <c r="K4" s="16">
        <v>52.0</v>
      </c>
      <c r="L4" s="17" t="str">
        <f t="shared" ref="L4:M4" si="1">"+0"</f>
        <v>+0</v>
      </c>
      <c r="M4" s="18" t="str">
        <f t="shared" si="1"/>
        <v>+0</v>
      </c>
    </row>
    <row r="5">
      <c r="A5" s="13">
        <v>45901.0</v>
      </c>
      <c r="B5" s="14" t="s">
        <v>47</v>
      </c>
      <c r="C5" s="14" t="s">
        <v>48</v>
      </c>
      <c r="D5" s="14" t="s">
        <v>60</v>
      </c>
      <c r="E5" s="14" t="s">
        <v>61</v>
      </c>
      <c r="F5" s="15" t="s">
        <v>51</v>
      </c>
      <c r="G5" s="14" t="s">
        <v>62</v>
      </c>
      <c r="H5" s="14" t="s">
        <v>60</v>
      </c>
      <c r="I5" s="14" t="s">
        <v>59</v>
      </c>
      <c r="J5" s="14" t="s">
        <v>198</v>
      </c>
      <c r="K5" s="16">
        <v>70.0</v>
      </c>
      <c r="L5" s="17" t="str">
        <f>"+5"</f>
        <v>+5</v>
      </c>
      <c r="M5" s="18" t="str">
        <f>"+12"</f>
        <v>+12</v>
      </c>
    </row>
    <row r="6">
      <c r="A6" s="13">
        <v>45901.0</v>
      </c>
      <c r="B6" s="14" t="s">
        <v>47</v>
      </c>
      <c r="C6" s="14" t="s">
        <v>48</v>
      </c>
      <c r="D6" s="14" t="s">
        <v>91</v>
      </c>
      <c r="E6" s="14" t="s">
        <v>92</v>
      </c>
      <c r="F6" s="14" t="s">
        <v>71</v>
      </c>
      <c r="G6" s="14">
        <v>7295600.0</v>
      </c>
      <c r="H6" s="14" t="s">
        <v>91</v>
      </c>
      <c r="I6" s="14" t="s">
        <v>54</v>
      </c>
      <c r="J6" s="14" t="s">
        <v>199</v>
      </c>
      <c r="K6" s="16">
        <v>100.0</v>
      </c>
      <c r="L6" s="17" t="str">
        <f t="shared" ref="L6:M6" si="2">"+0"</f>
        <v>+0</v>
      </c>
      <c r="M6" s="18" t="str">
        <f t="shared" si="2"/>
        <v>+0</v>
      </c>
    </row>
    <row r="7">
      <c r="A7" s="13">
        <v>45901.0</v>
      </c>
      <c r="B7" s="14" t="s">
        <v>47</v>
      </c>
      <c r="C7" s="14" t="s">
        <v>48</v>
      </c>
      <c r="D7" s="14" t="s">
        <v>91</v>
      </c>
      <c r="E7" s="14" t="s">
        <v>92</v>
      </c>
      <c r="F7" s="14" t="s">
        <v>71</v>
      </c>
      <c r="G7" s="14">
        <v>5.00008343E8</v>
      </c>
      <c r="H7" s="14" t="s">
        <v>91</v>
      </c>
      <c r="I7" s="14" t="s">
        <v>59</v>
      </c>
      <c r="J7" s="14" t="s">
        <v>200</v>
      </c>
      <c r="K7" s="16">
        <v>19.0</v>
      </c>
      <c r="L7" s="17" t="str">
        <f t="shared" ref="L7:M7" si="3">"+0"</f>
        <v>+0</v>
      </c>
      <c r="M7" s="18" t="str">
        <f t="shared" si="3"/>
        <v>+0</v>
      </c>
    </row>
    <row r="8">
      <c r="A8" s="13">
        <v>45901.0</v>
      </c>
      <c r="B8" s="14" t="s">
        <v>47</v>
      </c>
      <c r="C8" s="14" t="s">
        <v>48</v>
      </c>
      <c r="D8" s="14" t="s">
        <v>136</v>
      </c>
      <c r="E8" s="14" t="s">
        <v>137</v>
      </c>
      <c r="F8" s="15" t="s">
        <v>51</v>
      </c>
      <c r="G8" s="14" t="s">
        <v>138</v>
      </c>
      <c r="H8" s="14" t="s">
        <v>139</v>
      </c>
      <c r="I8" s="14" t="s">
        <v>59</v>
      </c>
      <c r="J8" s="14" t="s">
        <v>200</v>
      </c>
      <c r="K8" s="16">
        <v>49.0</v>
      </c>
      <c r="L8" s="17" t="str">
        <f t="shared" ref="L8:M8" si="4">"+0"</f>
        <v>+0</v>
      </c>
      <c r="M8" s="18" t="str">
        <f t="shared" si="4"/>
        <v>+0</v>
      </c>
    </row>
    <row r="9">
      <c r="A9" s="13">
        <v>45901.0</v>
      </c>
      <c r="B9" s="14" t="s">
        <v>47</v>
      </c>
      <c r="C9" s="14" t="s">
        <v>48</v>
      </c>
      <c r="D9" s="14" t="s">
        <v>108</v>
      </c>
      <c r="E9" s="14" t="s">
        <v>109</v>
      </c>
      <c r="F9" s="15" t="s">
        <v>51</v>
      </c>
      <c r="G9" s="14" t="s">
        <v>110</v>
      </c>
      <c r="H9" s="14" t="s">
        <v>108</v>
      </c>
      <c r="I9" s="14" t="s">
        <v>59</v>
      </c>
      <c r="J9" s="14" t="s">
        <v>200</v>
      </c>
      <c r="K9" s="16">
        <v>14.0</v>
      </c>
      <c r="L9" s="17" t="str">
        <f>"-1"</f>
        <v>-1</v>
      </c>
      <c r="M9" s="18" t="str">
        <f>"-11"</f>
        <v>-11</v>
      </c>
    </row>
    <row r="10">
      <c r="A10" s="13">
        <v>45901.0</v>
      </c>
      <c r="B10" s="14" t="s">
        <v>47</v>
      </c>
      <c r="C10" s="14" t="s">
        <v>48</v>
      </c>
      <c r="D10" s="14" t="s">
        <v>91</v>
      </c>
      <c r="E10" s="14" t="s">
        <v>92</v>
      </c>
      <c r="F10" s="14" t="s">
        <v>146</v>
      </c>
      <c r="G10" s="14" t="s">
        <v>147</v>
      </c>
      <c r="H10" s="14" t="s">
        <v>91</v>
      </c>
      <c r="I10" s="14" t="s">
        <v>107</v>
      </c>
      <c r="J10" s="14" t="s">
        <v>199</v>
      </c>
      <c r="K10" s="16">
        <v>100.0</v>
      </c>
      <c r="L10" s="17" t="str">
        <f t="shared" ref="L10:M10" si="5">"+0"</f>
        <v>+0</v>
      </c>
      <c r="M10" s="18" t="str">
        <f t="shared" si="5"/>
        <v>+0</v>
      </c>
    </row>
    <row r="11">
      <c r="A11" s="13">
        <v>45901.0</v>
      </c>
      <c r="B11" s="14" t="s">
        <v>47</v>
      </c>
      <c r="C11" s="14" t="s">
        <v>48</v>
      </c>
      <c r="D11" s="14" t="s">
        <v>91</v>
      </c>
      <c r="E11" s="14" t="s">
        <v>92</v>
      </c>
      <c r="F11" s="14" t="s">
        <v>71</v>
      </c>
      <c r="G11" s="14">
        <v>1.00004432E8</v>
      </c>
      <c r="H11" s="14" t="s">
        <v>91</v>
      </c>
      <c r="I11" s="14" t="s">
        <v>59</v>
      </c>
      <c r="J11" s="14" t="s">
        <v>200</v>
      </c>
      <c r="K11" s="16">
        <v>76.0</v>
      </c>
      <c r="L11" s="17" t="str">
        <f t="shared" ref="L11:M11" si="6">"-11"</f>
        <v>-11</v>
      </c>
      <c r="M11" s="18" t="str">
        <f t="shared" si="6"/>
        <v>-11</v>
      </c>
    </row>
    <row r="12">
      <c r="A12" s="13">
        <v>45901.0</v>
      </c>
      <c r="B12" s="14" t="s">
        <v>47</v>
      </c>
      <c r="C12" s="14" t="s">
        <v>48</v>
      </c>
      <c r="D12" s="14" t="s">
        <v>56</v>
      </c>
      <c r="E12" s="14" t="s">
        <v>57</v>
      </c>
      <c r="F12" s="14" t="s">
        <v>71</v>
      </c>
      <c r="G12" s="14">
        <v>5.36003976E8</v>
      </c>
      <c r="H12" s="14" t="s">
        <v>56</v>
      </c>
      <c r="I12" s="14" t="s">
        <v>59</v>
      </c>
      <c r="J12" s="14" t="s">
        <v>200</v>
      </c>
      <c r="K12" s="16">
        <v>4.0</v>
      </c>
      <c r="L12" s="17" t="str">
        <f t="shared" ref="L12:L14" si="7">"+0"</f>
        <v>+0</v>
      </c>
      <c r="M12" s="18" t="str">
        <f>"+1"</f>
        <v>+1</v>
      </c>
    </row>
    <row r="13">
      <c r="A13" s="13">
        <v>45901.0</v>
      </c>
      <c r="B13" s="14" t="s">
        <v>47</v>
      </c>
      <c r="C13" s="14" t="s">
        <v>48</v>
      </c>
      <c r="D13" s="14" t="s">
        <v>85</v>
      </c>
      <c r="E13" s="14" t="s">
        <v>86</v>
      </c>
      <c r="F13" s="14" t="s">
        <v>146</v>
      </c>
      <c r="G13" s="14" t="s">
        <v>162</v>
      </c>
      <c r="H13" s="14" t="s">
        <v>85</v>
      </c>
      <c r="I13" s="14" t="s">
        <v>107</v>
      </c>
      <c r="J13" s="14" t="s">
        <v>199</v>
      </c>
      <c r="K13" s="16">
        <v>50.0</v>
      </c>
      <c r="L13" s="17" t="str">
        <f t="shared" si="7"/>
        <v>+0</v>
      </c>
      <c r="M13" s="18" t="str">
        <f t="shared" ref="M13:M14" si="8">"+0"</f>
        <v>+0</v>
      </c>
    </row>
    <row r="14">
      <c r="A14" s="13">
        <v>45901.0</v>
      </c>
      <c r="B14" s="14" t="s">
        <v>47</v>
      </c>
      <c r="C14" s="14" t="s">
        <v>48</v>
      </c>
      <c r="D14" s="14" t="s">
        <v>85</v>
      </c>
      <c r="E14" s="14" t="s">
        <v>86</v>
      </c>
      <c r="F14" s="14" t="s">
        <v>146</v>
      </c>
      <c r="G14" s="14" t="s">
        <v>162</v>
      </c>
      <c r="H14" s="14" t="s">
        <v>85</v>
      </c>
      <c r="I14" s="14" t="s">
        <v>107</v>
      </c>
      <c r="J14" s="14" t="s">
        <v>200</v>
      </c>
      <c r="K14" s="16">
        <v>0.0</v>
      </c>
      <c r="L14" s="17" t="str">
        <f t="shared" si="7"/>
        <v>+0</v>
      </c>
      <c r="M14" s="18" t="str">
        <f t="shared" si="8"/>
        <v>+0</v>
      </c>
    </row>
    <row r="15">
      <c r="A15" s="13">
        <v>45901.0</v>
      </c>
      <c r="B15" s="14" t="s">
        <v>47</v>
      </c>
      <c r="C15" s="14" t="s">
        <v>48</v>
      </c>
      <c r="D15" s="14" t="s">
        <v>87</v>
      </c>
      <c r="E15" s="14" t="s">
        <v>88</v>
      </c>
      <c r="F15" s="15" t="s">
        <v>51</v>
      </c>
      <c r="G15" s="14" t="s">
        <v>89</v>
      </c>
      <c r="H15" s="14" t="s">
        <v>90</v>
      </c>
      <c r="I15" s="14" t="s">
        <v>59</v>
      </c>
      <c r="J15" s="14" t="s">
        <v>198</v>
      </c>
      <c r="K15" s="16">
        <v>67.0</v>
      </c>
      <c r="L15" s="17" t="str">
        <f t="shared" ref="L15:M15" si="9">"+12"</f>
        <v>+12</v>
      </c>
      <c r="M15" s="18" t="str">
        <f t="shared" si="9"/>
        <v>+12</v>
      </c>
    </row>
    <row r="16">
      <c r="A16" s="13">
        <v>45901.0</v>
      </c>
      <c r="B16" s="14" t="s">
        <v>47</v>
      </c>
      <c r="C16" s="14" t="s">
        <v>48</v>
      </c>
      <c r="D16" s="14" t="s">
        <v>192</v>
      </c>
      <c r="E16" s="14" t="s">
        <v>193</v>
      </c>
      <c r="F16" s="15" t="s">
        <v>51</v>
      </c>
      <c r="G16" s="14" t="s">
        <v>194</v>
      </c>
      <c r="H16" s="14" t="s">
        <v>192</v>
      </c>
      <c r="I16" s="14" t="s">
        <v>54</v>
      </c>
      <c r="J16" s="14" t="s">
        <v>198</v>
      </c>
      <c r="K16" s="16">
        <v>56.0</v>
      </c>
      <c r="L16" s="17" t="str">
        <f>"+5"</f>
        <v>+5</v>
      </c>
      <c r="M16" s="18" t="str">
        <f>"+21"</f>
        <v>+21</v>
      </c>
    </row>
    <row r="17">
      <c r="A17" s="13">
        <v>45901.0</v>
      </c>
      <c r="B17" s="14" t="s">
        <v>47</v>
      </c>
      <c r="C17" s="14" t="s">
        <v>48</v>
      </c>
      <c r="D17" s="14" t="s">
        <v>108</v>
      </c>
      <c r="E17" s="14" t="s">
        <v>109</v>
      </c>
      <c r="F17" s="14" t="s">
        <v>79</v>
      </c>
      <c r="G17" s="14" t="s">
        <v>153</v>
      </c>
      <c r="H17" s="14" t="s">
        <v>108</v>
      </c>
      <c r="I17" s="14" t="s">
        <v>154</v>
      </c>
      <c r="J17" s="14" t="s">
        <v>198</v>
      </c>
      <c r="K17" s="16">
        <v>61.0</v>
      </c>
      <c r="L17" s="17" t="str">
        <f>"-5"</f>
        <v>-5</v>
      </c>
    </row>
    <row r="18">
      <c r="A18" s="13">
        <v>45901.0</v>
      </c>
      <c r="B18" s="14" t="s">
        <v>47</v>
      </c>
      <c r="C18" s="14" t="s">
        <v>48</v>
      </c>
      <c r="D18" s="14" t="s">
        <v>155</v>
      </c>
      <c r="E18" s="14" t="s">
        <v>156</v>
      </c>
      <c r="F18" s="15" t="s">
        <v>51</v>
      </c>
      <c r="G18" s="14" t="s">
        <v>157</v>
      </c>
      <c r="H18" s="14" t="s">
        <v>155</v>
      </c>
      <c r="I18" s="14" t="s">
        <v>59</v>
      </c>
      <c r="J18" s="14" t="s">
        <v>198</v>
      </c>
      <c r="K18" s="16">
        <v>84.0</v>
      </c>
      <c r="L18" s="17" t="str">
        <f>"+5"</f>
        <v>+5</v>
      </c>
      <c r="M18" s="18" t="str">
        <f>"+9"</f>
        <v>+9</v>
      </c>
    </row>
    <row r="19">
      <c r="A19" s="13">
        <v>45901.0</v>
      </c>
      <c r="B19" s="14" t="s">
        <v>47</v>
      </c>
      <c r="C19" s="14" t="s">
        <v>48</v>
      </c>
      <c r="D19" s="14" t="s">
        <v>91</v>
      </c>
      <c r="E19" s="14" t="s">
        <v>92</v>
      </c>
      <c r="F19" s="14" t="s">
        <v>71</v>
      </c>
      <c r="G19" s="14">
        <v>5.10011769E8</v>
      </c>
      <c r="H19" s="14" t="s">
        <v>91</v>
      </c>
      <c r="I19" s="14" t="s">
        <v>59</v>
      </c>
      <c r="J19" s="14" t="s">
        <v>200</v>
      </c>
      <c r="K19" s="16">
        <v>1.0</v>
      </c>
      <c r="L19" s="17" t="str">
        <f t="shared" ref="L19:L21" si="10">"+0"</f>
        <v>+0</v>
      </c>
      <c r="M19" s="18" t="str">
        <f>"+1"</f>
        <v>+1</v>
      </c>
    </row>
    <row r="20">
      <c r="A20" s="13">
        <v>45901.0</v>
      </c>
      <c r="B20" s="14" t="s">
        <v>47</v>
      </c>
      <c r="C20" s="14" t="s">
        <v>48</v>
      </c>
      <c r="D20" s="14" t="s">
        <v>181</v>
      </c>
      <c r="E20" s="14" t="s">
        <v>182</v>
      </c>
      <c r="F20" s="15" t="s">
        <v>51</v>
      </c>
      <c r="G20" s="14" t="s">
        <v>183</v>
      </c>
      <c r="H20" s="14" t="s">
        <v>181</v>
      </c>
      <c r="I20" s="14" t="s">
        <v>59</v>
      </c>
      <c r="J20" s="14" t="s">
        <v>200</v>
      </c>
      <c r="K20" s="16">
        <v>22.0</v>
      </c>
      <c r="L20" s="17" t="str">
        <f t="shared" si="10"/>
        <v>+0</v>
      </c>
      <c r="M20" s="18" t="str">
        <f>"-1"</f>
        <v>-1</v>
      </c>
    </row>
    <row r="21">
      <c r="A21" s="13">
        <v>45901.0</v>
      </c>
      <c r="B21" s="14" t="s">
        <v>47</v>
      </c>
      <c r="C21" s="14" t="s">
        <v>48</v>
      </c>
      <c r="D21" s="14" t="s">
        <v>177</v>
      </c>
      <c r="E21" s="14" t="s">
        <v>178</v>
      </c>
      <c r="F21" s="14" t="s">
        <v>146</v>
      </c>
      <c r="G21" s="14" t="s">
        <v>179</v>
      </c>
      <c r="H21" s="14" t="s">
        <v>177</v>
      </c>
      <c r="I21" s="14" t="s">
        <v>107</v>
      </c>
      <c r="J21" s="14" t="s">
        <v>200</v>
      </c>
      <c r="K21" s="16">
        <v>79.0</v>
      </c>
      <c r="L21" s="17" t="str">
        <f t="shared" si="10"/>
        <v>+0</v>
      </c>
      <c r="M21" s="18" t="str">
        <f>"+0"</f>
        <v>+0</v>
      </c>
    </row>
    <row r="22">
      <c r="A22" s="13">
        <v>45901.0</v>
      </c>
      <c r="B22" s="14" t="s">
        <v>47</v>
      </c>
      <c r="C22" s="14" t="s">
        <v>48</v>
      </c>
      <c r="D22" s="14" t="s">
        <v>56</v>
      </c>
      <c r="E22" s="14" t="s">
        <v>57</v>
      </c>
      <c r="F22" s="15" t="s">
        <v>51</v>
      </c>
      <c r="G22" s="14" t="s">
        <v>58</v>
      </c>
      <c r="H22" s="14" t="s">
        <v>56</v>
      </c>
      <c r="I22" s="14" t="s">
        <v>59</v>
      </c>
      <c r="J22" s="14" t="s">
        <v>199</v>
      </c>
      <c r="K22" s="16">
        <v>43.0</v>
      </c>
      <c r="L22" s="17" t="str">
        <f t="shared" ref="L22:M22" si="11">"-3"</f>
        <v>-3</v>
      </c>
      <c r="M22" s="18" t="str">
        <f t="shared" si="11"/>
        <v>-3</v>
      </c>
    </row>
    <row r="23">
      <c r="A23" s="13">
        <v>45901.0</v>
      </c>
      <c r="B23" s="14" t="s">
        <v>47</v>
      </c>
      <c r="C23" s="14" t="s">
        <v>48</v>
      </c>
      <c r="D23" s="14" t="s">
        <v>181</v>
      </c>
      <c r="E23" s="14" t="s">
        <v>182</v>
      </c>
      <c r="F23" s="15" t="s">
        <v>51</v>
      </c>
      <c r="G23" s="14" t="s">
        <v>183</v>
      </c>
      <c r="H23" s="14" t="s">
        <v>181</v>
      </c>
      <c r="I23" s="14" t="s">
        <v>59</v>
      </c>
      <c r="J23" s="14" t="s">
        <v>198</v>
      </c>
      <c r="K23" s="16">
        <v>84.0</v>
      </c>
      <c r="L23" s="17" t="str">
        <f>"+5"</f>
        <v>+5</v>
      </c>
      <c r="M23" s="18" t="str">
        <f>"+14"</f>
        <v>+14</v>
      </c>
    </row>
    <row r="24">
      <c r="A24" s="13">
        <v>45901.0</v>
      </c>
      <c r="B24" s="14" t="s">
        <v>47</v>
      </c>
      <c r="C24" s="14" t="s">
        <v>48</v>
      </c>
      <c r="D24" s="14" t="s">
        <v>121</v>
      </c>
      <c r="E24" s="14" t="s">
        <v>122</v>
      </c>
      <c r="F24" s="15" t="s">
        <v>51</v>
      </c>
      <c r="G24" s="14" t="s">
        <v>123</v>
      </c>
      <c r="H24" s="14" t="s">
        <v>124</v>
      </c>
      <c r="I24" s="14" t="s">
        <v>59</v>
      </c>
      <c r="J24" s="14" t="s">
        <v>198</v>
      </c>
      <c r="K24" s="16">
        <v>69.0</v>
      </c>
      <c r="L24" s="17" t="str">
        <f>"+12"</f>
        <v>+12</v>
      </c>
      <c r="M24" s="18" t="str">
        <f>"+9"</f>
        <v>+9</v>
      </c>
    </row>
    <row r="25">
      <c r="A25" s="13">
        <v>45901.0</v>
      </c>
      <c r="B25" s="14" t="s">
        <v>47</v>
      </c>
      <c r="C25" s="14" t="s">
        <v>48</v>
      </c>
      <c r="D25" s="14" t="s">
        <v>149</v>
      </c>
      <c r="E25" s="14" t="s">
        <v>150</v>
      </c>
      <c r="F25" s="15" t="s">
        <v>51</v>
      </c>
      <c r="G25" s="14" t="s">
        <v>151</v>
      </c>
      <c r="H25" s="14" t="s">
        <v>152</v>
      </c>
      <c r="I25" s="14" t="s">
        <v>54</v>
      </c>
      <c r="J25" s="14" t="s">
        <v>199</v>
      </c>
      <c r="K25" s="16">
        <v>100.0</v>
      </c>
      <c r="L25" s="17" t="str">
        <f t="shared" ref="L25:M25" si="12">"+0"</f>
        <v>+0</v>
      </c>
      <c r="M25" s="18" t="str">
        <f t="shared" si="12"/>
        <v>+0</v>
      </c>
    </row>
    <row r="26">
      <c r="A26" s="13">
        <v>45901.0</v>
      </c>
      <c r="B26" s="14" t="s">
        <v>47</v>
      </c>
      <c r="C26" s="14" t="s">
        <v>48</v>
      </c>
      <c r="D26" s="14" t="s">
        <v>87</v>
      </c>
      <c r="E26" s="14" t="s">
        <v>88</v>
      </c>
      <c r="F26" s="15" t="s">
        <v>51</v>
      </c>
      <c r="G26" s="14" t="s">
        <v>89</v>
      </c>
      <c r="H26" s="14" t="s">
        <v>90</v>
      </c>
      <c r="I26" s="14" t="s">
        <v>59</v>
      </c>
      <c r="J26" s="14" t="s">
        <v>200</v>
      </c>
      <c r="K26" s="16">
        <v>52.0</v>
      </c>
      <c r="L26" s="17" t="str">
        <f>"+0"</f>
        <v>+0</v>
      </c>
      <c r="M26" s="18" t="str">
        <f>"+2"</f>
        <v>+2</v>
      </c>
    </row>
    <row r="27">
      <c r="A27" s="13">
        <v>45901.0</v>
      </c>
      <c r="B27" s="14" t="s">
        <v>47</v>
      </c>
      <c r="C27" s="14" t="s">
        <v>48</v>
      </c>
      <c r="D27" s="14" t="s">
        <v>63</v>
      </c>
      <c r="E27" s="14" t="s">
        <v>64</v>
      </c>
      <c r="F27" s="15" t="s">
        <v>51</v>
      </c>
      <c r="G27" s="14" t="s">
        <v>65</v>
      </c>
      <c r="H27" s="14" t="s">
        <v>63</v>
      </c>
      <c r="I27" s="14" t="s">
        <v>54</v>
      </c>
      <c r="J27" s="14" t="s">
        <v>198</v>
      </c>
      <c r="K27" s="16">
        <v>49.0</v>
      </c>
      <c r="L27" s="17" t="str">
        <f t="shared" ref="L27:L28" si="13">"+4"</f>
        <v>+4</v>
      </c>
      <c r="M27" s="18" t="str">
        <f>"+22"</f>
        <v>+22</v>
      </c>
    </row>
    <row r="28">
      <c r="A28" s="13">
        <v>45901.0</v>
      </c>
      <c r="B28" s="14" t="s">
        <v>47</v>
      </c>
      <c r="C28" s="14" t="s">
        <v>48</v>
      </c>
      <c r="D28" s="14" t="s">
        <v>129</v>
      </c>
      <c r="E28" s="14" t="s">
        <v>130</v>
      </c>
      <c r="F28" s="15" t="s">
        <v>51</v>
      </c>
      <c r="G28" s="14" t="s">
        <v>131</v>
      </c>
      <c r="H28" s="14" t="s">
        <v>129</v>
      </c>
      <c r="I28" s="14" t="s">
        <v>59</v>
      </c>
      <c r="J28" s="14" t="s">
        <v>200</v>
      </c>
      <c r="K28" s="16">
        <v>42.0</v>
      </c>
      <c r="L28" s="17" t="str">
        <f t="shared" si="13"/>
        <v>+4</v>
      </c>
      <c r="M28" s="18" t="str">
        <f>"-1"</f>
        <v>-1</v>
      </c>
    </row>
    <row r="29">
      <c r="A29" s="13">
        <v>45901.0</v>
      </c>
      <c r="B29" s="14" t="s">
        <v>47</v>
      </c>
      <c r="C29" s="14" t="s">
        <v>48</v>
      </c>
      <c r="D29" s="14" t="s">
        <v>85</v>
      </c>
      <c r="E29" s="14" t="s">
        <v>86</v>
      </c>
      <c r="F29" s="14" t="s">
        <v>71</v>
      </c>
      <c r="G29" s="14">
        <v>88285.0</v>
      </c>
      <c r="H29" s="14" t="s">
        <v>85</v>
      </c>
      <c r="I29" s="14" t="s">
        <v>59</v>
      </c>
      <c r="J29" s="14" t="s">
        <v>199</v>
      </c>
      <c r="K29" s="16">
        <v>57.0</v>
      </c>
      <c r="L29" s="17" t="str">
        <f t="shared" ref="L29:M29" si="14">"+0"</f>
        <v>+0</v>
      </c>
      <c r="M29" s="18" t="str">
        <f t="shared" si="14"/>
        <v>+0</v>
      </c>
    </row>
    <row r="30">
      <c r="A30" s="13">
        <v>45901.0</v>
      </c>
      <c r="B30" s="14" t="s">
        <v>47</v>
      </c>
      <c r="C30" s="14" t="s">
        <v>48</v>
      </c>
      <c r="D30" s="14" t="s">
        <v>93</v>
      </c>
      <c r="E30" s="14" t="s">
        <v>94</v>
      </c>
      <c r="F30" s="15" t="s">
        <v>51</v>
      </c>
      <c r="G30" s="14" t="s">
        <v>191</v>
      </c>
      <c r="H30" s="14" t="s">
        <v>95</v>
      </c>
      <c r="I30" s="14" t="s">
        <v>59</v>
      </c>
      <c r="J30" s="14" t="s">
        <v>198</v>
      </c>
      <c r="K30" s="16">
        <v>78.0</v>
      </c>
      <c r="L30" s="17" t="str">
        <f>"+2"</f>
        <v>+2</v>
      </c>
      <c r="M30" s="18" t="str">
        <f>"+9"</f>
        <v>+9</v>
      </c>
    </row>
    <row r="31">
      <c r="A31" s="13">
        <v>45901.0</v>
      </c>
      <c r="B31" s="14" t="s">
        <v>47</v>
      </c>
      <c r="C31" s="14" t="s">
        <v>48</v>
      </c>
      <c r="D31" s="14" t="s">
        <v>155</v>
      </c>
      <c r="E31" s="14" t="s">
        <v>156</v>
      </c>
      <c r="F31" s="15" t="s">
        <v>51</v>
      </c>
      <c r="G31" s="14" t="s">
        <v>157</v>
      </c>
      <c r="H31" s="14" t="s">
        <v>155</v>
      </c>
      <c r="I31" s="14" t="s">
        <v>59</v>
      </c>
      <c r="J31" s="14" t="s">
        <v>200</v>
      </c>
      <c r="K31" s="16">
        <v>22.0</v>
      </c>
      <c r="L31" s="17" t="str">
        <f t="shared" ref="L31:M31" si="15">"+0"</f>
        <v>+0</v>
      </c>
      <c r="M31" s="18" t="str">
        <f t="shared" si="15"/>
        <v>+0</v>
      </c>
    </row>
    <row r="32">
      <c r="A32" s="13">
        <v>45901.0</v>
      </c>
      <c r="B32" s="14" t="s">
        <v>47</v>
      </c>
      <c r="C32" s="14" t="s">
        <v>48</v>
      </c>
      <c r="D32" s="14" t="s">
        <v>91</v>
      </c>
      <c r="E32" s="14" t="s">
        <v>92</v>
      </c>
      <c r="F32" s="14" t="s">
        <v>71</v>
      </c>
      <c r="G32" s="14">
        <v>5.10000484E8</v>
      </c>
      <c r="H32" s="14" t="s">
        <v>91</v>
      </c>
      <c r="I32" s="14" t="s">
        <v>54</v>
      </c>
      <c r="J32" s="14" t="s">
        <v>199</v>
      </c>
      <c r="K32" s="16">
        <v>100.0</v>
      </c>
      <c r="L32" s="17" t="str">
        <f t="shared" ref="L32:M32" si="16">"+0"</f>
        <v>+0</v>
      </c>
      <c r="M32" s="18" t="str">
        <f t="shared" si="16"/>
        <v>+0</v>
      </c>
    </row>
    <row r="33">
      <c r="A33" s="13">
        <v>45901.0</v>
      </c>
      <c r="B33" s="14" t="s">
        <v>47</v>
      </c>
      <c r="C33" s="14" t="s">
        <v>48</v>
      </c>
      <c r="D33" s="14" t="s">
        <v>195</v>
      </c>
      <c r="E33" s="14" t="s">
        <v>196</v>
      </c>
      <c r="F33" s="14" t="s">
        <v>111</v>
      </c>
      <c r="G33" s="14">
        <v>5252823.0</v>
      </c>
      <c r="H33" s="14" t="s">
        <v>197</v>
      </c>
      <c r="I33" s="14" t="s">
        <v>59</v>
      </c>
      <c r="J33" s="14" t="s">
        <v>199</v>
      </c>
      <c r="K33" s="16">
        <v>19.0</v>
      </c>
      <c r="L33" s="17" t="str">
        <f>"+0"</f>
        <v>+0</v>
      </c>
      <c r="M33" s="18" t="str">
        <f>"-2"</f>
        <v>-2</v>
      </c>
    </row>
    <row r="34">
      <c r="A34" s="13">
        <v>45901.0</v>
      </c>
      <c r="B34" s="14" t="s">
        <v>47</v>
      </c>
      <c r="C34" s="14" t="s">
        <v>48</v>
      </c>
      <c r="D34" s="14" t="s">
        <v>73</v>
      </c>
      <c r="E34" s="14" t="s">
        <v>74</v>
      </c>
      <c r="F34" s="15" t="s">
        <v>51</v>
      </c>
      <c r="G34" s="14" t="s">
        <v>75</v>
      </c>
      <c r="H34" s="14" t="s">
        <v>76</v>
      </c>
      <c r="I34" s="14" t="s">
        <v>59</v>
      </c>
      <c r="J34" s="14" t="s">
        <v>198</v>
      </c>
      <c r="K34" s="16">
        <v>73.0</v>
      </c>
      <c r="L34" s="17" t="str">
        <f>"+5"</f>
        <v>+5</v>
      </c>
      <c r="M34" s="18" t="str">
        <f>"+9"</f>
        <v>+9</v>
      </c>
    </row>
    <row r="35">
      <c r="A35" s="13">
        <v>45901.0</v>
      </c>
      <c r="B35" s="14" t="s">
        <v>47</v>
      </c>
      <c r="C35" s="14" t="s">
        <v>48</v>
      </c>
      <c r="D35" s="14" t="s">
        <v>77</v>
      </c>
      <c r="E35" s="14" t="s">
        <v>78</v>
      </c>
      <c r="F35" s="14" t="s">
        <v>79</v>
      </c>
      <c r="G35" s="14" t="s">
        <v>80</v>
      </c>
      <c r="H35" s="14" t="s">
        <v>81</v>
      </c>
      <c r="J35" s="14" t="s">
        <v>199</v>
      </c>
      <c r="K35" s="16">
        <v>69.0</v>
      </c>
      <c r="L35" s="17" t="str">
        <f t="shared" ref="L35:L41" si="17">"+0"</f>
        <v>+0</v>
      </c>
      <c r="M35" s="18" t="str">
        <f>"+25"</f>
        <v>+25</v>
      </c>
    </row>
    <row r="36">
      <c r="A36" s="13">
        <v>45901.0</v>
      </c>
      <c r="B36" s="14" t="s">
        <v>47</v>
      </c>
      <c r="C36" s="14" t="s">
        <v>48</v>
      </c>
      <c r="D36" s="14" t="s">
        <v>192</v>
      </c>
      <c r="E36" s="14" t="s">
        <v>193</v>
      </c>
      <c r="F36" s="15" t="s">
        <v>51</v>
      </c>
      <c r="G36" s="14" t="s">
        <v>194</v>
      </c>
      <c r="H36" s="14" t="s">
        <v>192</v>
      </c>
      <c r="I36" s="14" t="s">
        <v>54</v>
      </c>
      <c r="J36" s="14" t="s">
        <v>199</v>
      </c>
      <c r="K36" s="16">
        <v>100.0</v>
      </c>
      <c r="L36" s="17" t="str">
        <f t="shared" si="17"/>
        <v>+0</v>
      </c>
      <c r="M36" s="18" t="str">
        <f t="shared" ref="M36:M37" si="18">"+0"</f>
        <v>+0</v>
      </c>
    </row>
    <row r="37">
      <c r="A37" s="13">
        <v>45901.0</v>
      </c>
      <c r="B37" s="14" t="s">
        <v>47</v>
      </c>
      <c r="C37" s="14" t="s">
        <v>48</v>
      </c>
      <c r="D37" s="14" t="s">
        <v>93</v>
      </c>
      <c r="E37" s="14" t="s">
        <v>94</v>
      </c>
      <c r="F37" s="14" t="s">
        <v>71</v>
      </c>
      <c r="G37" s="14">
        <v>5.36001438E8</v>
      </c>
      <c r="H37" s="14" t="s">
        <v>95</v>
      </c>
      <c r="I37" s="14" t="s">
        <v>59</v>
      </c>
      <c r="J37" s="14" t="s">
        <v>200</v>
      </c>
      <c r="K37" s="16">
        <v>7.0</v>
      </c>
      <c r="L37" s="17" t="str">
        <f t="shared" si="17"/>
        <v>+0</v>
      </c>
      <c r="M37" s="18" t="str">
        <f t="shared" si="18"/>
        <v>+0</v>
      </c>
    </row>
    <row r="38">
      <c r="A38" s="13">
        <v>45901.0</v>
      </c>
      <c r="B38" s="14" t="s">
        <v>47</v>
      </c>
      <c r="C38" s="14" t="s">
        <v>48</v>
      </c>
      <c r="D38" s="14" t="s">
        <v>87</v>
      </c>
      <c r="E38" s="14" t="s">
        <v>88</v>
      </c>
      <c r="F38" s="14" t="s">
        <v>71</v>
      </c>
      <c r="G38" s="14">
        <v>5.46000941E8</v>
      </c>
      <c r="H38" s="14" t="s">
        <v>90</v>
      </c>
      <c r="I38" s="14" t="s">
        <v>107</v>
      </c>
      <c r="J38" s="14" t="s">
        <v>200</v>
      </c>
      <c r="K38" s="16">
        <v>17.0</v>
      </c>
      <c r="L38" s="17" t="str">
        <f t="shared" si="17"/>
        <v>+0</v>
      </c>
      <c r="M38" s="18" t="str">
        <f>"-8"</f>
        <v>-8</v>
      </c>
    </row>
    <row r="39">
      <c r="A39" s="13">
        <v>45901.0</v>
      </c>
      <c r="B39" s="14" t="s">
        <v>47</v>
      </c>
      <c r="C39" s="14" t="s">
        <v>48</v>
      </c>
      <c r="D39" s="14" t="s">
        <v>103</v>
      </c>
      <c r="E39" s="14" t="s">
        <v>104</v>
      </c>
      <c r="F39" s="15" t="s">
        <v>51</v>
      </c>
      <c r="G39" s="14" t="s">
        <v>105</v>
      </c>
      <c r="H39" s="14" t="s">
        <v>106</v>
      </c>
      <c r="I39" s="14" t="s">
        <v>59</v>
      </c>
      <c r="J39" s="14" t="s">
        <v>199</v>
      </c>
      <c r="K39" s="16">
        <v>0.0</v>
      </c>
      <c r="L39" s="17" t="str">
        <f t="shared" si="17"/>
        <v>+0</v>
      </c>
      <c r="M39" s="18" t="str">
        <f t="shared" ref="M39:M41" si="19">"+0"</f>
        <v>+0</v>
      </c>
    </row>
    <row r="40">
      <c r="A40" s="13">
        <v>45901.0</v>
      </c>
      <c r="B40" s="14" t="s">
        <v>47</v>
      </c>
      <c r="C40" s="14" t="s">
        <v>48</v>
      </c>
      <c r="D40" s="14" t="s">
        <v>69</v>
      </c>
      <c r="E40" s="14" t="s">
        <v>70</v>
      </c>
      <c r="F40" s="15" t="s">
        <v>51</v>
      </c>
      <c r="G40" s="14" t="s">
        <v>115</v>
      </c>
      <c r="H40" s="14" t="s">
        <v>72</v>
      </c>
      <c r="I40" s="14" t="s">
        <v>54</v>
      </c>
      <c r="J40" s="14" t="s">
        <v>199</v>
      </c>
      <c r="K40" s="16">
        <v>100.0</v>
      </c>
      <c r="L40" s="17" t="str">
        <f t="shared" si="17"/>
        <v>+0</v>
      </c>
      <c r="M40" s="18" t="str">
        <f t="shared" si="19"/>
        <v>+0</v>
      </c>
    </row>
    <row r="41">
      <c r="A41" s="13">
        <v>45901.0</v>
      </c>
      <c r="B41" s="14" t="s">
        <v>47</v>
      </c>
      <c r="C41" s="14" t="s">
        <v>48</v>
      </c>
      <c r="D41" s="14" t="s">
        <v>77</v>
      </c>
      <c r="E41" s="14" t="s">
        <v>78</v>
      </c>
      <c r="F41" s="15" t="s">
        <v>51</v>
      </c>
      <c r="G41" s="14" t="s">
        <v>128</v>
      </c>
      <c r="H41" s="14" t="s">
        <v>81</v>
      </c>
      <c r="I41" s="14" t="s">
        <v>59</v>
      </c>
      <c r="J41" s="14" t="s">
        <v>199</v>
      </c>
      <c r="K41" s="14">
        <v>66.0</v>
      </c>
      <c r="L41" s="17" t="str">
        <f t="shared" si="17"/>
        <v>+0</v>
      </c>
      <c r="M41" s="18" t="str">
        <f t="shared" si="19"/>
        <v>+0</v>
      </c>
    </row>
    <row r="42">
      <c r="A42" s="13">
        <v>45901.0</v>
      </c>
      <c r="B42" s="14" t="s">
        <v>47</v>
      </c>
      <c r="C42" s="14" t="s">
        <v>48</v>
      </c>
      <c r="D42" s="14" t="s">
        <v>77</v>
      </c>
      <c r="E42" s="14" t="s">
        <v>78</v>
      </c>
      <c r="F42" s="14" t="s">
        <v>79</v>
      </c>
      <c r="G42" s="14" t="s">
        <v>80</v>
      </c>
      <c r="H42" s="14" t="s">
        <v>81</v>
      </c>
      <c r="J42" s="14" t="s">
        <v>200</v>
      </c>
      <c r="K42" s="14">
        <v>12.0</v>
      </c>
      <c r="L42" s="17" t="str">
        <f>"+8"</f>
        <v>+8</v>
      </c>
      <c r="M42" s="18" t="str">
        <f>"+11"</f>
        <v>+11</v>
      </c>
    </row>
    <row r="43">
      <c r="A43" s="13">
        <v>45901.0</v>
      </c>
      <c r="B43" s="14" t="s">
        <v>47</v>
      </c>
      <c r="C43" s="14" t="s">
        <v>48</v>
      </c>
      <c r="D43" s="14" t="s">
        <v>91</v>
      </c>
      <c r="E43" s="14" t="s">
        <v>92</v>
      </c>
      <c r="F43" s="15" t="s">
        <v>51</v>
      </c>
      <c r="G43" s="14" t="s">
        <v>163</v>
      </c>
      <c r="H43" s="14" t="s">
        <v>91</v>
      </c>
      <c r="I43" s="14" t="s">
        <v>59</v>
      </c>
      <c r="J43" s="14" t="s">
        <v>200</v>
      </c>
      <c r="K43" s="14">
        <v>40.0</v>
      </c>
      <c r="L43" s="17" t="str">
        <f t="shared" ref="L43:L44" si="20">"+2"</f>
        <v>+2</v>
      </c>
      <c r="M43" s="18" t="str">
        <f>"-1"</f>
        <v>-1</v>
      </c>
    </row>
    <row r="44">
      <c r="A44" s="13">
        <v>45901.0</v>
      </c>
      <c r="B44" s="14" t="s">
        <v>47</v>
      </c>
      <c r="C44" s="14" t="s">
        <v>48</v>
      </c>
      <c r="D44" s="14" t="s">
        <v>69</v>
      </c>
      <c r="E44" s="14" t="s">
        <v>70</v>
      </c>
      <c r="F44" s="15" t="s">
        <v>51</v>
      </c>
      <c r="G44" s="14" t="s">
        <v>115</v>
      </c>
      <c r="H44" s="14" t="s">
        <v>72</v>
      </c>
      <c r="I44" s="14" t="s">
        <v>54</v>
      </c>
      <c r="J44" s="14" t="s">
        <v>200</v>
      </c>
      <c r="K44" s="14">
        <v>69.0</v>
      </c>
      <c r="L44" s="17" t="str">
        <f t="shared" si="20"/>
        <v>+2</v>
      </c>
      <c r="M44" s="18" t="str">
        <f>"+2"</f>
        <v>+2</v>
      </c>
    </row>
    <row r="45">
      <c r="A45" s="13">
        <v>45901.0</v>
      </c>
      <c r="B45" s="14" t="s">
        <v>47</v>
      </c>
      <c r="C45" s="14" t="s">
        <v>48</v>
      </c>
      <c r="D45" s="14" t="s">
        <v>69</v>
      </c>
      <c r="E45" s="14" t="s">
        <v>70</v>
      </c>
      <c r="F45" s="14" t="s">
        <v>71</v>
      </c>
      <c r="G45" s="14">
        <v>1.00002092E8</v>
      </c>
      <c r="H45" s="14" t="s">
        <v>72</v>
      </c>
      <c r="I45" s="14" t="s">
        <v>54</v>
      </c>
      <c r="J45" s="14" t="s">
        <v>199</v>
      </c>
      <c r="K45" s="14">
        <v>91.0</v>
      </c>
      <c r="L45" s="17" t="str">
        <f t="shared" ref="L45:M45" si="21">"+0"</f>
        <v>+0</v>
      </c>
      <c r="M45" s="18" t="str">
        <f t="shared" si="21"/>
        <v>+0</v>
      </c>
    </row>
    <row r="46">
      <c r="A46" s="13">
        <v>45901.0</v>
      </c>
      <c r="B46" s="14" t="s">
        <v>47</v>
      </c>
      <c r="C46" s="14" t="s">
        <v>48</v>
      </c>
      <c r="D46" s="14" t="s">
        <v>165</v>
      </c>
      <c r="E46" s="14" t="s">
        <v>166</v>
      </c>
      <c r="F46" s="14" t="s">
        <v>111</v>
      </c>
      <c r="G46" s="14">
        <v>7116371.0</v>
      </c>
      <c r="H46" s="14" t="s">
        <v>165</v>
      </c>
      <c r="I46" s="14" t="s">
        <v>59</v>
      </c>
      <c r="J46" s="14" t="s">
        <v>200</v>
      </c>
      <c r="K46" s="14">
        <v>55.0</v>
      </c>
      <c r="L46" s="17" t="str">
        <f>"+0"</f>
        <v>+0</v>
      </c>
      <c r="M46" s="18" t="str">
        <f>"+1"</f>
        <v>+1</v>
      </c>
    </row>
    <row r="47">
      <c r="A47" s="13">
        <v>45901.0</v>
      </c>
      <c r="B47" s="14" t="s">
        <v>47</v>
      </c>
      <c r="C47" s="14" t="s">
        <v>48</v>
      </c>
      <c r="D47" s="14" t="s">
        <v>66</v>
      </c>
      <c r="E47" s="14" t="s">
        <v>67</v>
      </c>
      <c r="F47" s="15" t="s">
        <v>51</v>
      </c>
      <c r="G47" s="14" t="s">
        <v>68</v>
      </c>
      <c r="H47" s="14" t="s">
        <v>66</v>
      </c>
      <c r="I47" s="14" t="s">
        <v>59</v>
      </c>
      <c r="J47" s="14" t="s">
        <v>198</v>
      </c>
      <c r="K47" s="14">
        <v>73.0</v>
      </c>
      <c r="L47" s="17" t="str">
        <f>"+7"</f>
        <v>+7</v>
      </c>
      <c r="M47" s="18" t="str">
        <f>"+18"</f>
        <v>+18</v>
      </c>
    </row>
    <row r="48">
      <c r="A48" s="13">
        <v>45901.0</v>
      </c>
      <c r="B48" s="14" t="s">
        <v>47</v>
      </c>
      <c r="C48" s="14" t="s">
        <v>48</v>
      </c>
      <c r="D48" s="14" t="s">
        <v>121</v>
      </c>
      <c r="E48" s="14" t="s">
        <v>122</v>
      </c>
      <c r="F48" s="15" t="s">
        <v>51</v>
      </c>
      <c r="G48" s="14" t="s">
        <v>123</v>
      </c>
      <c r="H48" s="14" t="s">
        <v>124</v>
      </c>
      <c r="I48" s="14" t="s">
        <v>59</v>
      </c>
      <c r="J48" s="14" t="s">
        <v>200</v>
      </c>
      <c r="K48" s="14">
        <v>36.0</v>
      </c>
      <c r="L48" s="17" t="str">
        <f>"+4"</f>
        <v>+4</v>
      </c>
      <c r="M48" s="18" t="str">
        <f>"+1"</f>
        <v>+1</v>
      </c>
    </row>
    <row r="49">
      <c r="A49" s="13">
        <v>45901.0</v>
      </c>
      <c r="B49" s="14" t="s">
        <v>47</v>
      </c>
      <c r="C49" s="14" t="s">
        <v>48</v>
      </c>
      <c r="D49" s="14" t="s">
        <v>168</v>
      </c>
      <c r="E49" s="14" t="s">
        <v>169</v>
      </c>
      <c r="F49" s="15" t="s">
        <v>51</v>
      </c>
      <c r="G49" s="14" t="s">
        <v>170</v>
      </c>
      <c r="H49" s="14" t="s">
        <v>168</v>
      </c>
      <c r="I49" s="14" t="s">
        <v>59</v>
      </c>
      <c r="J49" s="14" t="s">
        <v>198</v>
      </c>
      <c r="K49" s="14">
        <v>70.0</v>
      </c>
      <c r="L49" s="17" t="str">
        <f>"+9"</f>
        <v>+9</v>
      </c>
      <c r="M49" s="18" t="str">
        <f>"+18"</f>
        <v>+18</v>
      </c>
    </row>
    <row r="50">
      <c r="A50" s="13">
        <v>45901.0</v>
      </c>
      <c r="B50" s="14" t="s">
        <v>47</v>
      </c>
      <c r="C50" s="14" t="s">
        <v>48</v>
      </c>
      <c r="D50" s="14" t="s">
        <v>91</v>
      </c>
      <c r="E50" s="14" t="s">
        <v>92</v>
      </c>
      <c r="F50" s="14" t="s">
        <v>71</v>
      </c>
      <c r="G50" s="14">
        <v>5.00008613E8</v>
      </c>
      <c r="H50" s="14" t="s">
        <v>91</v>
      </c>
      <c r="I50" s="14" t="s">
        <v>59</v>
      </c>
      <c r="J50" s="14" t="s">
        <v>200</v>
      </c>
      <c r="K50" s="14">
        <v>2.0</v>
      </c>
      <c r="L50" s="17" t="str">
        <f t="shared" ref="L50:M50" si="22">"+1"</f>
        <v>+1</v>
      </c>
      <c r="M50" s="18" t="str">
        <f t="shared" si="22"/>
        <v>+1</v>
      </c>
    </row>
    <row r="51">
      <c r="A51" s="13">
        <v>45901.0</v>
      </c>
      <c r="B51" s="14" t="s">
        <v>47</v>
      </c>
      <c r="C51" s="14" t="s">
        <v>48</v>
      </c>
      <c r="D51" s="14" t="s">
        <v>93</v>
      </c>
      <c r="E51" s="14" t="s">
        <v>94</v>
      </c>
      <c r="F51" s="15" t="s">
        <v>51</v>
      </c>
      <c r="G51" s="14" t="s">
        <v>191</v>
      </c>
      <c r="H51" s="14" t="s">
        <v>95</v>
      </c>
      <c r="I51" s="14" t="s">
        <v>59</v>
      </c>
      <c r="J51" s="14" t="s">
        <v>199</v>
      </c>
      <c r="K51" s="14">
        <v>10.0</v>
      </c>
      <c r="L51" s="17" t="str">
        <f t="shared" ref="L51:L52" si="23">"+0"</f>
        <v>+0</v>
      </c>
      <c r="M51" s="18" t="str">
        <f t="shared" ref="M51:M52" si="24">"+2"</f>
        <v>+2</v>
      </c>
    </row>
    <row r="52">
      <c r="A52" s="13">
        <v>45901.0</v>
      </c>
      <c r="B52" s="14" t="s">
        <v>47</v>
      </c>
      <c r="C52" s="14" t="s">
        <v>48</v>
      </c>
      <c r="D52" s="14" t="s">
        <v>93</v>
      </c>
      <c r="E52" s="14" t="s">
        <v>94</v>
      </c>
      <c r="F52" s="14" t="s">
        <v>71</v>
      </c>
      <c r="G52" s="14">
        <v>5.36001438E8</v>
      </c>
      <c r="H52" s="14" t="s">
        <v>95</v>
      </c>
      <c r="I52" s="14" t="s">
        <v>59</v>
      </c>
      <c r="J52" s="14" t="s">
        <v>199</v>
      </c>
      <c r="K52" s="14">
        <v>10.0</v>
      </c>
      <c r="L52" s="17" t="str">
        <f t="shared" si="23"/>
        <v>+0</v>
      </c>
      <c r="M52" s="18" t="str">
        <f t="shared" si="24"/>
        <v>+2</v>
      </c>
    </row>
    <row r="53">
      <c r="A53" s="13">
        <v>45901.0</v>
      </c>
      <c r="B53" s="14" t="s">
        <v>47</v>
      </c>
      <c r="C53" s="14" t="s">
        <v>48</v>
      </c>
      <c r="D53" s="14" t="s">
        <v>116</v>
      </c>
      <c r="E53" s="14" t="s">
        <v>117</v>
      </c>
      <c r="F53" s="15" t="s">
        <v>51</v>
      </c>
      <c r="G53" s="14" t="s">
        <v>161</v>
      </c>
      <c r="H53" s="14" t="s">
        <v>116</v>
      </c>
      <c r="I53" s="14" t="s">
        <v>54</v>
      </c>
      <c r="J53" s="14" t="s">
        <v>200</v>
      </c>
      <c r="K53" s="14">
        <v>63.0</v>
      </c>
      <c r="L53" s="17" t="str">
        <f>"+3"</f>
        <v>+3</v>
      </c>
      <c r="M53" s="18" t="str">
        <f>"+4"</f>
        <v>+4</v>
      </c>
    </row>
    <row r="54">
      <c r="A54" s="13">
        <v>45901.0</v>
      </c>
      <c r="B54" s="14" t="s">
        <v>47</v>
      </c>
      <c r="C54" s="14" t="s">
        <v>48</v>
      </c>
      <c r="D54" s="14" t="s">
        <v>140</v>
      </c>
      <c r="E54" s="14" t="s">
        <v>141</v>
      </c>
      <c r="F54" s="15" t="s">
        <v>51</v>
      </c>
      <c r="G54" s="14" t="s">
        <v>142</v>
      </c>
      <c r="H54" s="14" t="s">
        <v>140</v>
      </c>
      <c r="I54" s="14" t="s">
        <v>59</v>
      </c>
      <c r="J54" s="14" t="s">
        <v>198</v>
      </c>
      <c r="K54" s="14">
        <v>67.0</v>
      </c>
      <c r="L54" s="17" t="str">
        <f>"+7"</f>
        <v>+7</v>
      </c>
      <c r="M54" s="18" t="str">
        <f>"+9"</f>
        <v>+9</v>
      </c>
    </row>
    <row r="55">
      <c r="A55" s="13">
        <v>45901.0</v>
      </c>
      <c r="B55" s="14" t="s">
        <v>47</v>
      </c>
      <c r="C55" s="14" t="s">
        <v>48</v>
      </c>
      <c r="D55" s="14" t="s">
        <v>165</v>
      </c>
      <c r="E55" s="14" t="s">
        <v>166</v>
      </c>
      <c r="F55" s="14" t="s">
        <v>111</v>
      </c>
      <c r="G55" s="14">
        <v>7116371.0</v>
      </c>
      <c r="H55" s="14" t="s">
        <v>165</v>
      </c>
      <c r="I55" s="14" t="s">
        <v>59</v>
      </c>
      <c r="J55" s="14" t="s">
        <v>199</v>
      </c>
      <c r="K55" s="14">
        <v>77.0</v>
      </c>
      <c r="L55" s="17" t="str">
        <f t="shared" ref="L55:M55" si="25">"+0"</f>
        <v>+0</v>
      </c>
      <c r="M55" s="18" t="str">
        <f t="shared" si="25"/>
        <v>+0</v>
      </c>
    </row>
    <row r="56">
      <c r="A56" s="13">
        <v>45901.0</v>
      </c>
      <c r="B56" s="14" t="s">
        <v>47</v>
      </c>
      <c r="C56" s="14" t="s">
        <v>48</v>
      </c>
      <c r="D56" s="14" t="s">
        <v>49</v>
      </c>
      <c r="E56" s="14" t="s">
        <v>50</v>
      </c>
      <c r="F56" s="15" t="s">
        <v>51</v>
      </c>
      <c r="G56" s="14" t="s">
        <v>52</v>
      </c>
      <c r="H56" s="14" t="s">
        <v>53</v>
      </c>
      <c r="I56" s="14" t="s">
        <v>54</v>
      </c>
      <c r="J56" s="14" t="s">
        <v>199</v>
      </c>
      <c r="K56" s="14">
        <v>100.0</v>
      </c>
      <c r="L56" s="17" t="str">
        <f t="shared" ref="L56:M56" si="26">"+0"</f>
        <v>+0</v>
      </c>
      <c r="M56" s="18" t="str">
        <f t="shared" si="26"/>
        <v>+0</v>
      </c>
    </row>
    <row r="57">
      <c r="A57" s="13">
        <v>45901.0</v>
      </c>
      <c r="B57" s="14" t="s">
        <v>47</v>
      </c>
      <c r="C57" s="14" t="s">
        <v>48</v>
      </c>
      <c r="D57" s="14" t="s">
        <v>112</v>
      </c>
      <c r="E57" s="14" t="s">
        <v>113</v>
      </c>
      <c r="F57" s="15" t="s">
        <v>51</v>
      </c>
      <c r="G57" s="14" t="s">
        <v>114</v>
      </c>
      <c r="H57" s="14" t="s">
        <v>112</v>
      </c>
      <c r="I57" s="14" t="s">
        <v>59</v>
      </c>
      <c r="J57" s="14" t="s">
        <v>200</v>
      </c>
      <c r="K57" s="14">
        <v>24.0</v>
      </c>
      <c r="L57" s="17" t="str">
        <f>"+3"</f>
        <v>+3</v>
      </c>
      <c r="M57" s="18" t="str">
        <f>"+2"</f>
        <v>+2</v>
      </c>
    </row>
    <row r="58">
      <c r="A58" s="13">
        <v>45901.0</v>
      </c>
      <c r="B58" s="14" t="s">
        <v>47</v>
      </c>
      <c r="C58" s="14" t="s">
        <v>48</v>
      </c>
      <c r="D58" s="14" t="s">
        <v>85</v>
      </c>
      <c r="E58" s="14" t="s">
        <v>86</v>
      </c>
      <c r="F58" s="15" t="s">
        <v>51</v>
      </c>
      <c r="G58" s="14" t="s">
        <v>148</v>
      </c>
      <c r="H58" s="14" t="s">
        <v>85</v>
      </c>
      <c r="I58" s="14" t="s">
        <v>59</v>
      </c>
      <c r="J58" s="14" t="s">
        <v>200</v>
      </c>
      <c r="K58" s="14">
        <v>56.0</v>
      </c>
      <c r="L58" s="17" t="str">
        <f t="shared" ref="L58:M58" si="27">"+0"</f>
        <v>+0</v>
      </c>
      <c r="M58" s="18" t="str">
        <f t="shared" si="27"/>
        <v>+0</v>
      </c>
    </row>
    <row r="59">
      <c r="A59" s="13">
        <v>45901.0</v>
      </c>
      <c r="B59" s="14" t="s">
        <v>47</v>
      </c>
      <c r="C59" s="14" t="s">
        <v>48</v>
      </c>
      <c r="D59" s="14" t="s">
        <v>168</v>
      </c>
      <c r="E59" s="14" t="s">
        <v>169</v>
      </c>
      <c r="F59" s="15" t="s">
        <v>51</v>
      </c>
      <c r="G59" s="14" t="s">
        <v>170</v>
      </c>
      <c r="H59" s="14" t="s">
        <v>168</v>
      </c>
      <c r="I59" s="14" t="s">
        <v>59</v>
      </c>
      <c r="J59" s="14" t="s">
        <v>199</v>
      </c>
      <c r="K59" s="14">
        <v>52.0</v>
      </c>
      <c r="L59" s="17" t="str">
        <f t="shared" ref="L59:L61" si="28">"+0"</f>
        <v>+0</v>
      </c>
      <c r="M59" s="18" t="str">
        <f>"-3"</f>
        <v>-3</v>
      </c>
    </row>
    <row r="60">
      <c r="A60" s="13">
        <v>45901.0</v>
      </c>
      <c r="B60" s="14" t="s">
        <v>47</v>
      </c>
      <c r="C60" s="14" t="s">
        <v>48</v>
      </c>
      <c r="D60" s="14" t="s">
        <v>165</v>
      </c>
      <c r="E60" s="14" t="s">
        <v>166</v>
      </c>
      <c r="F60" s="15" t="s">
        <v>51</v>
      </c>
      <c r="G60" s="14" t="s">
        <v>167</v>
      </c>
      <c r="H60" s="14" t="s">
        <v>165</v>
      </c>
      <c r="I60" s="14" t="s">
        <v>54</v>
      </c>
      <c r="J60" s="14" t="s">
        <v>199</v>
      </c>
      <c r="K60" s="14">
        <v>100.0</v>
      </c>
      <c r="L60" s="17" t="str">
        <f t="shared" si="28"/>
        <v>+0</v>
      </c>
      <c r="M60" s="18" t="str">
        <f>"+0"</f>
        <v>+0</v>
      </c>
    </row>
    <row r="61">
      <c r="A61" s="13">
        <v>45901.0</v>
      </c>
      <c r="B61" s="14" t="s">
        <v>47</v>
      </c>
      <c r="C61" s="14" t="s">
        <v>48</v>
      </c>
      <c r="D61" s="14" t="s">
        <v>87</v>
      </c>
      <c r="E61" s="14" t="s">
        <v>88</v>
      </c>
      <c r="F61" s="14" t="s">
        <v>71</v>
      </c>
      <c r="G61" s="14">
        <v>5.46000941E8</v>
      </c>
      <c r="H61" s="14" t="s">
        <v>90</v>
      </c>
      <c r="I61" s="14" t="s">
        <v>107</v>
      </c>
      <c r="J61" s="14" t="s">
        <v>199</v>
      </c>
      <c r="K61" s="14">
        <v>88.0</v>
      </c>
      <c r="L61" s="17" t="str">
        <f t="shared" si="28"/>
        <v>+0</v>
      </c>
      <c r="M61" s="18" t="str">
        <f>"+3"</f>
        <v>+3</v>
      </c>
    </row>
    <row r="62">
      <c r="A62" s="13">
        <v>45901.0</v>
      </c>
      <c r="B62" s="14" t="s">
        <v>47</v>
      </c>
      <c r="C62" s="14" t="s">
        <v>48</v>
      </c>
      <c r="D62" s="14" t="s">
        <v>112</v>
      </c>
      <c r="E62" s="14" t="s">
        <v>113</v>
      </c>
      <c r="F62" s="15" t="s">
        <v>51</v>
      </c>
      <c r="G62" s="14" t="s">
        <v>114</v>
      </c>
      <c r="H62" s="14" t="s">
        <v>112</v>
      </c>
      <c r="I62" s="14" t="s">
        <v>59</v>
      </c>
      <c r="J62" s="14" t="s">
        <v>198</v>
      </c>
      <c r="K62" s="14">
        <v>67.0</v>
      </c>
      <c r="L62" s="17" t="str">
        <f>"+6"</f>
        <v>+6</v>
      </c>
      <c r="M62" s="18" t="str">
        <f>"+9"</f>
        <v>+9</v>
      </c>
    </row>
    <row r="63">
      <c r="A63" s="13">
        <v>45901.0</v>
      </c>
      <c r="B63" s="14" t="s">
        <v>47</v>
      </c>
      <c r="C63" s="14" t="s">
        <v>48</v>
      </c>
      <c r="D63" s="14" t="s">
        <v>112</v>
      </c>
      <c r="E63" s="14" t="s">
        <v>113</v>
      </c>
      <c r="F63" s="15" t="s">
        <v>51</v>
      </c>
      <c r="G63" s="14" t="s">
        <v>114</v>
      </c>
      <c r="H63" s="14" t="s">
        <v>112</v>
      </c>
      <c r="I63" s="14" t="s">
        <v>59</v>
      </c>
      <c r="J63" s="14" t="s">
        <v>199</v>
      </c>
      <c r="K63" s="14">
        <v>24.0</v>
      </c>
      <c r="L63" s="17" t="str">
        <f t="shared" ref="L63:M63" si="29">"+0"</f>
        <v>+0</v>
      </c>
      <c r="M63" s="18" t="str">
        <f t="shared" si="29"/>
        <v>+0</v>
      </c>
    </row>
    <row r="64">
      <c r="A64" s="13">
        <v>45901.0</v>
      </c>
      <c r="B64" s="14" t="s">
        <v>47</v>
      </c>
      <c r="C64" s="14" t="s">
        <v>48</v>
      </c>
      <c r="D64" s="14" t="s">
        <v>116</v>
      </c>
      <c r="E64" s="14" t="s">
        <v>117</v>
      </c>
      <c r="F64" s="14" t="s">
        <v>111</v>
      </c>
      <c r="G64" s="14">
        <v>5298600.0</v>
      </c>
      <c r="H64" s="14" t="s">
        <v>116</v>
      </c>
      <c r="I64" s="14" t="s">
        <v>59</v>
      </c>
      <c r="J64" s="14" t="s">
        <v>199</v>
      </c>
      <c r="K64" s="14">
        <v>30.0</v>
      </c>
      <c r="L64" s="17" t="str">
        <f t="shared" ref="L64:L65" si="30">"+0"</f>
        <v>+0</v>
      </c>
      <c r="M64" s="18" t="str">
        <f>"-3"</f>
        <v>-3</v>
      </c>
    </row>
    <row r="65">
      <c r="A65" s="13">
        <v>45901.0</v>
      </c>
      <c r="B65" s="14" t="s">
        <v>47</v>
      </c>
      <c r="C65" s="14" t="s">
        <v>48</v>
      </c>
      <c r="D65" s="14" t="s">
        <v>85</v>
      </c>
      <c r="E65" s="14" t="s">
        <v>86</v>
      </c>
      <c r="F65" s="15" t="s">
        <v>51</v>
      </c>
      <c r="G65" s="14" t="s">
        <v>148</v>
      </c>
      <c r="H65" s="14" t="s">
        <v>85</v>
      </c>
      <c r="I65" s="14" t="s">
        <v>59</v>
      </c>
      <c r="J65" s="14" t="s">
        <v>199</v>
      </c>
      <c r="K65" s="14">
        <v>57.0</v>
      </c>
      <c r="L65" s="17" t="str">
        <f t="shared" si="30"/>
        <v>+0</v>
      </c>
      <c r="M65" s="18" t="str">
        <f>"+0"</f>
        <v>+0</v>
      </c>
    </row>
    <row r="66">
      <c r="A66" s="13">
        <v>45901.0</v>
      </c>
      <c r="B66" s="14" t="s">
        <v>47</v>
      </c>
      <c r="C66" s="14" t="s">
        <v>48</v>
      </c>
      <c r="D66" s="14" t="s">
        <v>85</v>
      </c>
      <c r="E66" s="14" t="s">
        <v>86</v>
      </c>
      <c r="F66" s="14" t="s">
        <v>71</v>
      </c>
      <c r="G66" s="14">
        <v>88285.0</v>
      </c>
      <c r="H66" s="14" t="s">
        <v>85</v>
      </c>
      <c r="I66" s="14" t="s">
        <v>59</v>
      </c>
      <c r="J66" s="14" t="s">
        <v>200</v>
      </c>
      <c r="K66" s="14">
        <v>7.0</v>
      </c>
      <c r="L66" s="17" t="str">
        <f t="shared" ref="L66:M66" si="31">"-1"</f>
        <v>-1</v>
      </c>
      <c r="M66" s="18" t="str">
        <f t="shared" si="31"/>
        <v>-1</v>
      </c>
    </row>
    <row r="67">
      <c r="A67" s="13">
        <v>45901.0</v>
      </c>
      <c r="B67" s="14" t="s">
        <v>47</v>
      </c>
      <c r="C67" s="14" t="s">
        <v>48</v>
      </c>
      <c r="D67" s="14" t="s">
        <v>181</v>
      </c>
      <c r="E67" s="14" t="s">
        <v>182</v>
      </c>
      <c r="F67" s="15" t="s">
        <v>51</v>
      </c>
      <c r="G67" s="14" t="s">
        <v>183</v>
      </c>
      <c r="H67" s="14" t="s">
        <v>181</v>
      </c>
      <c r="I67" s="14" t="s">
        <v>59</v>
      </c>
      <c r="J67" s="14" t="s">
        <v>199</v>
      </c>
      <c r="K67" s="14">
        <v>33.0</v>
      </c>
      <c r="L67" s="17" t="str">
        <f t="shared" ref="L67:M67" si="32">"+0"</f>
        <v>+0</v>
      </c>
      <c r="M67" s="18" t="str">
        <f t="shared" si="32"/>
        <v>+0</v>
      </c>
    </row>
    <row r="68">
      <c r="A68" s="13">
        <v>45901.0</v>
      </c>
      <c r="B68" s="14" t="s">
        <v>47</v>
      </c>
      <c r="C68" s="14" t="s">
        <v>48</v>
      </c>
      <c r="D68" s="14" t="s">
        <v>91</v>
      </c>
      <c r="E68" s="14" t="s">
        <v>92</v>
      </c>
      <c r="F68" s="15" t="s">
        <v>51</v>
      </c>
      <c r="G68" s="14" t="s">
        <v>163</v>
      </c>
      <c r="H68" s="14" t="s">
        <v>91</v>
      </c>
      <c r="I68" s="14" t="s">
        <v>59</v>
      </c>
      <c r="J68" s="14" t="s">
        <v>198</v>
      </c>
      <c r="K68" s="14">
        <v>59.0</v>
      </c>
      <c r="L68" s="17" t="str">
        <f>"+4"</f>
        <v>+4</v>
      </c>
      <c r="M68" s="18" t="str">
        <f>"+7"</f>
        <v>+7</v>
      </c>
    </row>
    <row r="69">
      <c r="A69" s="13">
        <v>45901.0</v>
      </c>
      <c r="B69" s="14" t="s">
        <v>47</v>
      </c>
      <c r="C69" s="14" t="s">
        <v>48</v>
      </c>
      <c r="D69" s="14" t="s">
        <v>91</v>
      </c>
      <c r="E69" s="14" t="s">
        <v>92</v>
      </c>
      <c r="F69" s="14" t="s">
        <v>71</v>
      </c>
      <c r="G69" s="14">
        <v>5.00008343E8</v>
      </c>
      <c r="H69" s="14" t="s">
        <v>91</v>
      </c>
      <c r="I69" s="14" t="s">
        <v>59</v>
      </c>
      <c r="J69" s="14" t="s">
        <v>199</v>
      </c>
      <c r="K69" s="14">
        <v>100.0</v>
      </c>
      <c r="L69" s="17" t="str">
        <f t="shared" ref="L69:M69" si="33">"+0"</f>
        <v>+0</v>
      </c>
      <c r="M69" s="18" t="str">
        <f t="shared" si="33"/>
        <v>+0</v>
      </c>
    </row>
    <row r="70">
      <c r="A70" s="13">
        <v>45901.0</v>
      </c>
      <c r="B70" s="14" t="s">
        <v>47</v>
      </c>
      <c r="C70" s="14" t="s">
        <v>48</v>
      </c>
      <c r="D70" s="14" t="s">
        <v>63</v>
      </c>
      <c r="E70" s="14" t="s">
        <v>64</v>
      </c>
      <c r="F70" s="15" t="s">
        <v>51</v>
      </c>
      <c r="G70" s="14" t="s">
        <v>65</v>
      </c>
      <c r="H70" s="14" t="s">
        <v>63</v>
      </c>
      <c r="I70" s="14" t="s">
        <v>54</v>
      </c>
      <c r="J70" s="14" t="s">
        <v>199</v>
      </c>
      <c r="K70" s="14">
        <v>100.0</v>
      </c>
      <c r="L70" s="17" t="str">
        <f t="shared" ref="L70:M70" si="34">"+0"</f>
        <v>+0</v>
      </c>
      <c r="M70" s="18" t="str">
        <f t="shared" si="34"/>
        <v>+0</v>
      </c>
    </row>
    <row r="71">
      <c r="A71" s="13">
        <v>45901.0</v>
      </c>
      <c r="B71" s="14" t="s">
        <v>47</v>
      </c>
      <c r="C71" s="14" t="s">
        <v>48</v>
      </c>
      <c r="D71" s="14" t="s">
        <v>85</v>
      </c>
      <c r="E71" s="14" t="s">
        <v>86</v>
      </c>
      <c r="F71" s="15" t="s">
        <v>51</v>
      </c>
      <c r="G71" s="14" t="s">
        <v>148</v>
      </c>
      <c r="H71" s="14" t="s">
        <v>85</v>
      </c>
      <c r="I71" s="14" t="s">
        <v>59</v>
      </c>
      <c r="J71" s="14" t="s">
        <v>198</v>
      </c>
      <c r="K71" s="14">
        <v>39.0</v>
      </c>
      <c r="L71" s="17" t="str">
        <f>"+5"</f>
        <v>+5</v>
      </c>
      <c r="M71" s="18" t="str">
        <f>"+1"</f>
        <v>+1</v>
      </c>
    </row>
    <row r="72">
      <c r="A72" s="13">
        <v>45901.0</v>
      </c>
      <c r="B72" s="14" t="s">
        <v>47</v>
      </c>
      <c r="C72" s="14" t="s">
        <v>48</v>
      </c>
      <c r="D72" s="14" t="s">
        <v>158</v>
      </c>
      <c r="E72" s="14" t="s">
        <v>159</v>
      </c>
      <c r="F72" s="15" t="s">
        <v>51</v>
      </c>
      <c r="G72" s="14" t="s">
        <v>160</v>
      </c>
      <c r="H72" s="14" t="s">
        <v>158</v>
      </c>
      <c r="I72" s="14" t="s">
        <v>54</v>
      </c>
      <c r="J72" s="14" t="s">
        <v>198</v>
      </c>
      <c r="K72" s="14">
        <v>73.0</v>
      </c>
      <c r="L72" s="17" t="str">
        <f t="shared" ref="L72:L73" si="35">"+0"</f>
        <v>+0</v>
      </c>
      <c r="M72" s="18" t="str">
        <f>"+14"</f>
        <v>+14</v>
      </c>
    </row>
    <row r="73">
      <c r="A73" s="13">
        <v>45901.0</v>
      </c>
      <c r="B73" s="14" t="s">
        <v>47</v>
      </c>
      <c r="C73" s="14" t="s">
        <v>48</v>
      </c>
      <c r="D73" s="14" t="s">
        <v>140</v>
      </c>
      <c r="E73" s="14" t="s">
        <v>141</v>
      </c>
      <c r="F73" s="15" t="s">
        <v>51</v>
      </c>
      <c r="G73" s="14" t="s">
        <v>142</v>
      </c>
      <c r="H73" s="14" t="s">
        <v>140</v>
      </c>
      <c r="I73" s="14" t="s">
        <v>59</v>
      </c>
      <c r="J73" s="14" t="s">
        <v>199</v>
      </c>
      <c r="K73" s="14">
        <v>29.0</v>
      </c>
      <c r="L73" s="17" t="str">
        <f t="shared" si="35"/>
        <v>+0</v>
      </c>
      <c r="M73" s="18" t="str">
        <f>"+1"</f>
        <v>+1</v>
      </c>
    </row>
    <row r="74">
      <c r="A74" s="13">
        <v>45901.0</v>
      </c>
      <c r="B74" s="14" t="s">
        <v>47</v>
      </c>
      <c r="C74" s="14" t="s">
        <v>48</v>
      </c>
      <c r="D74" s="14" t="s">
        <v>136</v>
      </c>
      <c r="E74" s="14" t="s">
        <v>137</v>
      </c>
      <c r="F74" s="15" t="s">
        <v>51</v>
      </c>
      <c r="G74" s="14" t="s">
        <v>138</v>
      </c>
      <c r="H74" s="14" t="s">
        <v>139</v>
      </c>
      <c r="I74" s="14" t="s">
        <v>59</v>
      </c>
      <c r="J74" s="14" t="s">
        <v>199</v>
      </c>
      <c r="K74" s="14">
        <v>19.0</v>
      </c>
      <c r="L74" s="17" t="str">
        <f t="shared" ref="L74:M74" si="36">"-2"</f>
        <v>-2</v>
      </c>
      <c r="M74" s="18" t="str">
        <f t="shared" si="36"/>
        <v>-2</v>
      </c>
    </row>
    <row r="75">
      <c r="A75" s="13">
        <v>45901.0</v>
      </c>
      <c r="B75" s="14" t="s">
        <v>47</v>
      </c>
      <c r="C75" s="14" t="s">
        <v>48</v>
      </c>
      <c r="D75" s="14" t="s">
        <v>99</v>
      </c>
      <c r="E75" s="14" t="s">
        <v>100</v>
      </c>
      <c r="F75" s="15" t="s">
        <v>51</v>
      </c>
      <c r="G75" s="14" t="s">
        <v>101</v>
      </c>
      <c r="H75" s="14" t="s">
        <v>102</v>
      </c>
      <c r="I75" s="14" t="s">
        <v>54</v>
      </c>
      <c r="J75" s="14" t="s">
        <v>199</v>
      </c>
      <c r="K75" s="14">
        <v>77.0</v>
      </c>
      <c r="L75" s="17" t="str">
        <f t="shared" ref="L75:M75" si="37">"+8"</f>
        <v>+8</v>
      </c>
      <c r="M75" s="18" t="str">
        <f t="shared" si="37"/>
        <v>+8</v>
      </c>
    </row>
    <row r="76">
      <c r="A76" s="13">
        <v>45901.0</v>
      </c>
      <c r="B76" s="14" t="s">
        <v>47</v>
      </c>
      <c r="C76" s="14" t="s">
        <v>48</v>
      </c>
      <c r="D76" s="14" t="s">
        <v>69</v>
      </c>
      <c r="E76" s="14" t="s">
        <v>70</v>
      </c>
      <c r="F76" s="15" t="s">
        <v>51</v>
      </c>
      <c r="G76" s="14" t="s">
        <v>115</v>
      </c>
      <c r="H76" s="14" t="s">
        <v>72</v>
      </c>
      <c r="I76" s="14" t="s">
        <v>54</v>
      </c>
      <c r="J76" s="14" t="s">
        <v>198</v>
      </c>
      <c r="K76" s="14">
        <v>42.0</v>
      </c>
      <c r="L76" s="17" t="str">
        <f>"+6"</f>
        <v>+6</v>
      </c>
      <c r="M76" s="18" t="str">
        <f>"+20"</f>
        <v>+20</v>
      </c>
    </row>
    <row r="77">
      <c r="A77" s="13">
        <v>45901.0</v>
      </c>
      <c r="B77" s="14" t="s">
        <v>47</v>
      </c>
      <c r="C77" s="14" t="s">
        <v>48</v>
      </c>
      <c r="D77" s="14" t="s">
        <v>108</v>
      </c>
      <c r="E77" s="14" t="s">
        <v>109</v>
      </c>
      <c r="F77" s="15" t="s">
        <v>51</v>
      </c>
      <c r="G77" s="14" t="s">
        <v>110</v>
      </c>
      <c r="H77" s="14" t="s">
        <v>108</v>
      </c>
      <c r="I77" s="14" t="s">
        <v>59</v>
      </c>
      <c r="J77" s="14" t="s">
        <v>199</v>
      </c>
      <c r="K77" s="14">
        <v>46.0</v>
      </c>
      <c r="L77" s="17" t="str">
        <f t="shared" ref="L77:L79" si="38">"+1"</f>
        <v>+1</v>
      </c>
      <c r="M77" s="18" t="str">
        <f>"+14"</f>
        <v>+14</v>
      </c>
    </row>
    <row r="78">
      <c r="A78" s="13">
        <v>45901.0</v>
      </c>
      <c r="B78" s="14" t="s">
        <v>47</v>
      </c>
      <c r="C78" s="14" t="s">
        <v>48</v>
      </c>
      <c r="D78" s="14" t="s">
        <v>63</v>
      </c>
      <c r="E78" s="14" t="s">
        <v>64</v>
      </c>
      <c r="F78" s="14" t="s">
        <v>111</v>
      </c>
      <c r="G78" s="14">
        <v>4916210.0</v>
      </c>
      <c r="H78" s="14" t="s">
        <v>63</v>
      </c>
      <c r="I78" s="14" t="s">
        <v>59</v>
      </c>
      <c r="J78" s="14" t="s">
        <v>200</v>
      </c>
      <c r="K78" s="14">
        <v>72.0</v>
      </c>
      <c r="L78" s="17" t="str">
        <f t="shared" si="38"/>
        <v>+1</v>
      </c>
      <c r="M78" s="18" t="str">
        <f>"+0"</f>
        <v>+0</v>
      </c>
    </row>
    <row r="79">
      <c r="A79" s="13">
        <v>45901.0</v>
      </c>
      <c r="B79" s="14" t="s">
        <v>47</v>
      </c>
      <c r="C79" s="14" t="s">
        <v>48</v>
      </c>
      <c r="D79" s="14" t="s">
        <v>108</v>
      </c>
      <c r="E79" s="14" t="s">
        <v>109</v>
      </c>
      <c r="F79" s="14" t="s">
        <v>146</v>
      </c>
      <c r="G79" s="14" t="s">
        <v>180</v>
      </c>
      <c r="H79" s="14" t="s">
        <v>108</v>
      </c>
      <c r="I79" s="14" t="s">
        <v>59</v>
      </c>
      <c r="J79" s="14" t="s">
        <v>199</v>
      </c>
      <c r="K79" s="14">
        <v>46.0</v>
      </c>
      <c r="L79" s="17" t="str">
        <f t="shared" si="38"/>
        <v>+1</v>
      </c>
    </row>
    <row r="80">
      <c r="A80" s="13">
        <v>45901.0</v>
      </c>
      <c r="B80" s="14" t="s">
        <v>47</v>
      </c>
      <c r="C80" s="14" t="s">
        <v>48</v>
      </c>
      <c r="D80" s="14" t="s">
        <v>116</v>
      </c>
      <c r="E80" s="14" t="s">
        <v>117</v>
      </c>
      <c r="F80" s="15" t="s">
        <v>51</v>
      </c>
      <c r="G80" s="14" t="s">
        <v>161</v>
      </c>
      <c r="H80" s="14" t="s">
        <v>116</v>
      </c>
      <c r="I80" s="14" t="s">
        <v>54</v>
      </c>
      <c r="J80" s="14" t="s">
        <v>199</v>
      </c>
      <c r="K80" s="14">
        <v>97.0</v>
      </c>
      <c r="L80" s="17" t="str">
        <f>"+0"</f>
        <v>+0</v>
      </c>
      <c r="M80" s="18" t="str">
        <f>"-3"</f>
        <v>-3</v>
      </c>
    </row>
    <row r="81">
      <c r="A81" s="13">
        <v>45901.0</v>
      </c>
      <c r="B81" s="14" t="s">
        <v>47</v>
      </c>
      <c r="C81" s="14" t="s">
        <v>48</v>
      </c>
      <c r="D81" s="14" t="s">
        <v>168</v>
      </c>
      <c r="E81" s="14" t="s">
        <v>169</v>
      </c>
      <c r="F81" s="15" t="s">
        <v>51</v>
      </c>
      <c r="G81" s="14" t="s">
        <v>170</v>
      </c>
      <c r="H81" s="14" t="s">
        <v>168</v>
      </c>
      <c r="I81" s="14" t="s">
        <v>59</v>
      </c>
      <c r="J81" s="14" t="s">
        <v>200</v>
      </c>
      <c r="K81" s="14">
        <v>33.0</v>
      </c>
      <c r="L81" s="17" t="str">
        <f t="shared" ref="L81:M81" si="39">"+3"</f>
        <v>+3</v>
      </c>
      <c r="M81" s="18" t="str">
        <f t="shared" si="39"/>
        <v>+3</v>
      </c>
    </row>
    <row r="82">
      <c r="A82" s="13">
        <v>45901.0</v>
      </c>
      <c r="B82" s="14" t="s">
        <v>47</v>
      </c>
      <c r="C82" s="14" t="s">
        <v>48</v>
      </c>
      <c r="D82" s="14" t="s">
        <v>56</v>
      </c>
      <c r="E82" s="14" t="s">
        <v>57</v>
      </c>
      <c r="F82" s="14" t="s">
        <v>71</v>
      </c>
      <c r="G82" s="14">
        <v>5.36003976E8</v>
      </c>
      <c r="H82" s="14" t="s">
        <v>56</v>
      </c>
      <c r="I82" s="14" t="s">
        <v>59</v>
      </c>
      <c r="J82" s="14" t="s">
        <v>199</v>
      </c>
      <c r="K82" s="14">
        <v>42.0</v>
      </c>
      <c r="L82" s="17" t="str">
        <f t="shared" ref="L82:M82" si="40">"-3"</f>
        <v>-3</v>
      </c>
      <c r="M82" s="18" t="str">
        <f t="shared" si="40"/>
        <v>-3</v>
      </c>
    </row>
    <row r="83">
      <c r="A83" s="13">
        <v>45901.0</v>
      </c>
      <c r="B83" s="14" t="s">
        <v>47</v>
      </c>
      <c r="C83" s="14" t="s">
        <v>48</v>
      </c>
      <c r="D83" s="14" t="s">
        <v>184</v>
      </c>
      <c r="E83" s="14" t="s">
        <v>185</v>
      </c>
      <c r="F83" s="15" t="s">
        <v>51</v>
      </c>
      <c r="G83" s="14" t="s">
        <v>186</v>
      </c>
      <c r="H83" s="14" t="s">
        <v>187</v>
      </c>
      <c r="I83" s="14" t="s">
        <v>59</v>
      </c>
      <c r="J83" s="14" t="s">
        <v>200</v>
      </c>
      <c r="K83" s="14">
        <v>35.0</v>
      </c>
      <c r="L83" s="17" t="str">
        <f t="shared" ref="L83:L84" si="41">"+0"</f>
        <v>+0</v>
      </c>
      <c r="M83" s="18" t="str">
        <f>"-2"</f>
        <v>-2</v>
      </c>
    </row>
    <row r="84">
      <c r="A84" s="13">
        <v>45901.0</v>
      </c>
      <c r="B84" s="14" t="s">
        <v>47</v>
      </c>
      <c r="C84" s="14" t="s">
        <v>48</v>
      </c>
      <c r="D84" s="14" t="s">
        <v>171</v>
      </c>
      <c r="E84" s="14" t="s">
        <v>172</v>
      </c>
      <c r="F84" s="15" t="s">
        <v>51</v>
      </c>
      <c r="G84" s="14" t="s">
        <v>173</v>
      </c>
      <c r="H84" s="14" t="s">
        <v>171</v>
      </c>
      <c r="I84" s="14" t="s">
        <v>59</v>
      </c>
      <c r="J84" s="14" t="s">
        <v>199</v>
      </c>
      <c r="K84" s="14">
        <v>22.0</v>
      </c>
      <c r="L84" s="17" t="str">
        <f t="shared" si="41"/>
        <v>+0</v>
      </c>
      <c r="M84" s="18" t="str">
        <f>"+0"</f>
        <v>+0</v>
      </c>
    </row>
    <row r="85">
      <c r="A85" s="13">
        <v>45901.0</v>
      </c>
      <c r="B85" s="14" t="s">
        <v>47</v>
      </c>
      <c r="C85" s="14" t="s">
        <v>48</v>
      </c>
      <c r="D85" s="14" t="s">
        <v>116</v>
      </c>
      <c r="E85" s="14" t="s">
        <v>117</v>
      </c>
      <c r="F85" s="15" t="s">
        <v>51</v>
      </c>
      <c r="G85" s="14" t="s">
        <v>161</v>
      </c>
      <c r="H85" s="14" t="s">
        <v>116</v>
      </c>
      <c r="I85" s="14" t="s">
        <v>54</v>
      </c>
      <c r="J85" s="14" t="s">
        <v>198</v>
      </c>
      <c r="K85" s="14">
        <v>42.0</v>
      </c>
      <c r="L85" s="17" t="str">
        <f>"+4"</f>
        <v>+4</v>
      </c>
      <c r="M85" s="18" t="str">
        <f>"+15"</f>
        <v>+15</v>
      </c>
    </row>
    <row r="86">
      <c r="A86" s="13">
        <v>45901.0</v>
      </c>
      <c r="B86" s="14" t="s">
        <v>47</v>
      </c>
      <c r="C86" s="14" t="s">
        <v>48</v>
      </c>
      <c r="D86" s="14" t="s">
        <v>77</v>
      </c>
      <c r="E86" s="14" t="s">
        <v>78</v>
      </c>
      <c r="F86" s="15" t="s">
        <v>51</v>
      </c>
      <c r="G86" s="14" t="s">
        <v>128</v>
      </c>
      <c r="H86" s="14" t="s">
        <v>81</v>
      </c>
      <c r="I86" s="14" t="s">
        <v>59</v>
      </c>
      <c r="J86" s="14" t="s">
        <v>198</v>
      </c>
      <c r="K86" s="14">
        <v>65.0</v>
      </c>
      <c r="L86" s="17" t="str">
        <f>"+6"</f>
        <v>+6</v>
      </c>
      <c r="M86" s="18" t="str">
        <f>"+9"</f>
        <v>+9</v>
      </c>
    </row>
    <row r="87">
      <c r="A87" s="13">
        <v>45901.0</v>
      </c>
      <c r="B87" s="14" t="s">
        <v>47</v>
      </c>
      <c r="C87" s="14" t="s">
        <v>48</v>
      </c>
      <c r="D87" s="14" t="s">
        <v>158</v>
      </c>
      <c r="E87" s="14" t="s">
        <v>159</v>
      </c>
      <c r="F87" s="15" t="s">
        <v>51</v>
      </c>
      <c r="G87" s="14" t="s">
        <v>160</v>
      </c>
      <c r="H87" s="14" t="s">
        <v>158</v>
      </c>
      <c r="I87" s="14" t="s">
        <v>54</v>
      </c>
      <c r="J87" s="14" t="s">
        <v>200</v>
      </c>
      <c r="K87" s="14">
        <v>28.0</v>
      </c>
      <c r="L87" s="17" t="str">
        <f>"+1"</f>
        <v>+1</v>
      </c>
      <c r="M87" s="18" t="str">
        <f>"+4"</f>
        <v>+4</v>
      </c>
    </row>
    <row r="88">
      <c r="A88" s="13">
        <v>45901.0</v>
      </c>
      <c r="B88" s="14" t="s">
        <v>47</v>
      </c>
      <c r="C88" s="14" t="s">
        <v>48</v>
      </c>
      <c r="D88" s="14" t="s">
        <v>118</v>
      </c>
      <c r="E88" s="14" t="s">
        <v>119</v>
      </c>
      <c r="F88" s="15" t="s">
        <v>51</v>
      </c>
      <c r="G88" s="14" t="s">
        <v>120</v>
      </c>
      <c r="H88" s="14" t="s">
        <v>118</v>
      </c>
      <c r="I88" s="14" t="s">
        <v>59</v>
      </c>
      <c r="J88" s="14" t="s">
        <v>199</v>
      </c>
      <c r="K88" s="14">
        <v>46.0</v>
      </c>
      <c r="L88" s="17" t="str">
        <f>"+0"</f>
        <v>+0</v>
      </c>
      <c r="M88" s="18" t="str">
        <f>"-3"</f>
        <v>-3</v>
      </c>
    </row>
    <row r="89">
      <c r="A89" s="13">
        <v>45901.0</v>
      </c>
      <c r="B89" s="14" t="s">
        <v>47</v>
      </c>
      <c r="C89" s="14" t="s">
        <v>48</v>
      </c>
      <c r="D89" s="14" t="s">
        <v>103</v>
      </c>
      <c r="E89" s="14" t="s">
        <v>104</v>
      </c>
      <c r="F89" s="15" t="s">
        <v>51</v>
      </c>
      <c r="G89" s="14" t="s">
        <v>105</v>
      </c>
      <c r="H89" s="14" t="s">
        <v>106</v>
      </c>
      <c r="I89" s="14" t="s">
        <v>59</v>
      </c>
      <c r="J89" s="14" t="s">
        <v>200</v>
      </c>
      <c r="K89" s="14">
        <v>54.0</v>
      </c>
      <c r="L89" s="17" t="str">
        <f>"+10"</f>
        <v>+10</v>
      </c>
      <c r="M89" s="18" t="str">
        <f>"+5"</f>
        <v>+5</v>
      </c>
    </row>
    <row r="90">
      <c r="A90" s="13">
        <v>45901.0</v>
      </c>
      <c r="B90" s="14" t="s">
        <v>47</v>
      </c>
      <c r="C90" s="14" t="s">
        <v>48</v>
      </c>
      <c r="D90" s="14" t="s">
        <v>132</v>
      </c>
      <c r="E90" s="14" t="s">
        <v>133</v>
      </c>
      <c r="F90" s="15" t="s">
        <v>51</v>
      </c>
      <c r="G90" s="14" t="s">
        <v>134</v>
      </c>
      <c r="H90" s="14" t="s">
        <v>135</v>
      </c>
      <c r="I90" s="14" t="s">
        <v>59</v>
      </c>
      <c r="J90" s="14" t="s">
        <v>200</v>
      </c>
      <c r="K90" s="14">
        <v>32.0</v>
      </c>
      <c r="L90" s="17" t="str">
        <f>"+1"</f>
        <v>+1</v>
      </c>
      <c r="M90" s="18" t="str">
        <f>"+0"</f>
        <v>+0</v>
      </c>
    </row>
    <row r="91">
      <c r="A91" s="13">
        <v>45901.0</v>
      </c>
      <c r="B91" s="14" t="s">
        <v>47</v>
      </c>
      <c r="C91" s="14" t="s">
        <v>48</v>
      </c>
      <c r="D91" s="14" t="s">
        <v>91</v>
      </c>
      <c r="E91" s="14" t="s">
        <v>92</v>
      </c>
      <c r="F91" s="14" t="s">
        <v>79</v>
      </c>
      <c r="G91" s="14" t="s">
        <v>164</v>
      </c>
      <c r="H91" s="14" t="s">
        <v>91</v>
      </c>
      <c r="I91" s="14" t="s">
        <v>154</v>
      </c>
      <c r="J91" s="14" t="s">
        <v>199</v>
      </c>
      <c r="K91" s="14">
        <v>88.0</v>
      </c>
      <c r="L91" s="17" t="str">
        <f t="shared" ref="L91:M91" si="42">"-12"</f>
        <v>-12</v>
      </c>
      <c r="M91" s="18" t="str">
        <f t="shared" si="42"/>
        <v>-12</v>
      </c>
    </row>
    <row r="92">
      <c r="A92" s="13">
        <v>45901.0</v>
      </c>
      <c r="B92" s="14" t="s">
        <v>47</v>
      </c>
      <c r="C92" s="14" t="s">
        <v>48</v>
      </c>
      <c r="D92" s="14" t="s">
        <v>91</v>
      </c>
      <c r="E92" s="14" t="s">
        <v>92</v>
      </c>
      <c r="F92" s="14" t="s">
        <v>71</v>
      </c>
      <c r="G92" s="14">
        <v>1.00004432E8</v>
      </c>
      <c r="H92" s="14" t="s">
        <v>91</v>
      </c>
      <c r="I92" s="14" t="s">
        <v>59</v>
      </c>
      <c r="J92" s="14" t="s">
        <v>199</v>
      </c>
      <c r="K92" s="14">
        <v>100.0</v>
      </c>
      <c r="L92" s="17" t="str">
        <f t="shared" ref="L92:M92" si="43">"+0"</f>
        <v>+0</v>
      </c>
      <c r="M92" s="18" t="str">
        <f t="shared" si="43"/>
        <v>+0</v>
      </c>
    </row>
    <row r="93">
      <c r="A93" s="13">
        <v>45901.0</v>
      </c>
      <c r="B93" s="14" t="s">
        <v>47</v>
      </c>
      <c r="C93" s="14" t="s">
        <v>48</v>
      </c>
      <c r="D93" s="14" t="s">
        <v>143</v>
      </c>
      <c r="E93" s="14" t="s">
        <v>144</v>
      </c>
      <c r="F93" s="15" t="s">
        <v>51</v>
      </c>
      <c r="G93" s="14" t="s">
        <v>145</v>
      </c>
      <c r="H93" s="14" t="s">
        <v>143</v>
      </c>
      <c r="I93" s="14" t="s">
        <v>59</v>
      </c>
      <c r="J93" s="14" t="s">
        <v>199</v>
      </c>
      <c r="K93" s="14">
        <v>54.0</v>
      </c>
      <c r="L93" s="17" t="str">
        <f t="shared" ref="L93:M93" si="44">"+0"</f>
        <v>+0</v>
      </c>
      <c r="M93" s="18" t="str">
        <f t="shared" si="44"/>
        <v>+0</v>
      </c>
    </row>
    <row r="94">
      <c r="A94" s="13">
        <v>45901.0</v>
      </c>
      <c r="B94" s="14" t="s">
        <v>47</v>
      </c>
      <c r="C94" s="14" t="s">
        <v>48</v>
      </c>
      <c r="D94" s="14" t="s">
        <v>49</v>
      </c>
      <c r="E94" s="14" t="s">
        <v>50</v>
      </c>
      <c r="F94" s="15" t="s">
        <v>51</v>
      </c>
      <c r="G94" s="14" t="s">
        <v>52</v>
      </c>
      <c r="H94" s="14" t="s">
        <v>53</v>
      </c>
      <c r="I94" s="14" t="s">
        <v>54</v>
      </c>
      <c r="J94" s="14" t="s">
        <v>198</v>
      </c>
      <c r="K94" s="14">
        <v>65.0</v>
      </c>
      <c r="L94" s="17" t="str">
        <f>"+4"</f>
        <v>+4</v>
      </c>
      <c r="M94" s="18" t="str">
        <f>"+18"</f>
        <v>+18</v>
      </c>
    </row>
    <row r="95">
      <c r="A95" s="13">
        <v>45901.0</v>
      </c>
      <c r="B95" s="14" t="s">
        <v>47</v>
      </c>
      <c r="C95" s="14" t="s">
        <v>48</v>
      </c>
      <c r="D95" s="14" t="s">
        <v>125</v>
      </c>
      <c r="E95" s="14" t="s">
        <v>126</v>
      </c>
      <c r="F95" s="15" t="s">
        <v>51</v>
      </c>
      <c r="G95" s="14" t="s">
        <v>127</v>
      </c>
      <c r="H95" s="14" t="s">
        <v>125</v>
      </c>
      <c r="I95" s="14" t="s">
        <v>59</v>
      </c>
      <c r="J95" s="14" t="s">
        <v>200</v>
      </c>
      <c r="K95" s="14">
        <v>30.0</v>
      </c>
      <c r="L95" s="17" t="str">
        <f t="shared" ref="L95:M95" si="45">"+0"</f>
        <v>+0</v>
      </c>
      <c r="M95" s="18" t="str">
        <f t="shared" si="45"/>
        <v>+0</v>
      </c>
    </row>
    <row r="96">
      <c r="A96" s="13">
        <v>45901.0</v>
      </c>
      <c r="B96" s="14" t="s">
        <v>47</v>
      </c>
      <c r="C96" s="14" t="s">
        <v>48</v>
      </c>
      <c r="D96" s="14" t="s">
        <v>63</v>
      </c>
      <c r="E96" s="14" t="s">
        <v>64</v>
      </c>
      <c r="F96" s="14" t="s">
        <v>111</v>
      </c>
      <c r="G96" s="14">
        <v>4916210.0</v>
      </c>
      <c r="H96" s="14" t="s">
        <v>63</v>
      </c>
      <c r="I96" s="14" t="s">
        <v>59</v>
      </c>
      <c r="J96" s="14" t="s">
        <v>199</v>
      </c>
      <c r="K96" s="14">
        <v>75.0</v>
      </c>
      <c r="L96" s="17" t="str">
        <f t="shared" ref="L96:M96" si="46">"+0"</f>
        <v>+0</v>
      </c>
      <c r="M96" s="18" t="str">
        <f t="shared" si="46"/>
        <v>+0</v>
      </c>
    </row>
    <row r="97">
      <c r="A97" s="13">
        <v>45901.0</v>
      </c>
      <c r="B97" s="14" t="s">
        <v>47</v>
      </c>
      <c r="C97" s="14" t="s">
        <v>48</v>
      </c>
      <c r="D97" s="14" t="s">
        <v>184</v>
      </c>
      <c r="E97" s="14" t="s">
        <v>185</v>
      </c>
      <c r="F97" s="15" t="s">
        <v>51</v>
      </c>
      <c r="G97" s="14" t="s">
        <v>186</v>
      </c>
      <c r="H97" s="14" t="s">
        <v>187</v>
      </c>
      <c r="I97" s="14" t="s">
        <v>59</v>
      </c>
      <c r="J97" s="14" t="s">
        <v>199</v>
      </c>
      <c r="K97" s="14">
        <v>50.0</v>
      </c>
      <c r="L97" s="17" t="str">
        <f t="shared" ref="L97:L98" si="47">"+0"</f>
        <v>+0</v>
      </c>
      <c r="M97" s="18" t="str">
        <f>"-3"</f>
        <v>-3</v>
      </c>
    </row>
    <row r="98">
      <c r="A98" s="13">
        <v>45901.0</v>
      </c>
      <c r="B98" s="14" t="s">
        <v>47</v>
      </c>
      <c r="C98" s="14" t="s">
        <v>48</v>
      </c>
      <c r="D98" s="14" t="s">
        <v>77</v>
      </c>
      <c r="E98" s="14" t="s">
        <v>78</v>
      </c>
      <c r="F98" s="14" t="s">
        <v>71</v>
      </c>
      <c r="G98" s="14">
        <v>5.36009043E8</v>
      </c>
      <c r="H98" s="14" t="s">
        <v>81</v>
      </c>
      <c r="J98" s="14" t="s">
        <v>199</v>
      </c>
      <c r="K98" s="14">
        <v>69.0</v>
      </c>
      <c r="L98" s="17" t="str">
        <f t="shared" si="47"/>
        <v>+0</v>
      </c>
    </row>
    <row r="99">
      <c r="A99" s="13">
        <v>45901.0</v>
      </c>
      <c r="B99" s="14" t="s">
        <v>47</v>
      </c>
      <c r="C99" s="14" t="s">
        <v>48</v>
      </c>
      <c r="D99" s="14" t="s">
        <v>192</v>
      </c>
      <c r="E99" s="14" t="s">
        <v>193</v>
      </c>
      <c r="F99" s="15" t="s">
        <v>51</v>
      </c>
      <c r="G99" s="14" t="s">
        <v>194</v>
      </c>
      <c r="H99" s="14" t="s">
        <v>192</v>
      </c>
      <c r="I99" s="14" t="s">
        <v>54</v>
      </c>
      <c r="J99" s="14" t="s">
        <v>200</v>
      </c>
      <c r="K99" s="14">
        <v>63.0</v>
      </c>
      <c r="L99" s="17" t="str">
        <f>"+2"</f>
        <v>+2</v>
      </c>
      <c r="M99" s="18" t="str">
        <f>"+1"</f>
        <v>+1</v>
      </c>
    </row>
    <row r="100">
      <c r="A100" s="13">
        <v>45901.0</v>
      </c>
      <c r="B100" s="14" t="s">
        <v>47</v>
      </c>
      <c r="C100" s="14" t="s">
        <v>48</v>
      </c>
      <c r="D100" s="14" t="s">
        <v>82</v>
      </c>
      <c r="E100" s="14" t="s">
        <v>83</v>
      </c>
      <c r="F100" s="15" t="s">
        <v>51</v>
      </c>
      <c r="G100" s="14" t="s">
        <v>84</v>
      </c>
      <c r="H100" s="14" t="s">
        <v>82</v>
      </c>
      <c r="I100" s="14" t="s">
        <v>59</v>
      </c>
      <c r="J100" s="14" t="s">
        <v>199</v>
      </c>
      <c r="K100" s="14">
        <v>46.0</v>
      </c>
      <c r="L100" s="17" t="str">
        <f t="shared" ref="L100:M100" si="48">"-2"</f>
        <v>-2</v>
      </c>
      <c r="M100" s="18" t="str">
        <f t="shared" si="48"/>
        <v>-2</v>
      </c>
    </row>
    <row r="101">
      <c r="A101" s="13">
        <v>45901.0</v>
      </c>
      <c r="B101" s="14" t="s">
        <v>47</v>
      </c>
      <c r="C101" s="14" t="s">
        <v>48</v>
      </c>
      <c r="D101" s="14" t="s">
        <v>87</v>
      </c>
      <c r="E101" s="14" t="s">
        <v>88</v>
      </c>
      <c r="F101" s="15" t="s">
        <v>51</v>
      </c>
      <c r="G101" s="14" t="s">
        <v>89</v>
      </c>
      <c r="H101" s="14" t="s">
        <v>90</v>
      </c>
      <c r="I101" s="14" t="s">
        <v>59</v>
      </c>
      <c r="J101" s="14" t="s">
        <v>199</v>
      </c>
      <c r="K101" s="14">
        <v>74.0</v>
      </c>
      <c r="L101" s="17" t="str">
        <f t="shared" ref="L101:M101" si="49">"+0"</f>
        <v>+0</v>
      </c>
      <c r="M101" s="18" t="str">
        <f t="shared" si="49"/>
        <v>+0</v>
      </c>
    </row>
    <row r="102">
      <c r="A102" s="13">
        <v>45901.0</v>
      </c>
      <c r="B102" s="14" t="s">
        <v>47</v>
      </c>
      <c r="C102" s="14" t="s">
        <v>48</v>
      </c>
      <c r="D102" s="14" t="s">
        <v>91</v>
      </c>
      <c r="E102" s="14" t="s">
        <v>92</v>
      </c>
      <c r="F102" s="14" t="s">
        <v>146</v>
      </c>
      <c r="G102" s="14" t="s">
        <v>147</v>
      </c>
      <c r="H102" s="14" t="s">
        <v>91</v>
      </c>
      <c r="I102" s="14" t="s">
        <v>107</v>
      </c>
      <c r="J102" s="14" t="s">
        <v>200</v>
      </c>
      <c r="K102" s="14">
        <v>51.0</v>
      </c>
      <c r="L102" s="17" t="str">
        <f>"+2"</f>
        <v>+2</v>
      </c>
      <c r="M102" s="18" t="str">
        <f>"-4"</f>
        <v>-4</v>
      </c>
    </row>
    <row r="103">
      <c r="A103" s="13">
        <v>45901.0</v>
      </c>
      <c r="B103" s="14" t="s">
        <v>47</v>
      </c>
      <c r="C103" s="14" t="s">
        <v>48</v>
      </c>
      <c r="D103" s="14" t="s">
        <v>91</v>
      </c>
      <c r="E103" s="14" t="s">
        <v>92</v>
      </c>
      <c r="F103" s="14" t="s">
        <v>71</v>
      </c>
      <c r="G103" s="14">
        <v>1.00005882E8</v>
      </c>
      <c r="H103" s="14" t="s">
        <v>91</v>
      </c>
      <c r="I103" s="14" t="s">
        <v>59</v>
      </c>
      <c r="J103" s="14" t="s">
        <v>199</v>
      </c>
      <c r="K103" s="14">
        <v>100.0</v>
      </c>
      <c r="L103" s="17" t="str">
        <f t="shared" ref="L103:M103" si="50">"+0"</f>
        <v>+0</v>
      </c>
      <c r="M103" s="18" t="str">
        <f t="shared" si="50"/>
        <v>+0</v>
      </c>
    </row>
    <row r="104">
      <c r="A104" s="13">
        <v>45901.0</v>
      </c>
      <c r="B104" s="14" t="s">
        <v>47</v>
      </c>
      <c r="C104" s="14" t="s">
        <v>48</v>
      </c>
      <c r="D104" s="14" t="s">
        <v>91</v>
      </c>
      <c r="E104" s="14" t="s">
        <v>92</v>
      </c>
      <c r="F104" s="14" t="s">
        <v>71</v>
      </c>
      <c r="G104" s="14">
        <v>1.00005882E8</v>
      </c>
      <c r="H104" s="14" t="s">
        <v>91</v>
      </c>
      <c r="I104" s="14" t="s">
        <v>59</v>
      </c>
      <c r="J104" s="14" t="s">
        <v>200</v>
      </c>
      <c r="K104" s="14">
        <v>23.0</v>
      </c>
      <c r="L104" s="17" t="str">
        <f>"-1"</f>
        <v>-1</v>
      </c>
      <c r="M104" s="18" t="str">
        <f>"-7"</f>
        <v>-7</v>
      </c>
    </row>
    <row r="105">
      <c r="A105" s="13">
        <v>45901.0</v>
      </c>
      <c r="B105" s="14" t="s">
        <v>47</v>
      </c>
      <c r="C105" s="14" t="s">
        <v>48</v>
      </c>
      <c r="D105" s="14" t="s">
        <v>91</v>
      </c>
      <c r="E105" s="14" t="s">
        <v>92</v>
      </c>
      <c r="F105" s="14" t="s">
        <v>71</v>
      </c>
      <c r="G105" s="14">
        <v>5.10001669E8</v>
      </c>
      <c r="H105" s="14" t="s">
        <v>91</v>
      </c>
      <c r="I105" s="14" t="s">
        <v>107</v>
      </c>
      <c r="J105" s="14" t="s">
        <v>199</v>
      </c>
      <c r="K105" s="14">
        <v>100.0</v>
      </c>
      <c r="L105" s="17" t="str">
        <f t="shared" ref="L105:M105" si="51">"+0"</f>
        <v>+0</v>
      </c>
      <c r="M105" s="18" t="str">
        <f t="shared" si="51"/>
        <v>+0</v>
      </c>
    </row>
    <row r="106">
      <c r="A106" s="13">
        <v>45901.0</v>
      </c>
      <c r="B106" s="14" t="s">
        <v>47</v>
      </c>
      <c r="C106" s="14" t="s">
        <v>48</v>
      </c>
      <c r="D106" s="14" t="s">
        <v>91</v>
      </c>
      <c r="E106" s="14" t="s">
        <v>92</v>
      </c>
      <c r="F106" s="14" t="s">
        <v>71</v>
      </c>
      <c r="G106" s="14">
        <v>5.00008612E8</v>
      </c>
      <c r="H106" s="14" t="s">
        <v>91</v>
      </c>
      <c r="I106" s="14" t="s">
        <v>59</v>
      </c>
      <c r="J106" s="14" t="s">
        <v>199</v>
      </c>
      <c r="K106" s="14">
        <v>100.0</v>
      </c>
      <c r="L106" s="17" t="str">
        <f t="shared" ref="L106:M106" si="52">"+0"</f>
        <v>+0</v>
      </c>
      <c r="M106" s="18" t="str">
        <f t="shared" si="52"/>
        <v>+0</v>
      </c>
    </row>
    <row r="107">
      <c r="A107" s="13">
        <v>45901.0</v>
      </c>
      <c r="B107" s="14" t="s">
        <v>47</v>
      </c>
      <c r="C107" s="14" t="s">
        <v>48</v>
      </c>
      <c r="D107" s="14" t="s">
        <v>132</v>
      </c>
      <c r="E107" s="14" t="s">
        <v>133</v>
      </c>
      <c r="F107" s="15" t="s">
        <v>51</v>
      </c>
      <c r="G107" s="14" t="s">
        <v>134</v>
      </c>
      <c r="H107" s="14" t="s">
        <v>135</v>
      </c>
      <c r="I107" s="14" t="s">
        <v>59</v>
      </c>
      <c r="J107" s="14" t="s">
        <v>199</v>
      </c>
      <c r="K107" s="14">
        <v>24.0</v>
      </c>
      <c r="L107" s="17" t="str">
        <f t="shared" ref="L107:M107" si="53">"+0"</f>
        <v>+0</v>
      </c>
      <c r="M107" s="18" t="str">
        <f t="shared" si="53"/>
        <v>+0</v>
      </c>
    </row>
    <row r="108">
      <c r="A108" s="13">
        <v>45901.0</v>
      </c>
      <c r="B108" s="14" t="s">
        <v>47</v>
      </c>
      <c r="C108" s="14" t="s">
        <v>48</v>
      </c>
      <c r="D108" s="14" t="s">
        <v>96</v>
      </c>
      <c r="E108" s="14" t="s">
        <v>97</v>
      </c>
      <c r="F108" s="15" t="s">
        <v>51</v>
      </c>
      <c r="G108" s="14" t="s">
        <v>98</v>
      </c>
      <c r="H108" s="14" t="s">
        <v>96</v>
      </c>
      <c r="I108" s="14" t="s">
        <v>59</v>
      </c>
      <c r="J108" s="14" t="s">
        <v>199</v>
      </c>
      <c r="K108" s="14">
        <v>52.0</v>
      </c>
      <c r="L108" s="17" t="str">
        <f>"+0"</f>
        <v>+0</v>
      </c>
      <c r="M108" s="18" t="str">
        <f>"-3"</f>
        <v>-3</v>
      </c>
    </row>
    <row r="109">
      <c r="A109" s="13">
        <v>45901.0</v>
      </c>
      <c r="B109" s="14" t="s">
        <v>47</v>
      </c>
      <c r="C109" s="14" t="s">
        <v>48</v>
      </c>
      <c r="D109" s="14" t="s">
        <v>91</v>
      </c>
      <c r="E109" s="14" t="s">
        <v>92</v>
      </c>
      <c r="F109" s="14" t="s">
        <v>79</v>
      </c>
      <c r="G109" s="14" t="s">
        <v>164</v>
      </c>
      <c r="H109" s="14" t="s">
        <v>91</v>
      </c>
      <c r="I109" s="14" t="s">
        <v>154</v>
      </c>
      <c r="J109" s="14" t="s">
        <v>200</v>
      </c>
      <c r="K109" s="14">
        <v>15.0</v>
      </c>
      <c r="L109" s="17" t="str">
        <f t="shared" ref="L109:M109" si="54">"+1"</f>
        <v>+1</v>
      </c>
      <c r="M109" s="18" t="str">
        <f t="shared" si="54"/>
        <v>+1</v>
      </c>
    </row>
    <row r="110">
      <c r="A110" s="13">
        <v>45901.0</v>
      </c>
      <c r="B110" s="14" t="s">
        <v>47</v>
      </c>
      <c r="C110" s="14" t="s">
        <v>48</v>
      </c>
      <c r="D110" s="14" t="s">
        <v>96</v>
      </c>
      <c r="E110" s="14" t="s">
        <v>97</v>
      </c>
      <c r="F110" s="15" t="s">
        <v>51</v>
      </c>
      <c r="G110" s="14" t="s">
        <v>98</v>
      </c>
      <c r="H110" s="14" t="s">
        <v>96</v>
      </c>
      <c r="I110" s="14" t="s">
        <v>59</v>
      </c>
      <c r="J110" s="14" t="s">
        <v>200</v>
      </c>
      <c r="K110" s="14">
        <v>20.0</v>
      </c>
      <c r="L110" s="17" t="str">
        <f>"+1"</f>
        <v>+1</v>
      </c>
      <c r="M110" s="18" t="str">
        <f>"-8"</f>
        <v>-8</v>
      </c>
    </row>
    <row r="111">
      <c r="A111" s="13">
        <v>45901.0</v>
      </c>
      <c r="B111" s="14" t="s">
        <v>47</v>
      </c>
      <c r="C111" s="14" t="s">
        <v>48</v>
      </c>
      <c r="D111" s="14" t="s">
        <v>116</v>
      </c>
      <c r="E111" s="14" t="s">
        <v>117</v>
      </c>
      <c r="F111" s="14" t="s">
        <v>111</v>
      </c>
      <c r="G111" s="14">
        <v>5298600.0</v>
      </c>
      <c r="H111" s="14" t="s">
        <v>116</v>
      </c>
      <c r="I111" s="14" t="s">
        <v>59</v>
      </c>
      <c r="J111" s="14" t="s">
        <v>200</v>
      </c>
      <c r="K111" s="14">
        <v>61.0</v>
      </c>
      <c r="L111" s="17" t="str">
        <f t="shared" ref="L111:L112" si="55">"+0"</f>
        <v>+0</v>
      </c>
      <c r="M111" s="18" t="str">
        <f>"-7"</f>
        <v>-7</v>
      </c>
    </row>
    <row r="112">
      <c r="A112" s="13">
        <v>45901.0</v>
      </c>
      <c r="B112" s="14" t="s">
        <v>47</v>
      </c>
      <c r="C112" s="14" t="s">
        <v>48</v>
      </c>
      <c r="D112" s="14" t="s">
        <v>60</v>
      </c>
      <c r="E112" s="14" t="s">
        <v>61</v>
      </c>
      <c r="F112" s="15" t="s">
        <v>51</v>
      </c>
      <c r="G112" s="14" t="s">
        <v>62</v>
      </c>
      <c r="H112" s="14" t="s">
        <v>60</v>
      </c>
      <c r="I112" s="14" t="s">
        <v>59</v>
      </c>
      <c r="J112" s="14" t="s">
        <v>199</v>
      </c>
      <c r="K112" s="14">
        <v>49.0</v>
      </c>
      <c r="L112" s="17" t="str">
        <f t="shared" si="55"/>
        <v>+0</v>
      </c>
      <c r="M112" s="18" t="str">
        <f>"+0"</f>
        <v>+0</v>
      </c>
    </row>
    <row r="113">
      <c r="A113" s="13">
        <v>45901.0</v>
      </c>
      <c r="B113" s="14" t="s">
        <v>47</v>
      </c>
      <c r="C113" s="14" t="s">
        <v>48</v>
      </c>
      <c r="D113" s="14" t="s">
        <v>49</v>
      </c>
      <c r="E113" s="14" t="s">
        <v>50</v>
      </c>
      <c r="F113" s="15" t="s">
        <v>51</v>
      </c>
      <c r="G113" s="14" t="s">
        <v>52</v>
      </c>
      <c r="H113" s="14" t="s">
        <v>53</v>
      </c>
      <c r="I113" s="14" t="s">
        <v>54</v>
      </c>
      <c r="J113" s="14" t="s">
        <v>200</v>
      </c>
      <c r="K113" s="14">
        <v>64.0</v>
      </c>
      <c r="L113" s="17" t="str">
        <f t="shared" ref="L113:M113" si="56">"+2"</f>
        <v>+2</v>
      </c>
      <c r="M113" s="18" t="str">
        <f t="shared" si="56"/>
        <v>+2</v>
      </c>
    </row>
    <row r="114">
      <c r="A114" s="13">
        <v>45901.0</v>
      </c>
      <c r="B114" s="14" t="s">
        <v>47</v>
      </c>
      <c r="C114" s="14" t="s">
        <v>48</v>
      </c>
      <c r="D114" s="14" t="s">
        <v>129</v>
      </c>
      <c r="E114" s="14" t="s">
        <v>130</v>
      </c>
      <c r="F114" s="15" t="s">
        <v>51</v>
      </c>
      <c r="G114" s="14" t="s">
        <v>131</v>
      </c>
      <c r="H114" s="14" t="s">
        <v>129</v>
      </c>
      <c r="I114" s="14" t="s">
        <v>59</v>
      </c>
      <c r="J114" s="14" t="s">
        <v>198</v>
      </c>
      <c r="K114" s="14">
        <v>58.0</v>
      </c>
      <c r="L114" s="17" t="str">
        <f>"+4"</f>
        <v>+4</v>
      </c>
      <c r="M114" s="18" t="str">
        <f>"+10"</f>
        <v>+10</v>
      </c>
    </row>
    <row r="115">
      <c r="A115" s="13">
        <v>45901.0</v>
      </c>
      <c r="B115" s="14" t="s">
        <v>47</v>
      </c>
      <c r="C115" s="14" t="s">
        <v>48</v>
      </c>
      <c r="D115" s="14" t="s">
        <v>82</v>
      </c>
      <c r="E115" s="14" t="s">
        <v>83</v>
      </c>
      <c r="F115" s="15" t="s">
        <v>51</v>
      </c>
      <c r="G115" s="14" t="s">
        <v>84</v>
      </c>
      <c r="H115" s="14" t="s">
        <v>82</v>
      </c>
      <c r="I115" s="14" t="s">
        <v>59</v>
      </c>
      <c r="J115" s="14" t="s">
        <v>200</v>
      </c>
      <c r="K115" s="14">
        <v>41.0</v>
      </c>
      <c r="L115" s="17" t="str">
        <f t="shared" ref="L115:M115" si="57">"-5"</f>
        <v>-5</v>
      </c>
      <c r="M115" s="18" t="str">
        <f t="shared" si="57"/>
        <v>-5</v>
      </c>
    </row>
    <row r="116">
      <c r="A116" s="13">
        <v>45901.0</v>
      </c>
      <c r="B116" s="14" t="s">
        <v>47</v>
      </c>
      <c r="C116" s="14" t="s">
        <v>48</v>
      </c>
      <c r="D116" s="14" t="s">
        <v>136</v>
      </c>
      <c r="E116" s="14" t="s">
        <v>137</v>
      </c>
      <c r="F116" s="15" t="s">
        <v>51</v>
      </c>
      <c r="G116" s="14" t="s">
        <v>138</v>
      </c>
      <c r="H116" s="14" t="s">
        <v>139</v>
      </c>
      <c r="I116" s="14" t="s">
        <v>59</v>
      </c>
      <c r="J116" s="14" t="s">
        <v>198</v>
      </c>
      <c r="K116" s="14">
        <v>63.0</v>
      </c>
      <c r="L116" s="17" t="str">
        <f>"+7"</f>
        <v>+7</v>
      </c>
      <c r="M116" s="18" t="str">
        <f>"+10"</f>
        <v>+10</v>
      </c>
    </row>
    <row r="117">
      <c r="A117" s="13">
        <v>45901.0</v>
      </c>
      <c r="B117" s="14" t="s">
        <v>47</v>
      </c>
      <c r="C117" s="14" t="s">
        <v>48</v>
      </c>
      <c r="D117" s="14" t="s">
        <v>188</v>
      </c>
      <c r="E117" s="14" t="s">
        <v>189</v>
      </c>
      <c r="F117" s="15" t="s">
        <v>51</v>
      </c>
      <c r="G117" s="14" t="s">
        <v>190</v>
      </c>
      <c r="H117" s="14" t="s">
        <v>188</v>
      </c>
      <c r="J117" s="14" t="s">
        <v>200</v>
      </c>
      <c r="K117" s="14">
        <v>0.0</v>
      </c>
      <c r="L117" s="17" t="str">
        <f t="shared" ref="L117:M117" si="58">"+0"</f>
        <v>+0</v>
      </c>
      <c r="M117" s="18" t="str">
        <f t="shared" si="58"/>
        <v>+0</v>
      </c>
    </row>
    <row r="118">
      <c r="A118" s="13">
        <v>45901.0</v>
      </c>
      <c r="B118" s="14" t="s">
        <v>47</v>
      </c>
      <c r="C118" s="14" t="s">
        <v>48</v>
      </c>
      <c r="D118" s="14" t="s">
        <v>82</v>
      </c>
      <c r="E118" s="14" t="s">
        <v>83</v>
      </c>
      <c r="F118" s="15" t="s">
        <v>51</v>
      </c>
      <c r="G118" s="14" t="s">
        <v>84</v>
      </c>
      <c r="H118" s="14" t="s">
        <v>82</v>
      </c>
      <c r="I118" s="14" t="s">
        <v>59</v>
      </c>
      <c r="J118" s="14" t="s">
        <v>198</v>
      </c>
      <c r="K118" s="14">
        <v>81.0</v>
      </c>
      <c r="L118" s="17" t="str">
        <f>"+12"</f>
        <v>+12</v>
      </c>
      <c r="M118" s="18" t="str">
        <f>"+15"</f>
        <v>+15</v>
      </c>
    </row>
    <row r="119">
      <c r="A119" s="13">
        <v>45901.0</v>
      </c>
      <c r="B119" s="14" t="s">
        <v>47</v>
      </c>
      <c r="C119" s="14" t="s">
        <v>48</v>
      </c>
      <c r="D119" s="14" t="s">
        <v>108</v>
      </c>
      <c r="E119" s="14" t="s">
        <v>109</v>
      </c>
      <c r="F119" s="14" t="s">
        <v>79</v>
      </c>
      <c r="G119" s="14" t="s">
        <v>153</v>
      </c>
      <c r="H119" s="14" t="s">
        <v>108</v>
      </c>
      <c r="I119" s="14" t="s">
        <v>154</v>
      </c>
      <c r="J119" s="14" t="s">
        <v>199</v>
      </c>
      <c r="K119" s="14">
        <v>46.0</v>
      </c>
      <c r="L119" s="17" t="str">
        <f>"+1"</f>
        <v>+1</v>
      </c>
    </row>
    <row r="120">
      <c r="A120" s="13">
        <v>45901.0</v>
      </c>
      <c r="B120" s="14" t="s">
        <v>47</v>
      </c>
      <c r="C120" s="14" t="s">
        <v>48</v>
      </c>
      <c r="D120" s="14" t="s">
        <v>108</v>
      </c>
      <c r="E120" s="14" t="s">
        <v>109</v>
      </c>
      <c r="F120" s="15" t="s">
        <v>51</v>
      </c>
      <c r="G120" s="14" t="s">
        <v>110</v>
      </c>
      <c r="H120" s="14" t="s">
        <v>108</v>
      </c>
      <c r="I120" s="14" t="s">
        <v>59</v>
      </c>
      <c r="J120" s="14" t="s">
        <v>198</v>
      </c>
      <c r="K120" s="14">
        <v>78.0</v>
      </c>
      <c r="L120" s="17" t="str">
        <f>"+0"</f>
        <v>+0</v>
      </c>
      <c r="M120" s="18" t="str">
        <f>"+6"</f>
        <v>+6</v>
      </c>
    </row>
    <row r="121">
      <c r="A121" s="13">
        <v>45901.0</v>
      </c>
      <c r="B121" s="14" t="s">
        <v>47</v>
      </c>
      <c r="C121" s="14" t="s">
        <v>48</v>
      </c>
      <c r="D121" s="14" t="s">
        <v>56</v>
      </c>
      <c r="E121" s="14" t="s">
        <v>57</v>
      </c>
      <c r="F121" s="15" t="s">
        <v>51</v>
      </c>
      <c r="G121" s="14" t="s">
        <v>58</v>
      </c>
      <c r="H121" s="14" t="s">
        <v>56</v>
      </c>
      <c r="I121" s="14" t="s">
        <v>59</v>
      </c>
      <c r="J121" s="14" t="s">
        <v>198</v>
      </c>
      <c r="K121" s="14">
        <v>81.0</v>
      </c>
      <c r="L121" s="17" t="str">
        <f>"+5"</f>
        <v>+5</v>
      </c>
      <c r="M121" s="18" t="str">
        <f>"+9"</f>
        <v>+9</v>
      </c>
    </row>
    <row r="122">
      <c r="A122" s="13">
        <v>45901.0</v>
      </c>
      <c r="B122" s="14" t="s">
        <v>47</v>
      </c>
      <c r="C122" s="14" t="s">
        <v>48</v>
      </c>
      <c r="D122" s="14" t="s">
        <v>91</v>
      </c>
      <c r="E122" s="14" t="s">
        <v>92</v>
      </c>
      <c r="F122" s="14" t="s">
        <v>79</v>
      </c>
      <c r="G122" s="14" t="s">
        <v>164</v>
      </c>
      <c r="H122" s="14" t="s">
        <v>91</v>
      </c>
      <c r="I122" s="14" t="s">
        <v>154</v>
      </c>
      <c r="J122" s="14" t="s">
        <v>198</v>
      </c>
      <c r="K122" s="14">
        <v>55.0</v>
      </c>
      <c r="L122" s="17" t="str">
        <f>"-6"</f>
        <v>-6</v>
      </c>
    </row>
    <row r="123">
      <c r="A123" s="13">
        <v>45901.0</v>
      </c>
      <c r="B123" s="14" t="s">
        <v>47</v>
      </c>
      <c r="C123" s="14" t="s">
        <v>48</v>
      </c>
      <c r="D123" s="14" t="s">
        <v>132</v>
      </c>
      <c r="E123" s="14" t="s">
        <v>133</v>
      </c>
      <c r="F123" s="15" t="s">
        <v>51</v>
      </c>
      <c r="G123" s="14" t="s">
        <v>134</v>
      </c>
      <c r="H123" s="14" t="s">
        <v>135</v>
      </c>
      <c r="I123" s="14" t="s">
        <v>59</v>
      </c>
      <c r="J123" s="14" t="s">
        <v>198</v>
      </c>
      <c r="K123" s="14">
        <v>81.0</v>
      </c>
      <c r="L123" s="17" t="str">
        <f>"+8"</f>
        <v>+8</v>
      </c>
      <c r="M123" s="18" t="str">
        <f>"+23"</f>
        <v>+23</v>
      </c>
    </row>
    <row r="124">
      <c r="A124" s="13">
        <v>45901.0</v>
      </c>
      <c r="B124" s="14" t="s">
        <v>47</v>
      </c>
      <c r="C124" s="14" t="s">
        <v>48</v>
      </c>
      <c r="D124" s="14" t="s">
        <v>66</v>
      </c>
      <c r="E124" s="14" t="s">
        <v>67</v>
      </c>
      <c r="F124" s="15" t="s">
        <v>51</v>
      </c>
      <c r="G124" s="14" t="s">
        <v>68</v>
      </c>
      <c r="H124" s="14" t="s">
        <v>66</v>
      </c>
      <c r="I124" s="14" t="s">
        <v>59</v>
      </c>
      <c r="J124" s="14" t="s">
        <v>200</v>
      </c>
      <c r="K124" s="14">
        <v>7.0</v>
      </c>
      <c r="L124" s="17" t="str">
        <f>"-3"</f>
        <v>-3</v>
      </c>
      <c r="M124" s="18" t="str">
        <f>"-19"</f>
        <v>-19</v>
      </c>
    </row>
    <row r="125">
      <c r="A125" s="13">
        <v>45901.0</v>
      </c>
      <c r="B125" s="14" t="s">
        <v>47</v>
      </c>
      <c r="C125" s="14" t="s">
        <v>48</v>
      </c>
      <c r="D125" s="14" t="s">
        <v>155</v>
      </c>
      <c r="E125" s="14" t="s">
        <v>156</v>
      </c>
      <c r="F125" s="15" t="s">
        <v>51</v>
      </c>
      <c r="G125" s="14" t="s">
        <v>157</v>
      </c>
      <c r="H125" s="14" t="s">
        <v>155</v>
      </c>
      <c r="I125" s="14" t="s">
        <v>59</v>
      </c>
      <c r="J125" s="14" t="s">
        <v>199</v>
      </c>
      <c r="K125" s="14">
        <v>0.0</v>
      </c>
      <c r="L125" s="17" t="str">
        <f t="shared" ref="L125:M125" si="59">"+0"</f>
        <v>+0</v>
      </c>
      <c r="M125" s="18" t="str">
        <f t="shared" si="59"/>
        <v>+0</v>
      </c>
    </row>
    <row r="126">
      <c r="A126" s="13">
        <v>45901.0</v>
      </c>
      <c r="B126" s="14" t="s">
        <v>47</v>
      </c>
      <c r="C126" s="14" t="s">
        <v>48</v>
      </c>
      <c r="D126" s="14" t="s">
        <v>140</v>
      </c>
      <c r="E126" s="14" t="s">
        <v>141</v>
      </c>
      <c r="F126" s="15" t="s">
        <v>51</v>
      </c>
      <c r="G126" s="14" t="s">
        <v>142</v>
      </c>
      <c r="H126" s="14" t="s">
        <v>140</v>
      </c>
      <c r="I126" s="14" t="s">
        <v>59</v>
      </c>
      <c r="J126" s="14" t="s">
        <v>200</v>
      </c>
      <c r="K126" s="14">
        <v>29.0</v>
      </c>
      <c r="L126" s="17" t="str">
        <f>"+2"</f>
        <v>+2</v>
      </c>
      <c r="M126" s="18" t="str">
        <f>"+1"</f>
        <v>+1</v>
      </c>
    </row>
    <row r="127">
      <c r="A127" s="13">
        <v>45901.0</v>
      </c>
      <c r="B127" s="14" t="s">
        <v>47</v>
      </c>
      <c r="C127" s="14" t="s">
        <v>48</v>
      </c>
      <c r="D127" s="14" t="s">
        <v>184</v>
      </c>
      <c r="E127" s="14" t="s">
        <v>185</v>
      </c>
      <c r="F127" s="15" t="s">
        <v>51</v>
      </c>
      <c r="G127" s="14" t="s">
        <v>186</v>
      </c>
      <c r="H127" s="14" t="s">
        <v>187</v>
      </c>
      <c r="I127" s="14" t="s">
        <v>59</v>
      </c>
      <c r="J127" s="14" t="s">
        <v>198</v>
      </c>
      <c r="K127" s="14">
        <v>66.0</v>
      </c>
      <c r="L127" s="17" t="str">
        <f>"+6"</f>
        <v>+6</v>
      </c>
      <c r="M127" s="18" t="str">
        <f>"+9"</f>
        <v>+9</v>
      </c>
    </row>
    <row r="128">
      <c r="A128" s="13">
        <v>45901.0</v>
      </c>
      <c r="B128" s="14" t="s">
        <v>47</v>
      </c>
      <c r="C128" s="14" t="s">
        <v>48</v>
      </c>
      <c r="D128" s="14" t="s">
        <v>174</v>
      </c>
      <c r="E128" s="14" t="s">
        <v>175</v>
      </c>
      <c r="F128" s="15" t="s">
        <v>51</v>
      </c>
      <c r="G128" s="14" t="s">
        <v>176</v>
      </c>
      <c r="H128" s="14" t="s">
        <v>174</v>
      </c>
      <c r="I128" s="14" t="s">
        <v>59</v>
      </c>
      <c r="J128" s="14" t="s">
        <v>198</v>
      </c>
      <c r="K128" s="14">
        <v>60.0</v>
      </c>
      <c r="L128" s="17" t="str">
        <f>"+4"</f>
        <v>+4</v>
      </c>
      <c r="M128" s="18" t="str">
        <f t="shared" ref="M128:M129" si="60">"-5"</f>
        <v>-5</v>
      </c>
    </row>
    <row r="129">
      <c r="A129" s="13">
        <v>45901.0</v>
      </c>
      <c r="B129" s="14" t="s">
        <v>47</v>
      </c>
      <c r="C129" s="14" t="s">
        <v>48</v>
      </c>
      <c r="D129" s="14" t="s">
        <v>69</v>
      </c>
      <c r="E129" s="14" t="s">
        <v>70</v>
      </c>
      <c r="F129" s="14" t="s">
        <v>71</v>
      </c>
      <c r="G129" s="14">
        <v>1.00002092E8</v>
      </c>
      <c r="H129" s="14" t="s">
        <v>72</v>
      </c>
      <c r="I129" s="14" t="s">
        <v>54</v>
      </c>
      <c r="J129" s="14" t="s">
        <v>200</v>
      </c>
      <c r="K129" s="14">
        <v>75.0</v>
      </c>
      <c r="L129" s="17" t="str">
        <f>"+0"</f>
        <v>+0</v>
      </c>
      <c r="M129" s="18" t="str">
        <f t="shared" si="60"/>
        <v>-5</v>
      </c>
    </row>
    <row r="130">
      <c r="A130" s="13">
        <v>45901.0</v>
      </c>
      <c r="B130" s="14" t="s">
        <v>47</v>
      </c>
      <c r="C130" s="14" t="s">
        <v>48</v>
      </c>
      <c r="D130" s="14" t="s">
        <v>108</v>
      </c>
      <c r="E130" s="14" t="s">
        <v>109</v>
      </c>
      <c r="F130" s="14" t="s">
        <v>79</v>
      </c>
      <c r="G130" s="14" t="s">
        <v>153</v>
      </c>
      <c r="H130" s="14" t="s">
        <v>108</v>
      </c>
      <c r="I130" s="14" t="s">
        <v>154</v>
      </c>
      <c r="J130" s="14" t="s">
        <v>200</v>
      </c>
      <c r="K130" s="14">
        <v>12.0</v>
      </c>
      <c r="L130" s="17" t="str">
        <f>"+2"</f>
        <v>+2</v>
      </c>
    </row>
    <row r="131">
      <c r="A131" s="13">
        <v>45901.0</v>
      </c>
      <c r="B131" s="14" t="s">
        <v>47</v>
      </c>
      <c r="C131" s="14" t="s">
        <v>48</v>
      </c>
      <c r="D131" s="14" t="s">
        <v>91</v>
      </c>
      <c r="E131" s="14" t="s">
        <v>92</v>
      </c>
      <c r="F131" s="14" t="s">
        <v>71</v>
      </c>
      <c r="G131" s="14">
        <v>5.00008612E8</v>
      </c>
      <c r="H131" s="14" t="s">
        <v>91</v>
      </c>
      <c r="I131" s="14" t="s">
        <v>59</v>
      </c>
      <c r="J131" s="14" t="s">
        <v>200</v>
      </c>
      <c r="K131" s="14">
        <v>67.0</v>
      </c>
      <c r="L131" s="17" t="str">
        <f>"+0"</f>
        <v>+0</v>
      </c>
      <c r="M131" s="18" t="str">
        <f>"-1"</f>
        <v>-1</v>
      </c>
    </row>
    <row r="132">
      <c r="A132" s="13">
        <v>45901.0</v>
      </c>
      <c r="B132" s="14" t="s">
        <v>47</v>
      </c>
      <c r="C132" s="14" t="s">
        <v>48</v>
      </c>
      <c r="D132" s="14" t="s">
        <v>63</v>
      </c>
      <c r="E132" s="14" t="s">
        <v>64</v>
      </c>
      <c r="F132" s="15" t="s">
        <v>51</v>
      </c>
      <c r="G132" s="14" t="s">
        <v>65</v>
      </c>
      <c r="H132" s="14" t="s">
        <v>63</v>
      </c>
      <c r="I132" s="14" t="s">
        <v>54</v>
      </c>
      <c r="J132" s="14" t="s">
        <v>200</v>
      </c>
      <c r="K132" s="14">
        <v>67.0</v>
      </c>
      <c r="L132" s="17" t="str">
        <f>"+1"</f>
        <v>+1</v>
      </c>
      <c r="M132" s="18" t="str">
        <f>"+2"</f>
        <v>+2</v>
      </c>
    </row>
    <row r="133">
      <c r="A133" s="13">
        <v>45901.0</v>
      </c>
      <c r="B133" s="14" t="s">
        <v>47</v>
      </c>
      <c r="C133" s="14" t="s">
        <v>48</v>
      </c>
      <c r="D133" s="14" t="s">
        <v>77</v>
      </c>
      <c r="E133" s="14" t="s">
        <v>78</v>
      </c>
      <c r="F133" s="14" t="s">
        <v>79</v>
      </c>
      <c r="G133" s="14" t="s">
        <v>80</v>
      </c>
      <c r="H133" s="14" t="s">
        <v>81</v>
      </c>
      <c r="J133" s="14" t="s">
        <v>198</v>
      </c>
      <c r="K133" s="14">
        <v>55.0</v>
      </c>
      <c r="L133" s="17" t="str">
        <f>"-11"</f>
        <v>-11</v>
      </c>
    </row>
    <row r="134">
      <c r="A134" s="13">
        <v>45901.0</v>
      </c>
      <c r="B134" s="14" t="s">
        <v>47</v>
      </c>
      <c r="C134" s="14" t="s">
        <v>48</v>
      </c>
      <c r="D134" s="14" t="s">
        <v>99</v>
      </c>
      <c r="E134" s="14" t="s">
        <v>100</v>
      </c>
      <c r="F134" s="15" t="s">
        <v>51</v>
      </c>
      <c r="G134" s="14" t="s">
        <v>101</v>
      </c>
      <c r="H134" s="14" t="s">
        <v>102</v>
      </c>
      <c r="I134" s="14" t="s">
        <v>54</v>
      </c>
      <c r="J134" s="14" t="s">
        <v>200</v>
      </c>
      <c r="K134" s="14">
        <v>32.0</v>
      </c>
      <c r="L134" s="17" t="str">
        <f>"+0"</f>
        <v>+0</v>
      </c>
      <c r="M134" s="18" t="str">
        <f t="shared" ref="M134:M135" si="61">"+13"</f>
        <v>+13</v>
      </c>
    </row>
    <row r="135">
      <c r="A135" s="13">
        <v>45901.0</v>
      </c>
      <c r="B135" s="14" t="s">
        <v>47</v>
      </c>
      <c r="C135" s="14" t="s">
        <v>48</v>
      </c>
      <c r="D135" s="14" t="s">
        <v>165</v>
      </c>
      <c r="E135" s="14" t="s">
        <v>166</v>
      </c>
      <c r="F135" s="15" t="s">
        <v>51</v>
      </c>
      <c r="G135" s="14" t="s">
        <v>167</v>
      </c>
      <c r="H135" s="14" t="s">
        <v>165</v>
      </c>
      <c r="I135" s="14" t="s">
        <v>54</v>
      </c>
      <c r="J135" s="14" t="s">
        <v>198</v>
      </c>
      <c r="K135" s="14">
        <v>55.0</v>
      </c>
      <c r="L135" s="17" t="str">
        <f>"-7"</f>
        <v>-7</v>
      </c>
      <c r="M135" s="18" t="str">
        <f t="shared" si="61"/>
        <v>+13</v>
      </c>
    </row>
    <row r="136">
      <c r="A136" s="13">
        <v>45901.0</v>
      </c>
      <c r="B136" s="14" t="s">
        <v>47</v>
      </c>
      <c r="C136" s="14" t="s">
        <v>48</v>
      </c>
      <c r="D136" s="14" t="s">
        <v>118</v>
      </c>
      <c r="E136" s="14" t="s">
        <v>119</v>
      </c>
      <c r="F136" s="15" t="s">
        <v>51</v>
      </c>
      <c r="G136" s="14" t="s">
        <v>120</v>
      </c>
      <c r="H136" s="14" t="s">
        <v>118</v>
      </c>
      <c r="I136" s="14" t="s">
        <v>59</v>
      </c>
      <c r="J136" s="14" t="s">
        <v>200</v>
      </c>
      <c r="K136" s="14">
        <v>38.0</v>
      </c>
      <c r="L136" s="17" t="str">
        <f>"+2"</f>
        <v>+2</v>
      </c>
      <c r="M136" s="18" t="str">
        <f>"+0"</f>
        <v>+0</v>
      </c>
    </row>
    <row r="137">
      <c r="A137" s="13">
        <v>45901.0</v>
      </c>
      <c r="B137" s="14" t="s">
        <v>47</v>
      </c>
      <c r="C137" s="14" t="s">
        <v>48</v>
      </c>
      <c r="D137" s="14" t="s">
        <v>108</v>
      </c>
      <c r="E137" s="14" t="s">
        <v>109</v>
      </c>
      <c r="F137" s="14" t="s">
        <v>146</v>
      </c>
      <c r="G137" s="14" t="s">
        <v>180</v>
      </c>
      <c r="H137" s="14" t="s">
        <v>108</v>
      </c>
      <c r="I137" s="14" t="s">
        <v>59</v>
      </c>
      <c r="J137" s="14" t="s">
        <v>200</v>
      </c>
      <c r="K137" s="14">
        <v>69.0</v>
      </c>
      <c r="L137" s="17" t="str">
        <f>"-4"</f>
        <v>-4</v>
      </c>
    </row>
    <row r="138">
      <c r="A138" s="13">
        <v>45901.0</v>
      </c>
      <c r="B138" s="14" t="s">
        <v>47</v>
      </c>
      <c r="C138" s="14" t="s">
        <v>48</v>
      </c>
      <c r="D138" s="14" t="s">
        <v>91</v>
      </c>
      <c r="E138" s="14" t="s">
        <v>92</v>
      </c>
      <c r="F138" s="15" t="s">
        <v>51</v>
      </c>
      <c r="G138" s="14" t="s">
        <v>163</v>
      </c>
      <c r="H138" s="14" t="s">
        <v>91</v>
      </c>
      <c r="I138" s="14" t="s">
        <v>59</v>
      </c>
      <c r="J138" s="14" t="s">
        <v>199</v>
      </c>
      <c r="K138" s="14">
        <v>88.0</v>
      </c>
      <c r="L138" s="17" t="str">
        <f t="shared" ref="L138:M138" si="62">"-12"</f>
        <v>-12</v>
      </c>
      <c r="M138" s="18" t="str">
        <f t="shared" si="62"/>
        <v>-12</v>
      </c>
    </row>
    <row r="139">
      <c r="A139" s="13">
        <v>45901.0</v>
      </c>
      <c r="B139" s="14" t="s">
        <v>47</v>
      </c>
      <c r="C139" s="14" t="s">
        <v>48</v>
      </c>
      <c r="D139" s="14" t="s">
        <v>77</v>
      </c>
      <c r="E139" s="14" t="s">
        <v>78</v>
      </c>
      <c r="F139" s="14" t="s">
        <v>71</v>
      </c>
      <c r="G139" s="14">
        <v>5.36009043E8</v>
      </c>
      <c r="H139" s="14" t="s">
        <v>81</v>
      </c>
      <c r="J139" s="14" t="s">
        <v>200</v>
      </c>
      <c r="K139" s="14">
        <v>1.0</v>
      </c>
      <c r="L139" s="17" t="str">
        <f>"+0"</f>
        <v>+0</v>
      </c>
    </row>
    <row r="140">
      <c r="A140" s="13">
        <v>45901.0</v>
      </c>
      <c r="B140" s="14" t="s">
        <v>47</v>
      </c>
      <c r="C140" s="14" t="s">
        <v>48</v>
      </c>
      <c r="D140" s="14" t="s">
        <v>56</v>
      </c>
      <c r="E140" s="14" t="s">
        <v>57</v>
      </c>
      <c r="F140" s="15" t="s">
        <v>51</v>
      </c>
      <c r="G140" s="14" t="s">
        <v>58</v>
      </c>
      <c r="H140" s="14" t="s">
        <v>56</v>
      </c>
      <c r="I140" s="14" t="s">
        <v>59</v>
      </c>
      <c r="J140" s="14" t="s">
        <v>200</v>
      </c>
      <c r="K140" s="14">
        <v>46.0</v>
      </c>
      <c r="L140" s="17" t="str">
        <f>"+4"</f>
        <v>+4</v>
      </c>
      <c r="M140" s="18" t="str">
        <f>"+2"</f>
        <v>+2</v>
      </c>
    </row>
    <row r="141">
      <c r="A141" s="13">
        <v>45901.0</v>
      </c>
      <c r="B141" s="14" t="s">
        <v>47</v>
      </c>
      <c r="C141" s="14" t="s">
        <v>48</v>
      </c>
      <c r="D141" s="14" t="s">
        <v>143</v>
      </c>
      <c r="E141" s="14" t="s">
        <v>144</v>
      </c>
      <c r="F141" s="15" t="s">
        <v>51</v>
      </c>
      <c r="G141" s="14" t="s">
        <v>145</v>
      </c>
      <c r="H141" s="14" t="s">
        <v>143</v>
      </c>
      <c r="I141" s="14" t="s">
        <v>59</v>
      </c>
      <c r="J141" s="14" t="s">
        <v>198</v>
      </c>
      <c r="K141" s="14">
        <v>81.0</v>
      </c>
      <c r="L141" s="17" t="str">
        <f>"+8"</f>
        <v>+8</v>
      </c>
      <c r="M141" s="18" t="str">
        <f>"+11"</f>
        <v>+11</v>
      </c>
    </row>
    <row r="142">
      <c r="A142" s="13">
        <v>45901.0</v>
      </c>
      <c r="B142" s="14" t="s">
        <v>47</v>
      </c>
      <c r="C142" s="14" t="s">
        <v>48</v>
      </c>
      <c r="D142" s="14" t="s">
        <v>158</v>
      </c>
      <c r="E142" s="14" t="s">
        <v>159</v>
      </c>
      <c r="F142" s="15" t="s">
        <v>51</v>
      </c>
      <c r="G142" s="14" t="s">
        <v>160</v>
      </c>
      <c r="H142" s="14" t="s">
        <v>158</v>
      </c>
      <c r="I142" s="14" t="s">
        <v>54</v>
      </c>
      <c r="J142" s="14" t="s">
        <v>199</v>
      </c>
      <c r="K142" s="14">
        <v>81.0</v>
      </c>
      <c r="L142" s="17" t="str">
        <f t="shared" ref="L142:L144" si="63">"+0"</f>
        <v>+0</v>
      </c>
      <c r="M142" s="18" t="str">
        <f>"-5"</f>
        <v>-5</v>
      </c>
    </row>
    <row r="143">
      <c r="A143" s="13">
        <v>45901.0</v>
      </c>
      <c r="B143" s="14" t="s">
        <v>47</v>
      </c>
      <c r="C143" s="14" t="s">
        <v>48</v>
      </c>
      <c r="D143" s="14" t="s">
        <v>91</v>
      </c>
      <c r="E143" s="14" t="s">
        <v>92</v>
      </c>
      <c r="F143" s="14" t="s">
        <v>71</v>
      </c>
      <c r="G143" s="14">
        <v>5.00008613E8</v>
      </c>
      <c r="H143" s="14" t="s">
        <v>91</v>
      </c>
      <c r="I143" s="14" t="s">
        <v>59</v>
      </c>
      <c r="J143" s="14" t="s">
        <v>199</v>
      </c>
      <c r="K143" s="14">
        <v>100.0</v>
      </c>
      <c r="L143" s="17" t="str">
        <f t="shared" si="63"/>
        <v>+0</v>
      </c>
      <c r="M143" s="18" t="str">
        <f>"+0"</f>
        <v>+0</v>
      </c>
    </row>
    <row r="144">
      <c r="A144" s="13">
        <v>45901.0</v>
      </c>
      <c r="B144" s="14" t="s">
        <v>47</v>
      </c>
      <c r="C144" s="14" t="s">
        <v>48</v>
      </c>
      <c r="D144" s="14" t="s">
        <v>91</v>
      </c>
      <c r="E144" s="14" t="s">
        <v>92</v>
      </c>
      <c r="F144" s="14" t="s">
        <v>71</v>
      </c>
      <c r="G144" s="14">
        <v>7295600.0</v>
      </c>
      <c r="H144" s="14" t="s">
        <v>91</v>
      </c>
      <c r="I144" s="14" t="s">
        <v>54</v>
      </c>
      <c r="J144" s="14" t="s">
        <v>200</v>
      </c>
      <c r="K144" s="14">
        <v>99.0</v>
      </c>
      <c r="L144" s="17" t="str">
        <f t="shared" si="63"/>
        <v>+0</v>
      </c>
      <c r="M144" s="18" t="str">
        <f>"+1"</f>
        <v>+1</v>
      </c>
    </row>
    <row r="145">
      <c r="A145" s="13">
        <v>45901.0</v>
      </c>
      <c r="B145" s="14" t="s">
        <v>47</v>
      </c>
      <c r="C145" s="14" t="s">
        <v>48</v>
      </c>
      <c r="D145" s="14" t="s">
        <v>66</v>
      </c>
      <c r="E145" s="14" t="s">
        <v>67</v>
      </c>
      <c r="F145" s="15" t="s">
        <v>51</v>
      </c>
      <c r="G145" s="14" t="s">
        <v>68</v>
      </c>
      <c r="H145" s="14" t="s">
        <v>66</v>
      </c>
      <c r="I145" s="14" t="s">
        <v>59</v>
      </c>
      <c r="J145" s="14" t="s">
        <v>199</v>
      </c>
      <c r="K145" s="14">
        <v>39.0</v>
      </c>
      <c r="L145" s="17" t="str">
        <f t="shared" ref="L145:M145" si="64">"-11"</f>
        <v>-11</v>
      </c>
      <c r="M145" s="18" t="str">
        <f t="shared" si="64"/>
        <v>-11</v>
      </c>
    </row>
    <row r="146">
      <c r="A146" s="13">
        <v>45901.0</v>
      </c>
      <c r="B146" s="14" t="s">
        <v>47</v>
      </c>
      <c r="C146" s="14" t="s">
        <v>48</v>
      </c>
      <c r="D146" s="14" t="s">
        <v>60</v>
      </c>
      <c r="E146" s="14" t="s">
        <v>61</v>
      </c>
      <c r="F146" s="15" t="s">
        <v>51</v>
      </c>
      <c r="G146" s="14" t="s">
        <v>62</v>
      </c>
      <c r="H146" s="14" t="s">
        <v>60</v>
      </c>
      <c r="I146" s="14" t="s">
        <v>59</v>
      </c>
      <c r="J146" s="14" t="s">
        <v>200</v>
      </c>
      <c r="K146" s="14">
        <v>40.0</v>
      </c>
      <c r="L146" s="17" t="str">
        <f>"+4"</f>
        <v>+4</v>
      </c>
      <c r="M146" s="18" t="str">
        <f>"-2"</f>
        <v>-2</v>
      </c>
    </row>
    <row r="147">
      <c r="A147" s="13">
        <v>45901.0</v>
      </c>
      <c r="B147" s="14" t="s">
        <v>47</v>
      </c>
      <c r="C147" s="14" t="s">
        <v>48</v>
      </c>
      <c r="D147" s="14" t="s">
        <v>171</v>
      </c>
      <c r="E147" s="14" t="s">
        <v>172</v>
      </c>
      <c r="F147" s="15" t="s">
        <v>51</v>
      </c>
      <c r="G147" s="14" t="s">
        <v>173</v>
      </c>
      <c r="H147" s="14" t="s">
        <v>171</v>
      </c>
      <c r="I147" s="14" t="s">
        <v>59</v>
      </c>
      <c r="J147" s="14" t="s">
        <v>200</v>
      </c>
      <c r="K147" s="14">
        <v>38.0</v>
      </c>
      <c r="L147" s="17" t="str">
        <f>"-1"</f>
        <v>-1</v>
      </c>
      <c r="M147" s="18" t="str">
        <f>"+0"</f>
        <v>+0</v>
      </c>
    </row>
    <row r="148">
      <c r="A148" s="13">
        <v>45901.0</v>
      </c>
      <c r="B148" s="14" t="s">
        <v>47</v>
      </c>
      <c r="C148" s="14" t="s">
        <v>48</v>
      </c>
      <c r="D148" s="14" t="s">
        <v>118</v>
      </c>
      <c r="E148" s="14" t="s">
        <v>119</v>
      </c>
      <c r="F148" s="15" t="s">
        <v>51</v>
      </c>
      <c r="G148" s="14" t="s">
        <v>120</v>
      </c>
      <c r="H148" s="14" t="s">
        <v>118</v>
      </c>
      <c r="I148" s="14" t="s">
        <v>59</v>
      </c>
      <c r="J148" s="14" t="s">
        <v>198</v>
      </c>
      <c r="K148" s="14">
        <v>67.0</v>
      </c>
      <c r="L148" s="17" t="str">
        <f>"+11"</f>
        <v>+11</v>
      </c>
      <c r="M148" s="18" t="str">
        <f>"+12"</f>
        <v>+12</v>
      </c>
    </row>
    <row r="149">
      <c r="A149" s="13">
        <v>45901.0</v>
      </c>
      <c r="B149" s="14" t="s">
        <v>47</v>
      </c>
      <c r="C149" s="14" t="s">
        <v>48</v>
      </c>
      <c r="D149" s="14" t="s">
        <v>195</v>
      </c>
      <c r="E149" s="14" t="s">
        <v>196</v>
      </c>
      <c r="F149" s="14" t="s">
        <v>111</v>
      </c>
      <c r="G149" s="14">
        <v>5252823.0</v>
      </c>
      <c r="H149" s="14" t="s">
        <v>197</v>
      </c>
      <c r="I149" s="14" t="s">
        <v>59</v>
      </c>
      <c r="J149" s="14" t="s">
        <v>200</v>
      </c>
      <c r="K149" s="14">
        <v>88.0</v>
      </c>
      <c r="L149" s="17" t="str">
        <f>"+0"</f>
        <v>+0</v>
      </c>
      <c r="M149" s="18" t="str">
        <f>"-2"</f>
        <v>-2</v>
      </c>
    </row>
    <row r="150">
      <c r="A150" s="13">
        <v>45901.0</v>
      </c>
      <c r="B150" s="14" t="s">
        <v>47</v>
      </c>
      <c r="C150" s="14" t="s">
        <v>48</v>
      </c>
      <c r="D150" s="14" t="s">
        <v>77</v>
      </c>
      <c r="E150" s="14" t="s">
        <v>78</v>
      </c>
      <c r="F150" s="15" t="s">
        <v>51</v>
      </c>
      <c r="G150" s="14" t="s">
        <v>128</v>
      </c>
      <c r="H150" s="14" t="s">
        <v>81</v>
      </c>
      <c r="I150" s="14" t="s">
        <v>59</v>
      </c>
      <c r="J150" s="14" t="s">
        <v>200</v>
      </c>
      <c r="K150" s="14">
        <v>8.0</v>
      </c>
      <c r="L150" s="17" t="str">
        <f>"+4"</f>
        <v>+4</v>
      </c>
      <c r="M150" s="18" t="str">
        <f>"+1"</f>
        <v>+1</v>
      </c>
    </row>
    <row r="151">
      <c r="A151" s="13">
        <v>45901.0</v>
      </c>
      <c r="B151" s="14" t="s">
        <v>47</v>
      </c>
      <c r="C151" s="14" t="s">
        <v>48</v>
      </c>
      <c r="D151" s="14" t="s">
        <v>165</v>
      </c>
      <c r="E151" s="14" t="s">
        <v>166</v>
      </c>
      <c r="F151" s="15" t="s">
        <v>51</v>
      </c>
      <c r="G151" s="14" t="s">
        <v>167</v>
      </c>
      <c r="H151" s="14" t="s">
        <v>165</v>
      </c>
      <c r="I151" s="14" t="s">
        <v>54</v>
      </c>
      <c r="J151" s="14" t="s">
        <v>200</v>
      </c>
      <c r="K151" s="14">
        <v>58.0</v>
      </c>
      <c r="L151" s="17" t="str">
        <f>"+3"</f>
        <v>+3</v>
      </c>
      <c r="M151" s="18" t="str">
        <f>"+2"</f>
        <v>+2</v>
      </c>
    </row>
    <row r="152">
      <c r="A152" s="13">
        <v>45901.0</v>
      </c>
      <c r="B152" s="14" t="s">
        <v>47</v>
      </c>
      <c r="C152" s="14" t="s">
        <v>48</v>
      </c>
      <c r="D152" s="14" t="s">
        <v>91</v>
      </c>
      <c r="E152" s="14" t="s">
        <v>92</v>
      </c>
      <c r="F152" s="14" t="s">
        <v>71</v>
      </c>
      <c r="G152" s="14">
        <v>5.10001669E8</v>
      </c>
      <c r="H152" s="14" t="s">
        <v>91</v>
      </c>
      <c r="I152" s="14" t="s">
        <v>107</v>
      </c>
      <c r="J152" s="14" t="s">
        <v>200</v>
      </c>
      <c r="K152" s="14">
        <v>1.0</v>
      </c>
      <c r="L152" s="17" t="str">
        <f t="shared" ref="L152:M152" si="65">"+0"</f>
        <v>+0</v>
      </c>
      <c r="M152" s="18" t="str">
        <f t="shared" si="65"/>
        <v>+0</v>
      </c>
    </row>
    <row r="153">
      <c r="A153" s="13">
        <v>45901.0</v>
      </c>
      <c r="B153" s="14" t="s">
        <v>47</v>
      </c>
      <c r="C153" s="14" t="s">
        <v>48</v>
      </c>
      <c r="D153" s="14" t="s">
        <v>149</v>
      </c>
      <c r="E153" s="14" t="s">
        <v>150</v>
      </c>
      <c r="F153" s="15" t="s">
        <v>51</v>
      </c>
      <c r="G153" s="14" t="s">
        <v>151</v>
      </c>
      <c r="H153" s="14" t="s">
        <v>152</v>
      </c>
      <c r="I153" s="14" t="s">
        <v>54</v>
      </c>
      <c r="J153" s="14" t="s">
        <v>200</v>
      </c>
      <c r="K153" s="14">
        <v>70.0</v>
      </c>
      <c r="L153" s="17" t="str">
        <f t="shared" ref="L153:L156" si="66">"+0"</f>
        <v>+0</v>
      </c>
      <c r="M153" s="18" t="str">
        <f>"-2"</f>
        <v>-2</v>
      </c>
    </row>
    <row r="154">
      <c r="A154" s="13">
        <v>45901.0</v>
      </c>
      <c r="B154" s="14" t="s">
        <v>47</v>
      </c>
      <c r="C154" s="14" t="s">
        <v>48</v>
      </c>
      <c r="D154" s="14" t="s">
        <v>121</v>
      </c>
      <c r="E154" s="14" t="s">
        <v>122</v>
      </c>
      <c r="F154" s="15" t="s">
        <v>51</v>
      </c>
      <c r="G154" s="14" t="s">
        <v>123</v>
      </c>
      <c r="H154" s="14" t="s">
        <v>124</v>
      </c>
      <c r="I154" s="14" t="s">
        <v>59</v>
      </c>
      <c r="J154" s="14" t="s">
        <v>199</v>
      </c>
      <c r="K154" s="14">
        <v>10.0</v>
      </c>
      <c r="L154" s="17" t="str">
        <f t="shared" si="66"/>
        <v>+0</v>
      </c>
      <c r="M154" s="18" t="str">
        <f>"+10"</f>
        <v>+10</v>
      </c>
    </row>
    <row r="155">
      <c r="A155" s="13">
        <v>45901.0</v>
      </c>
      <c r="B155" s="14" t="s">
        <v>47</v>
      </c>
      <c r="C155" s="14" t="s">
        <v>48</v>
      </c>
      <c r="D155" s="14" t="s">
        <v>73</v>
      </c>
      <c r="E155" s="14" t="s">
        <v>74</v>
      </c>
      <c r="F155" s="15" t="s">
        <v>51</v>
      </c>
      <c r="G155" s="14" t="s">
        <v>75</v>
      </c>
      <c r="H155" s="14" t="s">
        <v>76</v>
      </c>
      <c r="I155" s="14" t="s">
        <v>59</v>
      </c>
      <c r="J155" s="14" t="s">
        <v>200</v>
      </c>
      <c r="K155" s="14">
        <v>37.0</v>
      </c>
      <c r="L155" s="17" t="str">
        <f t="shared" si="66"/>
        <v>+0</v>
      </c>
      <c r="M155" s="18" t="str">
        <f>"+0"</f>
        <v>+0</v>
      </c>
    </row>
    <row r="156">
      <c r="A156" s="13">
        <v>45901.0</v>
      </c>
      <c r="B156" s="14" t="s">
        <v>47</v>
      </c>
      <c r="C156" s="14" t="s">
        <v>48</v>
      </c>
      <c r="D156" s="14" t="s">
        <v>174</v>
      </c>
      <c r="E156" s="14" t="s">
        <v>175</v>
      </c>
      <c r="F156" s="15" t="s">
        <v>51</v>
      </c>
      <c r="G156" s="14" t="s">
        <v>176</v>
      </c>
      <c r="H156" s="14" t="s">
        <v>174</v>
      </c>
      <c r="I156" s="14" t="s">
        <v>59</v>
      </c>
      <c r="J156" s="14" t="s">
        <v>199</v>
      </c>
      <c r="K156" s="14">
        <v>70.0</v>
      </c>
      <c r="L156" s="17" t="str">
        <f t="shared" si="66"/>
        <v>+0</v>
      </c>
      <c r="M156" s="18" t="str">
        <f>"-3"</f>
        <v>-3</v>
      </c>
    </row>
    <row r="157">
      <c r="A157" s="13">
        <v>45901.0</v>
      </c>
      <c r="B157" s="14" t="s">
        <v>47</v>
      </c>
      <c r="C157" s="14" t="s">
        <v>48</v>
      </c>
      <c r="D157" s="14" t="s">
        <v>171</v>
      </c>
      <c r="E157" s="14" t="s">
        <v>172</v>
      </c>
      <c r="F157" s="15" t="s">
        <v>51</v>
      </c>
      <c r="G157" s="14" t="s">
        <v>173</v>
      </c>
      <c r="H157" s="14" t="s">
        <v>171</v>
      </c>
      <c r="I157" s="14" t="s">
        <v>59</v>
      </c>
      <c r="J157" s="14" t="s">
        <v>198</v>
      </c>
      <c r="K157" s="14">
        <v>74.0</v>
      </c>
      <c r="L157" s="17" t="str">
        <f>"+8"</f>
        <v>+8</v>
      </c>
      <c r="M157" s="18" t="str">
        <f>"+10"</f>
        <v>+10</v>
      </c>
    </row>
    <row r="158">
      <c r="A158" s="13">
        <v>45901.0</v>
      </c>
      <c r="B158" s="14" t="s">
        <v>47</v>
      </c>
      <c r="C158" s="14" t="s">
        <v>48</v>
      </c>
      <c r="D158" s="14" t="s">
        <v>174</v>
      </c>
      <c r="E158" s="14" t="s">
        <v>175</v>
      </c>
      <c r="F158" s="15" t="s">
        <v>51</v>
      </c>
      <c r="G158" s="14" t="s">
        <v>176</v>
      </c>
      <c r="H158" s="14" t="s">
        <v>174</v>
      </c>
      <c r="I158" s="14" t="s">
        <v>59</v>
      </c>
      <c r="J158" s="14" t="s">
        <v>200</v>
      </c>
      <c r="K158" s="14">
        <v>47.0</v>
      </c>
      <c r="L158" s="17" t="str">
        <f t="shared" ref="L158:M158" si="67">"-1"</f>
        <v>-1</v>
      </c>
      <c r="M158" s="18" t="str">
        <f t="shared" si="67"/>
        <v>-1</v>
      </c>
    </row>
    <row r="159">
      <c r="A159" s="13">
        <v>45901.0</v>
      </c>
      <c r="B159" s="14" t="s">
        <v>47</v>
      </c>
      <c r="C159" s="14" t="s">
        <v>48</v>
      </c>
      <c r="D159" s="14" t="s">
        <v>99</v>
      </c>
      <c r="E159" s="14" t="s">
        <v>100</v>
      </c>
      <c r="F159" s="15" t="s">
        <v>51</v>
      </c>
      <c r="G159" s="14" t="s">
        <v>101</v>
      </c>
      <c r="H159" s="14" t="s">
        <v>102</v>
      </c>
      <c r="I159" s="14" t="s">
        <v>54</v>
      </c>
      <c r="J159" s="14" t="s">
        <v>198</v>
      </c>
      <c r="K159" s="14">
        <v>68.0</v>
      </c>
      <c r="L159" s="17" t="str">
        <f>"+3"</f>
        <v>+3</v>
      </c>
      <c r="M159" s="18" t="str">
        <f>"+15"</f>
        <v>+15</v>
      </c>
    </row>
    <row r="160">
      <c r="A160" s="13">
        <v>45901.0</v>
      </c>
      <c r="B160" s="14" t="s">
        <v>47</v>
      </c>
      <c r="C160" s="14" t="s">
        <v>48</v>
      </c>
      <c r="D160" s="14" t="s">
        <v>125</v>
      </c>
      <c r="E160" s="14" t="s">
        <v>126</v>
      </c>
      <c r="F160" s="15" t="s">
        <v>51</v>
      </c>
      <c r="G160" s="14" t="s">
        <v>127</v>
      </c>
      <c r="H160" s="14" t="s">
        <v>125</v>
      </c>
      <c r="I160" s="14" t="s">
        <v>59</v>
      </c>
      <c r="J160" s="14" t="s">
        <v>199</v>
      </c>
      <c r="K160" s="14">
        <v>33.0</v>
      </c>
      <c r="L160" s="17" t="str">
        <f t="shared" ref="L160:L164" si="68">"+0"</f>
        <v>+0</v>
      </c>
      <c r="M160" s="18" t="str">
        <f>"+3"</f>
        <v>+3</v>
      </c>
    </row>
    <row r="161">
      <c r="A161" s="13">
        <v>45901.0</v>
      </c>
      <c r="B161" s="14" t="s">
        <v>47</v>
      </c>
      <c r="C161" s="14" t="s">
        <v>48</v>
      </c>
      <c r="D161" s="14" t="s">
        <v>177</v>
      </c>
      <c r="E161" s="14" t="s">
        <v>178</v>
      </c>
      <c r="F161" s="14" t="s">
        <v>146</v>
      </c>
      <c r="G161" s="14" t="s">
        <v>179</v>
      </c>
      <c r="H161" s="14" t="s">
        <v>177</v>
      </c>
      <c r="I161" s="14" t="s">
        <v>107</v>
      </c>
      <c r="J161" s="14" t="s">
        <v>199</v>
      </c>
      <c r="K161" s="14">
        <v>0.0</v>
      </c>
      <c r="L161" s="17" t="str">
        <f t="shared" si="68"/>
        <v>+0</v>
      </c>
      <c r="M161" s="18" t="str">
        <f t="shared" ref="M161:M162" si="69">"+0"</f>
        <v>+0</v>
      </c>
    </row>
    <row r="162">
      <c r="A162" s="13">
        <v>45901.0</v>
      </c>
      <c r="B162" s="14" t="s">
        <v>47</v>
      </c>
      <c r="C162" s="14" t="s">
        <v>48</v>
      </c>
      <c r="D162" s="14" t="s">
        <v>73</v>
      </c>
      <c r="E162" s="14" t="s">
        <v>74</v>
      </c>
      <c r="F162" s="15" t="s">
        <v>51</v>
      </c>
      <c r="G162" s="14" t="s">
        <v>75</v>
      </c>
      <c r="H162" s="14" t="s">
        <v>76</v>
      </c>
      <c r="I162" s="14" t="s">
        <v>59</v>
      </c>
      <c r="J162" s="14" t="s">
        <v>199</v>
      </c>
      <c r="K162" s="14">
        <v>46.0</v>
      </c>
      <c r="L162" s="17" t="str">
        <f t="shared" si="68"/>
        <v>+0</v>
      </c>
      <c r="M162" s="18" t="str">
        <f t="shared" si="69"/>
        <v>+0</v>
      </c>
    </row>
    <row r="163">
      <c r="A163" s="13">
        <v>45901.0</v>
      </c>
      <c r="B163" s="14" t="s">
        <v>47</v>
      </c>
      <c r="C163" s="14" t="s">
        <v>48</v>
      </c>
      <c r="D163" s="14" t="s">
        <v>149</v>
      </c>
      <c r="E163" s="14" t="s">
        <v>150</v>
      </c>
      <c r="F163" s="15" t="s">
        <v>51</v>
      </c>
      <c r="G163" s="14" t="s">
        <v>151</v>
      </c>
      <c r="H163" s="14" t="s">
        <v>152</v>
      </c>
      <c r="I163" s="14" t="s">
        <v>54</v>
      </c>
      <c r="J163" s="14" t="s">
        <v>198</v>
      </c>
      <c r="K163" s="14">
        <v>52.0</v>
      </c>
      <c r="L163" s="17" t="str">
        <f t="shared" si="68"/>
        <v>+0</v>
      </c>
      <c r="M163" s="18" t="str">
        <f>"+19"</f>
        <v>+19</v>
      </c>
    </row>
    <row r="164">
      <c r="A164" s="13">
        <v>45901.0</v>
      </c>
      <c r="B164" s="14" t="s">
        <v>47</v>
      </c>
      <c r="C164" s="14" t="s">
        <v>48</v>
      </c>
      <c r="D164" s="14" t="s">
        <v>91</v>
      </c>
      <c r="E164" s="14" t="s">
        <v>92</v>
      </c>
      <c r="F164" s="14" t="s">
        <v>71</v>
      </c>
      <c r="G164" s="14">
        <v>5.10000484E8</v>
      </c>
      <c r="H164" s="14" t="s">
        <v>91</v>
      </c>
      <c r="I164" s="14" t="s">
        <v>54</v>
      </c>
      <c r="J164" s="14" t="s">
        <v>200</v>
      </c>
      <c r="K164" s="14">
        <v>41.0</v>
      </c>
      <c r="L164" s="17" t="str">
        <f t="shared" si="68"/>
        <v>+0</v>
      </c>
      <c r="M164" s="18" t="str">
        <f>"+2"</f>
        <v>+2</v>
      </c>
    </row>
    <row r="165">
      <c r="A165" s="13">
        <v>45901.0</v>
      </c>
      <c r="B165" s="14" t="s">
        <v>47</v>
      </c>
      <c r="C165" s="14" t="s">
        <v>48</v>
      </c>
      <c r="D165" s="14" t="s">
        <v>93</v>
      </c>
      <c r="E165" s="14" t="s">
        <v>94</v>
      </c>
      <c r="F165" s="15" t="s">
        <v>51</v>
      </c>
      <c r="G165" s="14" t="s">
        <v>191</v>
      </c>
      <c r="H165" s="14" t="s">
        <v>95</v>
      </c>
      <c r="I165" s="14" t="s">
        <v>59</v>
      </c>
      <c r="J165" s="14" t="s">
        <v>200</v>
      </c>
      <c r="K165" s="14">
        <v>22.0</v>
      </c>
      <c r="L165" s="17" t="str">
        <f>"+6"</f>
        <v>+6</v>
      </c>
      <c r="M165" s="18" t="str">
        <f>"-2"</f>
        <v>-2</v>
      </c>
    </row>
    <row r="166">
      <c r="A166" s="13">
        <v>45901.0</v>
      </c>
      <c r="B166" s="14" t="s">
        <v>47</v>
      </c>
      <c r="C166" s="14" t="s">
        <v>48</v>
      </c>
      <c r="D166" s="14" t="s">
        <v>103</v>
      </c>
      <c r="E166" s="14" t="s">
        <v>104</v>
      </c>
      <c r="F166" s="15" t="s">
        <v>51</v>
      </c>
      <c r="G166" s="14" t="s">
        <v>105</v>
      </c>
      <c r="H166" s="14" t="s">
        <v>106</v>
      </c>
      <c r="I166" s="14" t="s">
        <v>59</v>
      </c>
      <c r="J166" s="14" t="s">
        <v>198</v>
      </c>
      <c r="K166" s="14">
        <v>67.0</v>
      </c>
      <c r="L166" s="17" t="str">
        <f>"+3"</f>
        <v>+3</v>
      </c>
      <c r="M166" s="18" t="str">
        <f>"+11"</f>
        <v>+11</v>
      </c>
    </row>
    <row r="167">
      <c r="A167" s="13">
        <v>45901.0</v>
      </c>
      <c r="B167" s="14" t="s">
        <v>47</v>
      </c>
      <c r="C167" s="14" t="s">
        <v>48</v>
      </c>
      <c r="D167" s="14" t="s">
        <v>143</v>
      </c>
      <c r="E167" s="14" t="s">
        <v>144</v>
      </c>
      <c r="F167" s="15" t="s">
        <v>51</v>
      </c>
      <c r="G167" s="14" t="s">
        <v>145</v>
      </c>
      <c r="H167" s="14" t="s">
        <v>143</v>
      </c>
      <c r="I167" s="14" t="s">
        <v>59</v>
      </c>
      <c r="J167" s="14" t="s">
        <v>200</v>
      </c>
      <c r="K167" s="14">
        <v>41.0</v>
      </c>
      <c r="L167" s="17" t="str">
        <f>"+2"</f>
        <v>+2</v>
      </c>
      <c r="M167" s="18" t="str">
        <f>"-1"</f>
        <v>-1</v>
      </c>
    </row>
    <row r="168">
      <c r="A168" s="13">
        <v>45901.0</v>
      </c>
      <c r="B168" s="14" t="s">
        <v>47</v>
      </c>
      <c r="C168" s="14" t="s">
        <v>48</v>
      </c>
      <c r="D168" s="14" t="s">
        <v>91</v>
      </c>
      <c r="E168" s="14" t="s">
        <v>92</v>
      </c>
      <c r="F168" s="14" t="s">
        <v>71</v>
      </c>
      <c r="G168" s="14">
        <v>5.10011769E8</v>
      </c>
      <c r="H168" s="14" t="s">
        <v>91</v>
      </c>
      <c r="I168" s="14" t="s">
        <v>59</v>
      </c>
      <c r="J168" s="14" t="s">
        <v>199</v>
      </c>
      <c r="K168" s="14">
        <v>74.0</v>
      </c>
      <c r="L168" s="17" t="str">
        <f t="shared" ref="L168:M168" si="70">"+10"</f>
        <v>+10</v>
      </c>
      <c r="M168" s="18" t="str">
        <f t="shared" si="70"/>
        <v>+10</v>
      </c>
    </row>
    <row r="169">
      <c r="A169" s="13">
        <v>45901.0</v>
      </c>
      <c r="B169" s="14" t="s">
        <v>47</v>
      </c>
      <c r="C169" s="14" t="s">
        <v>48</v>
      </c>
      <c r="D169" s="14" t="s">
        <v>125</v>
      </c>
      <c r="E169" s="14" t="s">
        <v>126</v>
      </c>
      <c r="F169" s="15" t="s">
        <v>51</v>
      </c>
      <c r="G169" s="14" t="s">
        <v>127</v>
      </c>
      <c r="H169" s="14" t="s">
        <v>125</v>
      </c>
      <c r="I169" s="14" t="s">
        <v>59</v>
      </c>
      <c r="J169" s="14" t="s">
        <v>198</v>
      </c>
      <c r="K169" s="14">
        <v>69.0</v>
      </c>
      <c r="L169" s="17" t="str">
        <f>"+5"</f>
        <v>+5</v>
      </c>
      <c r="M169" s="18" t="str">
        <f>"+10"</f>
        <v>+10</v>
      </c>
    </row>
    <row r="170">
      <c r="K170" s="20"/>
      <c r="L170" s="17"/>
    </row>
    <row r="171">
      <c r="K171" s="20"/>
      <c r="L171" s="17"/>
    </row>
    <row r="172">
      <c r="K172" s="20"/>
      <c r="L172" s="17"/>
    </row>
    <row r="173">
      <c r="K173" s="20"/>
      <c r="L173" s="17"/>
    </row>
    <row r="174">
      <c r="K174" s="20"/>
      <c r="L174" s="17"/>
    </row>
    <row r="175">
      <c r="K175" s="20"/>
      <c r="L175" s="17"/>
    </row>
    <row r="176">
      <c r="K176" s="20"/>
      <c r="L176" s="17"/>
    </row>
    <row r="177">
      <c r="K177" s="20"/>
      <c r="L177" s="17"/>
    </row>
    <row r="178">
      <c r="K178" s="20"/>
      <c r="L178" s="17"/>
    </row>
    <row r="179">
      <c r="K179" s="20"/>
      <c r="L179" s="17"/>
    </row>
    <row r="180">
      <c r="K180" s="20"/>
      <c r="L180" s="17"/>
    </row>
    <row r="181">
      <c r="K181" s="20"/>
      <c r="L181" s="17"/>
    </row>
    <row r="182">
      <c r="K182" s="20"/>
      <c r="L182" s="17"/>
    </row>
    <row r="183">
      <c r="K183" s="20"/>
      <c r="L183" s="17"/>
    </row>
    <row r="184">
      <c r="K184" s="20"/>
      <c r="L184" s="17"/>
    </row>
    <row r="185">
      <c r="K185" s="20"/>
      <c r="L185" s="17"/>
    </row>
    <row r="186">
      <c r="K186" s="20"/>
      <c r="L186" s="17"/>
    </row>
    <row r="187">
      <c r="K187" s="20"/>
      <c r="L187" s="17"/>
    </row>
    <row r="188">
      <c r="K188" s="20"/>
      <c r="L188" s="17"/>
    </row>
    <row r="189">
      <c r="K189" s="20"/>
      <c r="L189" s="17"/>
    </row>
    <row r="190">
      <c r="K190" s="20"/>
      <c r="L190" s="17"/>
    </row>
    <row r="191">
      <c r="K191" s="20"/>
      <c r="L191" s="17"/>
    </row>
    <row r="192">
      <c r="K192" s="20"/>
      <c r="L192" s="17"/>
    </row>
    <row r="193">
      <c r="K193" s="20"/>
      <c r="L193" s="17"/>
    </row>
    <row r="194">
      <c r="K194" s="20"/>
      <c r="L194" s="17"/>
    </row>
    <row r="195">
      <c r="K195" s="20"/>
      <c r="L195" s="17"/>
    </row>
    <row r="196">
      <c r="K196" s="20"/>
      <c r="L196" s="17"/>
    </row>
    <row r="197">
      <c r="K197" s="20"/>
      <c r="L197" s="17"/>
    </row>
    <row r="198">
      <c r="K198" s="20"/>
      <c r="L198" s="17"/>
    </row>
    <row r="199">
      <c r="K199" s="20"/>
      <c r="L199" s="17"/>
    </row>
    <row r="200">
      <c r="K200" s="20"/>
      <c r="L200" s="17"/>
    </row>
    <row r="201">
      <c r="K201" s="20"/>
      <c r="L201" s="17"/>
    </row>
    <row r="202">
      <c r="K202" s="20"/>
      <c r="L202" s="17"/>
    </row>
    <row r="203">
      <c r="K203" s="20"/>
      <c r="L203" s="17"/>
    </row>
    <row r="204">
      <c r="K204" s="20"/>
      <c r="L204" s="17"/>
    </row>
    <row r="205">
      <c r="K205" s="20"/>
      <c r="L205" s="17"/>
    </row>
    <row r="206">
      <c r="K206" s="20"/>
      <c r="L206" s="17"/>
    </row>
    <row r="207">
      <c r="K207" s="20"/>
      <c r="L207" s="17"/>
    </row>
    <row r="208">
      <c r="K208" s="20"/>
      <c r="L208" s="17"/>
    </row>
    <row r="209">
      <c r="K209" s="20"/>
      <c r="L209" s="17"/>
    </row>
    <row r="210">
      <c r="K210" s="20"/>
      <c r="L210" s="17"/>
    </row>
    <row r="211">
      <c r="K211" s="20"/>
      <c r="L211" s="17"/>
    </row>
    <row r="212">
      <c r="K212" s="20"/>
      <c r="L212" s="17"/>
    </row>
    <row r="213">
      <c r="K213" s="20"/>
      <c r="L213" s="17"/>
    </row>
    <row r="214">
      <c r="K214" s="20"/>
      <c r="L214" s="17"/>
    </row>
    <row r="215">
      <c r="K215" s="20"/>
      <c r="L215" s="17"/>
    </row>
    <row r="216">
      <c r="K216" s="20"/>
      <c r="L216" s="17"/>
    </row>
    <row r="217">
      <c r="K217" s="20"/>
      <c r="L217" s="17"/>
    </row>
    <row r="218">
      <c r="K218" s="20"/>
      <c r="L218" s="17"/>
    </row>
    <row r="219">
      <c r="K219" s="20"/>
      <c r="L219" s="17"/>
    </row>
    <row r="220">
      <c r="K220" s="20"/>
      <c r="L220" s="17"/>
    </row>
    <row r="221">
      <c r="K221" s="20"/>
      <c r="L221" s="17"/>
    </row>
    <row r="222">
      <c r="K222" s="20"/>
      <c r="L222" s="17"/>
    </row>
    <row r="223">
      <c r="K223" s="20"/>
      <c r="L223" s="17"/>
    </row>
    <row r="224">
      <c r="K224" s="20"/>
      <c r="L224" s="17"/>
    </row>
    <row r="225">
      <c r="K225" s="20"/>
      <c r="L225" s="17"/>
    </row>
    <row r="226">
      <c r="K226" s="20"/>
      <c r="L226" s="17"/>
    </row>
    <row r="227">
      <c r="K227" s="20"/>
      <c r="L227" s="17"/>
    </row>
    <row r="228">
      <c r="K228" s="20"/>
      <c r="L228" s="17"/>
    </row>
    <row r="229">
      <c r="K229" s="20"/>
      <c r="L229" s="17"/>
    </row>
    <row r="230">
      <c r="K230" s="20"/>
      <c r="L230" s="17"/>
    </row>
    <row r="231">
      <c r="K231" s="20"/>
      <c r="L231" s="17"/>
    </row>
    <row r="232">
      <c r="K232" s="20"/>
      <c r="L232" s="17"/>
    </row>
    <row r="233">
      <c r="K233" s="20"/>
      <c r="L233" s="17"/>
    </row>
    <row r="234">
      <c r="K234" s="20"/>
      <c r="L234" s="17"/>
    </row>
    <row r="235">
      <c r="K235" s="20"/>
      <c r="L235" s="17"/>
    </row>
    <row r="236">
      <c r="K236" s="20"/>
      <c r="L236" s="17"/>
    </row>
    <row r="237">
      <c r="K237" s="20"/>
      <c r="L237" s="17"/>
    </row>
    <row r="238">
      <c r="K238" s="20"/>
      <c r="L238" s="17"/>
    </row>
    <row r="239">
      <c r="K239" s="20"/>
      <c r="L239" s="17"/>
    </row>
    <row r="240">
      <c r="K240" s="20"/>
      <c r="L240" s="17"/>
    </row>
    <row r="241">
      <c r="K241" s="20"/>
      <c r="L241" s="17"/>
    </row>
    <row r="242">
      <c r="K242" s="20"/>
      <c r="L242" s="17"/>
    </row>
    <row r="243">
      <c r="K243" s="20"/>
      <c r="L243" s="17"/>
    </row>
    <row r="244">
      <c r="K244" s="20"/>
      <c r="L244" s="17"/>
    </row>
    <row r="245">
      <c r="K245" s="20"/>
      <c r="L245" s="17"/>
    </row>
    <row r="246">
      <c r="K246" s="20"/>
      <c r="L246" s="17"/>
    </row>
    <row r="247">
      <c r="K247" s="20"/>
      <c r="L247" s="17"/>
    </row>
    <row r="248">
      <c r="K248" s="20"/>
      <c r="L248" s="17"/>
    </row>
    <row r="249">
      <c r="K249" s="20"/>
      <c r="L249" s="17"/>
    </row>
    <row r="250">
      <c r="K250" s="20"/>
      <c r="L250" s="17"/>
    </row>
    <row r="251">
      <c r="K251" s="20"/>
      <c r="L251" s="17"/>
    </row>
    <row r="252">
      <c r="K252" s="20"/>
      <c r="L252" s="17"/>
    </row>
    <row r="253">
      <c r="K253" s="20"/>
      <c r="L253" s="17"/>
    </row>
    <row r="254">
      <c r="K254" s="20"/>
      <c r="L254" s="17"/>
    </row>
    <row r="255">
      <c r="K255" s="20"/>
      <c r="L255" s="17"/>
    </row>
    <row r="256">
      <c r="K256" s="20"/>
      <c r="L256" s="17"/>
    </row>
    <row r="257">
      <c r="K257" s="20"/>
      <c r="L257" s="17"/>
    </row>
    <row r="258">
      <c r="K258" s="20"/>
      <c r="L258" s="17"/>
    </row>
    <row r="259">
      <c r="K259" s="20"/>
      <c r="L259" s="17"/>
    </row>
    <row r="260">
      <c r="K260" s="20"/>
      <c r="L260" s="17"/>
    </row>
    <row r="261">
      <c r="K261" s="20"/>
      <c r="L261" s="17"/>
    </row>
    <row r="262">
      <c r="K262" s="20"/>
      <c r="L262" s="17"/>
    </row>
    <row r="263">
      <c r="K263" s="20"/>
      <c r="L263" s="17"/>
    </row>
    <row r="264">
      <c r="K264" s="20"/>
      <c r="L264" s="17"/>
    </row>
    <row r="265">
      <c r="K265" s="20"/>
      <c r="L265" s="17"/>
    </row>
    <row r="266">
      <c r="K266" s="20"/>
      <c r="L266" s="17"/>
    </row>
    <row r="267">
      <c r="K267" s="20"/>
      <c r="L267" s="17"/>
    </row>
    <row r="268">
      <c r="K268" s="20"/>
      <c r="L268" s="17"/>
    </row>
    <row r="269">
      <c r="K269" s="20"/>
      <c r="L269" s="17"/>
    </row>
    <row r="270">
      <c r="K270" s="20"/>
      <c r="L270" s="17"/>
    </row>
    <row r="271">
      <c r="K271" s="20"/>
      <c r="L271" s="17"/>
    </row>
    <row r="272">
      <c r="K272" s="20"/>
      <c r="L272" s="17"/>
    </row>
    <row r="273">
      <c r="K273" s="20"/>
      <c r="L273" s="17"/>
    </row>
    <row r="274">
      <c r="K274" s="20"/>
      <c r="L274" s="17"/>
    </row>
    <row r="275">
      <c r="K275" s="20"/>
      <c r="L275" s="17"/>
    </row>
    <row r="276">
      <c r="K276" s="20"/>
      <c r="L276" s="17"/>
    </row>
    <row r="277">
      <c r="K277" s="20"/>
      <c r="L277" s="17"/>
    </row>
    <row r="278">
      <c r="K278" s="20"/>
      <c r="L278" s="17"/>
    </row>
    <row r="279">
      <c r="K279" s="20"/>
      <c r="L279" s="17"/>
    </row>
    <row r="280">
      <c r="K280" s="20"/>
      <c r="L280" s="17"/>
    </row>
    <row r="281">
      <c r="K281" s="20"/>
      <c r="L281" s="17"/>
    </row>
    <row r="282">
      <c r="K282" s="20"/>
      <c r="L282" s="17"/>
    </row>
    <row r="283">
      <c r="K283" s="20"/>
      <c r="L283" s="17"/>
    </row>
    <row r="284">
      <c r="K284" s="20"/>
      <c r="L284" s="17"/>
    </row>
    <row r="285">
      <c r="K285" s="20"/>
      <c r="L285" s="17"/>
    </row>
    <row r="286">
      <c r="K286" s="20"/>
      <c r="L286" s="17"/>
    </row>
    <row r="287">
      <c r="K287" s="20"/>
      <c r="L287" s="17"/>
    </row>
    <row r="288">
      <c r="K288" s="20"/>
      <c r="L288" s="17"/>
    </row>
    <row r="289">
      <c r="K289" s="20"/>
      <c r="L289" s="17"/>
    </row>
    <row r="290">
      <c r="K290" s="20"/>
      <c r="L290" s="17"/>
    </row>
    <row r="291">
      <c r="K291" s="20"/>
      <c r="L291" s="17"/>
    </row>
    <row r="292">
      <c r="K292" s="20"/>
      <c r="L292" s="17"/>
    </row>
    <row r="293">
      <c r="K293" s="20"/>
      <c r="L293" s="17"/>
    </row>
    <row r="294">
      <c r="K294" s="20"/>
      <c r="L294" s="17"/>
    </row>
    <row r="295">
      <c r="K295" s="20"/>
      <c r="L295" s="17"/>
    </row>
    <row r="296">
      <c r="K296" s="20"/>
      <c r="L296" s="17"/>
    </row>
    <row r="297">
      <c r="K297" s="20"/>
      <c r="L297" s="17"/>
    </row>
    <row r="298">
      <c r="K298" s="20"/>
      <c r="L298" s="17"/>
    </row>
    <row r="299">
      <c r="K299" s="20"/>
      <c r="L299" s="17"/>
    </row>
    <row r="300">
      <c r="K300" s="20"/>
      <c r="L300" s="17"/>
    </row>
    <row r="301">
      <c r="K301" s="20"/>
      <c r="L301" s="17"/>
    </row>
    <row r="302">
      <c r="K302" s="20"/>
      <c r="L302" s="17"/>
    </row>
    <row r="303">
      <c r="K303" s="20"/>
      <c r="L303" s="17"/>
    </row>
    <row r="304">
      <c r="K304" s="20"/>
      <c r="L304" s="17"/>
    </row>
    <row r="305">
      <c r="K305" s="20"/>
      <c r="L305" s="17"/>
    </row>
    <row r="306">
      <c r="K306" s="20"/>
      <c r="L306" s="17"/>
    </row>
    <row r="307">
      <c r="K307" s="20"/>
      <c r="L307" s="17"/>
    </row>
    <row r="308">
      <c r="K308" s="20"/>
      <c r="L308" s="17"/>
    </row>
    <row r="309">
      <c r="K309" s="20"/>
      <c r="L309" s="17"/>
    </row>
    <row r="310">
      <c r="K310" s="20"/>
      <c r="L310" s="17"/>
    </row>
    <row r="311">
      <c r="K311" s="20"/>
      <c r="L311" s="17"/>
    </row>
    <row r="312">
      <c r="K312" s="20"/>
      <c r="L312" s="17"/>
    </row>
    <row r="313">
      <c r="K313" s="20"/>
      <c r="L313" s="17"/>
    </row>
    <row r="314">
      <c r="K314" s="20"/>
      <c r="L314" s="17"/>
    </row>
    <row r="315">
      <c r="K315" s="20"/>
      <c r="L315" s="17"/>
    </row>
    <row r="316">
      <c r="K316" s="20"/>
      <c r="L316" s="17"/>
    </row>
    <row r="317">
      <c r="K317" s="20"/>
      <c r="L317" s="17"/>
    </row>
    <row r="318">
      <c r="K318" s="20"/>
      <c r="L318" s="17"/>
    </row>
    <row r="319">
      <c r="K319" s="20"/>
      <c r="L319" s="17"/>
    </row>
    <row r="320">
      <c r="K320" s="20"/>
      <c r="L320" s="17"/>
    </row>
    <row r="321">
      <c r="K321" s="20"/>
      <c r="L321" s="17"/>
    </row>
    <row r="322">
      <c r="K322" s="20"/>
      <c r="L322" s="17"/>
    </row>
    <row r="323">
      <c r="K323" s="20"/>
      <c r="L323" s="17"/>
    </row>
    <row r="324">
      <c r="K324" s="20"/>
      <c r="L324" s="17"/>
    </row>
    <row r="325">
      <c r="K325" s="20"/>
      <c r="L325" s="17"/>
    </row>
    <row r="326">
      <c r="K326" s="20"/>
      <c r="L326" s="17"/>
    </row>
    <row r="327">
      <c r="K327" s="20"/>
      <c r="L327" s="17"/>
    </row>
    <row r="328">
      <c r="K328" s="20"/>
      <c r="L328" s="17"/>
    </row>
    <row r="329">
      <c r="K329" s="20"/>
      <c r="L329" s="17"/>
    </row>
    <row r="330">
      <c r="K330" s="20"/>
      <c r="L330" s="17"/>
    </row>
    <row r="331">
      <c r="K331" s="20"/>
      <c r="L331" s="17"/>
    </row>
    <row r="332">
      <c r="K332" s="20"/>
      <c r="L332" s="17"/>
    </row>
    <row r="333">
      <c r="K333" s="20"/>
      <c r="L333" s="17"/>
    </row>
    <row r="334">
      <c r="K334" s="20"/>
      <c r="L334" s="17"/>
    </row>
    <row r="335">
      <c r="K335" s="20"/>
      <c r="L335" s="17"/>
    </row>
    <row r="336">
      <c r="K336" s="20"/>
      <c r="L336" s="17"/>
    </row>
    <row r="337">
      <c r="K337" s="20"/>
      <c r="L337" s="17"/>
    </row>
    <row r="338">
      <c r="K338" s="20"/>
      <c r="L338" s="17"/>
    </row>
    <row r="339">
      <c r="K339" s="20"/>
      <c r="L339" s="17"/>
    </row>
    <row r="340">
      <c r="K340" s="20"/>
      <c r="L340" s="17"/>
    </row>
    <row r="341">
      <c r="K341" s="20"/>
      <c r="L341" s="17"/>
    </row>
    <row r="342">
      <c r="K342" s="20"/>
      <c r="L342" s="17"/>
    </row>
    <row r="343">
      <c r="K343" s="20"/>
      <c r="L343" s="17"/>
    </row>
    <row r="344">
      <c r="K344" s="20"/>
      <c r="L344" s="17"/>
    </row>
    <row r="345">
      <c r="K345" s="20"/>
      <c r="L345" s="17"/>
    </row>
    <row r="346">
      <c r="K346" s="20"/>
      <c r="L346" s="17"/>
    </row>
    <row r="347">
      <c r="K347" s="20"/>
      <c r="L347" s="17"/>
    </row>
    <row r="348">
      <c r="K348" s="20"/>
      <c r="L348" s="17"/>
    </row>
    <row r="349">
      <c r="K349" s="20"/>
      <c r="L349" s="17"/>
    </row>
    <row r="350">
      <c r="K350" s="20"/>
      <c r="L350" s="17"/>
    </row>
    <row r="351">
      <c r="K351" s="20"/>
      <c r="L351" s="17"/>
    </row>
    <row r="352">
      <c r="K352" s="20"/>
      <c r="L352" s="17"/>
    </row>
    <row r="353">
      <c r="K353" s="20"/>
      <c r="L353" s="17"/>
    </row>
    <row r="354">
      <c r="K354" s="20"/>
      <c r="L354" s="17"/>
    </row>
    <row r="355">
      <c r="K355" s="20"/>
      <c r="L355" s="17"/>
    </row>
    <row r="356">
      <c r="K356" s="20"/>
      <c r="L356" s="17"/>
    </row>
    <row r="357">
      <c r="K357" s="20"/>
      <c r="L357" s="17"/>
    </row>
    <row r="358">
      <c r="K358" s="20"/>
      <c r="L358" s="17"/>
    </row>
    <row r="359">
      <c r="K359" s="20"/>
      <c r="L359" s="17"/>
    </row>
    <row r="360">
      <c r="K360" s="20"/>
      <c r="L360" s="17"/>
    </row>
    <row r="361">
      <c r="K361" s="20"/>
      <c r="L361" s="17"/>
    </row>
    <row r="362">
      <c r="K362" s="20"/>
      <c r="L362" s="17"/>
    </row>
    <row r="363">
      <c r="K363" s="20"/>
      <c r="L363" s="17"/>
    </row>
    <row r="364">
      <c r="K364" s="20"/>
      <c r="L364" s="17"/>
    </row>
    <row r="365">
      <c r="K365" s="20"/>
      <c r="L365" s="17"/>
    </row>
    <row r="366">
      <c r="K366" s="20"/>
      <c r="L366" s="17"/>
    </row>
    <row r="367">
      <c r="K367" s="20"/>
      <c r="L367" s="17"/>
    </row>
    <row r="368">
      <c r="K368" s="20"/>
      <c r="L368" s="17"/>
    </row>
    <row r="369">
      <c r="K369" s="20"/>
      <c r="L369" s="17"/>
    </row>
    <row r="370">
      <c r="K370" s="20"/>
      <c r="L370" s="17"/>
    </row>
    <row r="371">
      <c r="K371" s="20"/>
      <c r="L371" s="17"/>
    </row>
    <row r="372">
      <c r="K372" s="20"/>
      <c r="L372" s="17"/>
    </row>
    <row r="373">
      <c r="K373" s="20"/>
      <c r="L373" s="17"/>
    </row>
    <row r="374">
      <c r="K374" s="20"/>
      <c r="L374" s="17"/>
    </row>
    <row r="375">
      <c r="K375" s="20"/>
      <c r="L375" s="17"/>
    </row>
    <row r="376">
      <c r="K376" s="20"/>
      <c r="L376" s="17"/>
    </row>
    <row r="377">
      <c r="K377" s="20"/>
      <c r="L377" s="17"/>
    </row>
    <row r="378">
      <c r="K378" s="20"/>
      <c r="L378" s="17"/>
    </row>
    <row r="379">
      <c r="K379" s="20"/>
      <c r="L379" s="17"/>
    </row>
    <row r="380">
      <c r="K380" s="20"/>
      <c r="L380" s="17"/>
    </row>
    <row r="381">
      <c r="K381" s="20"/>
      <c r="L381" s="17"/>
    </row>
    <row r="382">
      <c r="K382" s="20"/>
      <c r="L382" s="17"/>
    </row>
    <row r="383">
      <c r="K383" s="20"/>
      <c r="L383" s="17"/>
    </row>
    <row r="384">
      <c r="K384" s="20"/>
      <c r="L384" s="17"/>
    </row>
    <row r="385">
      <c r="K385" s="20"/>
      <c r="L385" s="17"/>
    </row>
    <row r="386">
      <c r="K386" s="20"/>
      <c r="L386" s="17"/>
    </row>
    <row r="387">
      <c r="K387" s="20"/>
      <c r="L387" s="17"/>
    </row>
    <row r="388">
      <c r="K388" s="20"/>
      <c r="L388" s="17"/>
    </row>
    <row r="389">
      <c r="K389" s="20"/>
      <c r="L389" s="17"/>
    </row>
    <row r="390">
      <c r="K390" s="20"/>
      <c r="L390" s="17"/>
    </row>
    <row r="391">
      <c r="K391" s="20"/>
      <c r="L391" s="17"/>
    </row>
    <row r="392">
      <c r="K392" s="20"/>
      <c r="L392" s="17"/>
    </row>
    <row r="393">
      <c r="K393" s="20"/>
      <c r="L393" s="17"/>
    </row>
    <row r="394">
      <c r="K394" s="20"/>
      <c r="L394" s="17"/>
    </row>
    <row r="395">
      <c r="K395" s="20"/>
      <c r="L395" s="17"/>
    </row>
    <row r="396">
      <c r="K396" s="20"/>
      <c r="L396" s="17"/>
    </row>
    <row r="397">
      <c r="K397" s="20"/>
      <c r="L397" s="17"/>
    </row>
    <row r="398">
      <c r="K398" s="20"/>
      <c r="L398" s="17"/>
    </row>
    <row r="399">
      <c r="K399" s="20"/>
      <c r="L399" s="17"/>
    </row>
    <row r="400">
      <c r="K400" s="20"/>
      <c r="L400" s="17"/>
    </row>
    <row r="401">
      <c r="K401" s="20"/>
      <c r="L401" s="17"/>
    </row>
    <row r="402">
      <c r="K402" s="20"/>
      <c r="L402" s="17"/>
    </row>
    <row r="403">
      <c r="K403" s="20"/>
      <c r="L403" s="17"/>
    </row>
    <row r="404">
      <c r="K404" s="20"/>
      <c r="L404" s="17"/>
    </row>
    <row r="405">
      <c r="K405" s="20"/>
      <c r="L405" s="17"/>
    </row>
    <row r="406">
      <c r="K406" s="20"/>
      <c r="L406" s="17"/>
    </row>
    <row r="407">
      <c r="K407" s="20"/>
      <c r="L407" s="17"/>
    </row>
    <row r="408">
      <c r="K408" s="20"/>
      <c r="L408" s="17"/>
    </row>
    <row r="409">
      <c r="K409" s="20"/>
      <c r="L409" s="17"/>
    </row>
    <row r="410">
      <c r="K410" s="20"/>
      <c r="L410" s="17"/>
    </row>
    <row r="411">
      <c r="K411" s="20"/>
      <c r="L411" s="17"/>
    </row>
    <row r="412">
      <c r="K412" s="20"/>
      <c r="L412" s="17"/>
    </row>
    <row r="413">
      <c r="K413" s="20"/>
      <c r="L413" s="17"/>
    </row>
    <row r="414">
      <c r="K414" s="20"/>
      <c r="L414" s="17"/>
    </row>
    <row r="415">
      <c r="K415" s="20"/>
      <c r="L415" s="17"/>
    </row>
    <row r="416">
      <c r="K416" s="20"/>
      <c r="L416" s="17"/>
    </row>
    <row r="417">
      <c r="K417" s="20"/>
      <c r="L417" s="17"/>
    </row>
    <row r="418">
      <c r="K418" s="20"/>
      <c r="L418" s="17"/>
    </row>
    <row r="419">
      <c r="K419" s="20"/>
      <c r="L419" s="17"/>
    </row>
    <row r="420">
      <c r="K420" s="20"/>
      <c r="L420" s="17"/>
    </row>
    <row r="421">
      <c r="K421" s="20"/>
      <c r="L421" s="17"/>
    </row>
    <row r="422">
      <c r="K422" s="20"/>
      <c r="L422" s="17"/>
    </row>
    <row r="423">
      <c r="K423" s="20"/>
      <c r="L423" s="17"/>
    </row>
    <row r="424">
      <c r="K424" s="20"/>
      <c r="L424" s="17"/>
    </row>
    <row r="425">
      <c r="K425" s="20"/>
      <c r="L425" s="17"/>
    </row>
    <row r="426">
      <c r="K426" s="20"/>
      <c r="L426" s="17"/>
    </row>
    <row r="427">
      <c r="K427" s="20"/>
      <c r="L427" s="17"/>
    </row>
    <row r="428">
      <c r="K428" s="20"/>
      <c r="L428" s="17"/>
    </row>
    <row r="429">
      <c r="K429" s="20"/>
      <c r="L429" s="17"/>
    </row>
    <row r="430">
      <c r="K430" s="20"/>
      <c r="L430" s="17"/>
    </row>
    <row r="431">
      <c r="K431" s="20"/>
      <c r="L431" s="17"/>
    </row>
    <row r="432">
      <c r="K432" s="20"/>
      <c r="L432" s="17"/>
    </row>
    <row r="433">
      <c r="K433" s="20"/>
      <c r="L433" s="17"/>
    </row>
    <row r="434">
      <c r="K434" s="20"/>
      <c r="L434" s="17"/>
    </row>
    <row r="435">
      <c r="K435" s="20"/>
      <c r="L435" s="17"/>
    </row>
    <row r="436">
      <c r="K436" s="20"/>
      <c r="L436" s="17"/>
    </row>
    <row r="437">
      <c r="K437" s="20"/>
      <c r="L437" s="17"/>
    </row>
    <row r="438">
      <c r="K438" s="20"/>
      <c r="L438" s="17"/>
    </row>
    <row r="439">
      <c r="K439" s="20"/>
      <c r="L439" s="17"/>
    </row>
    <row r="440">
      <c r="K440" s="20"/>
      <c r="L440" s="17"/>
    </row>
    <row r="441">
      <c r="K441" s="20"/>
      <c r="L441" s="17"/>
    </row>
    <row r="442">
      <c r="K442" s="20"/>
      <c r="L442" s="17"/>
    </row>
    <row r="443">
      <c r="K443" s="20"/>
      <c r="L443" s="17"/>
    </row>
    <row r="444">
      <c r="K444" s="20"/>
      <c r="L444" s="17"/>
    </row>
    <row r="445">
      <c r="K445" s="20"/>
      <c r="L445" s="17"/>
    </row>
    <row r="446">
      <c r="K446" s="20"/>
      <c r="L446" s="17"/>
    </row>
    <row r="447">
      <c r="K447" s="20"/>
      <c r="L447" s="17"/>
    </row>
    <row r="448">
      <c r="K448" s="20"/>
      <c r="L448" s="17"/>
    </row>
    <row r="449">
      <c r="K449" s="20"/>
      <c r="L449" s="17"/>
    </row>
    <row r="450">
      <c r="K450" s="20"/>
      <c r="L450" s="17"/>
    </row>
    <row r="451">
      <c r="K451" s="20"/>
      <c r="L451" s="17"/>
    </row>
    <row r="452">
      <c r="K452" s="20"/>
      <c r="L452" s="17"/>
    </row>
    <row r="453">
      <c r="K453" s="20"/>
      <c r="L453" s="17"/>
    </row>
    <row r="454">
      <c r="K454" s="20"/>
      <c r="L454" s="17"/>
    </row>
    <row r="455">
      <c r="K455" s="20"/>
      <c r="L455" s="17"/>
    </row>
    <row r="456">
      <c r="K456" s="20"/>
      <c r="L456" s="17"/>
    </row>
    <row r="457">
      <c r="K457" s="20"/>
      <c r="L457" s="17"/>
    </row>
    <row r="458">
      <c r="K458" s="20"/>
      <c r="L458" s="17"/>
    </row>
    <row r="459">
      <c r="K459" s="20"/>
      <c r="L459" s="17"/>
    </row>
    <row r="460">
      <c r="K460" s="20"/>
      <c r="L460" s="17"/>
    </row>
    <row r="461">
      <c r="K461" s="20"/>
      <c r="L461" s="17"/>
    </row>
    <row r="462">
      <c r="K462" s="20"/>
      <c r="L462" s="17"/>
    </row>
    <row r="463">
      <c r="K463" s="20"/>
      <c r="L463" s="17"/>
    </row>
    <row r="464">
      <c r="K464" s="20"/>
      <c r="L464" s="17"/>
    </row>
    <row r="465">
      <c r="K465" s="20"/>
      <c r="L465" s="17"/>
    </row>
    <row r="466">
      <c r="K466" s="20"/>
      <c r="L466" s="17"/>
    </row>
    <row r="467">
      <c r="K467" s="20"/>
      <c r="L467" s="17"/>
    </row>
    <row r="468">
      <c r="K468" s="20"/>
      <c r="L468" s="17"/>
    </row>
    <row r="469">
      <c r="K469" s="20"/>
      <c r="L469" s="17"/>
    </row>
    <row r="470">
      <c r="K470" s="20"/>
      <c r="L470" s="17"/>
    </row>
    <row r="471">
      <c r="K471" s="20"/>
      <c r="L471" s="17"/>
    </row>
    <row r="472">
      <c r="K472" s="20"/>
      <c r="L472" s="17"/>
    </row>
    <row r="473">
      <c r="K473" s="20"/>
      <c r="L473" s="17"/>
    </row>
    <row r="474">
      <c r="K474" s="20"/>
      <c r="L474" s="17"/>
    </row>
    <row r="475">
      <c r="K475" s="20"/>
      <c r="L475" s="17"/>
    </row>
    <row r="476">
      <c r="K476" s="20"/>
      <c r="L476" s="17"/>
    </row>
    <row r="477">
      <c r="K477" s="20"/>
      <c r="L477" s="17"/>
    </row>
    <row r="478">
      <c r="K478" s="20"/>
      <c r="L478" s="17"/>
    </row>
    <row r="479">
      <c r="K479" s="20"/>
      <c r="L479" s="17"/>
    </row>
    <row r="480">
      <c r="K480" s="20"/>
      <c r="L480" s="17"/>
    </row>
    <row r="481">
      <c r="K481" s="20"/>
      <c r="L481" s="17"/>
    </row>
    <row r="482">
      <c r="K482" s="20"/>
      <c r="L482" s="17"/>
    </row>
    <row r="483">
      <c r="K483" s="20"/>
      <c r="L483" s="17"/>
    </row>
    <row r="484">
      <c r="K484" s="20"/>
      <c r="L484" s="17"/>
    </row>
    <row r="485">
      <c r="K485" s="20"/>
      <c r="L485" s="17"/>
    </row>
    <row r="486">
      <c r="K486" s="20"/>
      <c r="L486" s="17"/>
    </row>
    <row r="487">
      <c r="K487" s="20"/>
      <c r="L487" s="17"/>
    </row>
    <row r="488">
      <c r="K488" s="20"/>
      <c r="L488" s="17"/>
    </row>
    <row r="489">
      <c r="K489" s="20"/>
      <c r="L489" s="17"/>
    </row>
    <row r="490">
      <c r="K490" s="20"/>
      <c r="L490" s="17"/>
    </row>
    <row r="491">
      <c r="K491" s="20"/>
      <c r="L491" s="17"/>
    </row>
    <row r="492">
      <c r="K492" s="20"/>
      <c r="L492" s="17"/>
    </row>
    <row r="493">
      <c r="K493" s="20"/>
      <c r="L493" s="17"/>
    </row>
    <row r="494">
      <c r="K494" s="20"/>
      <c r="L494" s="17"/>
    </row>
    <row r="495">
      <c r="K495" s="20"/>
      <c r="L495" s="17"/>
    </row>
    <row r="496">
      <c r="K496" s="20"/>
      <c r="L496" s="17"/>
    </row>
    <row r="497">
      <c r="K497" s="20"/>
      <c r="L497" s="17"/>
    </row>
    <row r="498">
      <c r="K498" s="20"/>
      <c r="L498" s="17"/>
    </row>
    <row r="499">
      <c r="K499" s="20"/>
      <c r="L499" s="17"/>
    </row>
    <row r="500">
      <c r="K500" s="20"/>
      <c r="L500" s="17"/>
    </row>
    <row r="501">
      <c r="K501" s="20"/>
      <c r="L501" s="17"/>
    </row>
    <row r="502">
      <c r="K502" s="20"/>
      <c r="L502" s="17"/>
    </row>
    <row r="503">
      <c r="K503" s="20"/>
      <c r="L503" s="17"/>
    </row>
    <row r="504">
      <c r="K504" s="20"/>
      <c r="L504" s="17"/>
    </row>
    <row r="505">
      <c r="K505" s="20"/>
      <c r="L505" s="17"/>
    </row>
    <row r="506">
      <c r="K506" s="20"/>
      <c r="L506" s="17"/>
    </row>
    <row r="507">
      <c r="K507" s="20"/>
      <c r="L507" s="17"/>
    </row>
    <row r="508">
      <c r="K508" s="20"/>
      <c r="L508" s="17"/>
    </row>
    <row r="509">
      <c r="K509" s="20"/>
      <c r="L509" s="17"/>
    </row>
    <row r="510">
      <c r="K510" s="20"/>
      <c r="L510" s="17"/>
    </row>
    <row r="511">
      <c r="K511" s="20"/>
      <c r="L511" s="17"/>
    </row>
    <row r="512">
      <c r="K512" s="20"/>
      <c r="L512" s="17"/>
    </row>
    <row r="513">
      <c r="K513" s="20"/>
      <c r="L513" s="17"/>
    </row>
    <row r="514">
      <c r="K514" s="20"/>
      <c r="L514" s="17"/>
    </row>
    <row r="515">
      <c r="K515" s="20"/>
      <c r="L515" s="17"/>
    </row>
    <row r="516">
      <c r="K516" s="20"/>
      <c r="L516" s="17"/>
    </row>
    <row r="517">
      <c r="K517" s="20"/>
      <c r="L517" s="17"/>
    </row>
    <row r="518">
      <c r="K518" s="20"/>
      <c r="L518" s="17"/>
    </row>
    <row r="519">
      <c r="K519" s="20"/>
      <c r="L519" s="17"/>
    </row>
    <row r="520">
      <c r="K520" s="20"/>
      <c r="L520" s="17"/>
    </row>
    <row r="521">
      <c r="K521" s="20"/>
      <c r="L521" s="17"/>
    </row>
    <row r="522">
      <c r="K522" s="20"/>
      <c r="L522" s="17"/>
    </row>
    <row r="523">
      <c r="K523" s="20"/>
      <c r="L523" s="17"/>
    </row>
    <row r="524">
      <c r="K524" s="20"/>
      <c r="L524" s="17"/>
    </row>
    <row r="525">
      <c r="K525" s="20"/>
      <c r="L525" s="17"/>
    </row>
    <row r="526">
      <c r="K526" s="20"/>
      <c r="L526" s="17"/>
    </row>
    <row r="527">
      <c r="K527" s="20"/>
      <c r="L527" s="17"/>
    </row>
    <row r="528">
      <c r="K528" s="20"/>
      <c r="L528" s="17"/>
    </row>
    <row r="529">
      <c r="K529" s="20"/>
      <c r="L529" s="17"/>
    </row>
    <row r="530">
      <c r="K530" s="20"/>
      <c r="L530" s="17"/>
    </row>
    <row r="531">
      <c r="K531" s="20"/>
      <c r="L531" s="17"/>
    </row>
    <row r="532">
      <c r="K532" s="20"/>
      <c r="L532" s="17"/>
    </row>
    <row r="533">
      <c r="K533" s="20"/>
      <c r="L533" s="17"/>
    </row>
    <row r="534">
      <c r="K534" s="20"/>
      <c r="L534" s="17"/>
    </row>
    <row r="535">
      <c r="K535" s="20"/>
      <c r="L535" s="17"/>
    </row>
    <row r="536">
      <c r="K536" s="20"/>
      <c r="L536" s="17"/>
    </row>
    <row r="537">
      <c r="K537" s="20"/>
      <c r="L537" s="17"/>
    </row>
    <row r="538">
      <c r="K538" s="20"/>
      <c r="L538" s="17"/>
    </row>
    <row r="539">
      <c r="K539" s="20"/>
      <c r="L539" s="17"/>
    </row>
    <row r="540">
      <c r="K540" s="20"/>
      <c r="L540" s="17"/>
    </row>
    <row r="541">
      <c r="K541" s="20"/>
      <c r="L541" s="17"/>
    </row>
    <row r="542">
      <c r="K542" s="20"/>
      <c r="L542" s="17"/>
    </row>
    <row r="543">
      <c r="K543" s="20"/>
      <c r="L543" s="17"/>
    </row>
    <row r="544">
      <c r="K544" s="20"/>
      <c r="L544" s="17"/>
    </row>
    <row r="545">
      <c r="K545" s="20"/>
      <c r="L545" s="17"/>
    </row>
    <row r="546">
      <c r="K546" s="20"/>
      <c r="L546" s="17"/>
    </row>
    <row r="547">
      <c r="K547" s="20"/>
      <c r="L547" s="17"/>
    </row>
    <row r="548">
      <c r="K548" s="20"/>
      <c r="L548" s="17"/>
    </row>
    <row r="549">
      <c r="K549" s="20"/>
      <c r="L549" s="17"/>
    </row>
    <row r="550">
      <c r="K550" s="20"/>
      <c r="L550" s="17"/>
    </row>
    <row r="551">
      <c r="K551" s="20"/>
      <c r="L551" s="17"/>
    </row>
    <row r="552">
      <c r="K552" s="20"/>
      <c r="L552" s="17"/>
    </row>
    <row r="553">
      <c r="K553" s="20"/>
      <c r="L553" s="17"/>
    </row>
    <row r="554">
      <c r="K554" s="20"/>
      <c r="L554" s="17"/>
    </row>
    <row r="555">
      <c r="K555" s="20"/>
      <c r="L555" s="17"/>
    </row>
    <row r="556">
      <c r="K556" s="20"/>
      <c r="L556" s="17"/>
    </row>
    <row r="557">
      <c r="K557" s="20"/>
      <c r="L557" s="17"/>
    </row>
    <row r="558">
      <c r="K558" s="20"/>
      <c r="L558" s="17"/>
    </row>
    <row r="559">
      <c r="K559" s="20"/>
      <c r="L559" s="17"/>
    </row>
    <row r="560">
      <c r="K560" s="20"/>
      <c r="L560" s="17"/>
    </row>
    <row r="561">
      <c r="K561" s="20"/>
      <c r="L561" s="17"/>
    </row>
    <row r="562">
      <c r="K562" s="20"/>
      <c r="L562" s="17"/>
    </row>
    <row r="563">
      <c r="K563" s="20"/>
      <c r="L563" s="17"/>
    </row>
    <row r="564">
      <c r="K564" s="20"/>
      <c r="L564" s="17"/>
    </row>
    <row r="565">
      <c r="K565" s="20"/>
      <c r="L565" s="17"/>
    </row>
    <row r="566">
      <c r="K566" s="20"/>
      <c r="L566" s="17"/>
    </row>
    <row r="567">
      <c r="K567" s="20"/>
      <c r="L567" s="17"/>
    </row>
    <row r="568">
      <c r="K568" s="20"/>
      <c r="L568" s="17"/>
    </row>
    <row r="569">
      <c r="K569" s="20"/>
      <c r="L569" s="17"/>
    </row>
    <row r="570">
      <c r="K570" s="20"/>
      <c r="L570" s="17"/>
    </row>
    <row r="571">
      <c r="K571" s="20"/>
      <c r="L571" s="17"/>
    </row>
    <row r="572">
      <c r="K572" s="20"/>
      <c r="L572" s="17"/>
    </row>
    <row r="573">
      <c r="K573" s="20"/>
      <c r="L573" s="17"/>
    </row>
    <row r="574">
      <c r="K574" s="20"/>
      <c r="L574" s="17"/>
    </row>
    <row r="575">
      <c r="K575" s="20"/>
      <c r="L575" s="17"/>
    </row>
    <row r="576">
      <c r="K576" s="20"/>
      <c r="L576" s="17"/>
    </row>
    <row r="577">
      <c r="K577" s="20"/>
      <c r="L577" s="17"/>
    </row>
    <row r="578">
      <c r="K578" s="20"/>
      <c r="L578" s="17"/>
    </row>
    <row r="579">
      <c r="K579" s="20"/>
      <c r="L579" s="17"/>
    </row>
    <row r="580">
      <c r="K580" s="20"/>
      <c r="L580" s="17"/>
    </row>
    <row r="581">
      <c r="K581" s="20"/>
      <c r="L581" s="17"/>
    </row>
    <row r="582">
      <c r="K582" s="20"/>
      <c r="L582" s="17"/>
    </row>
    <row r="583">
      <c r="K583" s="20"/>
      <c r="L583" s="17"/>
    </row>
    <row r="584">
      <c r="K584" s="20"/>
      <c r="L584" s="17"/>
    </row>
    <row r="585">
      <c r="K585" s="20"/>
      <c r="L585" s="17"/>
    </row>
    <row r="586">
      <c r="K586" s="20"/>
      <c r="L586" s="17"/>
    </row>
    <row r="587">
      <c r="K587" s="20"/>
      <c r="L587" s="17"/>
    </row>
    <row r="588">
      <c r="K588" s="20"/>
      <c r="L588" s="17"/>
    </row>
    <row r="589">
      <c r="K589" s="20"/>
      <c r="L589" s="17"/>
    </row>
    <row r="590">
      <c r="K590" s="20"/>
      <c r="L590" s="17"/>
    </row>
    <row r="591">
      <c r="K591" s="20"/>
      <c r="L591" s="17"/>
    </row>
    <row r="592">
      <c r="K592" s="20"/>
      <c r="L592" s="17"/>
    </row>
    <row r="593">
      <c r="K593" s="20"/>
      <c r="L593" s="17"/>
    </row>
    <row r="594">
      <c r="K594" s="20"/>
      <c r="L594" s="17"/>
    </row>
    <row r="595">
      <c r="K595" s="20"/>
      <c r="L595" s="17"/>
    </row>
    <row r="596">
      <c r="K596" s="20"/>
      <c r="L596" s="17"/>
    </row>
    <row r="597">
      <c r="K597" s="20"/>
      <c r="L597" s="17"/>
    </row>
    <row r="598">
      <c r="K598" s="20"/>
      <c r="L598" s="17"/>
    </row>
    <row r="599">
      <c r="K599" s="20"/>
      <c r="L599" s="17"/>
    </row>
    <row r="600">
      <c r="K600" s="20"/>
      <c r="L600" s="17"/>
    </row>
    <row r="601">
      <c r="K601" s="20"/>
      <c r="L601" s="17"/>
    </row>
    <row r="602">
      <c r="K602" s="20"/>
      <c r="L602" s="17"/>
    </row>
    <row r="603">
      <c r="K603" s="20"/>
      <c r="L603" s="17"/>
    </row>
    <row r="604">
      <c r="K604" s="20"/>
      <c r="L604" s="17"/>
    </row>
    <row r="605">
      <c r="K605" s="20"/>
      <c r="L605" s="17"/>
    </row>
    <row r="606">
      <c r="K606" s="20"/>
      <c r="L606" s="17"/>
    </row>
    <row r="607">
      <c r="K607" s="20"/>
      <c r="L607" s="17"/>
    </row>
    <row r="608">
      <c r="K608" s="20"/>
      <c r="L608" s="17"/>
    </row>
    <row r="609">
      <c r="K609" s="20"/>
      <c r="L609" s="17"/>
    </row>
    <row r="610">
      <c r="K610" s="20"/>
      <c r="L610" s="17"/>
    </row>
    <row r="611">
      <c r="K611" s="20"/>
      <c r="L611" s="17"/>
    </row>
    <row r="612">
      <c r="K612" s="20"/>
      <c r="L612" s="17"/>
    </row>
    <row r="613">
      <c r="K613" s="20"/>
      <c r="L613" s="17"/>
    </row>
    <row r="614">
      <c r="K614" s="20"/>
      <c r="L614" s="17"/>
    </row>
    <row r="615">
      <c r="K615" s="20"/>
      <c r="L615" s="17"/>
    </row>
    <row r="616">
      <c r="K616" s="20"/>
      <c r="L616" s="17"/>
    </row>
    <row r="617">
      <c r="K617" s="20"/>
      <c r="L617" s="17"/>
    </row>
    <row r="618">
      <c r="K618" s="20"/>
      <c r="L618" s="17"/>
    </row>
    <row r="619">
      <c r="K619" s="20"/>
      <c r="L619" s="17"/>
    </row>
    <row r="620">
      <c r="K620" s="20"/>
      <c r="L620" s="17"/>
    </row>
    <row r="621">
      <c r="K621" s="20"/>
      <c r="L621" s="17"/>
    </row>
    <row r="622">
      <c r="K622" s="20"/>
      <c r="L622" s="17"/>
    </row>
    <row r="623">
      <c r="K623" s="20"/>
      <c r="L623" s="17"/>
    </row>
    <row r="624">
      <c r="K624" s="20"/>
      <c r="L624" s="17"/>
    </row>
    <row r="625">
      <c r="K625" s="20"/>
      <c r="L625" s="17"/>
    </row>
    <row r="626">
      <c r="K626" s="20"/>
      <c r="L626" s="17"/>
    </row>
    <row r="627">
      <c r="K627" s="20"/>
      <c r="L627" s="17"/>
    </row>
    <row r="628">
      <c r="K628" s="20"/>
      <c r="L628" s="17"/>
    </row>
    <row r="629">
      <c r="K629" s="20"/>
      <c r="L629" s="17"/>
    </row>
    <row r="630">
      <c r="K630" s="20"/>
      <c r="L630" s="17"/>
    </row>
    <row r="631">
      <c r="K631" s="20"/>
      <c r="L631" s="17"/>
    </row>
    <row r="632">
      <c r="K632" s="20"/>
      <c r="L632" s="17"/>
    </row>
    <row r="633">
      <c r="K633" s="20"/>
      <c r="L633" s="17"/>
    </row>
    <row r="634">
      <c r="K634" s="20"/>
      <c r="L634" s="17"/>
    </row>
    <row r="635">
      <c r="K635" s="20"/>
      <c r="L635" s="17"/>
    </row>
    <row r="636">
      <c r="K636" s="20"/>
      <c r="L636" s="17"/>
    </row>
    <row r="637">
      <c r="K637" s="20"/>
      <c r="L637" s="17"/>
    </row>
    <row r="638">
      <c r="K638" s="20"/>
      <c r="L638" s="17"/>
    </row>
    <row r="639">
      <c r="K639" s="20"/>
      <c r="L639" s="17"/>
    </row>
    <row r="640">
      <c r="K640" s="20"/>
      <c r="L640" s="17"/>
    </row>
    <row r="641">
      <c r="K641" s="20"/>
      <c r="L641" s="17"/>
    </row>
    <row r="642">
      <c r="K642" s="20"/>
      <c r="L642" s="17"/>
    </row>
    <row r="643">
      <c r="K643" s="20"/>
      <c r="L643" s="17"/>
    </row>
    <row r="644">
      <c r="K644" s="20"/>
      <c r="L644" s="17"/>
    </row>
    <row r="645">
      <c r="K645" s="20"/>
      <c r="L645" s="17"/>
    </row>
    <row r="646">
      <c r="K646" s="20"/>
      <c r="L646" s="17"/>
    </row>
    <row r="647">
      <c r="K647" s="20"/>
      <c r="L647" s="17"/>
    </row>
    <row r="648">
      <c r="K648" s="20"/>
      <c r="L648" s="17"/>
    </row>
    <row r="649">
      <c r="K649" s="20"/>
      <c r="L649" s="17"/>
    </row>
    <row r="650">
      <c r="K650" s="20"/>
      <c r="L650" s="17"/>
    </row>
    <row r="651">
      <c r="K651" s="20"/>
      <c r="L651" s="17"/>
    </row>
    <row r="652">
      <c r="K652" s="20"/>
      <c r="L652" s="17"/>
    </row>
    <row r="653">
      <c r="K653" s="20"/>
      <c r="L653" s="17"/>
    </row>
    <row r="654">
      <c r="K654" s="20"/>
      <c r="L654" s="17"/>
    </row>
    <row r="655">
      <c r="K655" s="20"/>
      <c r="L655" s="17"/>
    </row>
    <row r="656">
      <c r="K656" s="20"/>
      <c r="L656" s="17"/>
    </row>
    <row r="657">
      <c r="K657" s="20"/>
      <c r="L657" s="17"/>
    </row>
    <row r="658">
      <c r="K658" s="20"/>
      <c r="L658" s="17"/>
    </row>
    <row r="659">
      <c r="K659" s="20"/>
      <c r="L659" s="17"/>
    </row>
    <row r="660">
      <c r="K660" s="20"/>
      <c r="L660" s="17"/>
    </row>
    <row r="661">
      <c r="K661" s="20"/>
      <c r="L661" s="17"/>
    </row>
    <row r="662">
      <c r="K662" s="20"/>
      <c r="L662" s="17"/>
    </row>
    <row r="663">
      <c r="K663" s="20"/>
      <c r="L663" s="17"/>
    </row>
    <row r="664">
      <c r="K664" s="20"/>
      <c r="L664" s="17"/>
    </row>
    <row r="665">
      <c r="K665" s="20"/>
      <c r="L665" s="17"/>
    </row>
    <row r="666">
      <c r="K666" s="20"/>
      <c r="L666" s="17"/>
    </row>
    <row r="667">
      <c r="K667" s="20"/>
      <c r="L667" s="17"/>
    </row>
    <row r="668">
      <c r="K668" s="20"/>
      <c r="L668" s="17"/>
    </row>
    <row r="669">
      <c r="K669" s="20"/>
      <c r="L669" s="17"/>
    </row>
    <row r="670">
      <c r="K670" s="20"/>
      <c r="L670" s="17"/>
    </row>
    <row r="671">
      <c r="K671" s="20"/>
      <c r="L671" s="17"/>
    </row>
    <row r="672">
      <c r="K672" s="20"/>
      <c r="L672" s="17"/>
    </row>
    <row r="673">
      <c r="K673" s="20"/>
      <c r="L673" s="17"/>
    </row>
    <row r="674">
      <c r="K674" s="20"/>
      <c r="L674" s="17"/>
    </row>
    <row r="675">
      <c r="K675" s="20"/>
      <c r="L675" s="17"/>
    </row>
    <row r="676">
      <c r="K676" s="20"/>
      <c r="L676" s="17"/>
    </row>
    <row r="677">
      <c r="K677" s="20"/>
      <c r="L677" s="17"/>
    </row>
    <row r="678">
      <c r="K678" s="20"/>
      <c r="L678" s="17"/>
    </row>
    <row r="679">
      <c r="K679" s="20"/>
      <c r="L679" s="17"/>
    </row>
    <row r="680">
      <c r="K680" s="20"/>
      <c r="L680" s="17"/>
    </row>
    <row r="681">
      <c r="K681" s="20"/>
      <c r="L681" s="17"/>
    </row>
    <row r="682">
      <c r="K682" s="20"/>
      <c r="L682" s="17"/>
    </row>
    <row r="683">
      <c r="K683" s="20"/>
      <c r="L683" s="17"/>
    </row>
    <row r="684">
      <c r="K684" s="20"/>
      <c r="L684" s="17"/>
    </row>
    <row r="685">
      <c r="K685" s="20"/>
      <c r="L685" s="17"/>
    </row>
    <row r="686">
      <c r="K686" s="20"/>
      <c r="L686" s="17"/>
    </row>
    <row r="687">
      <c r="K687" s="20"/>
      <c r="L687" s="17"/>
    </row>
    <row r="688">
      <c r="K688" s="20"/>
      <c r="L688" s="17"/>
    </row>
    <row r="689">
      <c r="K689" s="20"/>
      <c r="L689" s="17"/>
    </row>
    <row r="690">
      <c r="K690" s="20"/>
      <c r="L690" s="17"/>
    </row>
    <row r="691">
      <c r="K691" s="20"/>
      <c r="L691" s="17"/>
    </row>
    <row r="692">
      <c r="K692" s="20"/>
      <c r="L692" s="17"/>
    </row>
    <row r="693">
      <c r="K693" s="20"/>
      <c r="L693" s="17"/>
    </row>
    <row r="694">
      <c r="K694" s="20"/>
      <c r="L694" s="17"/>
    </row>
    <row r="695">
      <c r="K695" s="20"/>
      <c r="L695" s="17"/>
    </row>
    <row r="696">
      <c r="K696" s="20"/>
      <c r="L696" s="17"/>
    </row>
    <row r="697">
      <c r="K697" s="20"/>
      <c r="L697" s="17"/>
    </row>
    <row r="698">
      <c r="K698" s="20"/>
      <c r="L698" s="17"/>
    </row>
    <row r="699">
      <c r="K699" s="20"/>
      <c r="L699" s="17"/>
    </row>
    <row r="700">
      <c r="K700" s="20"/>
      <c r="L700" s="17"/>
    </row>
    <row r="701">
      <c r="K701" s="20"/>
      <c r="L701" s="17"/>
    </row>
    <row r="702">
      <c r="K702" s="20"/>
      <c r="L702" s="17"/>
    </row>
    <row r="703">
      <c r="K703" s="20"/>
      <c r="L703" s="17"/>
    </row>
    <row r="704">
      <c r="K704" s="20"/>
      <c r="L704" s="17"/>
    </row>
    <row r="705">
      <c r="K705" s="20"/>
      <c r="L705" s="17"/>
    </row>
    <row r="706">
      <c r="K706" s="20"/>
      <c r="L706" s="17"/>
    </row>
    <row r="707">
      <c r="K707" s="20"/>
      <c r="L707" s="17"/>
    </row>
    <row r="708">
      <c r="K708" s="20"/>
      <c r="L708" s="17"/>
    </row>
    <row r="709">
      <c r="K709" s="20"/>
      <c r="L709" s="17"/>
    </row>
    <row r="710">
      <c r="K710" s="20"/>
      <c r="L710" s="17"/>
    </row>
    <row r="711">
      <c r="K711" s="20"/>
      <c r="L711" s="17"/>
    </row>
    <row r="712">
      <c r="K712" s="20"/>
      <c r="L712" s="17"/>
    </row>
    <row r="713">
      <c r="K713" s="20"/>
      <c r="L713" s="17"/>
    </row>
    <row r="714">
      <c r="K714" s="20"/>
      <c r="L714" s="17"/>
    </row>
    <row r="715">
      <c r="K715" s="20"/>
      <c r="L715" s="17"/>
    </row>
    <row r="716">
      <c r="K716" s="20"/>
      <c r="L716" s="17"/>
    </row>
    <row r="717">
      <c r="K717" s="20"/>
      <c r="L717" s="17"/>
    </row>
    <row r="718">
      <c r="K718" s="20"/>
      <c r="L718" s="17"/>
    </row>
    <row r="719">
      <c r="K719" s="20"/>
      <c r="L719" s="17"/>
    </row>
    <row r="720">
      <c r="K720" s="20"/>
      <c r="L720" s="17"/>
    </row>
    <row r="721">
      <c r="K721" s="20"/>
      <c r="L721" s="17"/>
    </row>
    <row r="722">
      <c r="K722" s="20"/>
      <c r="L722" s="17"/>
    </row>
    <row r="723">
      <c r="K723" s="20"/>
      <c r="L723" s="17"/>
    </row>
    <row r="724">
      <c r="K724" s="20"/>
      <c r="L724" s="17"/>
    </row>
    <row r="725">
      <c r="K725" s="20"/>
      <c r="L725" s="17"/>
    </row>
    <row r="726">
      <c r="K726" s="20"/>
      <c r="L726" s="17"/>
    </row>
    <row r="727">
      <c r="K727" s="20"/>
      <c r="L727" s="17"/>
    </row>
    <row r="728">
      <c r="K728" s="20"/>
      <c r="L728" s="17"/>
    </row>
    <row r="729">
      <c r="K729" s="20"/>
      <c r="L729" s="17"/>
    </row>
    <row r="730">
      <c r="K730" s="20"/>
      <c r="L730" s="17"/>
    </row>
    <row r="731">
      <c r="K731" s="20"/>
      <c r="L731" s="17"/>
    </row>
    <row r="732">
      <c r="K732" s="20"/>
      <c r="L732" s="17"/>
    </row>
    <row r="733">
      <c r="K733" s="20"/>
      <c r="L733" s="17"/>
    </row>
    <row r="734">
      <c r="K734" s="20"/>
      <c r="L734" s="17"/>
    </row>
    <row r="735">
      <c r="K735" s="20"/>
      <c r="L735" s="17"/>
    </row>
    <row r="736">
      <c r="K736" s="20"/>
      <c r="L736" s="17"/>
    </row>
    <row r="737">
      <c r="K737" s="20"/>
      <c r="L737" s="17"/>
    </row>
    <row r="738">
      <c r="K738" s="20"/>
      <c r="L738" s="17"/>
    </row>
    <row r="739">
      <c r="K739" s="20"/>
      <c r="L739" s="17"/>
    </row>
    <row r="740">
      <c r="K740" s="20"/>
      <c r="L740" s="17"/>
    </row>
    <row r="741">
      <c r="K741" s="20"/>
      <c r="L741" s="17"/>
    </row>
    <row r="742">
      <c r="K742" s="20"/>
      <c r="L742" s="17"/>
    </row>
    <row r="743">
      <c r="K743" s="20"/>
      <c r="L743" s="17"/>
    </row>
    <row r="744">
      <c r="K744" s="20"/>
      <c r="L744" s="17"/>
    </row>
    <row r="745">
      <c r="K745" s="20"/>
      <c r="L745" s="17"/>
    </row>
    <row r="746">
      <c r="K746" s="20"/>
      <c r="L746" s="17"/>
    </row>
    <row r="747">
      <c r="K747" s="20"/>
      <c r="L747" s="17"/>
    </row>
    <row r="748">
      <c r="K748" s="20"/>
      <c r="L748" s="17"/>
    </row>
    <row r="749">
      <c r="K749" s="20"/>
      <c r="L749" s="17"/>
    </row>
    <row r="750">
      <c r="K750" s="20"/>
      <c r="L750" s="17"/>
    </row>
    <row r="751">
      <c r="K751" s="20"/>
      <c r="L751" s="17"/>
    </row>
    <row r="752">
      <c r="K752" s="20"/>
      <c r="L752" s="17"/>
    </row>
    <row r="753">
      <c r="K753" s="20"/>
      <c r="L753" s="17"/>
    </row>
    <row r="754">
      <c r="K754" s="20"/>
      <c r="L754" s="17"/>
    </row>
    <row r="755">
      <c r="K755" s="20"/>
      <c r="L755" s="17"/>
    </row>
    <row r="756">
      <c r="K756" s="20"/>
      <c r="L756" s="17"/>
    </row>
    <row r="757">
      <c r="K757" s="20"/>
      <c r="L757" s="17"/>
    </row>
    <row r="758">
      <c r="K758" s="20"/>
      <c r="L758" s="17"/>
    </row>
    <row r="759">
      <c r="K759" s="20"/>
      <c r="L759" s="17"/>
    </row>
    <row r="760">
      <c r="K760" s="20"/>
      <c r="L760" s="17"/>
    </row>
    <row r="761">
      <c r="K761" s="20"/>
      <c r="L761" s="17"/>
    </row>
    <row r="762">
      <c r="K762" s="20"/>
      <c r="L762" s="17"/>
    </row>
    <row r="763">
      <c r="K763" s="20"/>
      <c r="L763" s="17"/>
    </row>
    <row r="764">
      <c r="K764" s="20"/>
      <c r="L764" s="17"/>
    </row>
    <row r="765">
      <c r="K765" s="20"/>
      <c r="L765" s="17"/>
    </row>
    <row r="766">
      <c r="K766" s="20"/>
      <c r="L766" s="17"/>
    </row>
    <row r="767">
      <c r="K767" s="20"/>
      <c r="L767" s="17"/>
    </row>
    <row r="768">
      <c r="K768" s="20"/>
      <c r="L768" s="17"/>
    </row>
    <row r="769">
      <c r="K769" s="20"/>
      <c r="L769" s="17"/>
    </row>
    <row r="770">
      <c r="K770" s="20"/>
      <c r="L770" s="17"/>
    </row>
    <row r="771">
      <c r="K771" s="20"/>
      <c r="L771" s="17"/>
    </row>
    <row r="772">
      <c r="K772" s="20"/>
      <c r="L772" s="17"/>
    </row>
    <row r="773">
      <c r="K773" s="20"/>
      <c r="L773" s="17"/>
    </row>
    <row r="774">
      <c r="K774" s="20"/>
      <c r="L774" s="17"/>
    </row>
    <row r="775">
      <c r="K775" s="20"/>
      <c r="L775" s="17"/>
    </row>
    <row r="776">
      <c r="K776" s="20"/>
      <c r="L776" s="17"/>
    </row>
    <row r="777">
      <c r="K777" s="20"/>
      <c r="L777" s="17"/>
    </row>
    <row r="778">
      <c r="K778" s="20"/>
      <c r="L778" s="17"/>
    </row>
    <row r="779">
      <c r="K779" s="20"/>
      <c r="L779" s="17"/>
    </row>
    <row r="780">
      <c r="K780" s="20"/>
      <c r="L780" s="17"/>
    </row>
    <row r="781">
      <c r="K781" s="20"/>
      <c r="L781" s="17"/>
    </row>
    <row r="782">
      <c r="K782" s="20"/>
      <c r="L782" s="17"/>
    </row>
    <row r="783">
      <c r="K783" s="20"/>
      <c r="L783" s="17"/>
    </row>
    <row r="784">
      <c r="K784" s="20"/>
      <c r="L784" s="17"/>
    </row>
    <row r="785">
      <c r="K785" s="20"/>
      <c r="L785" s="17"/>
    </row>
    <row r="786">
      <c r="K786" s="20"/>
      <c r="L786" s="17"/>
    </row>
    <row r="787">
      <c r="K787" s="20"/>
      <c r="L787" s="17"/>
    </row>
    <row r="788">
      <c r="K788" s="20"/>
      <c r="L788" s="17"/>
    </row>
    <row r="789">
      <c r="K789" s="20"/>
      <c r="L789" s="17"/>
    </row>
    <row r="790">
      <c r="K790" s="20"/>
      <c r="L790" s="17"/>
    </row>
    <row r="791">
      <c r="K791" s="20"/>
      <c r="L791" s="17"/>
    </row>
    <row r="792">
      <c r="K792" s="20"/>
      <c r="L792" s="17"/>
    </row>
    <row r="793">
      <c r="K793" s="20"/>
      <c r="L793" s="17"/>
    </row>
    <row r="794">
      <c r="K794" s="20"/>
      <c r="L794" s="17"/>
    </row>
    <row r="795">
      <c r="K795" s="20"/>
      <c r="L795" s="17"/>
    </row>
    <row r="796">
      <c r="K796" s="20"/>
      <c r="L796" s="17"/>
    </row>
    <row r="797">
      <c r="K797" s="20"/>
      <c r="L797" s="17"/>
    </row>
    <row r="798">
      <c r="K798" s="20"/>
      <c r="L798" s="17"/>
    </row>
    <row r="799">
      <c r="K799" s="20"/>
      <c r="L799" s="17"/>
    </row>
    <row r="800">
      <c r="K800" s="20"/>
      <c r="L800" s="17"/>
    </row>
    <row r="801">
      <c r="K801" s="20"/>
      <c r="L801" s="17"/>
    </row>
    <row r="802">
      <c r="K802" s="20"/>
      <c r="L802" s="17"/>
    </row>
    <row r="803">
      <c r="K803" s="20"/>
      <c r="L803" s="17"/>
    </row>
    <row r="804">
      <c r="K804" s="20"/>
      <c r="L804" s="17"/>
    </row>
    <row r="805">
      <c r="K805" s="20"/>
      <c r="L805" s="17"/>
    </row>
    <row r="806">
      <c r="K806" s="20"/>
      <c r="L806" s="17"/>
    </row>
    <row r="807">
      <c r="K807" s="20"/>
      <c r="L807" s="17"/>
    </row>
    <row r="808">
      <c r="K808" s="20"/>
      <c r="L808" s="17"/>
    </row>
    <row r="809">
      <c r="K809" s="20"/>
      <c r="L809" s="17"/>
    </row>
    <row r="810">
      <c r="K810" s="20"/>
      <c r="L810" s="17"/>
    </row>
    <row r="811">
      <c r="K811" s="20"/>
      <c r="L811" s="17"/>
    </row>
    <row r="812">
      <c r="K812" s="20"/>
      <c r="L812" s="17"/>
    </row>
    <row r="813">
      <c r="K813" s="20"/>
      <c r="L813" s="17"/>
    </row>
    <row r="814">
      <c r="K814" s="20"/>
      <c r="L814" s="17"/>
    </row>
    <row r="815">
      <c r="K815" s="20"/>
      <c r="L815" s="17"/>
    </row>
    <row r="816">
      <c r="K816" s="20"/>
      <c r="L816" s="17"/>
    </row>
    <row r="817">
      <c r="K817" s="20"/>
      <c r="L817" s="17"/>
    </row>
    <row r="818">
      <c r="K818" s="20"/>
      <c r="L818" s="17"/>
    </row>
    <row r="819">
      <c r="K819" s="20"/>
      <c r="L819" s="17"/>
    </row>
    <row r="820">
      <c r="K820" s="20"/>
      <c r="L820" s="17"/>
    </row>
    <row r="821">
      <c r="K821" s="20"/>
      <c r="L821" s="17"/>
    </row>
    <row r="822">
      <c r="K822" s="20"/>
      <c r="L822" s="17"/>
    </row>
    <row r="823">
      <c r="K823" s="20"/>
      <c r="L823" s="17"/>
    </row>
    <row r="824">
      <c r="K824" s="20"/>
      <c r="L824" s="17"/>
    </row>
    <row r="825">
      <c r="K825" s="20"/>
      <c r="L825" s="17"/>
    </row>
    <row r="826">
      <c r="K826" s="20"/>
      <c r="L826" s="17"/>
    </row>
    <row r="827">
      <c r="K827" s="20"/>
      <c r="L827" s="17"/>
    </row>
    <row r="828">
      <c r="K828" s="20"/>
      <c r="L828" s="17"/>
    </row>
    <row r="829">
      <c r="K829" s="20"/>
      <c r="L829" s="17"/>
    </row>
    <row r="830">
      <c r="K830" s="20"/>
      <c r="L830" s="17"/>
    </row>
    <row r="831">
      <c r="K831" s="20"/>
      <c r="L831" s="17"/>
    </row>
    <row r="832">
      <c r="K832" s="20"/>
      <c r="L832" s="17"/>
    </row>
    <row r="833">
      <c r="K833" s="20"/>
      <c r="L833" s="17"/>
    </row>
    <row r="834">
      <c r="K834" s="20"/>
      <c r="L834" s="17"/>
    </row>
    <row r="835">
      <c r="K835" s="20"/>
      <c r="L835" s="17"/>
    </row>
    <row r="836">
      <c r="K836" s="20"/>
      <c r="L836" s="17"/>
    </row>
    <row r="837">
      <c r="K837" s="20"/>
      <c r="L837" s="17"/>
    </row>
    <row r="838">
      <c r="K838" s="20"/>
      <c r="L838" s="17"/>
    </row>
    <row r="839">
      <c r="K839" s="20"/>
      <c r="L839" s="17"/>
    </row>
    <row r="840">
      <c r="K840" s="20"/>
      <c r="L840" s="17"/>
    </row>
    <row r="841">
      <c r="K841" s="20"/>
      <c r="L841" s="17"/>
    </row>
    <row r="842">
      <c r="K842" s="20"/>
      <c r="L842" s="17"/>
    </row>
    <row r="843">
      <c r="K843" s="20"/>
      <c r="L843" s="17"/>
    </row>
    <row r="844">
      <c r="K844" s="20"/>
      <c r="L844" s="17"/>
    </row>
    <row r="845">
      <c r="K845" s="20"/>
      <c r="L845" s="17"/>
    </row>
    <row r="846">
      <c r="K846" s="20"/>
      <c r="L846" s="17"/>
    </row>
    <row r="847">
      <c r="K847" s="20"/>
      <c r="L847" s="17"/>
    </row>
    <row r="848">
      <c r="K848" s="20"/>
      <c r="L848" s="17"/>
    </row>
    <row r="849">
      <c r="K849" s="20"/>
      <c r="L849" s="17"/>
    </row>
    <row r="850">
      <c r="K850" s="20"/>
      <c r="L850" s="17"/>
    </row>
    <row r="851">
      <c r="K851" s="20"/>
      <c r="L851" s="17"/>
    </row>
    <row r="852">
      <c r="K852" s="20"/>
      <c r="L852" s="17"/>
    </row>
    <row r="853">
      <c r="K853" s="20"/>
      <c r="L853" s="17"/>
    </row>
    <row r="854">
      <c r="K854" s="20"/>
      <c r="L854" s="17"/>
    </row>
    <row r="855">
      <c r="K855" s="20"/>
      <c r="L855" s="17"/>
    </row>
    <row r="856">
      <c r="K856" s="20"/>
      <c r="L856" s="17"/>
    </row>
    <row r="857">
      <c r="K857" s="20"/>
      <c r="L857" s="17"/>
    </row>
    <row r="858">
      <c r="K858" s="20"/>
      <c r="L858" s="17"/>
    </row>
    <row r="859">
      <c r="K859" s="20"/>
      <c r="L859" s="17"/>
    </row>
    <row r="860">
      <c r="K860" s="20"/>
      <c r="L860" s="17"/>
    </row>
    <row r="861">
      <c r="K861" s="20"/>
      <c r="L861" s="17"/>
    </row>
    <row r="862">
      <c r="K862" s="20"/>
      <c r="L862" s="17"/>
    </row>
    <row r="863">
      <c r="K863" s="20"/>
      <c r="L863" s="17"/>
    </row>
    <row r="864">
      <c r="K864" s="20"/>
      <c r="L864" s="17"/>
    </row>
    <row r="865">
      <c r="K865" s="20"/>
      <c r="L865" s="17"/>
    </row>
    <row r="866">
      <c r="K866" s="20"/>
      <c r="L866" s="17"/>
    </row>
    <row r="867">
      <c r="K867" s="20"/>
      <c r="L867" s="17"/>
    </row>
    <row r="868">
      <c r="K868" s="20"/>
      <c r="L868" s="17"/>
    </row>
    <row r="869">
      <c r="K869" s="20"/>
      <c r="L869" s="17"/>
    </row>
    <row r="870">
      <c r="K870" s="20"/>
      <c r="L870" s="17"/>
    </row>
    <row r="871">
      <c r="K871" s="20"/>
      <c r="L871" s="17"/>
    </row>
    <row r="872">
      <c r="K872" s="20"/>
      <c r="L872" s="17"/>
    </row>
    <row r="873">
      <c r="K873" s="20"/>
      <c r="L873" s="17"/>
    </row>
    <row r="874">
      <c r="K874" s="20"/>
      <c r="L874" s="17"/>
    </row>
    <row r="875">
      <c r="K875" s="20"/>
      <c r="L875" s="17"/>
    </row>
    <row r="876">
      <c r="K876" s="20"/>
      <c r="L876" s="17"/>
    </row>
    <row r="877">
      <c r="K877" s="20"/>
      <c r="L877" s="17"/>
    </row>
    <row r="878">
      <c r="K878" s="20"/>
      <c r="L878" s="17"/>
    </row>
    <row r="879">
      <c r="K879" s="20"/>
      <c r="L879" s="17"/>
    </row>
    <row r="880">
      <c r="K880" s="20"/>
      <c r="L880" s="17"/>
    </row>
    <row r="881">
      <c r="K881" s="20"/>
      <c r="L881" s="17"/>
    </row>
    <row r="882">
      <c r="K882" s="20"/>
      <c r="L882" s="17"/>
    </row>
    <row r="883">
      <c r="K883" s="20"/>
      <c r="L883" s="17"/>
    </row>
    <row r="884">
      <c r="K884" s="20"/>
      <c r="L884" s="17"/>
    </row>
    <row r="885">
      <c r="K885" s="20"/>
      <c r="L885" s="17"/>
    </row>
    <row r="886">
      <c r="K886" s="20"/>
      <c r="L886" s="17"/>
    </row>
    <row r="887">
      <c r="K887" s="20"/>
      <c r="L887" s="17"/>
    </row>
    <row r="888">
      <c r="K888" s="20"/>
      <c r="L888" s="17"/>
    </row>
    <row r="889">
      <c r="K889" s="20"/>
      <c r="L889" s="17"/>
    </row>
    <row r="890">
      <c r="K890" s="20"/>
      <c r="L890" s="17"/>
    </row>
    <row r="891">
      <c r="K891" s="20"/>
      <c r="L891" s="17"/>
    </row>
    <row r="892">
      <c r="K892" s="20"/>
      <c r="L892" s="17"/>
    </row>
    <row r="893">
      <c r="K893" s="20"/>
      <c r="L893" s="17"/>
    </row>
    <row r="894">
      <c r="K894" s="20"/>
      <c r="L894" s="17"/>
    </row>
    <row r="895">
      <c r="K895" s="20"/>
      <c r="L895" s="17"/>
    </row>
    <row r="896">
      <c r="K896" s="20"/>
      <c r="L896" s="17"/>
    </row>
    <row r="897">
      <c r="K897" s="20"/>
      <c r="L897" s="17"/>
    </row>
    <row r="898">
      <c r="K898" s="20"/>
      <c r="L898" s="17"/>
    </row>
    <row r="899">
      <c r="K899" s="20"/>
      <c r="L899" s="17"/>
    </row>
    <row r="900">
      <c r="K900" s="20"/>
      <c r="L900" s="17"/>
    </row>
    <row r="901">
      <c r="K901" s="20"/>
      <c r="L901" s="17"/>
    </row>
    <row r="902">
      <c r="K902" s="20"/>
      <c r="L902" s="17"/>
    </row>
    <row r="903">
      <c r="K903" s="20"/>
      <c r="L903" s="17"/>
    </row>
    <row r="904">
      <c r="K904" s="20"/>
      <c r="L904" s="17"/>
    </row>
    <row r="905">
      <c r="K905" s="20"/>
      <c r="L905" s="17"/>
    </row>
    <row r="906">
      <c r="K906" s="20"/>
      <c r="L906" s="17"/>
    </row>
    <row r="907">
      <c r="K907" s="20"/>
      <c r="L907" s="17"/>
    </row>
    <row r="908">
      <c r="K908" s="20"/>
      <c r="L908" s="17"/>
    </row>
    <row r="909">
      <c r="K909" s="20"/>
      <c r="L909" s="17"/>
    </row>
    <row r="910">
      <c r="K910" s="20"/>
      <c r="L910" s="17"/>
    </row>
    <row r="911">
      <c r="K911" s="20"/>
      <c r="L911" s="17"/>
    </row>
    <row r="912">
      <c r="K912" s="20"/>
      <c r="L912" s="17"/>
    </row>
    <row r="913">
      <c r="K913" s="20"/>
      <c r="L913" s="17"/>
    </row>
    <row r="914">
      <c r="K914" s="20"/>
      <c r="L914" s="17"/>
    </row>
    <row r="915">
      <c r="K915" s="20"/>
      <c r="L915" s="17"/>
    </row>
    <row r="916">
      <c r="K916" s="20"/>
      <c r="L916" s="17"/>
    </row>
    <row r="917">
      <c r="K917" s="20"/>
      <c r="L917" s="17"/>
    </row>
    <row r="918">
      <c r="K918" s="20"/>
      <c r="L918" s="17"/>
    </row>
    <row r="919">
      <c r="K919" s="20"/>
      <c r="L919" s="17"/>
    </row>
    <row r="920">
      <c r="K920" s="20"/>
      <c r="L920" s="17"/>
    </row>
    <row r="921">
      <c r="K921" s="20"/>
      <c r="L921" s="17"/>
    </row>
    <row r="922">
      <c r="K922" s="20"/>
      <c r="L922" s="17"/>
    </row>
    <row r="923">
      <c r="K923" s="20"/>
      <c r="L923" s="17"/>
    </row>
    <row r="924">
      <c r="K924" s="20"/>
      <c r="L924" s="17"/>
    </row>
    <row r="925">
      <c r="K925" s="20"/>
      <c r="L925" s="17"/>
    </row>
    <row r="926">
      <c r="K926" s="20"/>
      <c r="L926" s="17"/>
    </row>
    <row r="927">
      <c r="K927" s="20"/>
      <c r="L927" s="17"/>
    </row>
    <row r="928">
      <c r="K928" s="20"/>
      <c r="L928" s="17"/>
    </row>
    <row r="929">
      <c r="K929" s="20"/>
      <c r="L929" s="17"/>
    </row>
    <row r="930">
      <c r="K930" s="20"/>
      <c r="L930" s="17"/>
    </row>
    <row r="931">
      <c r="K931" s="20"/>
      <c r="L931" s="17"/>
    </row>
    <row r="932">
      <c r="K932" s="20"/>
      <c r="L932" s="17"/>
    </row>
    <row r="933">
      <c r="K933" s="20"/>
      <c r="L933" s="17"/>
    </row>
    <row r="934">
      <c r="K934" s="20"/>
      <c r="L934" s="17"/>
    </row>
    <row r="935">
      <c r="K935" s="20"/>
      <c r="L935" s="17"/>
    </row>
    <row r="936">
      <c r="K936" s="20"/>
      <c r="L936" s="17"/>
    </row>
    <row r="937">
      <c r="K937" s="20"/>
      <c r="L937" s="17"/>
    </row>
    <row r="938">
      <c r="K938" s="20"/>
      <c r="L938" s="17"/>
    </row>
    <row r="939">
      <c r="K939" s="20"/>
      <c r="L939" s="17"/>
    </row>
    <row r="940">
      <c r="K940" s="20"/>
      <c r="L940" s="17"/>
    </row>
    <row r="941">
      <c r="K941" s="20"/>
      <c r="L941" s="17"/>
    </row>
    <row r="942">
      <c r="K942" s="20"/>
      <c r="L942" s="17"/>
    </row>
    <row r="943">
      <c r="K943" s="20"/>
      <c r="L943" s="17"/>
    </row>
    <row r="944">
      <c r="K944" s="20"/>
      <c r="L944" s="17"/>
    </row>
    <row r="945">
      <c r="K945" s="20"/>
      <c r="L945" s="17"/>
    </row>
    <row r="946">
      <c r="K946" s="20"/>
      <c r="L946" s="17"/>
    </row>
    <row r="947">
      <c r="K947" s="20"/>
      <c r="L947" s="17"/>
    </row>
    <row r="948">
      <c r="K948" s="20"/>
      <c r="L948" s="17"/>
    </row>
    <row r="949">
      <c r="K949" s="20"/>
      <c r="L949" s="17"/>
    </row>
    <row r="950">
      <c r="K950" s="20"/>
      <c r="L950" s="17"/>
    </row>
    <row r="951">
      <c r="K951" s="20"/>
      <c r="L951" s="17"/>
    </row>
    <row r="952">
      <c r="K952" s="20"/>
      <c r="L952" s="17"/>
    </row>
    <row r="953">
      <c r="K953" s="20"/>
      <c r="L953" s="17"/>
    </row>
    <row r="954">
      <c r="K954" s="20"/>
      <c r="L954" s="17"/>
    </row>
    <row r="955">
      <c r="K955" s="20"/>
      <c r="L955" s="17"/>
    </row>
    <row r="956">
      <c r="K956" s="20"/>
      <c r="L956" s="17"/>
    </row>
    <row r="957">
      <c r="K957" s="20"/>
      <c r="L957" s="17"/>
    </row>
    <row r="958">
      <c r="K958" s="20"/>
      <c r="L958" s="17"/>
    </row>
    <row r="959">
      <c r="K959" s="20"/>
      <c r="L959" s="17"/>
    </row>
    <row r="960">
      <c r="K960" s="20"/>
      <c r="L960" s="17"/>
    </row>
  </sheetData>
  <hyperlinks>
    <hyperlink r:id="rId1" ref="F3"/>
    <hyperlink r:id="rId2" ref="F4"/>
    <hyperlink r:id="rId3" ref="F5"/>
    <hyperlink r:id="rId4" ref="F8"/>
    <hyperlink r:id="rId5" ref="F9"/>
    <hyperlink r:id="rId6" ref="F15"/>
    <hyperlink r:id="rId7" ref="F16"/>
    <hyperlink r:id="rId8" ref="F18"/>
    <hyperlink r:id="rId9" ref="F20"/>
    <hyperlink r:id="rId10" ref="F22"/>
    <hyperlink r:id="rId11" ref="F23"/>
    <hyperlink r:id="rId12" ref="F24"/>
    <hyperlink r:id="rId13" ref="F25"/>
    <hyperlink r:id="rId14" ref="F26"/>
    <hyperlink r:id="rId15" ref="F27"/>
    <hyperlink r:id="rId16" ref="F28"/>
    <hyperlink r:id="rId17" ref="F30"/>
    <hyperlink r:id="rId18" ref="F31"/>
    <hyperlink r:id="rId19" ref="F34"/>
    <hyperlink r:id="rId20" ref="F36"/>
    <hyperlink r:id="rId21" ref="F39"/>
    <hyperlink r:id="rId22" ref="F40"/>
    <hyperlink r:id="rId23" ref="F41"/>
    <hyperlink r:id="rId24" ref="F43"/>
    <hyperlink r:id="rId25" ref="F44"/>
    <hyperlink r:id="rId26" ref="F47"/>
    <hyperlink r:id="rId27" ref="F48"/>
    <hyperlink r:id="rId28" ref="F49"/>
    <hyperlink r:id="rId29" ref="F51"/>
    <hyperlink r:id="rId30" ref="F53"/>
    <hyperlink r:id="rId31" ref="F54"/>
    <hyperlink r:id="rId32" ref="F56"/>
    <hyperlink r:id="rId33" ref="F57"/>
    <hyperlink r:id="rId34" ref="F58"/>
    <hyperlink r:id="rId35" ref="F59"/>
    <hyperlink r:id="rId36" ref="F60"/>
    <hyperlink r:id="rId37" ref="F62"/>
    <hyperlink r:id="rId38" ref="F63"/>
    <hyperlink r:id="rId39" ref="F65"/>
    <hyperlink r:id="rId40" ref="F67"/>
    <hyperlink r:id="rId41" ref="F68"/>
    <hyperlink r:id="rId42" ref="F70"/>
    <hyperlink r:id="rId43" ref="F71"/>
    <hyperlink r:id="rId44" ref="F72"/>
    <hyperlink r:id="rId45" ref="F73"/>
    <hyperlink r:id="rId46" ref="F74"/>
    <hyperlink r:id="rId47" ref="F75"/>
    <hyperlink r:id="rId48" ref="F76"/>
    <hyperlink r:id="rId49" ref="F77"/>
    <hyperlink r:id="rId50" ref="F80"/>
    <hyperlink r:id="rId51" ref="F81"/>
    <hyperlink r:id="rId52" ref="F83"/>
    <hyperlink r:id="rId53" ref="F84"/>
    <hyperlink r:id="rId54" ref="F85"/>
    <hyperlink r:id="rId55" ref="F86"/>
    <hyperlink r:id="rId56" ref="F87"/>
    <hyperlink r:id="rId57" ref="F88"/>
    <hyperlink r:id="rId58" ref="F89"/>
    <hyperlink r:id="rId59" ref="F90"/>
    <hyperlink r:id="rId60" ref="F93"/>
    <hyperlink r:id="rId61" ref="F94"/>
    <hyperlink r:id="rId62" ref="F95"/>
    <hyperlink r:id="rId63" ref="F97"/>
    <hyperlink r:id="rId64" ref="F99"/>
    <hyperlink r:id="rId65" ref="F100"/>
    <hyperlink r:id="rId66" ref="F101"/>
    <hyperlink r:id="rId67" ref="F107"/>
    <hyperlink r:id="rId68" ref="F108"/>
    <hyperlink r:id="rId69" ref="F110"/>
    <hyperlink r:id="rId70" ref="F112"/>
    <hyperlink r:id="rId71" ref="F113"/>
    <hyperlink r:id="rId72" ref="F114"/>
    <hyperlink r:id="rId73" ref="F115"/>
    <hyperlink r:id="rId74" ref="F116"/>
    <hyperlink r:id="rId75" ref="F117"/>
    <hyperlink r:id="rId76" ref="F118"/>
    <hyperlink r:id="rId77" ref="F120"/>
    <hyperlink r:id="rId78" ref="F121"/>
    <hyperlink r:id="rId79" ref="F123"/>
    <hyperlink r:id="rId80" ref="F124"/>
    <hyperlink r:id="rId81" ref="F125"/>
    <hyperlink r:id="rId82" ref="F126"/>
    <hyperlink r:id="rId83" ref="F127"/>
    <hyperlink r:id="rId84" ref="F128"/>
    <hyperlink r:id="rId85" ref="F132"/>
    <hyperlink r:id="rId86" ref="F134"/>
    <hyperlink r:id="rId87" ref="F135"/>
    <hyperlink r:id="rId88" ref="F136"/>
    <hyperlink r:id="rId89" ref="F138"/>
    <hyperlink r:id="rId90" ref="F140"/>
    <hyperlink r:id="rId91" ref="F141"/>
    <hyperlink r:id="rId92" ref="F142"/>
    <hyperlink r:id="rId93" ref="F145"/>
    <hyperlink r:id="rId94" ref="F146"/>
    <hyperlink r:id="rId95" ref="F147"/>
    <hyperlink r:id="rId96" ref="F148"/>
    <hyperlink r:id="rId97" ref="F150"/>
    <hyperlink r:id="rId98" ref="F151"/>
    <hyperlink r:id="rId99" ref="F153"/>
    <hyperlink r:id="rId100" ref="F154"/>
    <hyperlink r:id="rId101" ref="F155"/>
    <hyperlink r:id="rId102" ref="F156"/>
    <hyperlink r:id="rId103" ref="F157"/>
    <hyperlink r:id="rId104" ref="F158"/>
    <hyperlink r:id="rId105" ref="F159"/>
    <hyperlink r:id="rId106" ref="F160"/>
    <hyperlink r:id="rId107" ref="F162"/>
    <hyperlink r:id="rId108" ref="F163"/>
    <hyperlink r:id="rId109" ref="F165"/>
    <hyperlink r:id="rId110" ref="F166"/>
    <hyperlink r:id="rId111" ref="F167"/>
    <hyperlink r:id="rId112" ref="F169"/>
  </hyperlinks>
  <drawing r:id="rId1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5"/>
    <col customWidth="1" min="10" max="10" width="27.88"/>
    <col customWidth="1" min="14" max="14" width="14.75"/>
  </cols>
  <sheetData>
    <row r="1">
      <c r="A1" s="11"/>
      <c r="B1" s="11"/>
      <c r="C1" s="11"/>
      <c r="D1" s="11"/>
      <c r="E1" s="11"/>
      <c r="F1" s="11"/>
      <c r="G1" s="11"/>
      <c r="H1" s="11"/>
      <c r="I1" s="11"/>
      <c r="J1" s="11"/>
      <c r="K1" s="11"/>
      <c r="L1" s="11"/>
      <c r="M1" s="11"/>
      <c r="N1" s="11"/>
    </row>
    <row r="2">
      <c r="A2" s="2" t="s">
        <v>10</v>
      </c>
      <c r="B2" s="2" t="s">
        <v>12</v>
      </c>
      <c r="C2" s="2" t="s">
        <v>14</v>
      </c>
      <c r="D2" s="2" t="s">
        <v>16</v>
      </c>
      <c r="E2" s="2" t="s">
        <v>18</v>
      </c>
      <c r="F2" s="2" t="s">
        <v>20</v>
      </c>
      <c r="G2" s="2" t="s">
        <v>22</v>
      </c>
      <c r="H2" s="2" t="s">
        <v>46</v>
      </c>
      <c r="I2" s="2" t="s">
        <v>24</v>
      </c>
      <c r="J2" s="2" t="s">
        <v>26</v>
      </c>
      <c r="K2" s="2" t="s">
        <v>28</v>
      </c>
      <c r="L2" s="2" t="s">
        <v>36</v>
      </c>
      <c r="M2" s="2" t="s">
        <v>40</v>
      </c>
      <c r="N2" s="2" t="s">
        <v>42</v>
      </c>
      <c r="O2" s="6"/>
      <c r="P2" s="6"/>
      <c r="Q2" s="6"/>
      <c r="R2" s="6"/>
      <c r="S2" s="6"/>
      <c r="T2" s="6"/>
      <c r="U2" s="6"/>
      <c r="V2" s="6"/>
      <c r="W2" s="6"/>
      <c r="X2" s="6"/>
      <c r="Y2" s="6"/>
      <c r="Z2" s="6"/>
      <c r="AA2" s="6"/>
      <c r="AB2" s="6"/>
      <c r="AC2" s="6"/>
    </row>
    <row r="3">
      <c r="A3" s="13">
        <v>45901.0</v>
      </c>
      <c r="B3" s="14" t="s">
        <v>47</v>
      </c>
      <c r="C3" s="14" t="s">
        <v>48</v>
      </c>
      <c r="D3" s="14" t="s">
        <v>116</v>
      </c>
      <c r="E3" s="14" t="s">
        <v>117</v>
      </c>
      <c r="F3" s="15" t="s">
        <v>51</v>
      </c>
      <c r="G3" s="14" t="s">
        <v>161</v>
      </c>
      <c r="H3" s="14" t="s">
        <v>116</v>
      </c>
      <c r="I3" s="14" t="s">
        <v>54</v>
      </c>
      <c r="J3" s="14" t="s">
        <v>200</v>
      </c>
      <c r="K3" s="14" t="s">
        <v>201</v>
      </c>
      <c r="L3" s="16">
        <v>2.0</v>
      </c>
      <c r="M3" s="17" t="str">
        <f t="shared" ref="M3:M7" si="1">"+0"</f>
        <v>+0</v>
      </c>
      <c r="N3" s="18" t="str">
        <f>"-1"</f>
        <v>-1</v>
      </c>
    </row>
    <row r="4">
      <c r="A4" s="13">
        <v>45901.0</v>
      </c>
      <c r="B4" s="14" t="s">
        <v>47</v>
      </c>
      <c r="C4" s="14" t="s">
        <v>48</v>
      </c>
      <c r="D4" s="14" t="s">
        <v>96</v>
      </c>
      <c r="E4" s="14" t="s">
        <v>97</v>
      </c>
      <c r="F4" s="15" t="s">
        <v>51</v>
      </c>
      <c r="G4" s="14" t="s">
        <v>98</v>
      </c>
      <c r="H4" s="14" t="s">
        <v>96</v>
      </c>
      <c r="I4" s="14" t="s">
        <v>59</v>
      </c>
      <c r="J4" s="14" t="s">
        <v>200</v>
      </c>
      <c r="K4" s="14" t="s">
        <v>202</v>
      </c>
      <c r="L4" s="16">
        <v>26.0</v>
      </c>
      <c r="M4" s="17" t="str">
        <f t="shared" si="1"/>
        <v>+0</v>
      </c>
      <c r="N4" s="18" t="str">
        <f t="shared" ref="N4:N6" si="2">"+0"</f>
        <v>+0</v>
      </c>
    </row>
    <row r="5">
      <c r="A5" s="13">
        <v>45901.0</v>
      </c>
      <c r="B5" s="14" t="s">
        <v>47</v>
      </c>
      <c r="C5" s="14" t="s">
        <v>48</v>
      </c>
      <c r="D5" s="14" t="s">
        <v>91</v>
      </c>
      <c r="E5" s="14" t="s">
        <v>92</v>
      </c>
      <c r="F5" s="14" t="s">
        <v>71</v>
      </c>
      <c r="G5" s="14">
        <v>5.00008613E8</v>
      </c>
      <c r="H5" s="14" t="s">
        <v>91</v>
      </c>
      <c r="I5" s="14" t="s">
        <v>59</v>
      </c>
      <c r="J5" s="14" t="s">
        <v>199</v>
      </c>
      <c r="K5" s="14" t="s">
        <v>203</v>
      </c>
      <c r="L5" s="16">
        <v>100.0</v>
      </c>
      <c r="M5" s="17" t="str">
        <f t="shared" si="1"/>
        <v>+0</v>
      </c>
      <c r="N5" s="18" t="str">
        <f t="shared" si="2"/>
        <v>+0</v>
      </c>
    </row>
    <row r="6">
      <c r="A6" s="13">
        <v>45901.0</v>
      </c>
      <c r="B6" s="14" t="s">
        <v>47</v>
      </c>
      <c r="C6" s="14" t="s">
        <v>48</v>
      </c>
      <c r="D6" s="14" t="s">
        <v>77</v>
      </c>
      <c r="E6" s="14" t="s">
        <v>78</v>
      </c>
      <c r="F6" s="15" t="s">
        <v>51</v>
      </c>
      <c r="G6" s="14" t="s">
        <v>128</v>
      </c>
      <c r="H6" s="14" t="s">
        <v>81</v>
      </c>
      <c r="I6" s="14" t="s">
        <v>59</v>
      </c>
      <c r="J6" s="14" t="s">
        <v>200</v>
      </c>
      <c r="K6" s="14" t="s">
        <v>204</v>
      </c>
      <c r="L6" s="16">
        <v>0.0</v>
      </c>
      <c r="M6" s="17" t="str">
        <f t="shared" si="1"/>
        <v>+0</v>
      </c>
      <c r="N6" s="18" t="str">
        <f t="shared" si="2"/>
        <v>+0</v>
      </c>
    </row>
    <row r="7">
      <c r="A7" s="13">
        <v>45901.0</v>
      </c>
      <c r="B7" s="14" t="s">
        <v>47</v>
      </c>
      <c r="C7" s="14" t="s">
        <v>48</v>
      </c>
      <c r="D7" s="14" t="s">
        <v>85</v>
      </c>
      <c r="E7" s="14" t="s">
        <v>86</v>
      </c>
      <c r="F7" s="15" t="s">
        <v>51</v>
      </c>
      <c r="G7" s="14" t="s">
        <v>148</v>
      </c>
      <c r="H7" s="14" t="s">
        <v>85</v>
      </c>
      <c r="I7" s="14" t="s">
        <v>59</v>
      </c>
      <c r="J7" s="14" t="s">
        <v>198</v>
      </c>
      <c r="K7" s="14" t="s">
        <v>205</v>
      </c>
      <c r="L7" s="16">
        <v>68.0</v>
      </c>
      <c r="M7" s="17" t="str">
        <f t="shared" si="1"/>
        <v>+0</v>
      </c>
    </row>
    <row r="8">
      <c r="A8" s="13">
        <v>45901.0</v>
      </c>
      <c r="B8" s="14" t="s">
        <v>47</v>
      </c>
      <c r="C8" s="14" t="s">
        <v>48</v>
      </c>
      <c r="D8" s="14" t="s">
        <v>108</v>
      </c>
      <c r="E8" s="14" t="s">
        <v>109</v>
      </c>
      <c r="F8" s="14" t="s">
        <v>146</v>
      </c>
      <c r="G8" s="14" t="s">
        <v>180</v>
      </c>
      <c r="H8" s="14" t="s">
        <v>108</v>
      </c>
      <c r="I8" s="14" t="s">
        <v>59</v>
      </c>
      <c r="J8" s="14" t="s">
        <v>199</v>
      </c>
      <c r="K8" s="14" t="s">
        <v>206</v>
      </c>
      <c r="L8" s="16">
        <v>60.0</v>
      </c>
      <c r="M8" s="17" t="str">
        <f>"+2"</f>
        <v>+2</v>
      </c>
    </row>
    <row r="9">
      <c r="A9" s="13">
        <v>45901.0</v>
      </c>
      <c r="B9" s="14" t="s">
        <v>47</v>
      </c>
      <c r="C9" s="14" t="s">
        <v>48</v>
      </c>
      <c r="D9" s="14" t="s">
        <v>149</v>
      </c>
      <c r="E9" s="14" t="s">
        <v>150</v>
      </c>
      <c r="F9" s="15" t="s">
        <v>51</v>
      </c>
      <c r="G9" s="14" t="s">
        <v>151</v>
      </c>
      <c r="H9" s="14" t="s">
        <v>152</v>
      </c>
      <c r="I9" s="14" t="s">
        <v>54</v>
      </c>
      <c r="J9" s="14" t="s">
        <v>200</v>
      </c>
      <c r="K9" s="14" t="s">
        <v>202</v>
      </c>
      <c r="L9" s="16">
        <v>46.0</v>
      </c>
      <c r="M9" s="17" t="str">
        <f t="shared" ref="M9:N9" si="3">"+0"</f>
        <v>+0</v>
      </c>
      <c r="N9" s="18" t="str">
        <f t="shared" si="3"/>
        <v>+0</v>
      </c>
    </row>
    <row r="10">
      <c r="A10" s="13">
        <v>45901.0</v>
      </c>
      <c r="B10" s="14" t="s">
        <v>47</v>
      </c>
      <c r="C10" s="14" t="s">
        <v>48</v>
      </c>
      <c r="D10" s="14" t="s">
        <v>116</v>
      </c>
      <c r="E10" s="14" t="s">
        <v>117</v>
      </c>
      <c r="F10" s="15" t="s">
        <v>51</v>
      </c>
      <c r="G10" s="14" t="s">
        <v>161</v>
      </c>
      <c r="H10" s="14" t="s">
        <v>116</v>
      </c>
      <c r="I10" s="14" t="s">
        <v>54</v>
      </c>
      <c r="J10" s="14" t="s">
        <v>198</v>
      </c>
      <c r="K10" s="14" t="s">
        <v>207</v>
      </c>
      <c r="L10" s="16">
        <v>50.0</v>
      </c>
      <c r="M10" s="17" t="str">
        <f t="shared" ref="M10:M11" si="4">"+0"</f>
        <v>+0</v>
      </c>
    </row>
    <row r="11">
      <c r="A11" s="13">
        <v>45901.0</v>
      </c>
      <c r="B11" s="14" t="s">
        <v>47</v>
      </c>
      <c r="C11" s="14" t="s">
        <v>48</v>
      </c>
      <c r="D11" s="14" t="s">
        <v>192</v>
      </c>
      <c r="E11" s="14" t="s">
        <v>193</v>
      </c>
      <c r="F11" s="15" t="s">
        <v>51</v>
      </c>
      <c r="G11" s="14" t="s">
        <v>194</v>
      </c>
      <c r="H11" s="14" t="s">
        <v>192</v>
      </c>
      <c r="I11" s="14" t="s">
        <v>54</v>
      </c>
      <c r="J11" s="14" t="s">
        <v>199</v>
      </c>
      <c r="K11" s="14" t="s">
        <v>208</v>
      </c>
      <c r="L11" s="16">
        <v>100.0</v>
      </c>
      <c r="M11" s="17" t="str">
        <f t="shared" si="4"/>
        <v>+0</v>
      </c>
      <c r="N11" s="18" t="str">
        <f>"+0"</f>
        <v>+0</v>
      </c>
    </row>
    <row r="12">
      <c r="A12" s="13">
        <v>45901.0</v>
      </c>
      <c r="B12" s="14" t="s">
        <v>47</v>
      </c>
      <c r="C12" s="14" t="s">
        <v>48</v>
      </c>
      <c r="D12" s="14" t="s">
        <v>149</v>
      </c>
      <c r="E12" s="14" t="s">
        <v>150</v>
      </c>
      <c r="F12" s="15" t="s">
        <v>51</v>
      </c>
      <c r="G12" s="14" t="s">
        <v>151</v>
      </c>
      <c r="H12" s="14" t="s">
        <v>152</v>
      </c>
      <c r="I12" s="14" t="s">
        <v>54</v>
      </c>
      <c r="J12" s="14" t="s">
        <v>200</v>
      </c>
      <c r="K12" s="14" t="s">
        <v>209</v>
      </c>
      <c r="L12" s="16">
        <v>95.0</v>
      </c>
      <c r="M12" s="17" t="str">
        <f t="shared" ref="M12:N12" si="5">"-1"</f>
        <v>-1</v>
      </c>
      <c r="N12" s="18" t="str">
        <f t="shared" si="5"/>
        <v>-1</v>
      </c>
    </row>
    <row r="13">
      <c r="A13" s="13">
        <v>45901.0</v>
      </c>
      <c r="B13" s="14" t="s">
        <v>47</v>
      </c>
      <c r="C13" s="14" t="s">
        <v>48</v>
      </c>
      <c r="D13" s="14" t="s">
        <v>192</v>
      </c>
      <c r="E13" s="14" t="s">
        <v>193</v>
      </c>
      <c r="F13" s="15" t="s">
        <v>51</v>
      </c>
      <c r="G13" s="14" t="s">
        <v>194</v>
      </c>
      <c r="H13" s="14" t="s">
        <v>192</v>
      </c>
      <c r="I13" s="14" t="s">
        <v>54</v>
      </c>
      <c r="J13" s="14" t="s">
        <v>200</v>
      </c>
      <c r="K13" s="14" t="s">
        <v>201</v>
      </c>
      <c r="L13" s="16">
        <v>51.0</v>
      </c>
      <c r="M13" s="17" t="str">
        <f>"-2"</f>
        <v>-2</v>
      </c>
      <c r="N13" s="18" t="str">
        <f>"-4"</f>
        <v>-4</v>
      </c>
    </row>
    <row r="14">
      <c r="A14" s="13">
        <v>45901.0</v>
      </c>
      <c r="B14" s="14" t="s">
        <v>47</v>
      </c>
      <c r="C14" s="14" t="s">
        <v>48</v>
      </c>
      <c r="D14" s="14" t="s">
        <v>171</v>
      </c>
      <c r="E14" s="14" t="s">
        <v>172</v>
      </c>
      <c r="F14" s="15" t="s">
        <v>51</v>
      </c>
      <c r="G14" s="14" t="s">
        <v>173</v>
      </c>
      <c r="H14" s="14" t="s">
        <v>171</v>
      </c>
      <c r="I14" s="14" t="s">
        <v>59</v>
      </c>
      <c r="J14" s="14" t="s">
        <v>200</v>
      </c>
      <c r="K14" s="14" t="s">
        <v>209</v>
      </c>
      <c r="L14" s="16">
        <v>69.0</v>
      </c>
      <c r="M14" s="17" t="str">
        <f t="shared" ref="M14:N14" si="6">"+0"</f>
        <v>+0</v>
      </c>
      <c r="N14" s="18" t="str">
        <f t="shared" si="6"/>
        <v>+0</v>
      </c>
    </row>
    <row r="15">
      <c r="A15" s="13">
        <v>45901.0</v>
      </c>
      <c r="B15" s="14" t="s">
        <v>47</v>
      </c>
      <c r="C15" s="14" t="s">
        <v>48</v>
      </c>
      <c r="D15" s="14" t="s">
        <v>69</v>
      </c>
      <c r="E15" s="14" t="s">
        <v>70</v>
      </c>
      <c r="F15" s="15" t="s">
        <v>51</v>
      </c>
      <c r="G15" s="14" t="s">
        <v>115</v>
      </c>
      <c r="H15" s="14" t="s">
        <v>72</v>
      </c>
      <c r="I15" s="14" t="s">
        <v>54</v>
      </c>
      <c r="J15" s="14" t="s">
        <v>200</v>
      </c>
      <c r="K15" s="14" t="s">
        <v>204</v>
      </c>
      <c r="L15" s="16">
        <v>1.0</v>
      </c>
      <c r="M15" s="17" t="str">
        <f t="shared" ref="M15:M16" si="7">"+1"</f>
        <v>+1</v>
      </c>
      <c r="N15" s="18" t="str">
        <f>"+0"</f>
        <v>+0</v>
      </c>
    </row>
    <row r="16">
      <c r="A16" s="13">
        <v>45901.0</v>
      </c>
      <c r="B16" s="14" t="s">
        <v>47</v>
      </c>
      <c r="C16" s="14" t="s">
        <v>48</v>
      </c>
      <c r="D16" s="14" t="s">
        <v>69</v>
      </c>
      <c r="E16" s="14" t="s">
        <v>70</v>
      </c>
      <c r="F16" s="15" t="s">
        <v>51</v>
      </c>
      <c r="G16" s="14" t="s">
        <v>115</v>
      </c>
      <c r="H16" s="14" t="s">
        <v>72</v>
      </c>
      <c r="I16" s="14" t="s">
        <v>54</v>
      </c>
      <c r="J16" s="14" t="s">
        <v>198</v>
      </c>
      <c r="K16" s="14" t="s">
        <v>210</v>
      </c>
      <c r="L16" s="16">
        <v>30.0</v>
      </c>
      <c r="M16" s="17" t="str">
        <f t="shared" si="7"/>
        <v>+1</v>
      </c>
      <c r="N16" s="18" t="str">
        <f>"+8"</f>
        <v>+8</v>
      </c>
    </row>
    <row r="17">
      <c r="A17" s="13">
        <v>45901.0</v>
      </c>
      <c r="B17" s="14" t="s">
        <v>47</v>
      </c>
      <c r="C17" s="14" t="s">
        <v>48</v>
      </c>
      <c r="D17" s="14" t="s">
        <v>158</v>
      </c>
      <c r="E17" s="14" t="s">
        <v>159</v>
      </c>
      <c r="F17" s="15" t="s">
        <v>51</v>
      </c>
      <c r="G17" s="14" t="s">
        <v>160</v>
      </c>
      <c r="H17" s="14" t="s">
        <v>158</v>
      </c>
      <c r="I17" s="14" t="s">
        <v>54</v>
      </c>
      <c r="J17" s="14" t="s">
        <v>199</v>
      </c>
      <c r="K17" s="14" t="s">
        <v>206</v>
      </c>
      <c r="L17" s="16">
        <v>57.0</v>
      </c>
      <c r="M17" s="17" t="str">
        <f t="shared" ref="M17:M19" si="8">"+0"</f>
        <v>+0</v>
      </c>
      <c r="N17" s="18" t="str">
        <f>"-18"</f>
        <v>-18</v>
      </c>
    </row>
    <row r="18">
      <c r="A18" s="13">
        <v>45901.0</v>
      </c>
      <c r="B18" s="14" t="s">
        <v>47</v>
      </c>
      <c r="C18" s="14" t="s">
        <v>48</v>
      </c>
      <c r="D18" s="14" t="s">
        <v>77</v>
      </c>
      <c r="E18" s="14" t="s">
        <v>78</v>
      </c>
      <c r="F18" s="15" t="s">
        <v>51</v>
      </c>
      <c r="G18" s="14" t="s">
        <v>128</v>
      </c>
      <c r="H18" s="14" t="s">
        <v>81</v>
      </c>
      <c r="I18" s="14" t="s">
        <v>59</v>
      </c>
      <c r="J18" s="14" t="s">
        <v>200</v>
      </c>
      <c r="K18" s="14" t="s">
        <v>211</v>
      </c>
      <c r="L18" s="16">
        <v>0.0</v>
      </c>
      <c r="M18" s="17" t="str">
        <f t="shared" si="8"/>
        <v>+0</v>
      </c>
      <c r="N18" s="18" t="str">
        <f t="shared" ref="N18:N19" si="9">"+0"</f>
        <v>+0</v>
      </c>
    </row>
    <row r="19">
      <c r="A19" s="13">
        <v>45901.0</v>
      </c>
      <c r="B19" s="14" t="s">
        <v>47</v>
      </c>
      <c r="C19" s="14" t="s">
        <v>48</v>
      </c>
      <c r="D19" s="14" t="s">
        <v>91</v>
      </c>
      <c r="E19" s="14" t="s">
        <v>92</v>
      </c>
      <c r="F19" s="14" t="s">
        <v>71</v>
      </c>
      <c r="G19" s="14">
        <v>7295600.0</v>
      </c>
      <c r="H19" s="14" t="s">
        <v>91</v>
      </c>
      <c r="I19" s="14" t="s">
        <v>54</v>
      </c>
      <c r="J19" s="14" t="s">
        <v>199</v>
      </c>
      <c r="K19" s="14" t="s">
        <v>203</v>
      </c>
      <c r="L19" s="16">
        <v>100.0</v>
      </c>
      <c r="M19" s="17" t="str">
        <f t="shared" si="8"/>
        <v>+0</v>
      </c>
      <c r="N19" s="18" t="str">
        <f t="shared" si="9"/>
        <v>+0</v>
      </c>
    </row>
    <row r="20">
      <c r="A20" s="13">
        <v>45901.0</v>
      </c>
      <c r="B20" s="14" t="s">
        <v>47</v>
      </c>
      <c r="C20" s="14" t="s">
        <v>48</v>
      </c>
      <c r="D20" s="14" t="s">
        <v>66</v>
      </c>
      <c r="E20" s="14" t="s">
        <v>67</v>
      </c>
      <c r="F20" s="15" t="s">
        <v>51</v>
      </c>
      <c r="G20" s="14" t="s">
        <v>68</v>
      </c>
      <c r="H20" s="14" t="s">
        <v>66</v>
      </c>
      <c r="I20" s="14" t="s">
        <v>59</v>
      </c>
      <c r="J20" s="14" t="s">
        <v>198</v>
      </c>
      <c r="K20" s="14" t="s">
        <v>210</v>
      </c>
      <c r="L20" s="16">
        <v>99.0</v>
      </c>
      <c r="M20" s="17" t="str">
        <f>"+3"</f>
        <v>+3</v>
      </c>
      <c r="N20" s="18" t="str">
        <f>"+16"</f>
        <v>+16</v>
      </c>
    </row>
    <row r="21">
      <c r="A21" s="13">
        <v>45901.0</v>
      </c>
      <c r="B21" s="14" t="s">
        <v>47</v>
      </c>
      <c r="C21" s="14" t="s">
        <v>48</v>
      </c>
      <c r="D21" s="14" t="s">
        <v>184</v>
      </c>
      <c r="E21" s="14" t="s">
        <v>185</v>
      </c>
      <c r="F21" s="15" t="s">
        <v>51</v>
      </c>
      <c r="G21" s="14" t="s">
        <v>186</v>
      </c>
      <c r="H21" s="14" t="s">
        <v>187</v>
      </c>
      <c r="I21" s="14" t="s">
        <v>59</v>
      </c>
      <c r="J21" s="14" t="s">
        <v>200</v>
      </c>
      <c r="K21" s="14" t="s">
        <v>202</v>
      </c>
      <c r="L21" s="16">
        <v>0.0</v>
      </c>
      <c r="M21" s="17" t="str">
        <f t="shared" ref="M21:N21" si="10">"+0"</f>
        <v>+0</v>
      </c>
      <c r="N21" s="18" t="str">
        <f t="shared" si="10"/>
        <v>+0</v>
      </c>
    </row>
    <row r="22">
      <c r="A22" s="13">
        <v>45901.0</v>
      </c>
      <c r="B22" s="14" t="s">
        <v>47</v>
      </c>
      <c r="C22" s="14" t="s">
        <v>48</v>
      </c>
      <c r="D22" s="14" t="s">
        <v>192</v>
      </c>
      <c r="E22" s="14" t="s">
        <v>193</v>
      </c>
      <c r="F22" s="15" t="s">
        <v>51</v>
      </c>
      <c r="G22" s="14" t="s">
        <v>194</v>
      </c>
      <c r="H22" s="14" t="s">
        <v>192</v>
      </c>
      <c r="I22" s="14" t="s">
        <v>54</v>
      </c>
      <c r="J22" s="14" t="s">
        <v>198</v>
      </c>
      <c r="K22" s="14" t="s">
        <v>207</v>
      </c>
      <c r="L22" s="16">
        <v>100.0</v>
      </c>
      <c r="M22" s="17" t="str">
        <f>"+0"</f>
        <v>+0</v>
      </c>
    </row>
    <row r="23">
      <c r="A23" s="13">
        <v>45901.0</v>
      </c>
      <c r="B23" s="14" t="s">
        <v>47</v>
      </c>
      <c r="C23" s="14" t="s">
        <v>48</v>
      </c>
      <c r="D23" s="14" t="s">
        <v>192</v>
      </c>
      <c r="E23" s="14" t="s">
        <v>193</v>
      </c>
      <c r="F23" s="15" t="s">
        <v>51</v>
      </c>
      <c r="G23" s="14" t="s">
        <v>194</v>
      </c>
      <c r="H23" s="14" t="s">
        <v>192</v>
      </c>
      <c r="I23" s="14" t="s">
        <v>54</v>
      </c>
      <c r="J23" s="14" t="s">
        <v>198</v>
      </c>
      <c r="K23" s="14" t="s">
        <v>212</v>
      </c>
      <c r="L23" s="16">
        <v>94.0</v>
      </c>
      <c r="M23" s="17" t="str">
        <f>"+18"</f>
        <v>+18</v>
      </c>
      <c r="N23" s="18" t="str">
        <f>"+17"</f>
        <v>+17</v>
      </c>
    </row>
    <row r="24">
      <c r="A24" s="13">
        <v>45901.0</v>
      </c>
      <c r="B24" s="14" t="s">
        <v>47</v>
      </c>
      <c r="C24" s="14" t="s">
        <v>48</v>
      </c>
      <c r="D24" s="14" t="s">
        <v>93</v>
      </c>
      <c r="E24" s="14" t="s">
        <v>94</v>
      </c>
      <c r="F24" s="15" t="s">
        <v>51</v>
      </c>
      <c r="G24" s="14" t="s">
        <v>191</v>
      </c>
      <c r="H24" s="14" t="s">
        <v>95</v>
      </c>
      <c r="I24" s="14" t="s">
        <v>59</v>
      </c>
      <c r="J24" s="14" t="s">
        <v>200</v>
      </c>
      <c r="K24" s="14" t="s">
        <v>204</v>
      </c>
      <c r="L24" s="16">
        <v>11.0</v>
      </c>
      <c r="M24" s="17" t="str">
        <f t="shared" ref="M24:N24" si="11">"+2"</f>
        <v>+2</v>
      </c>
      <c r="N24" s="18" t="str">
        <f t="shared" si="11"/>
        <v>+2</v>
      </c>
    </row>
    <row r="25">
      <c r="A25" s="13">
        <v>45901.0</v>
      </c>
      <c r="B25" s="14" t="s">
        <v>47</v>
      </c>
      <c r="C25" s="14" t="s">
        <v>48</v>
      </c>
      <c r="D25" s="14" t="s">
        <v>132</v>
      </c>
      <c r="E25" s="14" t="s">
        <v>133</v>
      </c>
      <c r="F25" s="15" t="s">
        <v>51</v>
      </c>
      <c r="G25" s="14" t="s">
        <v>134</v>
      </c>
      <c r="H25" s="14" t="s">
        <v>135</v>
      </c>
      <c r="I25" s="14" t="s">
        <v>59</v>
      </c>
      <c r="J25" s="14" t="s">
        <v>200</v>
      </c>
      <c r="K25" s="14" t="s">
        <v>213</v>
      </c>
      <c r="L25" s="16">
        <v>33.0</v>
      </c>
      <c r="M25" s="17" t="str">
        <f>"+2"</f>
        <v>+2</v>
      </c>
      <c r="N25" s="18" t="str">
        <f>"+0"</f>
        <v>+0</v>
      </c>
    </row>
    <row r="26">
      <c r="A26" s="13">
        <v>45901.0</v>
      </c>
      <c r="B26" s="14" t="s">
        <v>47</v>
      </c>
      <c r="C26" s="14" t="s">
        <v>48</v>
      </c>
      <c r="D26" s="14" t="s">
        <v>136</v>
      </c>
      <c r="E26" s="14" t="s">
        <v>137</v>
      </c>
      <c r="F26" s="15" t="s">
        <v>51</v>
      </c>
      <c r="G26" s="14" t="s">
        <v>138</v>
      </c>
      <c r="H26" s="14" t="s">
        <v>139</v>
      </c>
      <c r="I26" s="14" t="s">
        <v>59</v>
      </c>
      <c r="J26" s="14" t="s">
        <v>198</v>
      </c>
      <c r="K26" s="14" t="s">
        <v>212</v>
      </c>
      <c r="L26" s="16">
        <v>61.0</v>
      </c>
      <c r="M26" s="17" t="str">
        <f>"+23"</f>
        <v>+23</v>
      </c>
      <c r="N26" s="18" t="str">
        <f>"+24"</f>
        <v>+24</v>
      </c>
    </row>
    <row r="27">
      <c r="A27" s="13">
        <v>45901.0</v>
      </c>
      <c r="B27" s="14" t="s">
        <v>47</v>
      </c>
      <c r="C27" s="14" t="s">
        <v>48</v>
      </c>
      <c r="D27" s="14" t="s">
        <v>85</v>
      </c>
      <c r="E27" s="14" t="s">
        <v>86</v>
      </c>
      <c r="F27" s="14" t="s">
        <v>146</v>
      </c>
      <c r="G27" s="14" t="s">
        <v>162</v>
      </c>
      <c r="H27" s="14" t="s">
        <v>85</v>
      </c>
      <c r="I27" s="14" t="s">
        <v>107</v>
      </c>
      <c r="J27" s="14" t="s">
        <v>199</v>
      </c>
      <c r="K27" s="14" t="s">
        <v>208</v>
      </c>
      <c r="L27" s="16">
        <v>0.0</v>
      </c>
      <c r="M27" s="17" t="str">
        <f t="shared" ref="M27:N27" si="12">"+0"</f>
        <v>+0</v>
      </c>
      <c r="N27" s="18" t="str">
        <f t="shared" si="12"/>
        <v>+0</v>
      </c>
    </row>
    <row r="28">
      <c r="A28" s="13">
        <v>45901.0</v>
      </c>
      <c r="B28" s="14" t="s">
        <v>47</v>
      </c>
      <c r="C28" s="14" t="s">
        <v>48</v>
      </c>
      <c r="D28" s="14" t="s">
        <v>174</v>
      </c>
      <c r="E28" s="14" t="s">
        <v>175</v>
      </c>
      <c r="F28" s="15" t="s">
        <v>51</v>
      </c>
      <c r="G28" s="14" t="s">
        <v>176</v>
      </c>
      <c r="H28" s="14" t="s">
        <v>174</v>
      </c>
      <c r="I28" s="14" t="s">
        <v>59</v>
      </c>
      <c r="J28" s="14" t="s">
        <v>200</v>
      </c>
      <c r="K28" s="14" t="s">
        <v>214</v>
      </c>
      <c r="L28" s="16">
        <v>21.0</v>
      </c>
      <c r="M28" s="17" t="str">
        <f t="shared" ref="M28:N28" si="13">"+10"</f>
        <v>+10</v>
      </c>
      <c r="N28" s="18" t="str">
        <f t="shared" si="13"/>
        <v>+10</v>
      </c>
    </row>
    <row r="29">
      <c r="A29" s="13">
        <v>45901.0</v>
      </c>
      <c r="B29" s="14" t="s">
        <v>47</v>
      </c>
      <c r="C29" s="14" t="s">
        <v>48</v>
      </c>
      <c r="D29" s="14" t="s">
        <v>108</v>
      </c>
      <c r="E29" s="14" t="s">
        <v>109</v>
      </c>
      <c r="F29" s="15" t="s">
        <v>51</v>
      </c>
      <c r="G29" s="14" t="s">
        <v>110</v>
      </c>
      <c r="H29" s="14" t="s">
        <v>108</v>
      </c>
      <c r="I29" s="14" t="s">
        <v>59</v>
      </c>
      <c r="J29" s="14" t="s">
        <v>200</v>
      </c>
      <c r="K29" s="14" t="s">
        <v>215</v>
      </c>
      <c r="L29" s="16">
        <v>9.0</v>
      </c>
      <c r="M29" s="17" t="str">
        <f t="shared" ref="M29:N29" si="14">"+9"</f>
        <v>+9</v>
      </c>
      <c r="N29" s="18" t="str">
        <f t="shared" si="14"/>
        <v>+9</v>
      </c>
    </row>
    <row r="30">
      <c r="A30" s="13">
        <v>45901.0</v>
      </c>
      <c r="B30" s="14" t="s">
        <v>47</v>
      </c>
      <c r="C30" s="14" t="s">
        <v>48</v>
      </c>
      <c r="D30" s="14" t="s">
        <v>77</v>
      </c>
      <c r="E30" s="14" t="s">
        <v>78</v>
      </c>
      <c r="F30" s="15" t="s">
        <v>51</v>
      </c>
      <c r="G30" s="14" t="s">
        <v>128</v>
      </c>
      <c r="H30" s="14" t="s">
        <v>81</v>
      </c>
      <c r="I30" s="14" t="s">
        <v>59</v>
      </c>
      <c r="J30" s="14" t="s">
        <v>200</v>
      </c>
      <c r="K30" s="14" t="s">
        <v>216</v>
      </c>
      <c r="L30" s="16">
        <v>0.0</v>
      </c>
      <c r="M30" s="17" t="str">
        <f t="shared" ref="M30:M31" si="15">"+0"</f>
        <v>+0</v>
      </c>
      <c r="N30" s="18" t="str">
        <f>"-2"</f>
        <v>-2</v>
      </c>
    </row>
    <row r="31">
      <c r="A31" s="13">
        <v>45901.0</v>
      </c>
      <c r="B31" s="14" t="s">
        <v>47</v>
      </c>
      <c r="C31" s="14" t="s">
        <v>48</v>
      </c>
      <c r="D31" s="14" t="s">
        <v>77</v>
      </c>
      <c r="E31" s="14" t="s">
        <v>78</v>
      </c>
      <c r="F31" s="15" t="s">
        <v>51</v>
      </c>
      <c r="G31" s="14" t="s">
        <v>128</v>
      </c>
      <c r="H31" s="14" t="s">
        <v>81</v>
      </c>
      <c r="I31" s="14" t="s">
        <v>59</v>
      </c>
      <c r="J31" s="14" t="s">
        <v>200</v>
      </c>
      <c r="K31" s="14" t="s">
        <v>217</v>
      </c>
      <c r="L31" s="16">
        <v>0.0</v>
      </c>
      <c r="M31" s="17" t="str">
        <f t="shared" si="15"/>
        <v>+0</v>
      </c>
      <c r="N31" s="18" t="str">
        <f>"+0"</f>
        <v>+0</v>
      </c>
    </row>
    <row r="32">
      <c r="A32" s="13">
        <v>45901.0</v>
      </c>
      <c r="B32" s="14" t="s">
        <v>47</v>
      </c>
      <c r="C32" s="14" t="s">
        <v>48</v>
      </c>
      <c r="D32" s="14" t="s">
        <v>108</v>
      </c>
      <c r="E32" s="14" t="s">
        <v>109</v>
      </c>
      <c r="F32" s="15" t="s">
        <v>51</v>
      </c>
      <c r="G32" s="14" t="s">
        <v>110</v>
      </c>
      <c r="H32" s="14" t="s">
        <v>108</v>
      </c>
      <c r="I32" s="14" t="s">
        <v>59</v>
      </c>
      <c r="J32" s="14" t="s">
        <v>198</v>
      </c>
      <c r="K32" s="14" t="s">
        <v>210</v>
      </c>
      <c r="L32" s="16">
        <v>89.0</v>
      </c>
      <c r="M32" s="17" t="str">
        <f>"+1"</f>
        <v>+1</v>
      </c>
      <c r="N32" s="18" t="str">
        <f>"-4"</f>
        <v>-4</v>
      </c>
    </row>
    <row r="33">
      <c r="A33" s="13">
        <v>45901.0</v>
      </c>
      <c r="B33" s="14" t="s">
        <v>47</v>
      </c>
      <c r="C33" s="14" t="s">
        <v>48</v>
      </c>
      <c r="D33" s="14" t="s">
        <v>140</v>
      </c>
      <c r="E33" s="14" t="s">
        <v>141</v>
      </c>
      <c r="F33" s="15" t="s">
        <v>51</v>
      </c>
      <c r="G33" s="14" t="s">
        <v>142</v>
      </c>
      <c r="H33" s="14" t="s">
        <v>140</v>
      </c>
      <c r="I33" s="14" t="s">
        <v>59</v>
      </c>
      <c r="J33" s="14" t="s">
        <v>199</v>
      </c>
      <c r="K33" s="14" t="s">
        <v>203</v>
      </c>
      <c r="L33" s="16">
        <v>0.0</v>
      </c>
      <c r="M33" s="17" t="str">
        <f t="shared" ref="M33:N33" si="16">"+0"</f>
        <v>+0</v>
      </c>
      <c r="N33" s="18" t="str">
        <f t="shared" si="16"/>
        <v>+0</v>
      </c>
    </row>
    <row r="34">
      <c r="A34" s="13">
        <v>45901.0</v>
      </c>
      <c r="B34" s="14" t="s">
        <v>47</v>
      </c>
      <c r="C34" s="14" t="s">
        <v>48</v>
      </c>
      <c r="D34" s="14" t="s">
        <v>56</v>
      </c>
      <c r="E34" s="14" t="s">
        <v>57</v>
      </c>
      <c r="F34" s="14" t="s">
        <v>71</v>
      </c>
      <c r="G34" s="14">
        <v>5.36003976E8</v>
      </c>
      <c r="H34" s="14" t="s">
        <v>56</v>
      </c>
      <c r="I34" s="14" t="s">
        <v>59</v>
      </c>
      <c r="J34" s="14" t="s">
        <v>200</v>
      </c>
      <c r="K34" s="14" t="s">
        <v>218</v>
      </c>
      <c r="L34" s="16">
        <v>4.0</v>
      </c>
      <c r="M34" s="17" t="str">
        <f t="shared" ref="M34:M35" si="17">"+0"</f>
        <v>+0</v>
      </c>
      <c r="N34" s="18" t="str">
        <f>"+1"</f>
        <v>+1</v>
      </c>
    </row>
    <row r="35">
      <c r="A35" s="13">
        <v>45901.0</v>
      </c>
      <c r="B35" s="14" t="s">
        <v>47</v>
      </c>
      <c r="C35" s="14" t="s">
        <v>48</v>
      </c>
      <c r="D35" s="14" t="s">
        <v>60</v>
      </c>
      <c r="E35" s="14" t="s">
        <v>61</v>
      </c>
      <c r="F35" s="15" t="s">
        <v>51</v>
      </c>
      <c r="G35" s="14" t="s">
        <v>62</v>
      </c>
      <c r="H35" s="14" t="s">
        <v>60</v>
      </c>
      <c r="I35" s="14" t="s">
        <v>59</v>
      </c>
      <c r="J35" s="14" t="s">
        <v>200</v>
      </c>
      <c r="K35" s="14" t="s">
        <v>204</v>
      </c>
      <c r="L35" s="16">
        <v>0.0</v>
      </c>
      <c r="M35" s="17" t="str">
        <f t="shared" si="17"/>
        <v>+0</v>
      </c>
      <c r="N35" s="18" t="str">
        <f>"-1"</f>
        <v>-1</v>
      </c>
    </row>
    <row r="36">
      <c r="A36" s="13">
        <v>45901.0</v>
      </c>
      <c r="B36" s="14" t="s">
        <v>47</v>
      </c>
      <c r="C36" s="14" t="s">
        <v>48</v>
      </c>
      <c r="D36" s="14" t="s">
        <v>165</v>
      </c>
      <c r="E36" s="14" t="s">
        <v>166</v>
      </c>
      <c r="F36" s="15" t="s">
        <v>51</v>
      </c>
      <c r="G36" s="14" t="s">
        <v>167</v>
      </c>
      <c r="H36" s="14" t="s">
        <v>165</v>
      </c>
      <c r="I36" s="14" t="s">
        <v>54</v>
      </c>
      <c r="J36" s="14" t="s">
        <v>198</v>
      </c>
      <c r="K36" s="14" t="s">
        <v>210</v>
      </c>
      <c r="L36" s="16">
        <v>47.0</v>
      </c>
      <c r="M36" s="17" t="str">
        <f>"-24"</f>
        <v>-24</v>
      </c>
      <c r="N36" s="18" t="str">
        <f>"-12"</f>
        <v>-12</v>
      </c>
    </row>
    <row r="37">
      <c r="A37" s="13">
        <v>45901.0</v>
      </c>
      <c r="B37" s="14" t="s">
        <v>47</v>
      </c>
      <c r="C37" s="14" t="s">
        <v>48</v>
      </c>
      <c r="D37" s="14" t="s">
        <v>49</v>
      </c>
      <c r="E37" s="14" t="s">
        <v>50</v>
      </c>
      <c r="F37" s="15" t="s">
        <v>51</v>
      </c>
      <c r="G37" s="14" t="s">
        <v>52</v>
      </c>
      <c r="H37" s="14" t="s">
        <v>53</v>
      </c>
      <c r="I37" s="14" t="s">
        <v>54</v>
      </c>
      <c r="J37" s="14" t="s">
        <v>200</v>
      </c>
      <c r="K37" s="14" t="s">
        <v>214</v>
      </c>
      <c r="L37" s="16">
        <v>63.0</v>
      </c>
      <c r="M37" s="17" t="str">
        <f>"+1"</f>
        <v>+1</v>
      </c>
      <c r="N37" s="18" t="str">
        <f>"+0"</f>
        <v>+0</v>
      </c>
    </row>
    <row r="38">
      <c r="A38" s="13">
        <v>45901.0</v>
      </c>
      <c r="B38" s="14" t="s">
        <v>47</v>
      </c>
      <c r="C38" s="14" t="s">
        <v>48</v>
      </c>
      <c r="D38" s="14" t="s">
        <v>49</v>
      </c>
      <c r="E38" s="14" t="s">
        <v>50</v>
      </c>
      <c r="F38" s="15" t="s">
        <v>51</v>
      </c>
      <c r="G38" s="14" t="s">
        <v>52</v>
      </c>
      <c r="H38" s="14" t="s">
        <v>53</v>
      </c>
      <c r="I38" s="14" t="s">
        <v>54</v>
      </c>
      <c r="J38" s="14" t="s">
        <v>198</v>
      </c>
      <c r="K38" s="14" t="s">
        <v>210</v>
      </c>
      <c r="L38" s="16">
        <v>63.0</v>
      </c>
      <c r="M38" s="17" t="str">
        <f>"-2"</f>
        <v>-2</v>
      </c>
      <c r="N38" s="18" t="str">
        <f>"-6"</f>
        <v>-6</v>
      </c>
    </row>
    <row r="39">
      <c r="A39" s="13">
        <v>45901.0</v>
      </c>
      <c r="B39" s="14" t="s">
        <v>47</v>
      </c>
      <c r="C39" s="14" t="s">
        <v>48</v>
      </c>
      <c r="D39" s="14" t="s">
        <v>91</v>
      </c>
      <c r="E39" s="14" t="s">
        <v>92</v>
      </c>
      <c r="F39" s="14" t="s">
        <v>79</v>
      </c>
      <c r="G39" s="14" t="s">
        <v>164</v>
      </c>
      <c r="H39" s="14" t="s">
        <v>91</v>
      </c>
      <c r="I39" s="14" t="s">
        <v>154</v>
      </c>
      <c r="J39" s="14" t="s">
        <v>198</v>
      </c>
      <c r="K39" s="14" t="s">
        <v>212</v>
      </c>
      <c r="L39" s="16">
        <v>99.0</v>
      </c>
      <c r="M39" s="17" t="str">
        <f t="shared" ref="M39:M43" si="18">"+0"</f>
        <v>+0</v>
      </c>
    </row>
    <row r="40">
      <c r="A40" s="13">
        <v>45901.0</v>
      </c>
      <c r="B40" s="14" t="s">
        <v>47</v>
      </c>
      <c r="C40" s="14" t="s">
        <v>48</v>
      </c>
      <c r="D40" s="14" t="s">
        <v>184</v>
      </c>
      <c r="E40" s="14" t="s">
        <v>185</v>
      </c>
      <c r="F40" s="15" t="s">
        <v>51</v>
      </c>
      <c r="G40" s="14" t="s">
        <v>186</v>
      </c>
      <c r="H40" s="14" t="s">
        <v>187</v>
      </c>
      <c r="I40" s="14" t="s">
        <v>59</v>
      </c>
      <c r="J40" s="14" t="s">
        <v>199</v>
      </c>
      <c r="K40" s="14" t="s">
        <v>203</v>
      </c>
      <c r="L40" s="16">
        <v>0.0</v>
      </c>
      <c r="M40" s="17" t="str">
        <f t="shared" si="18"/>
        <v>+0</v>
      </c>
      <c r="N40" s="18" t="str">
        <f t="shared" ref="N40:N41" si="19">"+0"</f>
        <v>+0</v>
      </c>
    </row>
    <row r="41">
      <c r="A41" s="13">
        <v>45901.0</v>
      </c>
      <c r="B41" s="14" t="s">
        <v>47</v>
      </c>
      <c r="C41" s="14" t="s">
        <v>48</v>
      </c>
      <c r="D41" s="14" t="s">
        <v>192</v>
      </c>
      <c r="E41" s="14" t="s">
        <v>193</v>
      </c>
      <c r="F41" s="15" t="s">
        <v>51</v>
      </c>
      <c r="G41" s="14" t="s">
        <v>194</v>
      </c>
      <c r="H41" s="14" t="s">
        <v>192</v>
      </c>
      <c r="I41" s="14" t="s">
        <v>54</v>
      </c>
      <c r="J41" s="14" t="s">
        <v>200</v>
      </c>
      <c r="K41" s="14" t="s">
        <v>219</v>
      </c>
      <c r="L41" s="14">
        <v>100.0</v>
      </c>
      <c r="M41" s="17" t="str">
        <f t="shared" si="18"/>
        <v>+0</v>
      </c>
      <c r="N41" s="18" t="str">
        <f t="shared" si="19"/>
        <v>+0</v>
      </c>
    </row>
    <row r="42">
      <c r="A42" s="13">
        <v>45901.0</v>
      </c>
      <c r="B42" s="14" t="s">
        <v>47</v>
      </c>
      <c r="C42" s="14" t="s">
        <v>48</v>
      </c>
      <c r="D42" s="14" t="s">
        <v>73</v>
      </c>
      <c r="E42" s="14" t="s">
        <v>74</v>
      </c>
      <c r="F42" s="15" t="s">
        <v>51</v>
      </c>
      <c r="G42" s="14" t="s">
        <v>75</v>
      </c>
      <c r="H42" s="14" t="s">
        <v>76</v>
      </c>
      <c r="I42" s="14" t="s">
        <v>59</v>
      </c>
      <c r="J42" s="14" t="s">
        <v>198</v>
      </c>
      <c r="K42" s="14" t="s">
        <v>207</v>
      </c>
      <c r="L42" s="14">
        <v>0.0</v>
      </c>
      <c r="M42" s="17" t="str">
        <f t="shared" si="18"/>
        <v>+0</v>
      </c>
    </row>
    <row r="43">
      <c r="A43" s="13">
        <v>45901.0</v>
      </c>
      <c r="B43" s="14" t="s">
        <v>47</v>
      </c>
      <c r="C43" s="14" t="s">
        <v>48</v>
      </c>
      <c r="D43" s="14" t="s">
        <v>103</v>
      </c>
      <c r="E43" s="14" t="s">
        <v>104</v>
      </c>
      <c r="F43" s="15" t="s">
        <v>51</v>
      </c>
      <c r="G43" s="14" t="s">
        <v>105</v>
      </c>
      <c r="H43" s="14" t="s">
        <v>106</v>
      </c>
      <c r="I43" s="14" t="s">
        <v>59</v>
      </c>
      <c r="J43" s="14" t="s">
        <v>198</v>
      </c>
      <c r="K43" s="14" t="s">
        <v>207</v>
      </c>
      <c r="L43" s="14">
        <v>0.0</v>
      </c>
      <c r="M43" s="17" t="str">
        <f t="shared" si="18"/>
        <v>+0</v>
      </c>
    </row>
    <row r="44">
      <c r="A44" s="13">
        <v>45901.0</v>
      </c>
      <c r="B44" s="14" t="s">
        <v>47</v>
      </c>
      <c r="C44" s="14" t="s">
        <v>48</v>
      </c>
      <c r="D44" s="14" t="s">
        <v>69</v>
      </c>
      <c r="E44" s="14" t="s">
        <v>70</v>
      </c>
      <c r="F44" s="15" t="s">
        <v>51</v>
      </c>
      <c r="G44" s="14" t="s">
        <v>115</v>
      </c>
      <c r="H44" s="14" t="s">
        <v>72</v>
      </c>
      <c r="I44" s="14" t="s">
        <v>54</v>
      </c>
      <c r="J44" s="14" t="s">
        <v>200</v>
      </c>
      <c r="K44" s="14" t="s">
        <v>215</v>
      </c>
      <c r="L44" s="14">
        <v>68.0</v>
      </c>
      <c r="M44" s="17" t="str">
        <f>"+3"</f>
        <v>+3</v>
      </c>
      <c r="N44" s="18" t="str">
        <f>"+5"</f>
        <v>+5</v>
      </c>
    </row>
    <row r="45">
      <c r="A45" s="13">
        <v>45901.0</v>
      </c>
      <c r="B45" s="14" t="s">
        <v>47</v>
      </c>
      <c r="C45" s="14" t="s">
        <v>48</v>
      </c>
      <c r="D45" s="14" t="s">
        <v>69</v>
      </c>
      <c r="E45" s="14" t="s">
        <v>70</v>
      </c>
      <c r="F45" s="14" t="s">
        <v>71</v>
      </c>
      <c r="G45" s="14">
        <v>1.00002092E8</v>
      </c>
      <c r="H45" s="14" t="s">
        <v>72</v>
      </c>
      <c r="I45" s="14" t="s">
        <v>54</v>
      </c>
      <c r="J45" s="14" t="s">
        <v>200</v>
      </c>
      <c r="K45" s="14" t="s">
        <v>220</v>
      </c>
      <c r="L45" s="14">
        <v>100.0</v>
      </c>
      <c r="M45" s="17" t="str">
        <f>"+8"</f>
        <v>+8</v>
      </c>
      <c r="N45" s="18" t="str">
        <f>"+11"</f>
        <v>+11</v>
      </c>
    </row>
    <row r="46">
      <c r="A46" s="13">
        <v>45901.0</v>
      </c>
      <c r="B46" s="14" t="s">
        <v>47</v>
      </c>
      <c r="C46" s="14" t="s">
        <v>48</v>
      </c>
      <c r="D46" s="14" t="s">
        <v>174</v>
      </c>
      <c r="E46" s="14" t="s">
        <v>175</v>
      </c>
      <c r="F46" s="15" t="s">
        <v>51</v>
      </c>
      <c r="G46" s="14" t="s">
        <v>176</v>
      </c>
      <c r="H46" s="14" t="s">
        <v>174</v>
      </c>
      <c r="I46" s="14" t="s">
        <v>59</v>
      </c>
      <c r="J46" s="14" t="s">
        <v>200</v>
      </c>
      <c r="K46" s="14" t="s">
        <v>202</v>
      </c>
      <c r="L46" s="14">
        <v>11.0</v>
      </c>
      <c r="M46" s="17" t="str">
        <f t="shared" ref="M46:N46" si="20">"+0"</f>
        <v>+0</v>
      </c>
      <c r="N46" s="18" t="str">
        <f t="shared" si="20"/>
        <v>+0</v>
      </c>
    </row>
    <row r="47">
      <c r="A47" s="13">
        <v>45901.0</v>
      </c>
      <c r="B47" s="14" t="s">
        <v>47</v>
      </c>
      <c r="C47" s="14" t="s">
        <v>48</v>
      </c>
      <c r="D47" s="14" t="s">
        <v>188</v>
      </c>
      <c r="E47" s="14" t="s">
        <v>189</v>
      </c>
      <c r="F47" s="15" t="s">
        <v>51</v>
      </c>
      <c r="G47" s="14" t="s">
        <v>190</v>
      </c>
      <c r="H47" s="14" t="s">
        <v>188</v>
      </c>
      <c r="J47" s="14" t="s">
        <v>200</v>
      </c>
      <c r="K47" s="14" t="s">
        <v>204</v>
      </c>
      <c r="L47" s="14">
        <v>0.0</v>
      </c>
      <c r="M47" s="17" t="str">
        <f t="shared" ref="M47:N47" si="21">"+0"</f>
        <v>+0</v>
      </c>
      <c r="N47" s="18" t="str">
        <f t="shared" si="21"/>
        <v>+0</v>
      </c>
    </row>
    <row r="48">
      <c r="A48" s="13">
        <v>45901.0</v>
      </c>
      <c r="B48" s="14" t="s">
        <v>47</v>
      </c>
      <c r="C48" s="14" t="s">
        <v>48</v>
      </c>
      <c r="D48" s="14" t="s">
        <v>60</v>
      </c>
      <c r="E48" s="14" t="s">
        <v>61</v>
      </c>
      <c r="F48" s="15" t="s">
        <v>51</v>
      </c>
      <c r="G48" s="14" t="s">
        <v>62</v>
      </c>
      <c r="H48" s="14" t="s">
        <v>60</v>
      </c>
      <c r="I48" s="14" t="s">
        <v>59</v>
      </c>
      <c r="J48" s="14" t="s">
        <v>198</v>
      </c>
      <c r="K48" s="14" t="s">
        <v>210</v>
      </c>
      <c r="L48" s="14">
        <v>90.0</v>
      </c>
      <c r="M48" s="17" t="str">
        <f>"+2"</f>
        <v>+2</v>
      </c>
      <c r="N48" s="18" t="str">
        <f>"+1"</f>
        <v>+1</v>
      </c>
    </row>
    <row r="49">
      <c r="A49" s="13">
        <v>45901.0</v>
      </c>
      <c r="B49" s="14" t="s">
        <v>47</v>
      </c>
      <c r="C49" s="14" t="s">
        <v>48</v>
      </c>
      <c r="D49" s="14" t="s">
        <v>168</v>
      </c>
      <c r="E49" s="14" t="s">
        <v>169</v>
      </c>
      <c r="F49" s="15" t="s">
        <v>51</v>
      </c>
      <c r="G49" s="14" t="s">
        <v>170</v>
      </c>
      <c r="H49" s="14" t="s">
        <v>168</v>
      </c>
      <c r="I49" s="14" t="s">
        <v>59</v>
      </c>
      <c r="J49" s="14" t="s">
        <v>198</v>
      </c>
      <c r="K49" s="14" t="s">
        <v>212</v>
      </c>
      <c r="L49" s="14">
        <v>54.0</v>
      </c>
      <c r="M49" s="17" t="str">
        <f t="shared" ref="M49:N49" si="22">"+18"</f>
        <v>+18</v>
      </c>
      <c r="N49" s="18" t="str">
        <f t="shared" si="22"/>
        <v>+18</v>
      </c>
    </row>
    <row r="50">
      <c r="A50" s="13">
        <v>45901.0</v>
      </c>
      <c r="B50" s="14" t="s">
        <v>47</v>
      </c>
      <c r="C50" s="14" t="s">
        <v>48</v>
      </c>
      <c r="D50" s="14" t="s">
        <v>56</v>
      </c>
      <c r="E50" s="14" t="s">
        <v>57</v>
      </c>
      <c r="F50" s="15" t="s">
        <v>51</v>
      </c>
      <c r="G50" s="14" t="s">
        <v>58</v>
      </c>
      <c r="H50" s="14" t="s">
        <v>56</v>
      </c>
      <c r="I50" s="14" t="s">
        <v>59</v>
      </c>
      <c r="J50" s="14" t="s">
        <v>199</v>
      </c>
      <c r="K50" s="14" t="s">
        <v>208</v>
      </c>
      <c r="L50" s="14">
        <v>90.0</v>
      </c>
      <c r="M50" s="17" t="str">
        <f t="shared" ref="M50:N50" si="23">"+0"</f>
        <v>+0</v>
      </c>
      <c r="N50" s="18" t="str">
        <f t="shared" si="23"/>
        <v>+0</v>
      </c>
    </row>
    <row r="51">
      <c r="A51" s="13">
        <v>45901.0</v>
      </c>
      <c r="B51" s="14" t="s">
        <v>47</v>
      </c>
      <c r="C51" s="14" t="s">
        <v>48</v>
      </c>
      <c r="D51" s="14" t="s">
        <v>91</v>
      </c>
      <c r="E51" s="14" t="s">
        <v>92</v>
      </c>
      <c r="F51" s="14" t="s">
        <v>71</v>
      </c>
      <c r="G51" s="14">
        <v>5.00008613E8</v>
      </c>
      <c r="H51" s="14" t="s">
        <v>91</v>
      </c>
      <c r="I51" s="14" t="s">
        <v>59</v>
      </c>
      <c r="J51" s="14" t="s">
        <v>200</v>
      </c>
      <c r="K51" s="14" t="s">
        <v>220</v>
      </c>
      <c r="L51" s="14">
        <v>1.0</v>
      </c>
      <c r="M51" s="17" t="str">
        <f t="shared" ref="M51:N51" si="24">"+0"</f>
        <v>+0</v>
      </c>
      <c r="N51" s="18" t="str">
        <f t="shared" si="24"/>
        <v>+0</v>
      </c>
    </row>
    <row r="52">
      <c r="A52" s="13">
        <v>45901.0</v>
      </c>
      <c r="B52" s="14" t="s">
        <v>47</v>
      </c>
      <c r="C52" s="14" t="s">
        <v>48</v>
      </c>
      <c r="D52" s="14" t="s">
        <v>63</v>
      </c>
      <c r="E52" s="14" t="s">
        <v>64</v>
      </c>
      <c r="F52" s="14" t="s">
        <v>111</v>
      </c>
      <c r="G52" s="14">
        <v>4916210.0</v>
      </c>
      <c r="H52" s="14" t="s">
        <v>63</v>
      </c>
      <c r="I52" s="14" t="s">
        <v>59</v>
      </c>
      <c r="J52" s="14" t="s">
        <v>200</v>
      </c>
      <c r="K52" s="14" t="s">
        <v>221</v>
      </c>
      <c r="L52" s="14">
        <v>72.0</v>
      </c>
      <c r="M52" s="17" t="str">
        <f>"+1"</f>
        <v>+1</v>
      </c>
      <c r="N52" s="18" t="str">
        <f>"+0"</f>
        <v>+0</v>
      </c>
    </row>
    <row r="53">
      <c r="A53" s="13">
        <v>45901.0</v>
      </c>
      <c r="B53" s="14" t="s">
        <v>47</v>
      </c>
      <c r="C53" s="14" t="s">
        <v>48</v>
      </c>
      <c r="D53" s="14" t="s">
        <v>69</v>
      </c>
      <c r="E53" s="14" t="s">
        <v>70</v>
      </c>
      <c r="F53" s="14" t="s">
        <v>71</v>
      </c>
      <c r="G53" s="14">
        <v>1.00002092E8</v>
      </c>
      <c r="H53" s="14" t="s">
        <v>72</v>
      </c>
      <c r="I53" s="14" t="s">
        <v>54</v>
      </c>
      <c r="J53" s="14" t="s">
        <v>199</v>
      </c>
      <c r="K53" s="14" t="s">
        <v>206</v>
      </c>
      <c r="L53" s="14">
        <v>100.0</v>
      </c>
      <c r="M53" s="17" t="str">
        <f t="shared" ref="M53:N53" si="25">"+0"</f>
        <v>+0</v>
      </c>
      <c r="N53" s="18" t="str">
        <f t="shared" si="25"/>
        <v>+0</v>
      </c>
    </row>
    <row r="54">
      <c r="A54" s="13">
        <v>45901.0</v>
      </c>
      <c r="B54" s="14" t="s">
        <v>47</v>
      </c>
      <c r="C54" s="14" t="s">
        <v>48</v>
      </c>
      <c r="D54" s="14" t="s">
        <v>82</v>
      </c>
      <c r="E54" s="14" t="s">
        <v>83</v>
      </c>
      <c r="F54" s="15" t="s">
        <v>51</v>
      </c>
      <c r="G54" s="14" t="s">
        <v>84</v>
      </c>
      <c r="H54" s="14" t="s">
        <v>82</v>
      </c>
      <c r="I54" s="14" t="s">
        <v>59</v>
      </c>
      <c r="J54" s="14" t="s">
        <v>200</v>
      </c>
      <c r="K54" s="14" t="s">
        <v>213</v>
      </c>
      <c r="L54" s="14">
        <v>47.0</v>
      </c>
      <c r="M54" s="17" t="str">
        <f>"-3"</f>
        <v>-3</v>
      </c>
      <c r="N54" s="18" t="str">
        <f>"-2"</f>
        <v>-2</v>
      </c>
    </row>
    <row r="55">
      <c r="A55" s="13">
        <v>45901.0</v>
      </c>
      <c r="B55" s="14" t="s">
        <v>47</v>
      </c>
      <c r="C55" s="14" t="s">
        <v>48</v>
      </c>
      <c r="D55" s="14" t="s">
        <v>136</v>
      </c>
      <c r="E55" s="14" t="s">
        <v>137</v>
      </c>
      <c r="F55" s="15" t="s">
        <v>51</v>
      </c>
      <c r="G55" s="14" t="s">
        <v>138</v>
      </c>
      <c r="H55" s="14" t="s">
        <v>139</v>
      </c>
      <c r="I55" s="14" t="s">
        <v>59</v>
      </c>
      <c r="J55" s="14" t="s">
        <v>200</v>
      </c>
      <c r="K55" s="14" t="s">
        <v>222</v>
      </c>
      <c r="L55" s="14">
        <v>25.0</v>
      </c>
      <c r="M55" s="17" t="str">
        <f t="shared" ref="M55:N55" si="26">"+0"</f>
        <v>+0</v>
      </c>
      <c r="N55" s="18" t="str">
        <f t="shared" si="26"/>
        <v>+0</v>
      </c>
    </row>
    <row r="56">
      <c r="A56" s="13">
        <v>45901.0</v>
      </c>
      <c r="B56" s="14" t="s">
        <v>47</v>
      </c>
      <c r="C56" s="14" t="s">
        <v>48</v>
      </c>
      <c r="D56" s="14" t="s">
        <v>118</v>
      </c>
      <c r="E56" s="14" t="s">
        <v>119</v>
      </c>
      <c r="F56" s="15" t="s">
        <v>51</v>
      </c>
      <c r="G56" s="14" t="s">
        <v>120</v>
      </c>
      <c r="H56" s="14" t="s">
        <v>118</v>
      </c>
      <c r="I56" s="14" t="s">
        <v>59</v>
      </c>
      <c r="J56" s="14" t="s">
        <v>200</v>
      </c>
      <c r="K56" s="14" t="s">
        <v>219</v>
      </c>
      <c r="L56" s="14">
        <v>0.0</v>
      </c>
      <c r="M56" s="17" t="str">
        <f t="shared" ref="M56:N56" si="27">"+0"</f>
        <v>+0</v>
      </c>
      <c r="N56" s="18" t="str">
        <f t="shared" si="27"/>
        <v>+0</v>
      </c>
    </row>
    <row r="57">
      <c r="A57" s="13">
        <v>45901.0</v>
      </c>
      <c r="B57" s="14" t="s">
        <v>47</v>
      </c>
      <c r="C57" s="14" t="s">
        <v>48</v>
      </c>
      <c r="D57" s="14" t="s">
        <v>99</v>
      </c>
      <c r="E57" s="14" t="s">
        <v>100</v>
      </c>
      <c r="F57" s="15" t="s">
        <v>51</v>
      </c>
      <c r="G57" s="14" t="s">
        <v>101</v>
      </c>
      <c r="H57" s="14" t="s">
        <v>102</v>
      </c>
      <c r="I57" s="14" t="s">
        <v>54</v>
      </c>
      <c r="J57" s="14" t="s">
        <v>199</v>
      </c>
      <c r="K57" s="14" t="s">
        <v>203</v>
      </c>
      <c r="L57" s="14">
        <v>100.0</v>
      </c>
      <c r="M57" s="17" t="str">
        <f t="shared" ref="M57:N57" si="28">"+0"</f>
        <v>+0</v>
      </c>
      <c r="N57" s="18" t="str">
        <f t="shared" si="28"/>
        <v>+0</v>
      </c>
    </row>
    <row r="58">
      <c r="A58" s="13">
        <v>45901.0</v>
      </c>
      <c r="B58" s="14" t="s">
        <v>47</v>
      </c>
      <c r="C58" s="14" t="s">
        <v>48</v>
      </c>
      <c r="D58" s="14" t="s">
        <v>49</v>
      </c>
      <c r="E58" s="14" t="s">
        <v>50</v>
      </c>
      <c r="F58" s="15" t="s">
        <v>51</v>
      </c>
      <c r="G58" s="14" t="s">
        <v>52</v>
      </c>
      <c r="H58" s="14" t="s">
        <v>53</v>
      </c>
      <c r="I58" s="14" t="s">
        <v>54</v>
      </c>
      <c r="J58" s="14" t="s">
        <v>200</v>
      </c>
      <c r="K58" s="14" t="s">
        <v>204</v>
      </c>
      <c r="L58" s="14">
        <v>1.0</v>
      </c>
      <c r="M58" s="17" t="str">
        <f t="shared" ref="M58:N58" si="29">"+0"</f>
        <v>+0</v>
      </c>
      <c r="N58" s="18" t="str">
        <f t="shared" si="29"/>
        <v>+0</v>
      </c>
    </row>
    <row r="59">
      <c r="A59" s="13">
        <v>45901.0</v>
      </c>
      <c r="B59" s="14" t="s">
        <v>47</v>
      </c>
      <c r="C59" s="14" t="s">
        <v>48</v>
      </c>
      <c r="D59" s="14" t="s">
        <v>112</v>
      </c>
      <c r="E59" s="14" t="s">
        <v>113</v>
      </c>
      <c r="F59" s="15" t="s">
        <v>51</v>
      </c>
      <c r="G59" s="14" t="s">
        <v>114</v>
      </c>
      <c r="H59" s="14" t="s">
        <v>112</v>
      </c>
      <c r="I59" s="14" t="s">
        <v>59</v>
      </c>
      <c r="J59" s="14" t="s">
        <v>198</v>
      </c>
      <c r="K59" s="14" t="s">
        <v>207</v>
      </c>
      <c r="L59" s="14">
        <v>0.0</v>
      </c>
      <c r="M59" s="17" t="str">
        <f t="shared" ref="M59:M66" si="30">"+0"</f>
        <v>+0</v>
      </c>
    </row>
    <row r="60">
      <c r="A60" s="13">
        <v>45901.0</v>
      </c>
      <c r="B60" s="14" t="s">
        <v>47</v>
      </c>
      <c r="C60" s="14" t="s">
        <v>48</v>
      </c>
      <c r="D60" s="14" t="s">
        <v>73</v>
      </c>
      <c r="E60" s="14" t="s">
        <v>74</v>
      </c>
      <c r="F60" s="15" t="s">
        <v>51</v>
      </c>
      <c r="G60" s="14" t="s">
        <v>75</v>
      </c>
      <c r="H60" s="14" t="s">
        <v>76</v>
      </c>
      <c r="I60" s="14" t="s">
        <v>59</v>
      </c>
      <c r="J60" s="14" t="s">
        <v>200</v>
      </c>
      <c r="K60" s="14" t="s">
        <v>202</v>
      </c>
      <c r="L60" s="14">
        <v>18.0</v>
      </c>
      <c r="M60" s="17" t="str">
        <f t="shared" si="30"/>
        <v>+0</v>
      </c>
      <c r="N60" s="18" t="str">
        <f t="shared" ref="N60:N63" si="31">"+0"</f>
        <v>+0</v>
      </c>
    </row>
    <row r="61">
      <c r="A61" s="13">
        <v>45901.0</v>
      </c>
      <c r="B61" s="14" t="s">
        <v>47</v>
      </c>
      <c r="C61" s="14" t="s">
        <v>48</v>
      </c>
      <c r="D61" s="14" t="s">
        <v>165</v>
      </c>
      <c r="E61" s="14" t="s">
        <v>166</v>
      </c>
      <c r="F61" s="15" t="s">
        <v>51</v>
      </c>
      <c r="G61" s="14" t="s">
        <v>167</v>
      </c>
      <c r="H61" s="14" t="s">
        <v>165</v>
      </c>
      <c r="I61" s="14" t="s">
        <v>54</v>
      </c>
      <c r="J61" s="14" t="s">
        <v>199</v>
      </c>
      <c r="K61" s="14" t="s">
        <v>206</v>
      </c>
      <c r="L61" s="14">
        <v>100.0</v>
      </c>
      <c r="M61" s="17" t="str">
        <f t="shared" si="30"/>
        <v>+0</v>
      </c>
      <c r="N61" s="18" t="str">
        <f t="shared" si="31"/>
        <v>+0</v>
      </c>
    </row>
    <row r="62">
      <c r="A62" s="13">
        <v>45901.0</v>
      </c>
      <c r="B62" s="14" t="s">
        <v>47</v>
      </c>
      <c r="C62" s="14" t="s">
        <v>48</v>
      </c>
      <c r="D62" s="14" t="s">
        <v>99</v>
      </c>
      <c r="E62" s="14" t="s">
        <v>100</v>
      </c>
      <c r="F62" s="15" t="s">
        <v>51</v>
      </c>
      <c r="G62" s="14" t="s">
        <v>101</v>
      </c>
      <c r="H62" s="14" t="s">
        <v>102</v>
      </c>
      <c r="I62" s="14" t="s">
        <v>54</v>
      </c>
      <c r="J62" s="14" t="s">
        <v>200</v>
      </c>
      <c r="K62" s="14" t="s">
        <v>213</v>
      </c>
      <c r="L62" s="14">
        <v>41.0</v>
      </c>
      <c r="M62" s="17" t="str">
        <f t="shared" si="30"/>
        <v>+0</v>
      </c>
      <c r="N62" s="18" t="str">
        <f t="shared" si="31"/>
        <v>+0</v>
      </c>
    </row>
    <row r="63">
      <c r="A63" s="13">
        <v>45901.0</v>
      </c>
      <c r="B63" s="14" t="s">
        <v>47</v>
      </c>
      <c r="C63" s="14" t="s">
        <v>48</v>
      </c>
      <c r="D63" s="14" t="s">
        <v>73</v>
      </c>
      <c r="E63" s="14" t="s">
        <v>74</v>
      </c>
      <c r="F63" s="15" t="s">
        <v>51</v>
      </c>
      <c r="G63" s="14" t="s">
        <v>75</v>
      </c>
      <c r="H63" s="14" t="s">
        <v>76</v>
      </c>
      <c r="I63" s="14" t="s">
        <v>59</v>
      </c>
      <c r="J63" s="14" t="s">
        <v>199</v>
      </c>
      <c r="K63" s="14" t="s">
        <v>203</v>
      </c>
      <c r="L63" s="14">
        <v>34.0</v>
      </c>
      <c r="M63" s="17" t="str">
        <f t="shared" si="30"/>
        <v>+0</v>
      </c>
      <c r="N63" s="18" t="str">
        <f t="shared" si="31"/>
        <v>+0</v>
      </c>
    </row>
    <row r="64">
      <c r="A64" s="13">
        <v>45901.0</v>
      </c>
      <c r="B64" s="14" t="s">
        <v>47</v>
      </c>
      <c r="C64" s="14" t="s">
        <v>48</v>
      </c>
      <c r="D64" s="14" t="s">
        <v>87</v>
      </c>
      <c r="E64" s="14" t="s">
        <v>88</v>
      </c>
      <c r="F64" s="14" t="s">
        <v>71</v>
      </c>
      <c r="G64" s="14">
        <v>5.46000941E8</v>
      </c>
      <c r="H64" s="14" t="s">
        <v>90</v>
      </c>
      <c r="I64" s="14" t="s">
        <v>107</v>
      </c>
      <c r="J64" s="14" t="s">
        <v>200</v>
      </c>
      <c r="K64" s="14" t="s">
        <v>218</v>
      </c>
      <c r="L64" s="14">
        <v>17.0</v>
      </c>
      <c r="M64" s="17" t="str">
        <f t="shared" si="30"/>
        <v>+0</v>
      </c>
      <c r="N64" s="18" t="str">
        <f>"-8"</f>
        <v>-8</v>
      </c>
    </row>
    <row r="65">
      <c r="A65" s="13">
        <v>45901.0</v>
      </c>
      <c r="B65" s="14" t="s">
        <v>47</v>
      </c>
      <c r="C65" s="14" t="s">
        <v>48</v>
      </c>
      <c r="D65" s="14" t="s">
        <v>158</v>
      </c>
      <c r="E65" s="14" t="s">
        <v>159</v>
      </c>
      <c r="F65" s="15" t="s">
        <v>51</v>
      </c>
      <c r="G65" s="14" t="s">
        <v>160</v>
      </c>
      <c r="H65" s="14" t="s">
        <v>158</v>
      </c>
      <c r="I65" s="14" t="s">
        <v>54</v>
      </c>
      <c r="J65" s="14" t="s">
        <v>200</v>
      </c>
      <c r="K65" s="14" t="s">
        <v>222</v>
      </c>
      <c r="L65" s="14">
        <v>25.0</v>
      </c>
      <c r="M65" s="17" t="str">
        <f t="shared" si="30"/>
        <v>+0</v>
      </c>
      <c r="N65" s="18" t="str">
        <f t="shared" ref="N65:N66" si="32">"+0"</f>
        <v>+0</v>
      </c>
    </row>
    <row r="66">
      <c r="A66" s="13">
        <v>45901.0</v>
      </c>
      <c r="B66" s="14" t="s">
        <v>47</v>
      </c>
      <c r="C66" s="14" t="s">
        <v>48</v>
      </c>
      <c r="D66" s="14" t="s">
        <v>91</v>
      </c>
      <c r="E66" s="14" t="s">
        <v>92</v>
      </c>
      <c r="F66" s="14" t="s">
        <v>71</v>
      </c>
      <c r="G66" s="14">
        <v>5.10001669E8</v>
      </c>
      <c r="H66" s="14" t="s">
        <v>91</v>
      </c>
      <c r="I66" s="14" t="s">
        <v>107</v>
      </c>
      <c r="J66" s="14" t="s">
        <v>199</v>
      </c>
      <c r="K66" s="14" t="s">
        <v>208</v>
      </c>
      <c r="L66" s="14">
        <v>100.0</v>
      </c>
      <c r="M66" s="17" t="str">
        <f t="shared" si="30"/>
        <v>+0</v>
      </c>
      <c r="N66" s="18" t="str">
        <f t="shared" si="32"/>
        <v>+0</v>
      </c>
    </row>
    <row r="67">
      <c r="A67" s="13">
        <v>45901.0</v>
      </c>
      <c r="B67" s="14" t="s">
        <v>47</v>
      </c>
      <c r="C67" s="14" t="s">
        <v>48</v>
      </c>
      <c r="D67" s="14" t="s">
        <v>82</v>
      </c>
      <c r="E67" s="14" t="s">
        <v>83</v>
      </c>
      <c r="F67" s="15" t="s">
        <v>51</v>
      </c>
      <c r="G67" s="14" t="s">
        <v>84</v>
      </c>
      <c r="H67" s="14" t="s">
        <v>82</v>
      </c>
      <c r="I67" s="14" t="s">
        <v>59</v>
      </c>
      <c r="J67" s="14" t="s">
        <v>198</v>
      </c>
      <c r="K67" s="14" t="s">
        <v>210</v>
      </c>
      <c r="L67" s="14">
        <v>88.0</v>
      </c>
      <c r="M67" s="17" t="str">
        <f>"+14"</f>
        <v>+14</v>
      </c>
      <c r="N67" s="18" t="str">
        <f>"+6"</f>
        <v>+6</v>
      </c>
    </row>
    <row r="68">
      <c r="A68" s="13">
        <v>45901.0</v>
      </c>
      <c r="B68" s="14" t="s">
        <v>47</v>
      </c>
      <c r="C68" s="14" t="s">
        <v>48</v>
      </c>
      <c r="D68" s="14" t="s">
        <v>125</v>
      </c>
      <c r="E68" s="14" t="s">
        <v>126</v>
      </c>
      <c r="F68" s="15" t="s">
        <v>51</v>
      </c>
      <c r="G68" s="14" t="s">
        <v>127</v>
      </c>
      <c r="H68" s="14" t="s">
        <v>125</v>
      </c>
      <c r="I68" s="14" t="s">
        <v>59</v>
      </c>
      <c r="J68" s="14" t="s">
        <v>199</v>
      </c>
      <c r="K68" s="14" t="s">
        <v>208</v>
      </c>
      <c r="L68" s="14">
        <v>0.0</v>
      </c>
      <c r="M68" s="17" t="str">
        <f t="shared" ref="M68:N68" si="33">"+0"</f>
        <v>+0</v>
      </c>
      <c r="N68" s="18" t="str">
        <f t="shared" si="33"/>
        <v>+0</v>
      </c>
    </row>
    <row r="69">
      <c r="A69" s="13">
        <v>45901.0</v>
      </c>
      <c r="B69" s="14" t="s">
        <v>47</v>
      </c>
      <c r="C69" s="14" t="s">
        <v>48</v>
      </c>
      <c r="D69" s="14" t="s">
        <v>85</v>
      </c>
      <c r="E69" s="14" t="s">
        <v>86</v>
      </c>
      <c r="F69" s="15" t="s">
        <v>51</v>
      </c>
      <c r="G69" s="14" t="s">
        <v>148</v>
      </c>
      <c r="H69" s="14" t="s">
        <v>85</v>
      </c>
      <c r="I69" s="14" t="s">
        <v>59</v>
      </c>
      <c r="J69" s="14" t="s">
        <v>200</v>
      </c>
      <c r="K69" s="14" t="s">
        <v>213</v>
      </c>
      <c r="L69" s="14">
        <v>61.0</v>
      </c>
      <c r="M69" s="17" t="str">
        <f t="shared" ref="M69:N69" si="34">"-1"</f>
        <v>-1</v>
      </c>
      <c r="N69" s="18" t="str">
        <f t="shared" si="34"/>
        <v>-1</v>
      </c>
    </row>
    <row r="70">
      <c r="A70" s="13">
        <v>45901.0</v>
      </c>
      <c r="B70" s="14" t="s">
        <v>47</v>
      </c>
      <c r="C70" s="14" t="s">
        <v>48</v>
      </c>
      <c r="D70" s="14" t="s">
        <v>77</v>
      </c>
      <c r="E70" s="14" t="s">
        <v>78</v>
      </c>
      <c r="F70" s="14" t="s">
        <v>79</v>
      </c>
      <c r="G70" s="14" t="s">
        <v>80</v>
      </c>
      <c r="H70" s="14" t="s">
        <v>81</v>
      </c>
      <c r="J70" s="14" t="s">
        <v>199</v>
      </c>
      <c r="K70" s="14" t="s">
        <v>203</v>
      </c>
      <c r="L70" s="14">
        <v>100.0</v>
      </c>
      <c r="M70" s="17" t="str">
        <f t="shared" ref="M70:N70" si="35">"+0"</f>
        <v>+0</v>
      </c>
      <c r="N70" s="18" t="str">
        <f t="shared" si="35"/>
        <v>+0</v>
      </c>
    </row>
    <row r="71">
      <c r="A71" s="13">
        <v>45901.0</v>
      </c>
      <c r="B71" s="14" t="s">
        <v>47</v>
      </c>
      <c r="C71" s="14" t="s">
        <v>48</v>
      </c>
      <c r="D71" s="14" t="s">
        <v>112</v>
      </c>
      <c r="E71" s="14" t="s">
        <v>113</v>
      </c>
      <c r="F71" s="15" t="s">
        <v>51</v>
      </c>
      <c r="G71" s="14" t="s">
        <v>114</v>
      </c>
      <c r="H71" s="14" t="s">
        <v>112</v>
      </c>
      <c r="I71" s="14" t="s">
        <v>59</v>
      </c>
      <c r="J71" s="14" t="s">
        <v>198</v>
      </c>
      <c r="K71" s="14" t="s">
        <v>210</v>
      </c>
      <c r="L71" s="14">
        <v>92.0</v>
      </c>
      <c r="M71" s="17" t="str">
        <f>"+1"</f>
        <v>+1</v>
      </c>
      <c r="N71" s="18" t="str">
        <f>"-1"</f>
        <v>-1</v>
      </c>
    </row>
    <row r="72">
      <c r="A72" s="13">
        <v>45901.0</v>
      </c>
      <c r="B72" s="14" t="s">
        <v>47</v>
      </c>
      <c r="C72" s="14" t="s">
        <v>48</v>
      </c>
      <c r="D72" s="14" t="s">
        <v>121</v>
      </c>
      <c r="E72" s="14" t="s">
        <v>122</v>
      </c>
      <c r="F72" s="15" t="s">
        <v>51</v>
      </c>
      <c r="G72" s="14" t="s">
        <v>123</v>
      </c>
      <c r="H72" s="14" t="s">
        <v>124</v>
      </c>
      <c r="I72" s="14" t="s">
        <v>59</v>
      </c>
      <c r="J72" s="14" t="s">
        <v>198</v>
      </c>
      <c r="K72" s="14" t="s">
        <v>210</v>
      </c>
      <c r="L72" s="14">
        <v>91.0</v>
      </c>
      <c r="M72" s="17" t="str">
        <f>"+11"</f>
        <v>+11</v>
      </c>
      <c r="N72" s="18" t="str">
        <f>"-2"</f>
        <v>-2</v>
      </c>
    </row>
    <row r="73">
      <c r="A73" s="13">
        <v>45901.0</v>
      </c>
      <c r="B73" s="14" t="s">
        <v>47</v>
      </c>
      <c r="C73" s="14" t="s">
        <v>48</v>
      </c>
      <c r="D73" s="14" t="s">
        <v>91</v>
      </c>
      <c r="E73" s="14" t="s">
        <v>92</v>
      </c>
      <c r="F73" s="14" t="s">
        <v>71</v>
      </c>
      <c r="G73" s="14">
        <v>1.00005882E8</v>
      </c>
      <c r="H73" s="14" t="s">
        <v>91</v>
      </c>
      <c r="I73" s="14" t="s">
        <v>59</v>
      </c>
      <c r="J73" s="14" t="s">
        <v>199</v>
      </c>
      <c r="K73" s="14" t="s">
        <v>203</v>
      </c>
      <c r="L73" s="14">
        <v>100.0</v>
      </c>
      <c r="M73" s="17" t="str">
        <f t="shared" ref="M73:N73" si="36">"+0"</f>
        <v>+0</v>
      </c>
      <c r="N73" s="18" t="str">
        <f t="shared" si="36"/>
        <v>+0</v>
      </c>
    </row>
    <row r="74">
      <c r="A74" s="13">
        <v>45901.0</v>
      </c>
      <c r="B74" s="14" t="s">
        <v>47</v>
      </c>
      <c r="C74" s="14" t="s">
        <v>48</v>
      </c>
      <c r="D74" s="14" t="s">
        <v>66</v>
      </c>
      <c r="E74" s="14" t="s">
        <v>67</v>
      </c>
      <c r="F74" s="15" t="s">
        <v>51</v>
      </c>
      <c r="G74" s="14" t="s">
        <v>68</v>
      </c>
      <c r="H74" s="14" t="s">
        <v>66</v>
      </c>
      <c r="I74" s="14" t="s">
        <v>59</v>
      </c>
      <c r="J74" s="14" t="s">
        <v>200</v>
      </c>
      <c r="K74" s="14" t="s">
        <v>223</v>
      </c>
      <c r="L74" s="14">
        <v>33.0</v>
      </c>
      <c r="M74" s="17" t="str">
        <f>"-3"</f>
        <v>-3</v>
      </c>
      <c r="N74" s="18" t="str">
        <f>"-11"</f>
        <v>-11</v>
      </c>
    </row>
    <row r="75">
      <c r="A75" s="13">
        <v>45901.0</v>
      </c>
      <c r="B75" s="14" t="s">
        <v>47</v>
      </c>
      <c r="C75" s="14" t="s">
        <v>48</v>
      </c>
      <c r="D75" s="14" t="s">
        <v>77</v>
      </c>
      <c r="E75" s="14" t="s">
        <v>78</v>
      </c>
      <c r="F75" s="15" t="s">
        <v>51</v>
      </c>
      <c r="G75" s="14" t="s">
        <v>128</v>
      </c>
      <c r="H75" s="14" t="s">
        <v>81</v>
      </c>
      <c r="I75" s="14" t="s">
        <v>59</v>
      </c>
      <c r="J75" s="14" t="s">
        <v>199</v>
      </c>
      <c r="K75" s="14" t="s">
        <v>208</v>
      </c>
      <c r="L75" s="14">
        <v>100.0</v>
      </c>
      <c r="M75" s="17" t="str">
        <f t="shared" ref="M75:N75" si="37">"+0"</f>
        <v>+0</v>
      </c>
      <c r="N75" s="18" t="str">
        <f t="shared" si="37"/>
        <v>+0</v>
      </c>
    </row>
    <row r="76">
      <c r="A76" s="13">
        <v>45901.0</v>
      </c>
      <c r="B76" s="14" t="s">
        <v>47</v>
      </c>
      <c r="C76" s="14" t="s">
        <v>48</v>
      </c>
      <c r="D76" s="14" t="s">
        <v>171</v>
      </c>
      <c r="E76" s="14" t="s">
        <v>172</v>
      </c>
      <c r="F76" s="15" t="s">
        <v>51</v>
      </c>
      <c r="G76" s="14" t="s">
        <v>173</v>
      </c>
      <c r="H76" s="14" t="s">
        <v>171</v>
      </c>
      <c r="I76" s="14" t="s">
        <v>59</v>
      </c>
      <c r="J76" s="14" t="s">
        <v>200</v>
      </c>
      <c r="K76" s="14" t="s">
        <v>213</v>
      </c>
      <c r="L76" s="14">
        <v>26.0</v>
      </c>
      <c r="M76" s="17" t="str">
        <f>"-2"</f>
        <v>-2</v>
      </c>
      <c r="N76" s="18" t="str">
        <f>"-1"</f>
        <v>-1</v>
      </c>
    </row>
    <row r="77">
      <c r="A77" s="13">
        <v>45901.0</v>
      </c>
      <c r="B77" s="14" t="s">
        <v>47</v>
      </c>
      <c r="C77" s="14" t="s">
        <v>48</v>
      </c>
      <c r="D77" s="14" t="s">
        <v>125</v>
      </c>
      <c r="E77" s="14" t="s">
        <v>126</v>
      </c>
      <c r="F77" s="15" t="s">
        <v>51</v>
      </c>
      <c r="G77" s="14" t="s">
        <v>127</v>
      </c>
      <c r="H77" s="14" t="s">
        <v>125</v>
      </c>
      <c r="I77" s="14" t="s">
        <v>59</v>
      </c>
      <c r="J77" s="14" t="s">
        <v>200</v>
      </c>
      <c r="K77" s="14" t="s">
        <v>204</v>
      </c>
      <c r="L77" s="14">
        <v>0.0</v>
      </c>
      <c r="M77" s="17" t="str">
        <f t="shared" ref="M77:N77" si="38">"+0"</f>
        <v>+0</v>
      </c>
      <c r="N77" s="18" t="str">
        <f t="shared" si="38"/>
        <v>+0</v>
      </c>
    </row>
    <row r="78">
      <c r="A78" s="13">
        <v>45901.0</v>
      </c>
      <c r="B78" s="14" t="s">
        <v>47</v>
      </c>
      <c r="C78" s="14" t="s">
        <v>48</v>
      </c>
      <c r="D78" s="14" t="s">
        <v>149</v>
      </c>
      <c r="E78" s="14" t="s">
        <v>150</v>
      </c>
      <c r="F78" s="15" t="s">
        <v>51</v>
      </c>
      <c r="G78" s="14" t="s">
        <v>151</v>
      </c>
      <c r="H78" s="14" t="s">
        <v>152</v>
      </c>
      <c r="I78" s="14" t="s">
        <v>54</v>
      </c>
      <c r="J78" s="14" t="s">
        <v>198</v>
      </c>
      <c r="K78" s="14" t="s">
        <v>205</v>
      </c>
      <c r="L78" s="14">
        <v>50.0</v>
      </c>
      <c r="M78" s="17" t="str">
        <f t="shared" ref="M78:M80" si="39">"+0"</f>
        <v>+0</v>
      </c>
    </row>
    <row r="79">
      <c r="A79" s="13">
        <v>45901.0</v>
      </c>
      <c r="B79" s="14" t="s">
        <v>47</v>
      </c>
      <c r="C79" s="14" t="s">
        <v>48</v>
      </c>
      <c r="D79" s="14" t="s">
        <v>91</v>
      </c>
      <c r="E79" s="14" t="s">
        <v>92</v>
      </c>
      <c r="F79" s="14" t="s">
        <v>71</v>
      </c>
      <c r="G79" s="14">
        <v>5.00008343E8</v>
      </c>
      <c r="H79" s="14" t="s">
        <v>91</v>
      </c>
      <c r="I79" s="14" t="s">
        <v>59</v>
      </c>
      <c r="J79" s="14" t="s">
        <v>199</v>
      </c>
      <c r="K79" s="14" t="s">
        <v>203</v>
      </c>
      <c r="L79" s="14">
        <v>100.0</v>
      </c>
      <c r="M79" s="17" t="str">
        <f t="shared" si="39"/>
        <v>+0</v>
      </c>
      <c r="N79" s="18" t="str">
        <f>"+0"</f>
        <v>+0</v>
      </c>
    </row>
    <row r="80">
      <c r="A80" s="13">
        <v>45901.0</v>
      </c>
      <c r="B80" s="14" t="s">
        <v>47</v>
      </c>
      <c r="C80" s="14" t="s">
        <v>48</v>
      </c>
      <c r="D80" s="14" t="s">
        <v>129</v>
      </c>
      <c r="E80" s="14" t="s">
        <v>130</v>
      </c>
      <c r="F80" s="15" t="s">
        <v>51</v>
      </c>
      <c r="G80" s="14" t="s">
        <v>131</v>
      </c>
      <c r="H80" s="14" t="s">
        <v>129</v>
      </c>
      <c r="I80" s="14" t="s">
        <v>59</v>
      </c>
      <c r="J80" s="14" t="s">
        <v>198</v>
      </c>
      <c r="K80" s="14" t="s">
        <v>205</v>
      </c>
      <c r="L80" s="14">
        <v>65.0</v>
      </c>
      <c r="M80" s="17" t="str">
        <f t="shared" si="39"/>
        <v>+0</v>
      </c>
    </row>
    <row r="81">
      <c r="A81" s="13">
        <v>45901.0</v>
      </c>
      <c r="B81" s="14" t="s">
        <v>47</v>
      </c>
      <c r="C81" s="14" t="s">
        <v>48</v>
      </c>
      <c r="D81" s="14" t="s">
        <v>125</v>
      </c>
      <c r="E81" s="14" t="s">
        <v>126</v>
      </c>
      <c r="F81" s="15" t="s">
        <v>51</v>
      </c>
      <c r="G81" s="14" t="s">
        <v>127</v>
      </c>
      <c r="H81" s="14" t="s">
        <v>125</v>
      </c>
      <c r="I81" s="14" t="s">
        <v>59</v>
      </c>
      <c r="J81" s="14" t="s">
        <v>198</v>
      </c>
      <c r="K81" s="14" t="s">
        <v>210</v>
      </c>
      <c r="L81" s="14">
        <v>92.0</v>
      </c>
      <c r="M81" s="17" t="str">
        <f>"-1"</f>
        <v>-1</v>
      </c>
      <c r="N81" s="18" t="str">
        <f>"+1"</f>
        <v>+1</v>
      </c>
    </row>
    <row r="82">
      <c r="A82" s="13">
        <v>45901.0</v>
      </c>
      <c r="B82" s="14" t="s">
        <v>47</v>
      </c>
      <c r="C82" s="14" t="s">
        <v>48</v>
      </c>
      <c r="D82" s="14" t="s">
        <v>125</v>
      </c>
      <c r="E82" s="14" t="s">
        <v>126</v>
      </c>
      <c r="F82" s="15" t="s">
        <v>51</v>
      </c>
      <c r="G82" s="14" t="s">
        <v>127</v>
      </c>
      <c r="H82" s="14" t="s">
        <v>125</v>
      </c>
      <c r="I82" s="14" t="s">
        <v>59</v>
      </c>
      <c r="J82" s="14" t="s">
        <v>200</v>
      </c>
      <c r="K82" s="14" t="s">
        <v>224</v>
      </c>
      <c r="L82" s="14">
        <v>0.0</v>
      </c>
      <c r="M82" s="17" t="str">
        <f t="shared" ref="M82:N82" si="40">"+0"</f>
        <v>+0</v>
      </c>
      <c r="N82" s="18" t="str">
        <f t="shared" si="40"/>
        <v>+0</v>
      </c>
    </row>
    <row r="83">
      <c r="A83" s="13">
        <v>45901.0</v>
      </c>
      <c r="B83" s="14" t="s">
        <v>47</v>
      </c>
      <c r="C83" s="14" t="s">
        <v>48</v>
      </c>
      <c r="D83" s="14" t="s">
        <v>116</v>
      </c>
      <c r="E83" s="14" t="s">
        <v>117</v>
      </c>
      <c r="F83" s="14" t="s">
        <v>111</v>
      </c>
      <c r="G83" s="14">
        <v>5298600.0</v>
      </c>
      <c r="H83" s="14" t="s">
        <v>116</v>
      </c>
      <c r="I83" s="14" t="s">
        <v>59</v>
      </c>
      <c r="J83" s="14" t="s">
        <v>199</v>
      </c>
      <c r="K83" s="14" t="s">
        <v>203</v>
      </c>
      <c r="L83" s="14">
        <v>0.0</v>
      </c>
      <c r="M83" s="17" t="str">
        <f t="shared" ref="M83:N83" si="41">"+0"</f>
        <v>+0</v>
      </c>
      <c r="N83" s="18" t="str">
        <f t="shared" si="41"/>
        <v>+0</v>
      </c>
    </row>
    <row r="84">
      <c r="A84" s="13">
        <v>45901.0</v>
      </c>
      <c r="B84" s="14" t="s">
        <v>47</v>
      </c>
      <c r="C84" s="14" t="s">
        <v>48</v>
      </c>
      <c r="D84" s="14" t="s">
        <v>116</v>
      </c>
      <c r="E84" s="14" t="s">
        <v>117</v>
      </c>
      <c r="F84" s="15" t="s">
        <v>51</v>
      </c>
      <c r="G84" s="14" t="s">
        <v>161</v>
      </c>
      <c r="H84" s="14" t="s">
        <v>116</v>
      </c>
      <c r="I84" s="14" t="s">
        <v>54</v>
      </c>
      <c r="J84" s="14" t="s">
        <v>200</v>
      </c>
      <c r="K84" s="14" t="s">
        <v>211</v>
      </c>
      <c r="L84" s="14">
        <v>41.0</v>
      </c>
      <c r="M84" s="17" t="str">
        <f>"+7"</f>
        <v>+7</v>
      </c>
      <c r="N84" s="18" t="str">
        <f>"-3"</f>
        <v>-3</v>
      </c>
    </row>
    <row r="85">
      <c r="A85" s="13">
        <v>45901.0</v>
      </c>
      <c r="B85" s="14" t="s">
        <v>47</v>
      </c>
      <c r="C85" s="14" t="s">
        <v>48</v>
      </c>
      <c r="D85" s="14" t="s">
        <v>108</v>
      </c>
      <c r="E85" s="14" t="s">
        <v>109</v>
      </c>
      <c r="F85" s="14" t="s">
        <v>79</v>
      </c>
      <c r="G85" s="14" t="s">
        <v>153</v>
      </c>
      <c r="H85" s="14" t="s">
        <v>108</v>
      </c>
      <c r="I85" s="14" t="s">
        <v>154</v>
      </c>
      <c r="J85" s="14" t="s">
        <v>199</v>
      </c>
      <c r="K85" s="14" t="s">
        <v>206</v>
      </c>
      <c r="L85" s="14">
        <v>60.0</v>
      </c>
      <c r="M85" s="17" t="str">
        <f>"+2"</f>
        <v>+2</v>
      </c>
    </row>
    <row r="86">
      <c r="A86" s="13">
        <v>45901.0</v>
      </c>
      <c r="B86" s="14" t="s">
        <v>47</v>
      </c>
      <c r="C86" s="14" t="s">
        <v>48</v>
      </c>
      <c r="D86" s="14" t="s">
        <v>77</v>
      </c>
      <c r="E86" s="14" t="s">
        <v>78</v>
      </c>
      <c r="F86" s="15" t="s">
        <v>51</v>
      </c>
      <c r="G86" s="14" t="s">
        <v>128</v>
      </c>
      <c r="H86" s="14" t="s">
        <v>81</v>
      </c>
      <c r="I86" s="14" t="s">
        <v>59</v>
      </c>
      <c r="J86" s="14" t="s">
        <v>200</v>
      </c>
      <c r="K86" s="14" t="s">
        <v>209</v>
      </c>
      <c r="L86" s="14">
        <v>1.0</v>
      </c>
      <c r="M86" s="17" t="str">
        <f t="shared" ref="M86:N86" si="42">"+0"</f>
        <v>+0</v>
      </c>
      <c r="N86" s="18" t="str">
        <f t="shared" si="42"/>
        <v>+0</v>
      </c>
    </row>
    <row r="87">
      <c r="A87" s="13">
        <v>45901.0</v>
      </c>
      <c r="B87" s="14" t="s">
        <v>47</v>
      </c>
      <c r="C87" s="14" t="s">
        <v>48</v>
      </c>
      <c r="D87" s="14" t="s">
        <v>60</v>
      </c>
      <c r="E87" s="14" t="s">
        <v>61</v>
      </c>
      <c r="F87" s="15" t="s">
        <v>51</v>
      </c>
      <c r="G87" s="14" t="s">
        <v>62</v>
      </c>
      <c r="H87" s="14" t="s">
        <v>60</v>
      </c>
      <c r="I87" s="14" t="s">
        <v>59</v>
      </c>
      <c r="J87" s="14" t="s">
        <v>199</v>
      </c>
      <c r="K87" s="14" t="s">
        <v>203</v>
      </c>
      <c r="L87" s="14">
        <v>0.0</v>
      </c>
      <c r="M87" s="17" t="str">
        <f t="shared" ref="M87:N87" si="43">"+0"</f>
        <v>+0</v>
      </c>
      <c r="N87" s="18" t="str">
        <f t="shared" si="43"/>
        <v>+0</v>
      </c>
    </row>
    <row r="88">
      <c r="A88" s="13">
        <v>45901.0</v>
      </c>
      <c r="B88" s="14" t="s">
        <v>47</v>
      </c>
      <c r="C88" s="14" t="s">
        <v>48</v>
      </c>
      <c r="D88" s="14" t="s">
        <v>60</v>
      </c>
      <c r="E88" s="14" t="s">
        <v>61</v>
      </c>
      <c r="F88" s="15" t="s">
        <v>51</v>
      </c>
      <c r="G88" s="14" t="s">
        <v>62</v>
      </c>
      <c r="H88" s="14" t="s">
        <v>60</v>
      </c>
      <c r="I88" s="14" t="s">
        <v>59</v>
      </c>
      <c r="J88" s="14" t="s">
        <v>200</v>
      </c>
      <c r="K88" s="14" t="s">
        <v>202</v>
      </c>
      <c r="L88" s="14">
        <v>20.0</v>
      </c>
      <c r="M88" s="17" t="str">
        <f t="shared" ref="M88:N88" si="44">"+1"</f>
        <v>+1</v>
      </c>
      <c r="N88" s="18" t="str">
        <f t="shared" si="44"/>
        <v>+1</v>
      </c>
    </row>
    <row r="89">
      <c r="A89" s="13">
        <v>45901.0</v>
      </c>
      <c r="B89" s="14" t="s">
        <v>47</v>
      </c>
      <c r="C89" s="14" t="s">
        <v>48</v>
      </c>
      <c r="D89" s="14" t="s">
        <v>165</v>
      </c>
      <c r="E89" s="14" t="s">
        <v>166</v>
      </c>
      <c r="F89" s="15" t="s">
        <v>51</v>
      </c>
      <c r="G89" s="14" t="s">
        <v>167</v>
      </c>
      <c r="H89" s="14" t="s">
        <v>165</v>
      </c>
      <c r="I89" s="14" t="s">
        <v>54</v>
      </c>
      <c r="J89" s="14" t="s">
        <v>200</v>
      </c>
      <c r="K89" s="14" t="s">
        <v>222</v>
      </c>
      <c r="L89" s="14">
        <v>72.0</v>
      </c>
      <c r="M89" s="17" t="str">
        <f>"+9"</f>
        <v>+9</v>
      </c>
      <c r="N89" s="18" t="str">
        <f>"+0"</f>
        <v>+0</v>
      </c>
    </row>
    <row r="90">
      <c r="A90" s="13">
        <v>45901.0</v>
      </c>
      <c r="B90" s="14" t="s">
        <v>47</v>
      </c>
      <c r="C90" s="14" t="s">
        <v>48</v>
      </c>
      <c r="D90" s="14" t="s">
        <v>93</v>
      </c>
      <c r="E90" s="14" t="s">
        <v>94</v>
      </c>
      <c r="F90" s="14" t="s">
        <v>71</v>
      </c>
      <c r="G90" s="14">
        <v>5.36001438E8</v>
      </c>
      <c r="H90" s="14" t="s">
        <v>95</v>
      </c>
      <c r="I90" s="14" t="s">
        <v>59</v>
      </c>
      <c r="J90" s="14" t="s">
        <v>199</v>
      </c>
      <c r="K90" s="14" t="s">
        <v>203</v>
      </c>
      <c r="L90" s="14">
        <v>0.0</v>
      </c>
      <c r="M90" s="17" t="str">
        <f t="shared" ref="M90:N90" si="45">"+0"</f>
        <v>+0</v>
      </c>
      <c r="N90" s="18" t="str">
        <f t="shared" si="45"/>
        <v>+0</v>
      </c>
    </row>
    <row r="91">
      <c r="A91" s="13">
        <v>45901.0</v>
      </c>
      <c r="B91" s="14" t="s">
        <v>47</v>
      </c>
      <c r="C91" s="14" t="s">
        <v>48</v>
      </c>
      <c r="D91" s="14" t="s">
        <v>93</v>
      </c>
      <c r="E91" s="14" t="s">
        <v>94</v>
      </c>
      <c r="F91" s="15" t="s">
        <v>51</v>
      </c>
      <c r="G91" s="14" t="s">
        <v>191</v>
      </c>
      <c r="H91" s="14" t="s">
        <v>95</v>
      </c>
      <c r="I91" s="14" t="s">
        <v>59</v>
      </c>
      <c r="J91" s="14" t="s">
        <v>198</v>
      </c>
      <c r="K91" s="14" t="s">
        <v>212</v>
      </c>
      <c r="L91" s="14">
        <v>100.0</v>
      </c>
      <c r="M91" s="17" t="str">
        <f t="shared" ref="M91:N91" si="46">"+18"</f>
        <v>+18</v>
      </c>
      <c r="N91" s="18" t="str">
        <f t="shared" si="46"/>
        <v>+18</v>
      </c>
    </row>
    <row r="92">
      <c r="A92" s="13">
        <v>45901.0</v>
      </c>
      <c r="B92" s="14" t="s">
        <v>47</v>
      </c>
      <c r="C92" s="14" t="s">
        <v>48</v>
      </c>
      <c r="D92" s="14" t="s">
        <v>93</v>
      </c>
      <c r="E92" s="14" t="s">
        <v>94</v>
      </c>
      <c r="F92" s="15" t="s">
        <v>51</v>
      </c>
      <c r="G92" s="14" t="s">
        <v>191</v>
      </c>
      <c r="H92" s="14" t="s">
        <v>95</v>
      </c>
      <c r="I92" s="14" t="s">
        <v>59</v>
      </c>
      <c r="J92" s="14" t="s">
        <v>199</v>
      </c>
      <c r="K92" s="14" t="s">
        <v>203</v>
      </c>
      <c r="L92" s="14">
        <v>0.0</v>
      </c>
      <c r="M92" s="17" t="str">
        <f t="shared" ref="M92:N92" si="47">"+0"</f>
        <v>+0</v>
      </c>
      <c r="N92" s="18" t="str">
        <f t="shared" si="47"/>
        <v>+0</v>
      </c>
    </row>
    <row r="93">
      <c r="A93" s="13">
        <v>45901.0</v>
      </c>
      <c r="B93" s="14" t="s">
        <v>47</v>
      </c>
      <c r="C93" s="14" t="s">
        <v>48</v>
      </c>
      <c r="D93" s="14" t="s">
        <v>73</v>
      </c>
      <c r="E93" s="14" t="s">
        <v>74</v>
      </c>
      <c r="F93" s="15" t="s">
        <v>51</v>
      </c>
      <c r="G93" s="14" t="s">
        <v>75</v>
      </c>
      <c r="H93" s="14" t="s">
        <v>76</v>
      </c>
      <c r="I93" s="14" t="s">
        <v>59</v>
      </c>
      <c r="J93" s="14" t="s">
        <v>198</v>
      </c>
      <c r="K93" s="14" t="s">
        <v>210</v>
      </c>
      <c r="L93" s="14">
        <v>99.0</v>
      </c>
      <c r="M93" s="17" t="str">
        <f t="shared" ref="M93:N93" si="48">"+0"</f>
        <v>+0</v>
      </c>
      <c r="N93" s="18" t="str">
        <f t="shared" si="48"/>
        <v>+0</v>
      </c>
    </row>
    <row r="94">
      <c r="A94" s="13">
        <v>45901.0</v>
      </c>
      <c r="B94" s="14" t="s">
        <v>47</v>
      </c>
      <c r="C94" s="14" t="s">
        <v>48</v>
      </c>
      <c r="D94" s="14" t="s">
        <v>132</v>
      </c>
      <c r="E94" s="14" t="s">
        <v>133</v>
      </c>
      <c r="F94" s="15" t="s">
        <v>51</v>
      </c>
      <c r="G94" s="14" t="s">
        <v>134</v>
      </c>
      <c r="H94" s="14" t="s">
        <v>135</v>
      </c>
      <c r="I94" s="14" t="s">
        <v>59</v>
      </c>
      <c r="J94" s="14" t="s">
        <v>200</v>
      </c>
      <c r="K94" s="14" t="s">
        <v>219</v>
      </c>
      <c r="L94" s="14">
        <v>0.0</v>
      </c>
      <c r="M94" s="17" t="str">
        <f t="shared" ref="M94:N94" si="49">"+0"</f>
        <v>+0</v>
      </c>
      <c r="N94" s="18" t="str">
        <f t="shared" si="49"/>
        <v>+0</v>
      </c>
    </row>
    <row r="95">
      <c r="A95" s="13">
        <v>45901.0</v>
      </c>
      <c r="B95" s="14" t="s">
        <v>47</v>
      </c>
      <c r="C95" s="14" t="s">
        <v>48</v>
      </c>
      <c r="D95" s="14" t="s">
        <v>87</v>
      </c>
      <c r="E95" s="14" t="s">
        <v>88</v>
      </c>
      <c r="F95" s="15" t="s">
        <v>51</v>
      </c>
      <c r="G95" s="14" t="s">
        <v>89</v>
      </c>
      <c r="H95" s="14" t="s">
        <v>90</v>
      </c>
      <c r="I95" s="14" t="s">
        <v>59</v>
      </c>
      <c r="J95" s="14" t="s">
        <v>198</v>
      </c>
      <c r="K95" s="14" t="s">
        <v>207</v>
      </c>
      <c r="L95" s="14">
        <v>0.0</v>
      </c>
      <c r="M95" s="17" t="str">
        <f>"+0"</f>
        <v>+0</v>
      </c>
    </row>
    <row r="96">
      <c r="A96" s="13">
        <v>45901.0</v>
      </c>
      <c r="B96" s="14" t="s">
        <v>47</v>
      </c>
      <c r="C96" s="14" t="s">
        <v>48</v>
      </c>
      <c r="D96" s="14" t="s">
        <v>129</v>
      </c>
      <c r="E96" s="14" t="s">
        <v>130</v>
      </c>
      <c r="F96" s="15" t="s">
        <v>51</v>
      </c>
      <c r="G96" s="14" t="s">
        <v>131</v>
      </c>
      <c r="H96" s="14" t="s">
        <v>129</v>
      </c>
      <c r="I96" s="14" t="s">
        <v>59</v>
      </c>
      <c r="J96" s="14" t="s">
        <v>200</v>
      </c>
      <c r="K96" s="14" t="s">
        <v>213</v>
      </c>
      <c r="L96" s="14">
        <v>39.0</v>
      </c>
      <c r="M96" s="17" t="str">
        <f>"+5"</f>
        <v>+5</v>
      </c>
      <c r="N96" s="18" t="str">
        <f>"+0"</f>
        <v>+0</v>
      </c>
    </row>
    <row r="97">
      <c r="A97" s="13">
        <v>45901.0</v>
      </c>
      <c r="B97" s="14" t="s">
        <v>47</v>
      </c>
      <c r="C97" s="14" t="s">
        <v>48</v>
      </c>
      <c r="D97" s="14" t="s">
        <v>171</v>
      </c>
      <c r="E97" s="14" t="s">
        <v>172</v>
      </c>
      <c r="F97" s="15" t="s">
        <v>51</v>
      </c>
      <c r="G97" s="14" t="s">
        <v>173</v>
      </c>
      <c r="H97" s="14" t="s">
        <v>171</v>
      </c>
      <c r="I97" s="14" t="s">
        <v>59</v>
      </c>
      <c r="J97" s="14" t="s">
        <v>199</v>
      </c>
      <c r="K97" s="14" t="s">
        <v>208</v>
      </c>
      <c r="L97" s="14">
        <v>0.0</v>
      </c>
      <c r="M97" s="17" t="str">
        <f t="shared" ref="M97:N97" si="50">"+0"</f>
        <v>+0</v>
      </c>
      <c r="N97" s="18" t="str">
        <f t="shared" si="50"/>
        <v>+0</v>
      </c>
    </row>
    <row r="98">
      <c r="A98" s="13">
        <v>45901.0</v>
      </c>
      <c r="B98" s="14" t="s">
        <v>47</v>
      </c>
      <c r="C98" s="14" t="s">
        <v>48</v>
      </c>
      <c r="D98" s="14" t="s">
        <v>171</v>
      </c>
      <c r="E98" s="14" t="s">
        <v>172</v>
      </c>
      <c r="F98" s="15" t="s">
        <v>51</v>
      </c>
      <c r="G98" s="14" t="s">
        <v>173</v>
      </c>
      <c r="H98" s="14" t="s">
        <v>171</v>
      </c>
      <c r="I98" s="14" t="s">
        <v>59</v>
      </c>
      <c r="J98" s="14" t="s">
        <v>200</v>
      </c>
      <c r="K98" s="14" t="s">
        <v>202</v>
      </c>
      <c r="L98" s="14">
        <v>0.0</v>
      </c>
      <c r="M98" s="17" t="str">
        <f t="shared" ref="M98:N98" si="51">"+0"</f>
        <v>+0</v>
      </c>
      <c r="N98" s="18" t="str">
        <f t="shared" si="51"/>
        <v>+0</v>
      </c>
    </row>
    <row r="99">
      <c r="A99" s="13">
        <v>45901.0</v>
      </c>
      <c r="B99" s="14" t="s">
        <v>47</v>
      </c>
      <c r="C99" s="14" t="s">
        <v>48</v>
      </c>
      <c r="D99" s="14" t="s">
        <v>96</v>
      </c>
      <c r="E99" s="14" t="s">
        <v>97</v>
      </c>
      <c r="F99" s="15" t="s">
        <v>51</v>
      </c>
      <c r="G99" s="14" t="s">
        <v>98</v>
      </c>
      <c r="H99" s="14" t="s">
        <v>96</v>
      </c>
      <c r="I99" s="14" t="s">
        <v>59</v>
      </c>
      <c r="J99" s="14" t="s">
        <v>198</v>
      </c>
      <c r="K99" s="14" t="s">
        <v>207</v>
      </c>
      <c r="L99" s="14">
        <v>0.0</v>
      </c>
      <c r="M99" s="17" t="str">
        <f>"+0"</f>
        <v>+0</v>
      </c>
    </row>
    <row r="100">
      <c r="A100" s="13">
        <v>45901.0</v>
      </c>
      <c r="B100" s="14" t="s">
        <v>47</v>
      </c>
      <c r="C100" s="14" t="s">
        <v>48</v>
      </c>
      <c r="D100" s="14" t="s">
        <v>85</v>
      </c>
      <c r="E100" s="14" t="s">
        <v>86</v>
      </c>
      <c r="F100" s="15" t="s">
        <v>51</v>
      </c>
      <c r="G100" s="14" t="s">
        <v>148</v>
      </c>
      <c r="H100" s="14" t="s">
        <v>85</v>
      </c>
      <c r="I100" s="14" t="s">
        <v>59</v>
      </c>
      <c r="J100" s="14" t="s">
        <v>200</v>
      </c>
      <c r="K100" s="14" t="s">
        <v>225</v>
      </c>
      <c r="L100" s="14">
        <v>82.0</v>
      </c>
      <c r="M100" s="17" t="str">
        <f>"+2"</f>
        <v>+2</v>
      </c>
      <c r="N100" s="18" t="str">
        <f>"+0"</f>
        <v>+0</v>
      </c>
    </row>
    <row r="101">
      <c r="A101" s="13">
        <v>45901.0</v>
      </c>
      <c r="B101" s="14" t="s">
        <v>47</v>
      </c>
      <c r="C101" s="14" t="s">
        <v>48</v>
      </c>
      <c r="D101" s="14" t="s">
        <v>85</v>
      </c>
      <c r="E101" s="14" t="s">
        <v>86</v>
      </c>
      <c r="F101" s="15" t="s">
        <v>51</v>
      </c>
      <c r="G101" s="14" t="s">
        <v>148</v>
      </c>
      <c r="H101" s="14" t="s">
        <v>85</v>
      </c>
      <c r="I101" s="14" t="s">
        <v>59</v>
      </c>
      <c r="J101" s="14" t="s">
        <v>198</v>
      </c>
      <c r="K101" s="14" t="s">
        <v>212</v>
      </c>
      <c r="L101" s="14">
        <v>54.0</v>
      </c>
      <c r="M101" s="17" t="str">
        <f t="shared" ref="M101:N101" si="52">"+18"</f>
        <v>+18</v>
      </c>
      <c r="N101" s="18" t="str">
        <f t="shared" si="52"/>
        <v>+18</v>
      </c>
    </row>
    <row r="102">
      <c r="A102" s="13">
        <v>45901.0</v>
      </c>
      <c r="B102" s="14" t="s">
        <v>47</v>
      </c>
      <c r="C102" s="14" t="s">
        <v>48</v>
      </c>
      <c r="D102" s="14" t="s">
        <v>108</v>
      </c>
      <c r="E102" s="14" t="s">
        <v>109</v>
      </c>
      <c r="F102" s="14" t="s">
        <v>146</v>
      </c>
      <c r="G102" s="14" t="s">
        <v>180</v>
      </c>
      <c r="H102" s="14" t="s">
        <v>108</v>
      </c>
      <c r="I102" s="14" t="s">
        <v>59</v>
      </c>
      <c r="J102" s="14" t="s">
        <v>200</v>
      </c>
      <c r="K102" s="14" t="s">
        <v>226</v>
      </c>
      <c r="L102" s="14">
        <v>69.0</v>
      </c>
      <c r="M102" s="17" t="str">
        <f>"-4"</f>
        <v>-4</v>
      </c>
    </row>
    <row r="103">
      <c r="A103" s="13">
        <v>45901.0</v>
      </c>
      <c r="B103" s="14" t="s">
        <v>47</v>
      </c>
      <c r="C103" s="14" t="s">
        <v>48</v>
      </c>
      <c r="D103" s="14" t="s">
        <v>158</v>
      </c>
      <c r="E103" s="14" t="s">
        <v>159</v>
      </c>
      <c r="F103" s="15" t="s">
        <v>51</v>
      </c>
      <c r="G103" s="14" t="s">
        <v>160</v>
      </c>
      <c r="H103" s="14" t="s">
        <v>158</v>
      </c>
      <c r="I103" s="14" t="s">
        <v>54</v>
      </c>
      <c r="J103" s="14" t="s">
        <v>200</v>
      </c>
      <c r="K103" s="14" t="s">
        <v>204</v>
      </c>
      <c r="L103" s="14">
        <v>0.0</v>
      </c>
      <c r="M103" s="17" t="str">
        <f t="shared" ref="M103:N103" si="53">"+0"</f>
        <v>+0</v>
      </c>
      <c r="N103" s="18" t="str">
        <f t="shared" si="53"/>
        <v>+0</v>
      </c>
    </row>
    <row r="104">
      <c r="A104" s="13">
        <v>45901.0</v>
      </c>
      <c r="B104" s="14" t="s">
        <v>47</v>
      </c>
      <c r="C104" s="14" t="s">
        <v>48</v>
      </c>
      <c r="D104" s="14" t="s">
        <v>108</v>
      </c>
      <c r="E104" s="14" t="s">
        <v>109</v>
      </c>
      <c r="F104" s="15" t="s">
        <v>51</v>
      </c>
      <c r="G104" s="14" t="s">
        <v>110</v>
      </c>
      <c r="H104" s="14" t="s">
        <v>108</v>
      </c>
      <c r="I104" s="14" t="s">
        <v>59</v>
      </c>
      <c r="J104" s="14" t="s">
        <v>200</v>
      </c>
      <c r="K104" s="14" t="s">
        <v>222</v>
      </c>
      <c r="L104" s="14">
        <v>25.0</v>
      </c>
      <c r="M104" s="17" t="str">
        <f t="shared" ref="M104:N104" si="54">"+0"</f>
        <v>+0</v>
      </c>
      <c r="N104" s="18" t="str">
        <f t="shared" si="54"/>
        <v>+0</v>
      </c>
    </row>
    <row r="105">
      <c r="A105" s="13">
        <v>45901.0</v>
      </c>
      <c r="B105" s="14" t="s">
        <v>47</v>
      </c>
      <c r="C105" s="14" t="s">
        <v>48</v>
      </c>
      <c r="D105" s="14" t="s">
        <v>108</v>
      </c>
      <c r="E105" s="14" t="s">
        <v>109</v>
      </c>
      <c r="F105" s="15" t="s">
        <v>51</v>
      </c>
      <c r="G105" s="14" t="s">
        <v>110</v>
      </c>
      <c r="H105" s="14" t="s">
        <v>108</v>
      </c>
      <c r="I105" s="14" t="s">
        <v>59</v>
      </c>
      <c r="J105" s="14" t="s">
        <v>200</v>
      </c>
      <c r="K105" s="14" t="s">
        <v>227</v>
      </c>
      <c r="L105" s="14">
        <v>43.0</v>
      </c>
      <c r="M105" s="17" t="str">
        <f t="shared" ref="M105:M106" si="55">"+2"</f>
        <v>+2</v>
      </c>
      <c r="N105" s="18" t="str">
        <f>"+23"</f>
        <v>+23</v>
      </c>
    </row>
    <row r="106">
      <c r="A106" s="13">
        <v>45901.0</v>
      </c>
      <c r="B106" s="14" t="s">
        <v>47</v>
      </c>
      <c r="C106" s="14" t="s">
        <v>48</v>
      </c>
      <c r="D106" s="14" t="s">
        <v>158</v>
      </c>
      <c r="E106" s="14" t="s">
        <v>159</v>
      </c>
      <c r="F106" s="15" t="s">
        <v>51</v>
      </c>
      <c r="G106" s="14" t="s">
        <v>160</v>
      </c>
      <c r="H106" s="14" t="s">
        <v>158</v>
      </c>
      <c r="I106" s="14" t="s">
        <v>54</v>
      </c>
      <c r="J106" s="14" t="s">
        <v>200</v>
      </c>
      <c r="K106" s="14" t="s">
        <v>227</v>
      </c>
      <c r="L106" s="14">
        <v>32.0</v>
      </c>
      <c r="M106" s="17" t="str">
        <f t="shared" si="55"/>
        <v>+2</v>
      </c>
      <c r="N106" s="18" t="str">
        <f>"+10"</f>
        <v>+10</v>
      </c>
    </row>
    <row r="107">
      <c r="A107" s="13">
        <v>45901.0</v>
      </c>
      <c r="B107" s="14" t="s">
        <v>47</v>
      </c>
      <c r="C107" s="14" t="s">
        <v>48</v>
      </c>
      <c r="D107" s="14" t="s">
        <v>112</v>
      </c>
      <c r="E107" s="14" t="s">
        <v>113</v>
      </c>
      <c r="F107" s="15" t="s">
        <v>51</v>
      </c>
      <c r="G107" s="14" t="s">
        <v>114</v>
      </c>
      <c r="H107" s="14" t="s">
        <v>112</v>
      </c>
      <c r="I107" s="14" t="s">
        <v>59</v>
      </c>
      <c r="J107" s="14" t="s">
        <v>199</v>
      </c>
      <c r="K107" s="14" t="s">
        <v>203</v>
      </c>
      <c r="L107" s="14">
        <v>0.0</v>
      </c>
      <c r="M107" s="17" t="str">
        <f t="shared" ref="M107:N107" si="56">"+0"</f>
        <v>+0</v>
      </c>
      <c r="N107" s="18" t="str">
        <f t="shared" si="56"/>
        <v>+0</v>
      </c>
    </row>
    <row r="108">
      <c r="A108" s="13">
        <v>45901.0</v>
      </c>
      <c r="B108" s="14" t="s">
        <v>47</v>
      </c>
      <c r="C108" s="14" t="s">
        <v>48</v>
      </c>
      <c r="D108" s="14" t="s">
        <v>56</v>
      </c>
      <c r="E108" s="14" t="s">
        <v>57</v>
      </c>
      <c r="F108" s="15" t="s">
        <v>51</v>
      </c>
      <c r="G108" s="14" t="s">
        <v>58</v>
      </c>
      <c r="H108" s="14" t="s">
        <v>56</v>
      </c>
      <c r="I108" s="14" t="s">
        <v>59</v>
      </c>
      <c r="J108" s="14" t="s">
        <v>200</v>
      </c>
      <c r="K108" s="14" t="s">
        <v>209</v>
      </c>
      <c r="L108" s="14">
        <v>1.0</v>
      </c>
      <c r="M108" s="17" t="str">
        <f t="shared" ref="M108:N108" si="57">"+0"</f>
        <v>+0</v>
      </c>
      <c r="N108" s="18" t="str">
        <f t="shared" si="57"/>
        <v>+0</v>
      </c>
    </row>
    <row r="109">
      <c r="A109" s="13">
        <v>45901.0</v>
      </c>
      <c r="B109" s="14" t="s">
        <v>47</v>
      </c>
      <c r="C109" s="14" t="s">
        <v>48</v>
      </c>
      <c r="D109" s="14" t="s">
        <v>56</v>
      </c>
      <c r="E109" s="14" t="s">
        <v>57</v>
      </c>
      <c r="F109" s="15" t="s">
        <v>51</v>
      </c>
      <c r="G109" s="14" t="s">
        <v>58</v>
      </c>
      <c r="H109" s="14" t="s">
        <v>56</v>
      </c>
      <c r="I109" s="14" t="s">
        <v>59</v>
      </c>
      <c r="J109" s="14" t="s">
        <v>200</v>
      </c>
      <c r="K109" s="14" t="s">
        <v>214</v>
      </c>
      <c r="L109" s="14">
        <v>63.0</v>
      </c>
      <c r="M109" s="17" t="str">
        <f>"+5"</f>
        <v>+5</v>
      </c>
      <c r="N109" s="18" t="str">
        <f>"-10"</f>
        <v>-10</v>
      </c>
    </row>
    <row r="110">
      <c r="A110" s="13">
        <v>45901.0</v>
      </c>
      <c r="B110" s="14" t="s">
        <v>47</v>
      </c>
      <c r="C110" s="14" t="s">
        <v>48</v>
      </c>
      <c r="D110" s="14" t="s">
        <v>140</v>
      </c>
      <c r="E110" s="14" t="s">
        <v>141</v>
      </c>
      <c r="F110" s="15" t="s">
        <v>51</v>
      </c>
      <c r="G110" s="14" t="s">
        <v>142</v>
      </c>
      <c r="H110" s="14" t="s">
        <v>140</v>
      </c>
      <c r="I110" s="14" t="s">
        <v>59</v>
      </c>
      <c r="J110" s="14" t="s">
        <v>200</v>
      </c>
      <c r="K110" s="14" t="s">
        <v>202</v>
      </c>
      <c r="L110" s="14">
        <v>0.0</v>
      </c>
      <c r="M110" s="17" t="str">
        <f t="shared" ref="M110:N110" si="58">"+0"</f>
        <v>+0</v>
      </c>
      <c r="N110" s="18" t="str">
        <f t="shared" si="58"/>
        <v>+0</v>
      </c>
    </row>
    <row r="111">
      <c r="A111" s="13">
        <v>45901.0</v>
      </c>
      <c r="B111" s="14" t="s">
        <v>47</v>
      </c>
      <c r="C111" s="14" t="s">
        <v>48</v>
      </c>
      <c r="D111" s="14" t="s">
        <v>165</v>
      </c>
      <c r="E111" s="14" t="s">
        <v>166</v>
      </c>
      <c r="F111" s="14" t="s">
        <v>111</v>
      </c>
      <c r="G111" s="14">
        <v>7116371.0</v>
      </c>
      <c r="H111" s="14" t="s">
        <v>165</v>
      </c>
      <c r="I111" s="14" t="s">
        <v>59</v>
      </c>
      <c r="J111" s="14" t="s">
        <v>200</v>
      </c>
      <c r="K111" s="14" t="s">
        <v>221</v>
      </c>
      <c r="L111" s="14">
        <v>55.0</v>
      </c>
      <c r="M111" s="17" t="str">
        <f>"+0"</f>
        <v>+0</v>
      </c>
      <c r="N111" s="18" t="str">
        <f>"+1"</f>
        <v>+1</v>
      </c>
    </row>
    <row r="112">
      <c r="A112" s="13">
        <v>45901.0</v>
      </c>
      <c r="B112" s="14" t="s">
        <v>47</v>
      </c>
      <c r="C112" s="14" t="s">
        <v>48</v>
      </c>
      <c r="D112" s="14" t="s">
        <v>118</v>
      </c>
      <c r="E112" s="14" t="s">
        <v>119</v>
      </c>
      <c r="F112" s="15" t="s">
        <v>51</v>
      </c>
      <c r="G112" s="14" t="s">
        <v>120</v>
      </c>
      <c r="H112" s="14" t="s">
        <v>118</v>
      </c>
      <c r="I112" s="14" t="s">
        <v>59</v>
      </c>
      <c r="J112" s="14" t="s">
        <v>198</v>
      </c>
      <c r="K112" s="14" t="s">
        <v>212</v>
      </c>
      <c r="L112" s="14">
        <v>54.0</v>
      </c>
      <c r="M112" s="17" t="str">
        <f t="shared" ref="M112:N112" si="59">"+18"</f>
        <v>+18</v>
      </c>
      <c r="N112" s="18" t="str">
        <f t="shared" si="59"/>
        <v>+18</v>
      </c>
    </row>
    <row r="113">
      <c r="A113" s="13">
        <v>45901.0</v>
      </c>
      <c r="B113" s="14" t="s">
        <v>47</v>
      </c>
      <c r="C113" s="14" t="s">
        <v>48</v>
      </c>
      <c r="D113" s="14" t="s">
        <v>91</v>
      </c>
      <c r="E113" s="14" t="s">
        <v>92</v>
      </c>
      <c r="F113" s="14" t="s">
        <v>71</v>
      </c>
      <c r="G113" s="14">
        <v>5.10000484E8</v>
      </c>
      <c r="H113" s="14" t="s">
        <v>91</v>
      </c>
      <c r="I113" s="14" t="s">
        <v>54</v>
      </c>
      <c r="J113" s="14" t="s">
        <v>200</v>
      </c>
      <c r="K113" s="14" t="s">
        <v>220</v>
      </c>
      <c r="L113" s="14">
        <v>23.0</v>
      </c>
      <c r="M113" s="17" t="str">
        <f t="shared" ref="M113:M114" si="60">"+2"</f>
        <v>+2</v>
      </c>
      <c r="N113" s="18" t="str">
        <f>"+0"</f>
        <v>+0</v>
      </c>
    </row>
    <row r="114">
      <c r="A114" s="13">
        <v>45901.0</v>
      </c>
      <c r="B114" s="14" t="s">
        <v>47</v>
      </c>
      <c r="C114" s="14" t="s">
        <v>48</v>
      </c>
      <c r="D114" s="14" t="s">
        <v>158</v>
      </c>
      <c r="E114" s="14" t="s">
        <v>159</v>
      </c>
      <c r="F114" s="15" t="s">
        <v>51</v>
      </c>
      <c r="G114" s="14" t="s">
        <v>160</v>
      </c>
      <c r="H114" s="14" t="s">
        <v>158</v>
      </c>
      <c r="I114" s="14" t="s">
        <v>54</v>
      </c>
      <c r="J114" s="14" t="s">
        <v>198</v>
      </c>
      <c r="K114" s="14" t="s">
        <v>212</v>
      </c>
      <c r="L114" s="14">
        <v>54.0</v>
      </c>
      <c r="M114" s="17" t="str">
        <f t="shared" si="60"/>
        <v>+2</v>
      </c>
      <c r="N114" s="18" t="str">
        <f>"+19"</f>
        <v>+19</v>
      </c>
    </row>
    <row r="115">
      <c r="A115" s="13">
        <v>45901.0</v>
      </c>
      <c r="B115" s="14" t="s">
        <v>47</v>
      </c>
      <c r="C115" s="14" t="s">
        <v>48</v>
      </c>
      <c r="D115" s="14" t="s">
        <v>158</v>
      </c>
      <c r="E115" s="14" t="s">
        <v>159</v>
      </c>
      <c r="F115" s="15" t="s">
        <v>51</v>
      </c>
      <c r="G115" s="14" t="s">
        <v>160</v>
      </c>
      <c r="H115" s="14" t="s">
        <v>158</v>
      </c>
      <c r="I115" s="14" t="s">
        <v>54</v>
      </c>
      <c r="J115" s="14" t="s">
        <v>199</v>
      </c>
      <c r="K115" s="14" t="s">
        <v>208</v>
      </c>
      <c r="L115" s="14">
        <v>85.0</v>
      </c>
      <c r="M115" s="17" t="str">
        <f t="shared" ref="M115:N115" si="61">"+0"</f>
        <v>+0</v>
      </c>
      <c r="N115" s="18" t="str">
        <f t="shared" si="61"/>
        <v>+0</v>
      </c>
    </row>
    <row r="116">
      <c r="A116" s="13">
        <v>45901.0</v>
      </c>
      <c r="B116" s="14" t="s">
        <v>47</v>
      </c>
      <c r="C116" s="14" t="s">
        <v>48</v>
      </c>
      <c r="D116" s="14" t="s">
        <v>99</v>
      </c>
      <c r="E116" s="14" t="s">
        <v>100</v>
      </c>
      <c r="F116" s="15" t="s">
        <v>51</v>
      </c>
      <c r="G116" s="14" t="s">
        <v>101</v>
      </c>
      <c r="H116" s="14" t="s">
        <v>102</v>
      </c>
      <c r="I116" s="14" t="s">
        <v>54</v>
      </c>
      <c r="J116" s="14" t="s">
        <v>200</v>
      </c>
      <c r="K116" s="14" t="s">
        <v>227</v>
      </c>
      <c r="L116" s="14">
        <v>61.0</v>
      </c>
      <c r="M116" s="17" t="str">
        <f>"+11"</f>
        <v>+11</v>
      </c>
      <c r="N116" s="18" t="str">
        <f>"-5"</f>
        <v>-5</v>
      </c>
    </row>
    <row r="117">
      <c r="A117" s="13">
        <v>45901.0</v>
      </c>
      <c r="B117" s="14" t="s">
        <v>47</v>
      </c>
      <c r="C117" s="14" t="s">
        <v>48</v>
      </c>
      <c r="D117" s="14" t="s">
        <v>49</v>
      </c>
      <c r="E117" s="14" t="s">
        <v>50</v>
      </c>
      <c r="F117" s="15" t="s">
        <v>51</v>
      </c>
      <c r="G117" s="14" t="s">
        <v>52</v>
      </c>
      <c r="H117" s="14" t="s">
        <v>53</v>
      </c>
      <c r="I117" s="14" t="s">
        <v>54</v>
      </c>
      <c r="J117" s="14" t="s">
        <v>198</v>
      </c>
      <c r="K117" s="14" t="s">
        <v>205</v>
      </c>
      <c r="L117" s="14">
        <v>73.0</v>
      </c>
      <c r="M117" s="17" t="str">
        <f t="shared" ref="M117:M124" si="62">"+0"</f>
        <v>+0</v>
      </c>
    </row>
    <row r="118">
      <c r="A118" s="13">
        <v>45901.0</v>
      </c>
      <c r="B118" s="14" t="s">
        <v>47</v>
      </c>
      <c r="C118" s="14" t="s">
        <v>48</v>
      </c>
      <c r="D118" s="14" t="s">
        <v>63</v>
      </c>
      <c r="E118" s="14" t="s">
        <v>64</v>
      </c>
      <c r="F118" s="15" t="s">
        <v>51</v>
      </c>
      <c r="G118" s="14" t="s">
        <v>65</v>
      </c>
      <c r="H118" s="14" t="s">
        <v>63</v>
      </c>
      <c r="I118" s="14" t="s">
        <v>54</v>
      </c>
      <c r="J118" s="14" t="s">
        <v>199</v>
      </c>
      <c r="K118" s="14" t="s">
        <v>208</v>
      </c>
      <c r="L118" s="14">
        <v>100.0</v>
      </c>
      <c r="M118" s="17" t="str">
        <f t="shared" si="62"/>
        <v>+0</v>
      </c>
      <c r="N118" s="18" t="str">
        <f t="shared" ref="N118:N122" si="63">"+0"</f>
        <v>+0</v>
      </c>
    </row>
    <row r="119">
      <c r="A119" s="13">
        <v>45901.0</v>
      </c>
      <c r="B119" s="14" t="s">
        <v>47</v>
      </c>
      <c r="C119" s="14" t="s">
        <v>48</v>
      </c>
      <c r="D119" s="14" t="s">
        <v>96</v>
      </c>
      <c r="E119" s="14" t="s">
        <v>97</v>
      </c>
      <c r="F119" s="15" t="s">
        <v>51</v>
      </c>
      <c r="G119" s="14" t="s">
        <v>98</v>
      </c>
      <c r="H119" s="14" t="s">
        <v>96</v>
      </c>
      <c r="I119" s="14" t="s">
        <v>59</v>
      </c>
      <c r="J119" s="14" t="s">
        <v>199</v>
      </c>
      <c r="K119" s="14" t="s">
        <v>208</v>
      </c>
      <c r="L119" s="14">
        <v>100.0</v>
      </c>
      <c r="M119" s="17" t="str">
        <f t="shared" si="62"/>
        <v>+0</v>
      </c>
      <c r="N119" s="18" t="str">
        <f t="shared" si="63"/>
        <v>+0</v>
      </c>
    </row>
    <row r="120">
      <c r="A120" s="13">
        <v>45901.0</v>
      </c>
      <c r="B120" s="14" t="s">
        <v>47</v>
      </c>
      <c r="C120" s="14" t="s">
        <v>48</v>
      </c>
      <c r="D120" s="14" t="s">
        <v>165</v>
      </c>
      <c r="E120" s="14" t="s">
        <v>166</v>
      </c>
      <c r="F120" s="15" t="s">
        <v>51</v>
      </c>
      <c r="G120" s="14" t="s">
        <v>167</v>
      </c>
      <c r="H120" s="14" t="s">
        <v>165</v>
      </c>
      <c r="I120" s="14" t="s">
        <v>54</v>
      </c>
      <c r="J120" s="14" t="s">
        <v>200</v>
      </c>
      <c r="K120" s="14" t="s">
        <v>211</v>
      </c>
      <c r="L120" s="14">
        <v>0.0</v>
      </c>
      <c r="M120" s="17" t="str">
        <f t="shared" si="62"/>
        <v>+0</v>
      </c>
      <c r="N120" s="18" t="str">
        <f t="shared" si="63"/>
        <v>+0</v>
      </c>
    </row>
    <row r="121">
      <c r="A121" s="13">
        <v>45901.0</v>
      </c>
      <c r="B121" s="14" t="s">
        <v>47</v>
      </c>
      <c r="C121" s="14" t="s">
        <v>48</v>
      </c>
      <c r="D121" s="14" t="s">
        <v>49</v>
      </c>
      <c r="E121" s="14" t="s">
        <v>50</v>
      </c>
      <c r="F121" s="15" t="s">
        <v>51</v>
      </c>
      <c r="G121" s="14" t="s">
        <v>52</v>
      </c>
      <c r="H121" s="14" t="s">
        <v>53</v>
      </c>
      <c r="I121" s="14" t="s">
        <v>54</v>
      </c>
      <c r="J121" s="14" t="s">
        <v>200</v>
      </c>
      <c r="K121" s="14" t="s">
        <v>219</v>
      </c>
      <c r="L121" s="14">
        <v>100.0</v>
      </c>
      <c r="M121" s="17" t="str">
        <f t="shared" si="62"/>
        <v>+0</v>
      </c>
      <c r="N121" s="18" t="str">
        <f t="shared" si="63"/>
        <v>+0</v>
      </c>
    </row>
    <row r="122">
      <c r="A122" s="13">
        <v>45901.0</v>
      </c>
      <c r="B122" s="14" t="s">
        <v>47</v>
      </c>
      <c r="C122" s="14" t="s">
        <v>48</v>
      </c>
      <c r="D122" s="14" t="s">
        <v>192</v>
      </c>
      <c r="E122" s="14" t="s">
        <v>193</v>
      </c>
      <c r="F122" s="15" t="s">
        <v>51</v>
      </c>
      <c r="G122" s="14" t="s">
        <v>194</v>
      </c>
      <c r="H122" s="14" t="s">
        <v>192</v>
      </c>
      <c r="I122" s="14" t="s">
        <v>54</v>
      </c>
      <c r="J122" s="14" t="s">
        <v>200</v>
      </c>
      <c r="K122" s="14" t="s">
        <v>225</v>
      </c>
      <c r="L122" s="14">
        <v>31.0</v>
      </c>
      <c r="M122" s="17" t="str">
        <f t="shared" si="62"/>
        <v>+0</v>
      </c>
      <c r="N122" s="18" t="str">
        <f t="shared" si="63"/>
        <v>+0</v>
      </c>
    </row>
    <row r="123">
      <c r="A123" s="13">
        <v>45901.0</v>
      </c>
      <c r="B123" s="14" t="s">
        <v>47</v>
      </c>
      <c r="C123" s="14" t="s">
        <v>48</v>
      </c>
      <c r="D123" s="14" t="s">
        <v>93</v>
      </c>
      <c r="E123" s="14" t="s">
        <v>94</v>
      </c>
      <c r="F123" s="15" t="s">
        <v>51</v>
      </c>
      <c r="G123" s="14" t="s">
        <v>191</v>
      </c>
      <c r="H123" s="14" t="s">
        <v>95</v>
      </c>
      <c r="I123" s="14" t="s">
        <v>59</v>
      </c>
      <c r="J123" s="14" t="s">
        <v>198</v>
      </c>
      <c r="K123" s="14" t="s">
        <v>207</v>
      </c>
      <c r="L123" s="14">
        <v>0.0</v>
      </c>
      <c r="M123" s="17" t="str">
        <f t="shared" si="62"/>
        <v>+0</v>
      </c>
    </row>
    <row r="124">
      <c r="A124" s="13">
        <v>45901.0</v>
      </c>
      <c r="B124" s="14" t="s">
        <v>47</v>
      </c>
      <c r="C124" s="14" t="s">
        <v>48</v>
      </c>
      <c r="D124" s="14" t="s">
        <v>93</v>
      </c>
      <c r="E124" s="14" t="s">
        <v>94</v>
      </c>
      <c r="F124" s="15" t="s">
        <v>51</v>
      </c>
      <c r="G124" s="14" t="s">
        <v>191</v>
      </c>
      <c r="H124" s="14" t="s">
        <v>95</v>
      </c>
      <c r="I124" s="14" t="s">
        <v>59</v>
      </c>
      <c r="J124" s="14" t="s">
        <v>200</v>
      </c>
      <c r="K124" s="14" t="s">
        <v>209</v>
      </c>
      <c r="L124" s="14">
        <v>1.0</v>
      </c>
      <c r="M124" s="17" t="str">
        <f t="shared" si="62"/>
        <v>+0</v>
      </c>
      <c r="N124" s="18" t="str">
        <f>"+0"</f>
        <v>+0</v>
      </c>
    </row>
    <row r="125">
      <c r="A125" s="13">
        <v>45901.0</v>
      </c>
      <c r="B125" s="14" t="s">
        <v>47</v>
      </c>
      <c r="C125" s="14" t="s">
        <v>48</v>
      </c>
      <c r="D125" s="14" t="s">
        <v>143</v>
      </c>
      <c r="E125" s="14" t="s">
        <v>144</v>
      </c>
      <c r="F125" s="15" t="s">
        <v>51</v>
      </c>
      <c r="G125" s="14" t="s">
        <v>145</v>
      </c>
      <c r="H125" s="14" t="s">
        <v>143</v>
      </c>
      <c r="I125" s="14" t="s">
        <v>59</v>
      </c>
      <c r="J125" s="14" t="s">
        <v>198</v>
      </c>
      <c r="K125" s="14" t="s">
        <v>212</v>
      </c>
      <c r="L125" s="14">
        <v>100.0</v>
      </c>
      <c r="M125" s="17" t="str">
        <f t="shared" ref="M125:N125" si="64">"+18"</f>
        <v>+18</v>
      </c>
      <c r="N125" s="18" t="str">
        <f t="shared" si="64"/>
        <v>+18</v>
      </c>
    </row>
    <row r="126">
      <c r="A126" s="13">
        <v>45901.0</v>
      </c>
      <c r="B126" s="14" t="s">
        <v>47</v>
      </c>
      <c r="C126" s="14" t="s">
        <v>48</v>
      </c>
      <c r="D126" s="14" t="s">
        <v>143</v>
      </c>
      <c r="E126" s="14" t="s">
        <v>144</v>
      </c>
      <c r="F126" s="15" t="s">
        <v>51</v>
      </c>
      <c r="G126" s="14" t="s">
        <v>145</v>
      </c>
      <c r="H126" s="14" t="s">
        <v>143</v>
      </c>
      <c r="I126" s="14" t="s">
        <v>59</v>
      </c>
      <c r="J126" s="14" t="s">
        <v>198</v>
      </c>
      <c r="K126" s="14" t="s">
        <v>207</v>
      </c>
      <c r="L126" s="14">
        <v>0.0</v>
      </c>
      <c r="M126" s="17" t="str">
        <f t="shared" ref="M126:M129" si="65">"+0"</f>
        <v>+0</v>
      </c>
    </row>
    <row r="127">
      <c r="A127" s="13">
        <v>45901.0</v>
      </c>
      <c r="B127" s="14" t="s">
        <v>47</v>
      </c>
      <c r="C127" s="14" t="s">
        <v>48</v>
      </c>
      <c r="D127" s="14" t="s">
        <v>136</v>
      </c>
      <c r="E127" s="14" t="s">
        <v>137</v>
      </c>
      <c r="F127" s="15" t="s">
        <v>51</v>
      </c>
      <c r="G127" s="14" t="s">
        <v>138</v>
      </c>
      <c r="H127" s="14" t="s">
        <v>139</v>
      </c>
      <c r="I127" s="14" t="s">
        <v>59</v>
      </c>
      <c r="J127" s="14" t="s">
        <v>200</v>
      </c>
      <c r="K127" s="14" t="s">
        <v>204</v>
      </c>
      <c r="L127" s="14">
        <v>0.0</v>
      </c>
      <c r="M127" s="17" t="str">
        <f t="shared" si="65"/>
        <v>+0</v>
      </c>
      <c r="N127" s="18" t="str">
        <f t="shared" ref="N127:N128" si="66">"+0"</f>
        <v>+0</v>
      </c>
    </row>
    <row r="128">
      <c r="A128" s="13">
        <v>45901.0</v>
      </c>
      <c r="B128" s="14" t="s">
        <v>47</v>
      </c>
      <c r="C128" s="14" t="s">
        <v>48</v>
      </c>
      <c r="D128" s="14" t="s">
        <v>96</v>
      </c>
      <c r="E128" s="14" t="s">
        <v>97</v>
      </c>
      <c r="F128" s="15" t="s">
        <v>51</v>
      </c>
      <c r="G128" s="14" t="s">
        <v>98</v>
      </c>
      <c r="H128" s="14" t="s">
        <v>96</v>
      </c>
      <c r="I128" s="14" t="s">
        <v>59</v>
      </c>
      <c r="J128" s="14" t="s">
        <v>200</v>
      </c>
      <c r="K128" s="14" t="s">
        <v>222</v>
      </c>
      <c r="L128" s="14">
        <v>25.0</v>
      </c>
      <c r="M128" s="17" t="str">
        <f t="shared" si="65"/>
        <v>+0</v>
      </c>
      <c r="N128" s="18" t="str">
        <f t="shared" si="66"/>
        <v>+0</v>
      </c>
    </row>
    <row r="129">
      <c r="A129" s="13">
        <v>45901.0</v>
      </c>
      <c r="B129" s="14" t="s">
        <v>47</v>
      </c>
      <c r="C129" s="14" t="s">
        <v>48</v>
      </c>
      <c r="D129" s="14" t="s">
        <v>96</v>
      </c>
      <c r="E129" s="14" t="s">
        <v>97</v>
      </c>
      <c r="F129" s="15" t="s">
        <v>51</v>
      </c>
      <c r="G129" s="14" t="s">
        <v>98</v>
      </c>
      <c r="H129" s="14" t="s">
        <v>96</v>
      </c>
      <c r="I129" s="14" t="s">
        <v>59</v>
      </c>
      <c r="J129" s="14" t="s">
        <v>198</v>
      </c>
      <c r="K129" s="14" t="s">
        <v>205</v>
      </c>
      <c r="L129" s="14">
        <v>53.0</v>
      </c>
      <c r="M129" s="17" t="str">
        <f t="shared" si="65"/>
        <v>+0</v>
      </c>
    </row>
    <row r="130">
      <c r="A130" s="13">
        <v>45901.0</v>
      </c>
      <c r="B130" s="14" t="s">
        <v>47</v>
      </c>
      <c r="C130" s="14" t="s">
        <v>48</v>
      </c>
      <c r="D130" s="14" t="s">
        <v>96</v>
      </c>
      <c r="E130" s="14" t="s">
        <v>97</v>
      </c>
      <c r="F130" s="15" t="s">
        <v>51</v>
      </c>
      <c r="G130" s="14" t="s">
        <v>98</v>
      </c>
      <c r="H130" s="14" t="s">
        <v>96</v>
      </c>
      <c r="I130" s="14" t="s">
        <v>59</v>
      </c>
      <c r="J130" s="14" t="s">
        <v>200</v>
      </c>
      <c r="K130" s="14" t="s">
        <v>223</v>
      </c>
      <c r="L130" s="14">
        <v>30.0</v>
      </c>
      <c r="M130" s="17" t="str">
        <f>"+5"</f>
        <v>+5</v>
      </c>
      <c r="N130" s="18" t="str">
        <f>"+0"</f>
        <v>+0</v>
      </c>
    </row>
    <row r="131">
      <c r="A131" s="13">
        <v>45901.0</v>
      </c>
      <c r="B131" s="14" t="s">
        <v>47</v>
      </c>
      <c r="C131" s="14" t="s">
        <v>48</v>
      </c>
      <c r="D131" s="14" t="s">
        <v>125</v>
      </c>
      <c r="E131" s="14" t="s">
        <v>126</v>
      </c>
      <c r="F131" s="15" t="s">
        <v>51</v>
      </c>
      <c r="G131" s="14" t="s">
        <v>127</v>
      </c>
      <c r="H131" s="14" t="s">
        <v>125</v>
      </c>
      <c r="I131" s="14" t="s">
        <v>59</v>
      </c>
      <c r="J131" s="14" t="s">
        <v>198</v>
      </c>
      <c r="K131" s="14" t="s">
        <v>207</v>
      </c>
      <c r="L131" s="14">
        <v>0.0</v>
      </c>
      <c r="M131" s="17" t="str">
        <f>"+0"</f>
        <v>+0</v>
      </c>
    </row>
    <row r="132">
      <c r="A132" s="13">
        <v>45901.0</v>
      </c>
      <c r="B132" s="14" t="s">
        <v>47</v>
      </c>
      <c r="C132" s="14" t="s">
        <v>48</v>
      </c>
      <c r="D132" s="14" t="s">
        <v>108</v>
      </c>
      <c r="E132" s="14" t="s">
        <v>109</v>
      </c>
      <c r="F132" s="14" t="s">
        <v>79</v>
      </c>
      <c r="G132" s="14" t="s">
        <v>153</v>
      </c>
      <c r="H132" s="14" t="s">
        <v>108</v>
      </c>
      <c r="I132" s="14" t="s">
        <v>154</v>
      </c>
      <c r="J132" s="14" t="s">
        <v>198</v>
      </c>
      <c r="K132" s="14" t="s">
        <v>210</v>
      </c>
      <c r="L132" s="14">
        <v>83.0</v>
      </c>
      <c r="M132" s="17" t="str">
        <f>"-17"</f>
        <v>-17</v>
      </c>
    </row>
    <row r="133">
      <c r="A133" s="13">
        <v>45901.0</v>
      </c>
      <c r="B133" s="14" t="s">
        <v>47</v>
      </c>
      <c r="C133" s="14" t="s">
        <v>48</v>
      </c>
      <c r="D133" s="14" t="s">
        <v>108</v>
      </c>
      <c r="E133" s="14" t="s">
        <v>109</v>
      </c>
      <c r="F133" s="15" t="s">
        <v>51</v>
      </c>
      <c r="G133" s="14" t="s">
        <v>110</v>
      </c>
      <c r="H133" s="14" t="s">
        <v>108</v>
      </c>
      <c r="I133" s="14" t="s">
        <v>59</v>
      </c>
      <c r="J133" s="14" t="s">
        <v>198</v>
      </c>
      <c r="K133" s="14" t="s">
        <v>205</v>
      </c>
      <c r="L133" s="14">
        <v>41.0</v>
      </c>
      <c r="M133" s="17" t="str">
        <f t="shared" ref="M133:M136" si="67">"+0"</f>
        <v>+0</v>
      </c>
    </row>
    <row r="134">
      <c r="A134" s="13">
        <v>45901.0</v>
      </c>
      <c r="B134" s="14" t="s">
        <v>47</v>
      </c>
      <c r="C134" s="14" t="s">
        <v>48</v>
      </c>
      <c r="D134" s="14" t="s">
        <v>116</v>
      </c>
      <c r="E134" s="14" t="s">
        <v>117</v>
      </c>
      <c r="F134" s="15" t="s">
        <v>51</v>
      </c>
      <c r="G134" s="14" t="s">
        <v>161</v>
      </c>
      <c r="H134" s="14" t="s">
        <v>116</v>
      </c>
      <c r="I134" s="14" t="s">
        <v>54</v>
      </c>
      <c r="J134" s="14" t="s">
        <v>199</v>
      </c>
      <c r="K134" s="14" t="s">
        <v>203</v>
      </c>
      <c r="L134" s="14">
        <v>100.0</v>
      </c>
      <c r="M134" s="17" t="str">
        <f t="shared" si="67"/>
        <v>+0</v>
      </c>
      <c r="N134" s="18" t="str">
        <f>"+0"</f>
        <v>+0</v>
      </c>
    </row>
    <row r="135">
      <c r="A135" s="13">
        <v>45901.0</v>
      </c>
      <c r="B135" s="14" t="s">
        <v>47</v>
      </c>
      <c r="C135" s="14" t="s">
        <v>48</v>
      </c>
      <c r="D135" s="14" t="s">
        <v>116</v>
      </c>
      <c r="E135" s="14" t="s">
        <v>117</v>
      </c>
      <c r="F135" s="15" t="s">
        <v>51</v>
      </c>
      <c r="G135" s="14" t="s">
        <v>161</v>
      </c>
      <c r="H135" s="14" t="s">
        <v>116</v>
      </c>
      <c r="I135" s="14" t="s">
        <v>54</v>
      </c>
      <c r="J135" s="14" t="s">
        <v>200</v>
      </c>
      <c r="K135" s="14" t="s">
        <v>228</v>
      </c>
      <c r="L135" s="14">
        <v>85.0</v>
      </c>
      <c r="M135" s="17" t="str">
        <f t="shared" si="67"/>
        <v>+0</v>
      </c>
      <c r="N135" s="18" t="str">
        <f>"+1"</f>
        <v>+1</v>
      </c>
    </row>
    <row r="136">
      <c r="A136" s="13">
        <v>45901.0</v>
      </c>
      <c r="B136" s="14" t="s">
        <v>47</v>
      </c>
      <c r="C136" s="14" t="s">
        <v>48</v>
      </c>
      <c r="D136" s="14" t="s">
        <v>155</v>
      </c>
      <c r="E136" s="14" t="s">
        <v>156</v>
      </c>
      <c r="F136" s="15" t="s">
        <v>51</v>
      </c>
      <c r="G136" s="14" t="s">
        <v>157</v>
      </c>
      <c r="H136" s="14" t="s">
        <v>155</v>
      </c>
      <c r="I136" s="14" t="s">
        <v>59</v>
      </c>
      <c r="J136" s="14" t="s">
        <v>200</v>
      </c>
      <c r="K136" s="14" t="s">
        <v>223</v>
      </c>
      <c r="L136" s="14">
        <v>22.0</v>
      </c>
      <c r="M136" s="17" t="str">
        <f t="shared" si="67"/>
        <v>+0</v>
      </c>
      <c r="N136" s="18" t="str">
        <f>"+0"</f>
        <v>+0</v>
      </c>
    </row>
    <row r="137">
      <c r="A137" s="13">
        <v>45901.0</v>
      </c>
      <c r="B137" s="14" t="s">
        <v>47</v>
      </c>
      <c r="C137" s="14" t="s">
        <v>48</v>
      </c>
      <c r="D137" s="14" t="s">
        <v>121</v>
      </c>
      <c r="E137" s="14" t="s">
        <v>122</v>
      </c>
      <c r="F137" s="15" t="s">
        <v>51</v>
      </c>
      <c r="G137" s="14" t="s">
        <v>123</v>
      </c>
      <c r="H137" s="14" t="s">
        <v>124</v>
      </c>
      <c r="I137" s="14" t="s">
        <v>59</v>
      </c>
      <c r="J137" s="14" t="s">
        <v>200</v>
      </c>
      <c r="K137" s="14" t="s">
        <v>202</v>
      </c>
      <c r="L137" s="14">
        <v>13.0</v>
      </c>
      <c r="M137" s="17" t="str">
        <f>"+13"</f>
        <v>+13</v>
      </c>
      <c r="N137" s="18" t="str">
        <f>"-1"</f>
        <v>-1</v>
      </c>
    </row>
    <row r="138">
      <c r="A138" s="13">
        <v>45901.0</v>
      </c>
      <c r="B138" s="14" t="s">
        <v>47</v>
      </c>
      <c r="C138" s="14" t="s">
        <v>48</v>
      </c>
      <c r="D138" s="14" t="s">
        <v>121</v>
      </c>
      <c r="E138" s="14" t="s">
        <v>122</v>
      </c>
      <c r="F138" s="15" t="s">
        <v>51</v>
      </c>
      <c r="G138" s="14" t="s">
        <v>123</v>
      </c>
      <c r="H138" s="14" t="s">
        <v>124</v>
      </c>
      <c r="I138" s="14" t="s">
        <v>59</v>
      </c>
      <c r="J138" s="14" t="s">
        <v>200</v>
      </c>
      <c r="K138" s="14" t="s">
        <v>227</v>
      </c>
      <c r="L138" s="14">
        <v>35.0</v>
      </c>
      <c r="M138" s="17" t="str">
        <f>"+1"</f>
        <v>+1</v>
      </c>
      <c r="N138" s="18" t="str">
        <f>"-10"</f>
        <v>-10</v>
      </c>
    </row>
    <row r="139">
      <c r="A139" s="13">
        <v>45901.0</v>
      </c>
      <c r="B139" s="14" t="s">
        <v>47</v>
      </c>
      <c r="C139" s="14" t="s">
        <v>48</v>
      </c>
      <c r="D139" s="14" t="s">
        <v>91</v>
      </c>
      <c r="E139" s="14" t="s">
        <v>92</v>
      </c>
      <c r="F139" s="14" t="s">
        <v>79</v>
      </c>
      <c r="G139" s="14" t="s">
        <v>164</v>
      </c>
      <c r="H139" s="14" t="s">
        <v>91</v>
      </c>
      <c r="I139" s="14" t="s">
        <v>154</v>
      </c>
      <c r="J139" s="14" t="s">
        <v>198</v>
      </c>
      <c r="K139" s="14" t="s">
        <v>210</v>
      </c>
      <c r="L139" s="14">
        <v>66.0</v>
      </c>
      <c r="M139" s="17" t="str">
        <f>"-17"</f>
        <v>-17</v>
      </c>
    </row>
    <row r="140">
      <c r="A140" s="13">
        <v>45901.0</v>
      </c>
      <c r="B140" s="14" t="s">
        <v>47</v>
      </c>
      <c r="C140" s="14" t="s">
        <v>48</v>
      </c>
      <c r="D140" s="14" t="s">
        <v>91</v>
      </c>
      <c r="E140" s="14" t="s">
        <v>92</v>
      </c>
      <c r="F140" s="14" t="s">
        <v>71</v>
      </c>
      <c r="G140" s="14">
        <v>5.10001669E8</v>
      </c>
      <c r="H140" s="14" t="s">
        <v>91</v>
      </c>
      <c r="I140" s="14" t="s">
        <v>107</v>
      </c>
      <c r="J140" s="14" t="s">
        <v>199</v>
      </c>
      <c r="K140" s="14" t="s">
        <v>206</v>
      </c>
      <c r="L140" s="14">
        <v>100.0</v>
      </c>
      <c r="M140" s="17" t="str">
        <f t="shared" ref="M140:N140" si="68">"+0"</f>
        <v>+0</v>
      </c>
      <c r="N140" s="18" t="str">
        <f t="shared" si="68"/>
        <v>+0</v>
      </c>
    </row>
    <row r="141">
      <c r="A141" s="13">
        <v>45901.0</v>
      </c>
      <c r="B141" s="14" t="s">
        <v>47</v>
      </c>
      <c r="C141" s="14" t="s">
        <v>48</v>
      </c>
      <c r="D141" s="14" t="s">
        <v>129</v>
      </c>
      <c r="E141" s="14" t="s">
        <v>130</v>
      </c>
      <c r="F141" s="15" t="s">
        <v>51</v>
      </c>
      <c r="G141" s="14" t="s">
        <v>131</v>
      </c>
      <c r="H141" s="14" t="s">
        <v>129</v>
      </c>
      <c r="I141" s="14" t="s">
        <v>59</v>
      </c>
      <c r="J141" s="14" t="s">
        <v>199</v>
      </c>
      <c r="K141" s="14" t="s">
        <v>208</v>
      </c>
      <c r="L141" s="14">
        <v>100.0</v>
      </c>
      <c r="M141" s="17" t="str">
        <f t="shared" ref="M141:N141" si="69">"+0"</f>
        <v>+0</v>
      </c>
      <c r="N141" s="18" t="str">
        <f t="shared" si="69"/>
        <v>+0</v>
      </c>
    </row>
    <row r="142">
      <c r="A142" s="13">
        <v>45901.0</v>
      </c>
      <c r="B142" s="14" t="s">
        <v>47</v>
      </c>
      <c r="C142" s="14" t="s">
        <v>48</v>
      </c>
      <c r="D142" s="14" t="s">
        <v>143</v>
      </c>
      <c r="E142" s="14" t="s">
        <v>144</v>
      </c>
      <c r="F142" s="15" t="s">
        <v>51</v>
      </c>
      <c r="G142" s="14" t="s">
        <v>145</v>
      </c>
      <c r="H142" s="14" t="s">
        <v>143</v>
      </c>
      <c r="I142" s="14" t="s">
        <v>59</v>
      </c>
      <c r="J142" s="14" t="s">
        <v>199</v>
      </c>
      <c r="K142" s="14" t="s">
        <v>203</v>
      </c>
      <c r="L142" s="14">
        <v>0.0</v>
      </c>
      <c r="M142" s="17" t="str">
        <f t="shared" ref="M142:N142" si="70">"+0"</f>
        <v>+0</v>
      </c>
      <c r="N142" s="18" t="str">
        <f t="shared" si="70"/>
        <v>+0</v>
      </c>
    </row>
    <row r="143">
      <c r="A143" s="13">
        <v>45901.0</v>
      </c>
      <c r="B143" s="14" t="s">
        <v>47</v>
      </c>
      <c r="C143" s="14" t="s">
        <v>48</v>
      </c>
      <c r="D143" s="14" t="s">
        <v>143</v>
      </c>
      <c r="E143" s="14" t="s">
        <v>144</v>
      </c>
      <c r="F143" s="15" t="s">
        <v>51</v>
      </c>
      <c r="G143" s="14" t="s">
        <v>145</v>
      </c>
      <c r="H143" s="14" t="s">
        <v>143</v>
      </c>
      <c r="I143" s="14" t="s">
        <v>59</v>
      </c>
      <c r="J143" s="14" t="s">
        <v>199</v>
      </c>
      <c r="K143" s="14" t="s">
        <v>208</v>
      </c>
      <c r="L143" s="14">
        <v>100.0</v>
      </c>
      <c r="M143" s="17" t="str">
        <f t="shared" ref="M143:N143" si="71">"+0"</f>
        <v>+0</v>
      </c>
      <c r="N143" s="18" t="str">
        <f t="shared" si="71"/>
        <v>+0</v>
      </c>
    </row>
    <row r="144">
      <c r="A144" s="13">
        <v>45901.0</v>
      </c>
      <c r="B144" s="14" t="s">
        <v>47</v>
      </c>
      <c r="C144" s="14" t="s">
        <v>48</v>
      </c>
      <c r="D144" s="14" t="s">
        <v>136</v>
      </c>
      <c r="E144" s="14" t="s">
        <v>137</v>
      </c>
      <c r="F144" s="15" t="s">
        <v>51</v>
      </c>
      <c r="G144" s="14" t="s">
        <v>138</v>
      </c>
      <c r="H144" s="14" t="s">
        <v>139</v>
      </c>
      <c r="I144" s="14" t="s">
        <v>59</v>
      </c>
      <c r="J144" s="14" t="s">
        <v>198</v>
      </c>
      <c r="K144" s="14" t="s">
        <v>210</v>
      </c>
      <c r="L144" s="14">
        <v>75.0</v>
      </c>
      <c r="M144" s="17" t="str">
        <f>"+2"</f>
        <v>+2</v>
      </c>
      <c r="N144" s="18" t="str">
        <f>"-7"</f>
        <v>-7</v>
      </c>
    </row>
    <row r="145">
      <c r="A145" s="13">
        <v>45901.0</v>
      </c>
      <c r="B145" s="14" t="s">
        <v>47</v>
      </c>
      <c r="C145" s="14" t="s">
        <v>48</v>
      </c>
      <c r="D145" s="14" t="s">
        <v>63</v>
      </c>
      <c r="E145" s="14" t="s">
        <v>64</v>
      </c>
      <c r="F145" s="15" t="s">
        <v>51</v>
      </c>
      <c r="G145" s="14" t="s">
        <v>65</v>
      </c>
      <c r="H145" s="14" t="s">
        <v>63</v>
      </c>
      <c r="I145" s="14" t="s">
        <v>54</v>
      </c>
      <c r="J145" s="14" t="s">
        <v>200</v>
      </c>
      <c r="K145" s="14" t="s">
        <v>228</v>
      </c>
      <c r="L145" s="14">
        <v>71.0</v>
      </c>
      <c r="M145" s="17" t="str">
        <f>"-3"</f>
        <v>-3</v>
      </c>
      <c r="N145" s="18" t="str">
        <f>"-9"</f>
        <v>-9</v>
      </c>
    </row>
    <row r="146">
      <c r="A146" s="13">
        <v>45901.0</v>
      </c>
      <c r="B146" s="14" t="s">
        <v>47</v>
      </c>
      <c r="C146" s="14" t="s">
        <v>48</v>
      </c>
      <c r="D146" s="14" t="s">
        <v>136</v>
      </c>
      <c r="E146" s="14" t="s">
        <v>137</v>
      </c>
      <c r="F146" s="15" t="s">
        <v>51</v>
      </c>
      <c r="G146" s="14" t="s">
        <v>138</v>
      </c>
      <c r="H146" s="14" t="s">
        <v>139</v>
      </c>
      <c r="I146" s="14" t="s">
        <v>59</v>
      </c>
      <c r="J146" s="14" t="s">
        <v>198</v>
      </c>
      <c r="K146" s="14" t="s">
        <v>205</v>
      </c>
      <c r="L146" s="14">
        <v>45.0</v>
      </c>
      <c r="M146" s="17" t="str">
        <f t="shared" ref="M146:M147" si="72">"+0"</f>
        <v>+0</v>
      </c>
    </row>
    <row r="147">
      <c r="A147" s="13">
        <v>45901.0</v>
      </c>
      <c r="B147" s="14" t="s">
        <v>47</v>
      </c>
      <c r="C147" s="14" t="s">
        <v>48</v>
      </c>
      <c r="D147" s="14" t="s">
        <v>149</v>
      </c>
      <c r="E147" s="14" t="s">
        <v>150</v>
      </c>
      <c r="F147" s="15" t="s">
        <v>51</v>
      </c>
      <c r="G147" s="14" t="s">
        <v>151</v>
      </c>
      <c r="H147" s="14" t="s">
        <v>152</v>
      </c>
      <c r="I147" s="14" t="s">
        <v>54</v>
      </c>
      <c r="J147" s="14" t="s">
        <v>200</v>
      </c>
      <c r="K147" s="14" t="s">
        <v>219</v>
      </c>
      <c r="L147" s="14">
        <v>100.0</v>
      </c>
      <c r="M147" s="17" t="str">
        <f t="shared" si="72"/>
        <v>+0</v>
      </c>
      <c r="N147" s="18" t="str">
        <f>"+0"</f>
        <v>+0</v>
      </c>
    </row>
    <row r="148">
      <c r="A148" s="13">
        <v>45901.0</v>
      </c>
      <c r="B148" s="14" t="s">
        <v>47</v>
      </c>
      <c r="C148" s="14" t="s">
        <v>48</v>
      </c>
      <c r="D148" s="14" t="s">
        <v>66</v>
      </c>
      <c r="E148" s="14" t="s">
        <v>67</v>
      </c>
      <c r="F148" s="15" t="s">
        <v>51</v>
      </c>
      <c r="G148" s="14" t="s">
        <v>68</v>
      </c>
      <c r="H148" s="14" t="s">
        <v>66</v>
      </c>
      <c r="I148" s="14" t="s">
        <v>59</v>
      </c>
      <c r="J148" s="14" t="s">
        <v>199</v>
      </c>
      <c r="K148" s="14" t="s">
        <v>203</v>
      </c>
      <c r="L148" s="14">
        <v>34.0</v>
      </c>
      <c r="M148" s="17" t="str">
        <f t="shared" ref="M148:N148" si="73">"-33"</f>
        <v>-33</v>
      </c>
      <c r="N148" s="18" t="str">
        <f t="shared" si="73"/>
        <v>-33</v>
      </c>
    </row>
    <row r="149">
      <c r="A149" s="13">
        <v>45901.0</v>
      </c>
      <c r="B149" s="14" t="s">
        <v>47</v>
      </c>
      <c r="C149" s="14" t="s">
        <v>48</v>
      </c>
      <c r="D149" s="14" t="s">
        <v>143</v>
      </c>
      <c r="E149" s="14" t="s">
        <v>144</v>
      </c>
      <c r="F149" s="15" t="s">
        <v>51</v>
      </c>
      <c r="G149" s="14" t="s">
        <v>145</v>
      </c>
      <c r="H149" s="14" t="s">
        <v>143</v>
      </c>
      <c r="I149" s="14" t="s">
        <v>59</v>
      </c>
      <c r="J149" s="14" t="s">
        <v>200</v>
      </c>
      <c r="K149" s="14" t="s">
        <v>204</v>
      </c>
      <c r="L149" s="14">
        <v>0.0</v>
      </c>
      <c r="M149" s="17" t="str">
        <f t="shared" ref="M149:N149" si="74">"+0"</f>
        <v>+0</v>
      </c>
      <c r="N149" s="18" t="str">
        <f t="shared" si="74"/>
        <v>+0</v>
      </c>
    </row>
    <row r="150">
      <c r="A150" s="13">
        <v>45901.0</v>
      </c>
      <c r="B150" s="14" t="s">
        <v>47</v>
      </c>
      <c r="C150" s="14" t="s">
        <v>48</v>
      </c>
      <c r="D150" s="14" t="s">
        <v>91</v>
      </c>
      <c r="E150" s="14" t="s">
        <v>92</v>
      </c>
      <c r="F150" s="14" t="s">
        <v>79</v>
      </c>
      <c r="G150" s="14" t="s">
        <v>164</v>
      </c>
      <c r="H150" s="14" t="s">
        <v>91</v>
      </c>
      <c r="I150" s="14" t="s">
        <v>154</v>
      </c>
      <c r="J150" s="14" t="s">
        <v>199</v>
      </c>
      <c r="K150" s="14" t="s">
        <v>206</v>
      </c>
      <c r="L150" s="14">
        <v>100.0</v>
      </c>
      <c r="M150" s="17" t="str">
        <f t="shared" ref="M150:N150" si="75">"+0"</f>
        <v>+0</v>
      </c>
      <c r="N150" s="18" t="str">
        <f t="shared" si="75"/>
        <v>+0</v>
      </c>
    </row>
    <row r="151">
      <c r="A151" s="13">
        <v>45901.0</v>
      </c>
      <c r="B151" s="14" t="s">
        <v>47</v>
      </c>
      <c r="C151" s="14" t="s">
        <v>48</v>
      </c>
      <c r="D151" s="14" t="s">
        <v>91</v>
      </c>
      <c r="E151" s="14" t="s">
        <v>92</v>
      </c>
      <c r="F151" s="14" t="s">
        <v>71</v>
      </c>
      <c r="G151" s="14">
        <v>5.10000484E8</v>
      </c>
      <c r="H151" s="14" t="s">
        <v>91</v>
      </c>
      <c r="I151" s="14" t="s">
        <v>54</v>
      </c>
      <c r="J151" s="14" t="s">
        <v>200</v>
      </c>
      <c r="K151" s="14" t="s">
        <v>218</v>
      </c>
      <c r="L151" s="14">
        <v>64.0</v>
      </c>
      <c r="M151" s="17" t="str">
        <f>"-2"</f>
        <v>-2</v>
      </c>
      <c r="N151" s="18" t="str">
        <f>"-4"</f>
        <v>-4</v>
      </c>
    </row>
    <row r="152">
      <c r="A152" s="13">
        <v>45901.0</v>
      </c>
      <c r="B152" s="14" t="s">
        <v>47</v>
      </c>
      <c r="C152" s="14" t="s">
        <v>48</v>
      </c>
      <c r="D152" s="14" t="s">
        <v>87</v>
      </c>
      <c r="E152" s="14" t="s">
        <v>88</v>
      </c>
      <c r="F152" s="15" t="s">
        <v>51</v>
      </c>
      <c r="G152" s="14" t="s">
        <v>89</v>
      </c>
      <c r="H152" s="14" t="s">
        <v>90</v>
      </c>
      <c r="I152" s="14" t="s">
        <v>59</v>
      </c>
      <c r="J152" s="14" t="s">
        <v>200</v>
      </c>
      <c r="K152" s="14" t="s">
        <v>204</v>
      </c>
      <c r="L152" s="14">
        <v>1.0</v>
      </c>
      <c r="M152" s="17" t="str">
        <f t="shared" ref="M152:N152" si="76">"-1"</f>
        <v>-1</v>
      </c>
      <c r="N152" s="18" t="str">
        <f t="shared" si="76"/>
        <v>-1</v>
      </c>
    </row>
    <row r="153">
      <c r="A153" s="13">
        <v>45901.0</v>
      </c>
      <c r="B153" s="14" t="s">
        <v>47</v>
      </c>
      <c r="C153" s="14" t="s">
        <v>48</v>
      </c>
      <c r="D153" s="14" t="s">
        <v>77</v>
      </c>
      <c r="E153" s="14" t="s">
        <v>78</v>
      </c>
      <c r="F153" s="14" t="s">
        <v>79</v>
      </c>
      <c r="G153" s="14" t="s">
        <v>80</v>
      </c>
      <c r="H153" s="14" t="s">
        <v>81</v>
      </c>
      <c r="J153" s="14" t="s">
        <v>199</v>
      </c>
      <c r="K153" s="14" t="s">
        <v>206</v>
      </c>
      <c r="L153" s="14">
        <v>33.0</v>
      </c>
      <c r="M153" s="17" t="str">
        <f t="shared" ref="M153:N153" si="77">"+0"</f>
        <v>+0</v>
      </c>
      <c r="N153" s="18" t="str">
        <f t="shared" si="77"/>
        <v>+0</v>
      </c>
    </row>
    <row r="154">
      <c r="A154" s="13">
        <v>45901.0</v>
      </c>
      <c r="B154" s="14" t="s">
        <v>47</v>
      </c>
      <c r="C154" s="14" t="s">
        <v>48</v>
      </c>
      <c r="D154" s="14" t="s">
        <v>56</v>
      </c>
      <c r="E154" s="14" t="s">
        <v>57</v>
      </c>
      <c r="F154" s="15" t="s">
        <v>51</v>
      </c>
      <c r="G154" s="14" t="s">
        <v>58</v>
      </c>
      <c r="H154" s="14" t="s">
        <v>56</v>
      </c>
      <c r="I154" s="14" t="s">
        <v>59</v>
      </c>
      <c r="J154" s="14" t="s">
        <v>200</v>
      </c>
      <c r="K154" s="14" t="s">
        <v>223</v>
      </c>
      <c r="L154" s="14">
        <v>46.0</v>
      </c>
      <c r="M154" s="17" t="str">
        <f>"+4"</f>
        <v>+4</v>
      </c>
      <c r="N154" s="18" t="str">
        <f>"+2"</f>
        <v>+2</v>
      </c>
    </row>
    <row r="155">
      <c r="A155" s="13">
        <v>45901.0</v>
      </c>
      <c r="B155" s="14" t="s">
        <v>47</v>
      </c>
      <c r="C155" s="14" t="s">
        <v>48</v>
      </c>
      <c r="D155" s="14" t="s">
        <v>66</v>
      </c>
      <c r="E155" s="14" t="s">
        <v>67</v>
      </c>
      <c r="F155" s="15" t="s">
        <v>51</v>
      </c>
      <c r="G155" s="14" t="s">
        <v>68</v>
      </c>
      <c r="H155" s="14" t="s">
        <v>66</v>
      </c>
      <c r="I155" s="14" t="s">
        <v>59</v>
      </c>
      <c r="J155" s="14" t="s">
        <v>200</v>
      </c>
      <c r="K155" s="14" t="s">
        <v>227</v>
      </c>
      <c r="L155" s="14">
        <v>31.0</v>
      </c>
      <c r="M155" s="17" t="str">
        <f>"-10"</f>
        <v>-10</v>
      </c>
      <c r="N155" s="18" t="str">
        <f>"-14"</f>
        <v>-14</v>
      </c>
    </row>
    <row r="156">
      <c r="A156" s="13">
        <v>45901.0</v>
      </c>
      <c r="B156" s="14" t="s">
        <v>47</v>
      </c>
      <c r="C156" s="14" t="s">
        <v>48</v>
      </c>
      <c r="D156" s="14" t="s">
        <v>132</v>
      </c>
      <c r="E156" s="14" t="s">
        <v>133</v>
      </c>
      <c r="F156" s="15" t="s">
        <v>51</v>
      </c>
      <c r="G156" s="14" t="s">
        <v>134</v>
      </c>
      <c r="H156" s="14" t="s">
        <v>135</v>
      </c>
      <c r="I156" s="14" t="s">
        <v>59</v>
      </c>
      <c r="J156" s="14" t="s">
        <v>200</v>
      </c>
      <c r="K156" s="14" t="s">
        <v>202</v>
      </c>
      <c r="L156" s="14">
        <v>0.0</v>
      </c>
      <c r="M156" s="17" t="str">
        <f t="shared" ref="M156:N156" si="78">"+0"</f>
        <v>+0</v>
      </c>
      <c r="N156" s="18" t="str">
        <f t="shared" si="78"/>
        <v>+0</v>
      </c>
    </row>
    <row r="157">
      <c r="A157" s="13">
        <v>45901.0</v>
      </c>
      <c r="B157" s="14" t="s">
        <v>47</v>
      </c>
      <c r="C157" s="14" t="s">
        <v>48</v>
      </c>
      <c r="D157" s="14" t="s">
        <v>171</v>
      </c>
      <c r="E157" s="14" t="s">
        <v>172</v>
      </c>
      <c r="F157" s="15" t="s">
        <v>51</v>
      </c>
      <c r="G157" s="14" t="s">
        <v>173</v>
      </c>
      <c r="H157" s="14" t="s">
        <v>171</v>
      </c>
      <c r="I157" s="14" t="s">
        <v>59</v>
      </c>
      <c r="J157" s="14" t="s">
        <v>200</v>
      </c>
      <c r="K157" s="14" t="s">
        <v>201</v>
      </c>
      <c r="L157" s="14">
        <v>1.0</v>
      </c>
      <c r="M157" s="17" t="str">
        <f t="shared" ref="M157:N157" si="79">"+0"</f>
        <v>+0</v>
      </c>
      <c r="N157" s="18" t="str">
        <f t="shared" si="79"/>
        <v>+0</v>
      </c>
    </row>
    <row r="158">
      <c r="A158" s="13">
        <v>45901.0</v>
      </c>
      <c r="B158" s="14" t="s">
        <v>47</v>
      </c>
      <c r="C158" s="14" t="s">
        <v>48</v>
      </c>
      <c r="D158" s="14" t="s">
        <v>136</v>
      </c>
      <c r="E158" s="14" t="s">
        <v>137</v>
      </c>
      <c r="F158" s="15" t="s">
        <v>51</v>
      </c>
      <c r="G158" s="14" t="s">
        <v>138</v>
      </c>
      <c r="H158" s="14" t="s">
        <v>139</v>
      </c>
      <c r="I158" s="14" t="s">
        <v>59</v>
      </c>
      <c r="J158" s="14" t="s">
        <v>200</v>
      </c>
      <c r="K158" s="14" t="s">
        <v>228</v>
      </c>
      <c r="L158" s="14">
        <v>0.0</v>
      </c>
      <c r="M158" s="17" t="str">
        <f t="shared" ref="M158:N158" si="80">"+0"</f>
        <v>+0</v>
      </c>
      <c r="N158" s="18" t="str">
        <f t="shared" si="80"/>
        <v>+0</v>
      </c>
    </row>
    <row r="159">
      <c r="A159" s="13">
        <v>45901.0</v>
      </c>
      <c r="B159" s="14" t="s">
        <v>47</v>
      </c>
      <c r="C159" s="14" t="s">
        <v>48</v>
      </c>
      <c r="D159" s="14" t="s">
        <v>69</v>
      </c>
      <c r="E159" s="14" t="s">
        <v>70</v>
      </c>
      <c r="F159" s="15" t="s">
        <v>51</v>
      </c>
      <c r="G159" s="14" t="s">
        <v>115</v>
      </c>
      <c r="H159" s="14" t="s">
        <v>72</v>
      </c>
      <c r="I159" s="14" t="s">
        <v>54</v>
      </c>
      <c r="J159" s="14" t="s">
        <v>200</v>
      </c>
      <c r="K159" s="14" t="s">
        <v>222</v>
      </c>
      <c r="L159" s="14">
        <v>48.0</v>
      </c>
      <c r="M159" s="17" t="str">
        <f t="shared" ref="M159:M160" si="81">"+0"</f>
        <v>+0</v>
      </c>
      <c r="N159" s="18" t="str">
        <f>"-26"</f>
        <v>-26</v>
      </c>
    </row>
    <row r="160">
      <c r="A160" s="13">
        <v>45901.0</v>
      </c>
      <c r="B160" s="14" t="s">
        <v>47</v>
      </c>
      <c r="C160" s="14" t="s">
        <v>48</v>
      </c>
      <c r="D160" s="14" t="s">
        <v>69</v>
      </c>
      <c r="E160" s="14" t="s">
        <v>70</v>
      </c>
      <c r="F160" s="15" t="s">
        <v>51</v>
      </c>
      <c r="G160" s="14" t="s">
        <v>115</v>
      </c>
      <c r="H160" s="14" t="s">
        <v>72</v>
      </c>
      <c r="I160" s="14" t="s">
        <v>54</v>
      </c>
      <c r="J160" s="14" t="s">
        <v>200</v>
      </c>
      <c r="K160" s="14" t="s">
        <v>219</v>
      </c>
      <c r="L160" s="14">
        <v>50.0</v>
      </c>
      <c r="M160" s="17" t="str">
        <f t="shared" si="81"/>
        <v>+0</v>
      </c>
      <c r="N160" s="18" t="str">
        <f>"+17"</f>
        <v>+17</v>
      </c>
    </row>
    <row r="161">
      <c r="A161" s="13">
        <v>45901.0</v>
      </c>
      <c r="B161" s="14" t="s">
        <v>47</v>
      </c>
      <c r="C161" s="14" t="s">
        <v>48</v>
      </c>
      <c r="D161" s="14" t="s">
        <v>85</v>
      </c>
      <c r="E161" s="14" t="s">
        <v>86</v>
      </c>
      <c r="F161" s="15" t="s">
        <v>51</v>
      </c>
      <c r="G161" s="14" t="s">
        <v>148</v>
      </c>
      <c r="H161" s="14" t="s">
        <v>85</v>
      </c>
      <c r="I161" s="14" t="s">
        <v>59</v>
      </c>
      <c r="J161" s="14" t="s">
        <v>200</v>
      </c>
      <c r="K161" s="14" t="s">
        <v>227</v>
      </c>
      <c r="L161" s="14">
        <v>69.0</v>
      </c>
      <c r="M161" s="17" t="str">
        <f>"+8"</f>
        <v>+8</v>
      </c>
      <c r="N161" s="18" t="str">
        <f>"-2"</f>
        <v>-2</v>
      </c>
    </row>
    <row r="162">
      <c r="A162" s="13">
        <v>45901.0</v>
      </c>
      <c r="B162" s="14" t="s">
        <v>47</v>
      </c>
      <c r="C162" s="14" t="s">
        <v>48</v>
      </c>
      <c r="D162" s="14" t="s">
        <v>181</v>
      </c>
      <c r="E162" s="14" t="s">
        <v>182</v>
      </c>
      <c r="F162" s="15" t="s">
        <v>51</v>
      </c>
      <c r="G162" s="14" t="s">
        <v>183</v>
      </c>
      <c r="H162" s="14" t="s">
        <v>181</v>
      </c>
      <c r="I162" s="14" t="s">
        <v>59</v>
      </c>
      <c r="J162" s="14" t="s">
        <v>199</v>
      </c>
      <c r="K162" s="14" t="s">
        <v>208</v>
      </c>
      <c r="L162" s="14">
        <v>100.0</v>
      </c>
      <c r="M162" s="17" t="str">
        <f t="shared" ref="M162:N162" si="82">"+0"</f>
        <v>+0</v>
      </c>
      <c r="N162" s="18" t="str">
        <f t="shared" si="82"/>
        <v>+0</v>
      </c>
    </row>
    <row r="163">
      <c r="A163" s="13">
        <v>45901.0</v>
      </c>
      <c r="B163" s="14" t="s">
        <v>47</v>
      </c>
      <c r="C163" s="14" t="s">
        <v>48</v>
      </c>
      <c r="D163" s="14" t="s">
        <v>181</v>
      </c>
      <c r="E163" s="14" t="s">
        <v>182</v>
      </c>
      <c r="F163" s="15" t="s">
        <v>51</v>
      </c>
      <c r="G163" s="14" t="s">
        <v>183</v>
      </c>
      <c r="H163" s="14" t="s">
        <v>181</v>
      </c>
      <c r="I163" s="14" t="s">
        <v>59</v>
      </c>
      <c r="J163" s="14" t="s">
        <v>200</v>
      </c>
      <c r="K163" s="14" t="s">
        <v>227</v>
      </c>
      <c r="L163" s="14">
        <v>9.0</v>
      </c>
      <c r="M163" s="17" t="str">
        <f>"+1"</f>
        <v>+1</v>
      </c>
      <c r="N163" s="18" t="str">
        <f>"-1"</f>
        <v>-1</v>
      </c>
    </row>
    <row r="164">
      <c r="A164" s="13">
        <v>45901.0</v>
      </c>
      <c r="B164" s="14" t="s">
        <v>47</v>
      </c>
      <c r="C164" s="14" t="s">
        <v>48</v>
      </c>
      <c r="D164" s="14" t="s">
        <v>181</v>
      </c>
      <c r="E164" s="14" t="s">
        <v>182</v>
      </c>
      <c r="F164" s="15" t="s">
        <v>51</v>
      </c>
      <c r="G164" s="14" t="s">
        <v>183</v>
      </c>
      <c r="H164" s="14" t="s">
        <v>181</v>
      </c>
      <c r="I164" s="14" t="s">
        <v>59</v>
      </c>
      <c r="J164" s="14" t="s">
        <v>198</v>
      </c>
      <c r="K164" s="14" t="s">
        <v>210</v>
      </c>
      <c r="L164" s="14">
        <v>99.0</v>
      </c>
      <c r="M164" s="17" t="str">
        <f t="shared" ref="M164:M165" si="83">"+0"</f>
        <v>+0</v>
      </c>
      <c r="N164" s="18" t="str">
        <f>"+10"</f>
        <v>+10</v>
      </c>
    </row>
    <row r="165">
      <c r="A165" s="13">
        <v>45901.0</v>
      </c>
      <c r="B165" s="14" t="s">
        <v>47</v>
      </c>
      <c r="C165" s="14" t="s">
        <v>48</v>
      </c>
      <c r="D165" s="14" t="s">
        <v>99</v>
      </c>
      <c r="E165" s="14" t="s">
        <v>100</v>
      </c>
      <c r="F165" s="15" t="s">
        <v>51</v>
      </c>
      <c r="G165" s="14" t="s">
        <v>101</v>
      </c>
      <c r="H165" s="14" t="s">
        <v>102</v>
      </c>
      <c r="I165" s="14" t="s">
        <v>54</v>
      </c>
      <c r="J165" s="14" t="s">
        <v>200</v>
      </c>
      <c r="K165" s="14" t="s">
        <v>201</v>
      </c>
      <c r="L165" s="14">
        <v>46.0</v>
      </c>
      <c r="M165" s="17" t="str">
        <f t="shared" si="83"/>
        <v>+0</v>
      </c>
      <c r="N165" s="18" t="str">
        <f>"+1"</f>
        <v>+1</v>
      </c>
    </row>
    <row r="166">
      <c r="A166" s="13">
        <v>45901.0</v>
      </c>
      <c r="B166" s="14" t="s">
        <v>47</v>
      </c>
      <c r="C166" s="14" t="s">
        <v>48</v>
      </c>
      <c r="D166" s="14" t="s">
        <v>118</v>
      </c>
      <c r="E166" s="14" t="s">
        <v>119</v>
      </c>
      <c r="F166" s="15" t="s">
        <v>51</v>
      </c>
      <c r="G166" s="14" t="s">
        <v>120</v>
      </c>
      <c r="H166" s="14" t="s">
        <v>118</v>
      </c>
      <c r="I166" s="14" t="s">
        <v>59</v>
      </c>
      <c r="J166" s="14" t="s">
        <v>198</v>
      </c>
      <c r="K166" s="14" t="s">
        <v>210</v>
      </c>
      <c r="L166" s="14">
        <v>85.0</v>
      </c>
      <c r="M166" s="17" t="str">
        <f>"+12"</f>
        <v>+12</v>
      </c>
      <c r="N166" s="18" t="str">
        <f>"+0"</f>
        <v>+0</v>
      </c>
    </row>
    <row r="167">
      <c r="A167" s="13">
        <v>45901.0</v>
      </c>
      <c r="B167" s="14" t="s">
        <v>47</v>
      </c>
      <c r="C167" s="14" t="s">
        <v>48</v>
      </c>
      <c r="D167" s="14" t="s">
        <v>184</v>
      </c>
      <c r="E167" s="14" t="s">
        <v>185</v>
      </c>
      <c r="F167" s="15" t="s">
        <v>51</v>
      </c>
      <c r="G167" s="14" t="s">
        <v>186</v>
      </c>
      <c r="H167" s="14" t="s">
        <v>187</v>
      </c>
      <c r="I167" s="14" t="s">
        <v>59</v>
      </c>
      <c r="J167" s="14" t="s">
        <v>200</v>
      </c>
      <c r="K167" s="14" t="s">
        <v>201</v>
      </c>
      <c r="L167" s="14">
        <v>1.0</v>
      </c>
      <c r="M167" s="17" t="str">
        <f t="shared" ref="M167:N167" si="84">"+0"</f>
        <v>+0</v>
      </c>
      <c r="N167" s="18" t="str">
        <f t="shared" si="84"/>
        <v>+0</v>
      </c>
    </row>
    <row r="168">
      <c r="A168" s="13">
        <v>45901.0</v>
      </c>
      <c r="B168" s="14" t="s">
        <v>47</v>
      </c>
      <c r="C168" s="14" t="s">
        <v>48</v>
      </c>
      <c r="D168" s="14" t="s">
        <v>85</v>
      </c>
      <c r="E168" s="14" t="s">
        <v>86</v>
      </c>
      <c r="F168" s="15" t="s">
        <v>51</v>
      </c>
      <c r="G168" s="14" t="s">
        <v>148</v>
      </c>
      <c r="H168" s="14" t="s">
        <v>85</v>
      </c>
      <c r="I168" s="14" t="s">
        <v>59</v>
      </c>
      <c r="J168" s="14" t="s">
        <v>198</v>
      </c>
      <c r="K168" s="14" t="s">
        <v>210</v>
      </c>
      <c r="L168" s="14">
        <v>33.0</v>
      </c>
      <c r="M168" s="17" t="str">
        <f>"+0"</f>
        <v>+0</v>
      </c>
      <c r="N168" s="18" t="str">
        <f>"-20"</f>
        <v>-20</v>
      </c>
    </row>
    <row r="169">
      <c r="A169" s="13">
        <v>45901.0</v>
      </c>
      <c r="B169" s="14" t="s">
        <v>47</v>
      </c>
      <c r="C169" s="14" t="s">
        <v>48</v>
      </c>
      <c r="D169" s="14" t="s">
        <v>87</v>
      </c>
      <c r="E169" s="14" t="s">
        <v>88</v>
      </c>
      <c r="F169" s="15" t="s">
        <v>51</v>
      </c>
      <c r="G169" s="14" t="s">
        <v>89</v>
      </c>
      <c r="H169" s="14" t="s">
        <v>90</v>
      </c>
      <c r="I169" s="14" t="s">
        <v>59</v>
      </c>
      <c r="J169" s="14" t="s">
        <v>200</v>
      </c>
      <c r="K169" s="14" t="s">
        <v>202</v>
      </c>
      <c r="L169" s="14">
        <v>24.0</v>
      </c>
      <c r="M169" s="17" t="str">
        <f t="shared" ref="M169:N169" si="85">"-3"</f>
        <v>-3</v>
      </c>
      <c r="N169" s="18" t="str">
        <f t="shared" si="85"/>
        <v>-3</v>
      </c>
    </row>
    <row r="170">
      <c r="A170" s="13">
        <v>45901.0</v>
      </c>
      <c r="B170" s="14" t="s">
        <v>47</v>
      </c>
      <c r="C170" s="14" t="s">
        <v>48</v>
      </c>
      <c r="D170" s="14" t="s">
        <v>56</v>
      </c>
      <c r="E170" s="14" t="s">
        <v>57</v>
      </c>
      <c r="F170" s="15" t="s">
        <v>51</v>
      </c>
      <c r="G170" s="14" t="s">
        <v>58</v>
      </c>
      <c r="H170" s="14" t="s">
        <v>56</v>
      </c>
      <c r="I170" s="14" t="s">
        <v>59</v>
      </c>
      <c r="J170" s="14" t="s">
        <v>198</v>
      </c>
      <c r="K170" s="14" t="s">
        <v>205</v>
      </c>
      <c r="L170" s="14">
        <v>48.0</v>
      </c>
      <c r="M170" s="17" t="str">
        <f>"+0"</f>
        <v>+0</v>
      </c>
    </row>
    <row r="171">
      <c r="A171" s="13">
        <v>45901.0</v>
      </c>
      <c r="B171" s="14" t="s">
        <v>47</v>
      </c>
      <c r="C171" s="14" t="s">
        <v>48</v>
      </c>
      <c r="D171" s="14" t="s">
        <v>63</v>
      </c>
      <c r="E171" s="14" t="s">
        <v>64</v>
      </c>
      <c r="F171" s="15" t="s">
        <v>51</v>
      </c>
      <c r="G171" s="14" t="s">
        <v>65</v>
      </c>
      <c r="H171" s="14" t="s">
        <v>63</v>
      </c>
      <c r="I171" s="14" t="s">
        <v>54</v>
      </c>
      <c r="J171" s="14" t="s">
        <v>200</v>
      </c>
      <c r="K171" s="14" t="s">
        <v>202</v>
      </c>
      <c r="L171" s="14">
        <v>66.0</v>
      </c>
      <c r="M171" s="17" t="str">
        <f>"+1"</f>
        <v>+1</v>
      </c>
      <c r="N171" s="18" t="str">
        <f>"+5"</f>
        <v>+5</v>
      </c>
    </row>
    <row r="172">
      <c r="A172" s="13">
        <v>45901.0</v>
      </c>
      <c r="B172" s="14" t="s">
        <v>47</v>
      </c>
      <c r="C172" s="14" t="s">
        <v>48</v>
      </c>
      <c r="D172" s="14" t="s">
        <v>56</v>
      </c>
      <c r="E172" s="14" t="s">
        <v>57</v>
      </c>
      <c r="F172" s="15" t="s">
        <v>51</v>
      </c>
      <c r="G172" s="14" t="s">
        <v>58</v>
      </c>
      <c r="H172" s="14" t="s">
        <v>56</v>
      </c>
      <c r="I172" s="14" t="s">
        <v>59</v>
      </c>
      <c r="J172" s="14" t="s">
        <v>200</v>
      </c>
      <c r="K172" s="14" t="s">
        <v>204</v>
      </c>
      <c r="L172" s="14">
        <v>1.0</v>
      </c>
      <c r="M172" s="17" t="str">
        <f t="shared" ref="M172:M174" si="86">"+0"</f>
        <v>+0</v>
      </c>
      <c r="N172" s="18" t="str">
        <f>"-2"</f>
        <v>-2</v>
      </c>
    </row>
    <row r="173">
      <c r="A173" s="13">
        <v>45901.0</v>
      </c>
      <c r="B173" s="14" t="s">
        <v>47</v>
      </c>
      <c r="C173" s="14" t="s">
        <v>48</v>
      </c>
      <c r="D173" s="14" t="s">
        <v>140</v>
      </c>
      <c r="E173" s="14" t="s">
        <v>141</v>
      </c>
      <c r="F173" s="15" t="s">
        <v>51</v>
      </c>
      <c r="G173" s="14" t="s">
        <v>142</v>
      </c>
      <c r="H173" s="14" t="s">
        <v>140</v>
      </c>
      <c r="I173" s="14" t="s">
        <v>59</v>
      </c>
      <c r="J173" s="14" t="s">
        <v>200</v>
      </c>
      <c r="K173" s="14" t="s">
        <v>229</v>
      </c>
      <c r="L173" s="14">
        <v>29.0</v>
      </c>
      <c r="M173" s="17" t="str">
        <f t="shared" si="86"/>
        <v>+0</v>
      </c>
      <c r="N173" s="18" t="str">
        <f>"+0"</f>
        <v>+0</v>
      </c>
    </row>
    <row r="174">
      <c r="A174" s="13">
        <v>45901.0</v>
      </c>
      <c r="B174" s="14" t="s">
        <v>47</v>
      </c>
      <c r="C174" s="14" t="s">
        <v>48</v>
      </c>
      <c r="D174" s="14" t="s">
        <v>184</v>
      </c>
      <c r="E174" s="14" t="s">
        <v>185</v>
      </c>
      <c r="F174" s="15" t="s">
        <v>51</v>
      </c>
      <c r="G174" s="14" t="s">
        <v>186</v>
      </c>
      <c r="H174" s="14" t="s">
        <v>187</v>
      </c>
      <c r="I174" s="14" t="s">
        <v>59</v>
      </c>
      <c r="J174" s="14" t="s">
        <v>199</v>
      </c>
      <c r="K174" s="14" t="s">
        <v>206</v>
      </c>
      <c r="L174" s="14">
        <v>57.0</v>
      </c>
      <c r="M174" s="17" t="str">
        <f t="shared" si="86"/>
        <v>+0</v>
      </c>
      <c r="N174" s="18" t="str">
        <f>"-9"</f>
        <v>-9</v>
      </c>
    </row>
    <row r="175">
      <c r="A175" s="13">
        <v>45901.0</v>
      </c>
      <c r="B175" s="14" t="s">
        <v>47</v>
      </c>
      <c r="C175" s="14" t="s">
        <v>48</v>
      </c>
      <c r="D175" s="14" t="s">
        <v>132</v>
      </c>
      <c r="E175" s="14" t="s">
        <v>133</v>
      </c>
      <c r="F175" s="15" t="s">
        <v>51</v>
      </c>
      <c r="G175" s="14" t="s">
        <v>134</v>
      </c>
      <c r="H175" s="14" t="s">
        <v>135</v>
      </c>
      <c r="I175" s="14" t="s">
        <v>59</v>
      </c>
      <c r="J175" s="14" t="s">
        <v>198</v>
      </c>
      <c r="K175" s="14" t="s">
        <v>212</v>
      </c>
      <c r="L175" s="14">
        <v>100.0</v>
      </c>
      <c r="M175" s="17" t="str">
        <f>"+18"</f>
        <v>+18</v>
      </c>
      <c r="N175" s="18" t="str">
        <f>"+65"</f>
        <v>+65</v>
      </c>
    </row>
    <row r="176">
      <c r="A176" s="13">
        <v>45901.0</v>
      </c>
      <c r="B176" s="14" t="s">
        <v>47</v>
      </c>
      <c r="C176" s="14" t="s">
        <v>48</v>
      </c>
      <c r="D176" s="14" t="s">
        <v>171</v>
      </c>
      <c r="E176" s="14" t="s">
        <v>172</v>
      </c>
      <c r="F176" s="15" t="s">
        <v>51</v>
      </c>
      <c r="G176" s="14" t="s">
        <v>173</v>
      </c>
      <c r="H176" s="14" t="s">
        <v>171</v>
      </c>
      <c r="I176" s="14" t="s">
        <v>59</v>
      </c>
      <c r="J176" s="14" t="s">
        <v>198</v>
      </c>
      <c r="K176" s="14" t="s">
        <v>205</v>
      </c>
      <c r="L176" s="14">
        <v>56.0</v>
      </c>
      <c r="M176" s="17" t="str">
        <f t="shared" ref="M176:M178" si="87">"+0"</f>
        <v>+0</v>
      </c>
    </row>
    <row r="177">
      <c r="A177" s="13">
        <v>45901.0</v>
      </c>
      <c r="B177" s="14" t="s">
        <v>47</v>
      </c>
      <c r="C177" s="14" t="s">
        <v>48</v>
      </c>
      <c r="D177" s="14" t="s">
        <v>69</v>
      </c>
      <c r="E177" s="14" t="s">
        <v>70</v>
      </c>
      <c r="F177" s="14" t="s">
        <v>71</v>
      </c>
      <c r="G177" s="14">
        <v>1.00002092E8</v>
      </c>
      <c r="H177" s="14" t="s">
        <v>72</v>
      </c>
      <c r="I177" s="14" t="s">
        <v>54</v>
      </c>
      <c r="J177" s="14" t="s">
        <v>199</v>
      </c>
      <c r="K177" s="14" t="s">
        <v>203</v>
      </c>
      <c r="L177" s="14">
        <v>100.0</v>
      </c>
      <c r="M177" s="17" t="str">
        <f t="shared" si="87"/>
        <v>+0</v>
      </c>
      <c r="N177" s="18" t="str">
        <f t="shared" ref="N177:N178" si="88">"+0"</f>
        <v>+0</v>
      </c>
    </row>
    <row r="178">
      <c r="A178" s="13">
        <v>45901.0</v>
      </c>
      <c r="B178" s="14" t="s">
        <v>47</v>
      </c>
      <c r="C178" s="14" t="s">
        <v>48</v>
      </c>
      <c r="D178" s="14" t="s">
        <v>85</v>
      </c>
      <c r="E178" s="14" t="s">
        <v>86</v>
      </c>
      <c r="F178" s="15" t="s">
        <v>51</v>
      </c>
      <c r="G178" s="14" t="s">
        <v>148</v>
      </c>
      <c r="H178" s="14" t="s">
        <v>85</v>
      </c>
      <c r="I178" s="14" t="s">
        <v>59</v>
      </c>
      <c r="J178" s="14" t="s">
        <v>200</v>
      </c>
      <c r="K178" s="14" t="s">
        <v>214</v>
      </c>
      <c r="L178" s="14">
        <v>5.0</v>
      </c>
      <c r="M178" s="17" t="str">
        <f t="shared" si="87"/>
        <v>+0</v>
      </c>
      <c r="N178" s="18" t="str">
        <f t="shared" si="88"/>
        <v>+0</v>
      </c>
    </row>
    <row r="179">
      <c r="A179" s="13">
        <v>45901.0</v>
      </c>
      <c r="B179" s="14" t="s">
        <v>47</v>
      </c>
      <c r="C179" s="14" t="s">
        <v>48</v>
      </c>
      <c r="D179" s="14" t="s">
        <v>174</v>
      </c>
      <c r="E179" s="14" t="s">
        <v>175</v>
      </c>
      <c r="F179" s="15" t="s">
        <v>51</v>
      </c>
      <c r="G179" s="14" t="s">
        <v>176</v>
      </c>
      <c r="H179" s="14" t="s">
        <v>174</v>
      </c>
      <c r="I179" s="14" t="s">
        <v>59</v>
      </c>
      <c r="J179" s="14" t="s">
        <v>198</v>
      </c>
      <c r="K179" s="14" t="s">
        <v>212</v>
      </c>
      <c r="L179" s="14">
        <v>90.0</v>
      </c>
      <c r="M179" s="17" t="str">
        <f>"+18"</f>
        <v>+18</v>
      </c>
      <c r="N179" s="18" t="str">
        <f>"+19"</f>
        <v>+19</v>
      </c>
    </row>
    <row r="180">
      <c r="A180" s="13">
        <v>45901.0</v>
      </c>
      <c r="B180" s="14" t="s">
        <v>47</v>
      </c>
      <c r="C180" s="14" t="s">
        <v>48</v>
      </c>
      <c r="D180" s="14" t="s">
        <v>108</v>
      </c>
      <c r="E180" s="14" t="s">
        <v>109</v>
      </c>
      <c r="F180" s="15" t="s">
        <v>51</v>
      </c>
      <c r="G180" s="14" t="s">
        <v>110</v>
      </c>
      <c r="H180" s="14" t="s">
        <v>108</v>
      </c>
      <c r="I180" s="14" t="s">
        <v>59</v>
      </c>
      <c r="J180" s="14" t="s">
        <v>198</v>
      </c>
      <c r="K180" s="14" t="s">
        <v>207</v>
      </c>
      <c r="L180" s="14">
        <v>0.0</v>
      </c>
      <c r="M180" s="17" t="str">
        <f>"+0"</f>
        <v>+0</v>
      </c>
    </row>
    <row r="181">
      <c r="A181" s="13">
        <v>45901.0</v>
      </c>
      <c r="B181" s="14" t="s">
        <v>47</v>
      </c>
      <c r="C181" s="14" t="s">
        <v>48</v>
      </c>
      <c r="D181" s="14" t="s">
        <v>155</v>
      </c>
      <c r="E181" s="14" t="s">
        <v>156</v>
      </c>
      <c r="F181" s="15" t="s">
        <v>51</v>
      </c>
      <c r="G181" s="14" t="s">
        <v>157</v>
      </c>
      <c r="H181" s="14" t="s">
        <v>155</v>
      </c>
      <c r="I181" s="14" t="s">
        <v>59</v>
      </c>
      <c r="J181" s="14" t="s">
        <v>198</v>
      </c>
      <c r="K181" s="14" t="s">
        <v>212</v>
      </c>
      <c r="L181" s="14">
        <v>100.0</v>
      </c>
      <c r="M181" s="17" t="str">
        <f t="shared" ref="M181:N181" si="89">"+18"</f>
        <v>+18</v>
      </c>
      <c r="N181" s="18" t="str">
        <f t="shared" si="89"/>
        <v>+18</v>
      </c>
    </row>
    <row r="182">
      <c r="A182" s="13">
        <v>45901.0</v>
      </c>
      <c r="B182" s="14" t="s">
        <v>47</v>
      </c>
      <c r="C182" s="14" t="s">
        <v>48</v>
      </c>
      <c r="D182" s="14" t="s">
        <v>91</v>
      </c>
      <c r="E182" s="14" t="s">
        <v>92</v>
      </c>
      <c r="F182" s="14" t="s">
        <v>71</v>
      </c>
      <c r="G182" s="14">
        <v>7295600.0</v>
      </c>
      <c r="H182" s="14" t="s">
        <v>91</v>
      </c>
      <c r="I182" s="14" t="s">
        <v>54</v>
      </c>
      <c r="J182" s="14" t="s">
        <v>199</v>
      </c>
      <c r="K182" s="14" t="s">
        <v>208</v>
      </c>
      <c r="L182" s="14">
        <v>100.0</v>
      </c>
      <c r="M182" s="17" t="str">
        <f t="shared" ref="M182:N182" si="90">"+0"</f>
        <v>+0</v>
      </c>
      <c r="N182" s="18" t="str">
        <f t="shared" si="90"/>
        <v>+0</v>
      </c>
    </row>
    <row r="183">
      <c r="A183" s="13">
        <v>45901.0</v>
      </c>
      <c r="B183" s="14" t="s">
        <v>47</v>
      </c>
      <c r="C183" s="14" t="s">
        <v>48</v>
      </c>
      <c r="D183" s="14" t="s">
        <v>63</v>
      </c>
      <c r="E183" s="14" t="s">
        <v>64</v>
      </c>
      <c r="F183" s="15" t="s">
        <v>51</v>
      </c>
      <c r="G183" s="14" t="s">
        <v>65</v>
      </c>
      <c r="H183" s="14" t="s">
        <v>63</v>
      </c>
      <c r="I183" s="14" t="s">
        <v>54</v>
      </c>
      <c r="J183" s="14" t="s">
        <v>198</v>
      </c>
      <c r="K183" s="14" t="s">
        <v>210</v>
      </c>
      <c r="L183" s="14">
        <v>41.0</v>
      </c>
      <c r="M183" s="17" t="str">
        <f>"+8"</f>
        <v>+8</v>
      </c>
      <c r="N183" s="18" t="str">
        <f>"+9"</f>
        <v>+9</v>
      </c>
    </row>
    <row r="184">
      <c r="A184" s="13">
        <v>45901.0</v>
      </c>
      <c r="B184" s="14" t="s">
        <v>47</v>
      </c>
      <c r="C184" s="14" t="s">
        <v>48</v>
      </c>
      <c r="D184" s="14" t="s">
        <v>91</v>
      </c>
      <c r="E184" s="14" t="s">
        <v>92</v>
      </c>
      <c r="F184" s="14" t="s">
        <v>71</v>
      </c>
      <c r="G184" s="14">
        <v>5.10000484E8</v>
      </c>
      <c r="H184" s="14" t="s">
        <v>91</v>
      </c>
      <c r="I184" s="14" t="s">
        <v>54</v>
      </c>
      <c r="J184" s="14" t="s">
        <v>200</v>
      </c>
      <c r="K184" s="14" t="s">
        <v>230</v>
      </c>
      <c r="L184" s="14">
        <v>100.0</v>
      </c>
      <c r="M184" s="17" t="str">
        <f t="shared" ref="M184:N184" si="91">"+0"</f>
        <v>+0</v>
      </c>
      <c r="N184" s="18" t="str">
        <f t="shared" si="91"/>
        <v>+0</v>
      </c>
    </row>
    <row r="185">
      <c r="A185" s="13">
        <v>45901.0</v>
      </c>
      <c r="B185" s="14" t="s">
        <v>47</v>
      </c>
      <c r="C185" s="14" t="s">
        <v>48</v>
      </c>
      <c r="D185" s="14" t="s">
        <v>99</v>
      </c>
      <c r="E185" s="14" t="s">
        <v>100</v>
      </c>
      <c r="F185" s="15" t="s">
        <v>51</v>
      </c>
      <c r="G185" s="14" t="s">
        <v>101</v>
      </c>
      <c r="H185" s="14" t="s">
        <v>102</v>
      </c>
      <c r="I185" s="14" t="s">
        <v>54</v>
      </c>
      <c r="J185" s="14" t="s">
        <v>200</v>
      </c>
      <c r="K185" s="14" t="s">
        <v>202</v>
      </c>
      <c r="L185" s="14">
        <v>34.0</v>
      </c>
      <c r="M185" s="17" t="str">
        <f>"+8"</f>
        <v>+8</v>
      </c>
      <c r="N185" s="18" t="str">
        <f>"+0"</f>
        <v>+0</v>
      </c>
    </row>
    <row r="186">
      <c r="A186" s="13">
        <v>45901.0</v>
      </c>
      <c r="B186" s="14" t="s">
        <v>47</v>
      </c>
      <c r="C186" s="14" t="s">
        <v>48</v>
      </c>
      <c r="D186" s="14" t="s">
        <v>181</v>
      </c>
      <c r="E186" s="14" t="s">
        <v>182</v>
      </c>
      <c r="F186" s="15" t="s">
        <v>51</v>
      </c>
      <c r="G186" s="14" t="s">
        <v>183</v>
      </c>
      <c r="H186" s="14" t="s">
        <v>181</v>
      </c>
      <c r="I186" s="14" t="s">
        <v>59</v>
      </c>
      <c r="J186" s="14" t="s">
        <v>199</v>
      </c>
      <c r="K186" s="14" t="s">
        <v>203</v>
      </c>
      <c r="L186" s="14">
        <v>0.0</v>
      </c>
      <c r="M186" s="17" t="str">
        <f t="shared" ref="M186:N186" si="92">"+0"</f>
        <v>+0</v>
      </c>
      <c r="N186" s="18" t="str">
        <f t="shared" si="92"/>
        <v>+0</v>
      </c>
    </row>
    <row r="187">
      <c r="A187" s="13">
        <v>45901.0</v>
      </c>
      <c r="B187" s="14" t="s">
        <v>47</v>
      </c>
      <c r="C187" s="14" t="s">
        <v>48</v>
      </c>
      <c r="D187" s="14" t="s">
        <v>91</v>
      </c>
      <c r="E187" s="14" t="s">
        <v>92</v>
      </c>
      <c r="F187" s="15" t="s">
        <v>51</v>
      </c>
      <c r="G187" s="14" t="s">
        <v>163</v>
      </c>
      <c r="H187" s="14" t="s">
        <v>91</v>
      </c>
      <c r="I187" s="14" t="s">
        <v>59</v>
      </c>
      <c r="J187" s="14" t="s">
        <v>200</v>
      </c>
      <c r="K187" s="14" t="s">
        <v>202</v>
      </c>
      <c r="L187" s="14">
        <v>21.0</v>
      </c>
      <c r="M187" s="17" t="str">
        <f>"+7"</f>
        <v>+7</v>
      </c>
      <c r="N187" s="18" t="str">
        <f>"-1"</f>
        <v>-1</v>
      </c>
    </row>
    <row r="188">
      <c r="A188" s="13">
        <v>45901.0</v>
      </c>
      <c r="B188" s="14" t="s">
        <v>47</v>
      </c>
      <c r="C188" s="14" t="s">
        <v>48</v>
      </c>
      <c r="D188" s="14" t="s">
        <v>192</v>
      </c>
      <c r="E188" s="14" t="s">
        <v>193</v>
      </c>
      <c r="F188" s="15" t="s">
        <v>51</v>
      </c>
      <c r="G188" s="14" t="s">
        <v>194</v>
      </c>
      <c r="H188" s="14" t="s">
        <v>192</v>
      </c>
      <c r="I188" s="14" t="s">
        <v>54</v>
      </c>
      <c r="J188" s="14" t="s">
        <v>200</v>
      </c>
      <c r="K188" s="14" t="s">
        <v>204</v>
      </c>
      <c r="L188" s="14">
        <v>1.0</v>
      </c>
      <c r="M188" s="17" t="str">
        <f t="shared" ref="M188:N188" si="93">"+0"</f>
        <v>+0</v>
      </c>
      <c r="N188" s="18" t="str">
        <f t="shared" si="93"/>
        <v>+0</v>
      </c>
    </row>
    <row r="189">
      <c r="A189" s="13">
        <v>45901.0</v>
      </c>
      <c r="B189" s="14" t="s">
        <v>47</v>
      </c>
      <c r="C189" s="14" t="s">
        <v>48</v>
      </c>
      <c r="D189" s="14" t="s">
        <v>56</v>
      </c>
      <c r="E189" s="14" t="s">
        <v>57</v>
      </c>
      <c r="F189" s="15" t="s">
        <v>51</v>
      </c>
      <c r="G189" s="14" t="s">
        <v>58</v>
      </c>
      <c r="H189" s="14" t="s">
        <v>56</v>
      </c>
      <c r="I189" s="14" t="s">
        <v>59</v>
      </c>
      <c r="J189" s="14" t="s">
        <v>200</v>
      </c>
      <c r="K189" s="14" t="s">
        <v>202</v>
      </c>
      <c r="L189" s="14">
        <v>45.0</v>
      </c>
      <c r="M189" s="17" t="str">
        <f>"-1"</f>
        <v>-1</v>
      </c>
      <c r="N189" s="18" t="str">
        <f>"+0"</f>
        <v>+0</v>
      </c>
    </row>
    <row r="190">
      <c r="A190" s="13">
        <v>45901.0</v>
      </c>
      <c r="B190" s="14" t="s">
        <v>47</v>
      </c>
      <c r="C190" s="14" t="s">
        <v>48</v>
      </c>
      <c r="D190" s="14" t="s">
        <v>129</v>
      </c>
      <c r="E190" s="14" t="s">
        <v>130</v>
      </c>
      <c r="F190" s="15" t="s">
        <v>51</v>
      </c>
      <c r="G190" s="14" t="s">
        <v>131</v>
      </c>
      <c r="H190" s="14" t="s">
        <v>129</v>
      </c>
      <c r="I190" s="14" t="s">
        <v>59</v>
      </c>
      <c r="J190" s="14" t="s">
        <v>200</v>
      </c>
      <c r="K190" s="14" t="s">
        <v>231</v>
      </c>
      <c r="L190" s="14">
        <v>61.0</v>
      </c>
      <c r="M190" s="17" t="str">
        <f>"+1"</f>
        <v>+1</v>
      </c>
      <c r="N190" s="18" t="str">
        <f>"-2"</f>
        <v>-2</v>
      </c>
    </row>
    <row r="191">
      <c r="A191" s="13">
        <v>45901.0</v>
      </c>
      <c r="B191" s="14" t="s">
        <v>47</v>
      </c>
      <c r="C191" s="14" t="s">
        <v>48</v>
      </c>
      <c r="D191" s="14" t="s">
        <v>177</v>
      </c>
      <c r="E191" s="14" t="s">
        <v>178</v>
      </c>
      <c r="F191" s="14" t="s">
        <v>146</v>
      </c>
      <c r="G191" s="14" t="s">
        <v>179</v>
      </c>
      <c r="H191" s="14" t="s">
        <v>177</v>
      </c>
      <c r="I191" s="14" t="s">
        <v>107</v>
      </c>
      <c r="J191" s="14" t="s">
        <v>199</v>
      </c>
      <c r="K191" s="14" t="s">
        <v>208</v>
      </c>
      <c r="L191" s="14">
        <v>0.0</v>
      </c>
      <c r="M191" s="17" t="str">
        <f t="shared" ref="M191:N191" si="94">"+0"</f>
        <v>+0</v>
      </c>
      <c r="N191" s="18" t="str">
        <f t="shared" si="94"/>
        <v>+0</v>
      </c>
    </row>
    <row r="192">
      <c r="A192" s="13">
        <v>45901.0</v>
      </c>
      <c r="B192" s="14" t="s">
        <v>47</v>
      </c>
      <c r="C192" s="14" t="s">
        <v>48</v>
      </c>
      <c r="D192" s="14" t="s">
        <v>82</v>
      </c>
      <c r="E192" s="14" t="s">
        <v>83</v>
      </c>
      <c r="F192" s="15" t="s">
        <v>51</v>
      </c>
      <c r="G192" s="14" t="s">
        <v>84</v>
      </c>
      <c r="H192" s="14" t="s">
        <v>82</v>
      </c>
      <c r="I192" s="14" t="s">
        <v>59</v>
      </c>
      <c r="J192" s="14" t="s">
        <v>199</v>
      </c>
      <c r="K192" s="14" t="s">
        <v>208</v>
      </c>
      <c r="L192" s="14">
        <v>80.0</v>
      </c>
      <c r="M192" s="17" t="str">
        <f t="shared" ref="M192:N192" si="95">"+0"</f>
        <v>+0</v>
      </c>
      <c r="N192" s="18" t="str">
        <f t="shared" si="95"/>
        <v>+0</v>
      </c>
    </row>
    <row r="193">
      <c r="A193" s="13">
        <v>45901.0</v>
      </c>
      <c r="B193" s="14" t="s">
        <v>47</v>
      </c>
      <c r="C193" s="14" t="s">
        <v>48</v>
      </c>
      <c r="D193" s="14" t="s">
        <v>66</v>
      </c>
      <c r="E193" s="14" t="s">
        <v>67</v>
      </c>
      <c r="F193" s="15" t="s">
        <v>51</v>
      </c>
      <c r="G193" s="14" t="s">
        <v>68</v>
      </c>
      <c r="H193" s="14" t="s">
        <v>66</v>
      </c>
      <c r="I193" s="14" t="s">
        <v>59</v>
      </c>
      <c r="J193" s="14" t="s">
        <v>199</v>
      </c>
      <c r="K193" s="14" t="s">
        <v>208</v>
      </c>
      <c r="L193" s="14">
        <v>85.0</v>
      </c>
      <c r="M193" s="17" t="str">
        <f t="shared" ref="M193:N193" si="96">"+0"</f>
        <v>+0</v>
      </c>
      <c r="N193" s="18" t="str">
        <f t="shared" si="96"/>
        <v>+0</v>
      </c>
    </row>
    <row r="194">
      <c r="A194" s="13">
        <v>45901.0</v>
      </c>
      <c r="B194" s="14" t="s">
        <v>47</v>
      </c>
      <c r="C194" s="14" t="s">
        <v>48</v>
      </c>
      <c r="D194" s="14" t="s">
        <v>192</v>
      </c>
      <c r="E194" s="14" t="s">
        <v>193</v>
      </c>
      <c r="F194" s="15" t="s">
        <v>51</v>
      </c>
      <c r="G194" s="14" t="s">
        <v>194</v>
      </c>
      <c r="H194" s="14" t="s">
        <v>192</v>
      </c>
      <c r="I194" s="14" t="s">
        <v>54</v>
      </c>
      <c r="J194" s="14" t="s">
        <v>199</v>
      </c>
      <c r="K194" s="14" t="s">
        <v>206</v>
      </c>
      <c r="L194" s="14">
        <v>100.0</v>
      </c>
      <c r="M194" s="17" t="str">
        <f t="shared" ref="M194:N194" si="97">"+0"</f>
        <v>+0</v>
      </c>
      <c r="N194" s="18" t="str">
        <f t="shared" si="97"/>
        <v>+0</v>
      </c>
    </row>
    <row r="195">
      <c r="A195" s="13">
        <v>45901.0</v>
      </c>
      <c r="B195" s="14" t="s">
        <v>47</v>
      </c>
      <c r="C195" s="14" t="s">
        <v>48</v>
      </c>
      <c r="D195" s="14" t="s">
        <v>82</v>
      </c>
      <c r="E195" s="14" t="s">
        <v>83</v>
      </c>
      <c r="F195" s="15" t="s">
        <v>51</v>
      </c>
      <c r="G195" s="14" t="s">
        <v>84</v>
      </c>
      <c r="H195" s="14" t="s">
        <v>82</v>
      </c>
      <c r="I195" s="14" t="s">
        <v>59</v>
      </c>
      <c r="J195" s="14" t="s">
        <v>199</v>
      </c>
      <c r="K195" s="14" t="s">
        <v>206</v>
      </c>
      <c r="L195" s="14">
        <v>24.0</v>
      </c>
      <c r="M195" s="17" t="str">
        <f t="shared" ref="M195:N195" si="98">"-9"</f>
        <v>-9</v>
      </c>
      <c r="N195" s="18" t="str">
        <f t="shared" si="98"/>
        <v>-9</v>
      </c>
    </row>
    <row r="196">
      <c r="A196" s="13">
        <v>45901.0</v>
      </c>
      <c r="B196" s="14" t="s">
        <v>47</v>
      </c>
      <c r="C196" s="14" t="s">
        <v>48</v>
      </c>
      <c r="D196" s="14" t="s">
        <v>73</v>
      </c>
      <c r="E196" s="14" t="s">
        <v>74</v>
      </c>
      <c r="F196" s="15" t="s">
        <v>51</v>
      </c>
      <c r="G196" s="14" t="s">
        <v>75</v>
      </c>
      <c r="H196" s="14" t="s">
        <v>76</v>
      </c>
      <c r="I196" s="14" t="s">
        <v>59</v>
      </c>
      <c r="J196" s="14" t="s">
        <v>200</v>
      </c>
      <c r="K196" s="14" t="s">
        <v>232</v>
      </c>
      <c r="L196" s="14">
        <v>36.0</v>
      </c>
      <c r="M196" s="17" t="str">
        <f t="shared" ref="M196:N196" si="99">"+0"</f>
        <v>+0</v>
      </c>
      <c r="N196" s="18" t="str">
        <f t="shared" si="99"/>
        <v>+0</v>
      </c>
    </row>
    <row r="197">
      <c r="A197" s="13">
        <v>45901.0</v>
      </c>
      <c r="B197" s="14" t="s">
        <v>47</v>
      </c>
      <c r="C197" s="14" t="s">
        <v>48</v>
      </c>
      <c r="D197" s="14" t="s">
        <v>87</v>
      </c>
      <c r="E197" s="14" t="s">
        <v>88</v>
      </c>
      <c r="F197" s="15" t="s">
        <v>51</v>
      </c>
      <c r="G197" s="14" t="s">
        <v>89</v>
      </c>
      <c r="H197" s="14" t="s">
        <v>90</v>
      </c>
      <c r="I197" s="14" t="s">
        <v>59</v>
      </c>
      <c r="J197" s="14" t="s">
        <v>200</v>
      </c>
      <c r="K197" s="14" t="s">
        <v>201</v>
      </c>
      <c r="L197" s="14">
        <v>6.0</v>
      </c>
      <c r="M197" s="17" t="str">
        <f t="shared" ref="M197:N197" si="100">"+0"</f>
        <v>+0</v>
      </c>
      <c r="N197" s="18" t="str">
        <f t="shared" si="100"/>
        <v>+0</v>
      </c>
    </row>
    <row r="198">
      <c r="A198" s="13">
        <v>45901.0</v>
      </c>
      <c r="B198" s="14" t="s">
        <v>47</v>
      </c>
      <c r="C198" s="14" t="s">
        <v>48</v>
      </c>
      <c r="D198" s="14" t="s">
        <v>87</v>
      </c>
      <c r="E198" s="14" t="s">
        <v>88</v>
      </c>
      <c r="F198" s="14" t="s">
        <v>71</v>
      </c>
      <c r="G198" s="14">
        <v>5.46000941E8</v>
      </c>
      <c r="H198" s="14" t="s">
        <v>90</v>
      </c>
      <c r="I198" s="14" t="s">
        <v>107</v>
      </c>
      <c r="J198" s="14" t="s">
        <v>199</v>
      </c>
      <c r="K198" s="14" t="s">
        <v>206</v>
      </c>
      <c r="L198" s="14">
        <v>91.0</v>
      </c>
      <c r="M198" s="17" t="str">
        <f t="shared" ref="M198:N198" si="101">"+0"</f>
        <v>+0</v>
      </c>
      <c r="N198" s="18" t="str">
        <f t="shared" si="101"/>
        <v>+0</v>
      </c>
    </row>
    <row r="199">
      <c r="A199" s="13">
        <v>45901.0</v>
      </c>
      <c r="B199" s="14" t="s">
        <v>47</v>
      </c>
      <c r="C199" s="14" t="s">
        <v>48</v>
      </c>
      <c r="D199" s="14" t="s">
        <v>69</v>
      </c>
      <c r="E199" s="14" t="s">
        <v>70</v>
      </c>
      <c r="F199" s="15" t="s">
        <v>51</v>
      </c>
      <c r="G199" s="14" t="s">
        <v>115</v>
      </c>
      <c r="H199" s="14" t="s">
        <v>72</v>
      </c>
      <c r="I199" s="14" t="s">
        <v>54</v>
      </c>
      <c r="J199" s="14" t="s">
        <v>200</v>
      </c>
      <c r="K199" s="14" t="s">
        <v>227</v>
      </c>
      <c r="L199" s="14">
        <v>58.0</v>
      </c>
      <c r="M199" s="17" t="str">
        <f>"+3"</f>
        <v>+3</v>
      </c>
      <c r="N199" s="18" t="str">
        <f>"+8"</f>
        <v>+8</v>
      </c>
    </row>
    <row r="200">
      <c r="A200" s="13">
        <v>45901.0</v>
      </c>
      <c r="B200" s="14" t="s">
        <v>47</v>
      </c>
      <c r="C200" s="14" t="s">
        <v>48</v>
      </c>
      <c r="D200" s="14" t="s">
        <v>69</v>
      </c>
      <c r="E200" s="14" t="s">
        <v>70</v>
      </c>
      <c r="F200" s="15" t="s">
        <v>51</v>
      </c>
      <c r="G200" s="14" t="s">
        <v>115</v>
      </c>
      <c r="H200" s="14" t="s">
        <v>72</v>
      </c>
      <c r="I200" s="14" t="s">
        <v>54</v>
      </c>
      <c r="J200" s="14" t="s">
        <v>198</v>
      </c>
      <c r="K200" s="14" t="s">
        <v>207</v>
      </c>
      <c r="L200" s="14">
        <v>58.0</v>
      </c>
      <c r="M200" s="17" t="str">
        <f t="shared" ref="M200:M201" si="102">"+0"</f>
        <v>+0</v>
      </c>
    </row>
    <row r="201">
      <c r="A201" s="13">
        <v>45901.0</v>
      </c>
      <c r="B201" s="14" t="s">
        <v>47</v>
      </c>
      <c r="C201" s="14" t="s">
        <v>48</v>
      </c>
      <c r="D201" s="14" t="s">
        <v>112</v>
      </c>
      <c r="E201" s="14" t="s">
        <v>113</v>
      </c>
      <c r="F201" s="15" t="s">
        <v>51</v>
      </c>
      <c r="G201" s="14" t="s">
        <v>114</v>
      </c>
      <c r="H201" s="14" t="s">
        <v>112</v>
      </c>
      <c r="I201" s="14" t="s">
        <v>59</v>
      </c>
      <c r="J201" s="14" t="s">
        <v>200</v>
      </c>
      <c r="K201" s="14" t="s">
        <v>209</v>
      </c>
      <c r="L201" s="14">
        <v>7.0</v>
      </c>
      <c r="M201" s="17" t="str">
        <f t="shared" si="102"/>
        <v>+0</v>
      </c>
      <c r="N201" s="18" t="str">
        <f>"+0"</f>
        <v>+0</v>
      </c>
    </row>
    <row r="202">
      <c r="A202" s="13">
        <v>45901.0</v>
      </c>
      <c r="B202" s="14" t="s">
        <v>47</v>
      </c>
      <c r="C202" s="14" t="s">
        <v>48</v>
      </c>
      <c r="D202" s="14" t="s">
        <v>77</v>
      </c>
      <c r="E202" s="14" t="s">
        <v>78</v>
      </c>
      <c r="F202" s="15" t="s">
        <v>51</v>
      </c>
      <c r="G202" s="14" t="s">
        <v>128</v>
      </c>
      <c r="H202" s="14" t="s">
        <v>81</v>
      </c>
      <c r="I202" s="14" t="s">
        <v>59</v>
      </c>
      <c r="J202" s="14" t="s">
        <v>200</v>
      </c>
      <c r="K202" s="14" t="s">
        <v>223</v>
      </c>
      <c r="L202" s="14">
        <v>11.0</v>
      </c>
      <c r="M202" s="17" t="str">
        <f>"+2"</f>
        <v>+2</v>
      </c>
      <c r="N202" s="18" t="str">
        <f>"-4"</f>
        <v>-4</v>
      </c>
    </row>
    <row r="203">
      <c r="A203" s="13">
        <v>45901.0</v>
      </c>
      <c r="B203" s="14" t="s">
        <v>47</v>
      </c>
      <c r="C203" s="14" t="s">
        <v>48</v>
      </c>
      <c r="D203" s="14" t="s">
        <v>108</v>
      </c>
      <c r="E203" s="14" t="s">
        <v>109</v>
      </c>
      <c r="F203" s="15" t="s">
        <v>51</v>
      </c>
      <c r="G203" s="14" t="s">
        <v>110</v>
      </c>
      <c r="H203" s="14" t="s">
        <v>108</v>
      </c>
      <c r="I203" s="14" t="s">
        <v>59</v>
      </c>
      <c r="J203" s="14" t="s">
        <v>200</v>
      </c>
      <c r="K203" s="14" t="s">
        <v>233</v>
      </c>
      <c r="L203" s="14">
        <v>1.0</v>
      </c>
      <c r="M203" s="17" t="str">
        <f>"+1"</f>
        <v>+1</v>
      </c>
    </row>
    <row r="204">
      <c r="A204" s="13">
        <v>45901.0</v>
      </c>
      <c r="B204" s="14" t="s">
        <v>47</v>
      </c>
      <c r="C204" s="14" t="s">
        <v>48</v>
      </c>
      <c r="D204" s="14" t="s">
        <v>140</v>
      </c>
      <c r="E204" s="14" t="s">
        <v>141</v>
      </c>
      <c r="F204" s="15" t="s">
        <v>51</v>
      </c>
      <c r="G204" s="14" t="s">
        <v>142</v>
      </c>
      <c r="H204" s="14" t="s">
        <v>140</v>
      </c>
      <c r="I204" s="14" t="s">
        <v>59</v>
      </c>
      <c r="J204" s="14" t="s">
        <v>200</v>
      </c>
      <c r="K204" s="14" t="s">
        <v>204</v>
      </c>
      <c r="L204" s="14">
        <v>0.0</v>
      </c>
      <c r="M204" s="17" t="str">
        <f t="shared" ref="M204:N204" si="103">"+0"</f>
        <v>+0</v>
      </c>
      <c r="N204" s="18" t="str">
        <f t="shared" si="103"/>
        <v>+0</v>
      </c>
    </row>
    <row r="205">
      <c r="A205" s="13">
        <v>45901.0</v>
      </c>
      <c r="B205" s="14" t="s">
        <v>47</v>
      </c>
      <c r="C205" s="14" t="s">
        <v>48</v>
      </c>
      <c r="D205" s="14" t="s">
        <v>56</v>
      </c>
      <c r="E205" s="14" t="s">
        <v>57</v>
      </c>
      <c r="F205" s="14" t="s">
        <v>71</v>
      </c>
      <c r="G205" s="14">
        <v>5.36003976E8</v>
      </c>
      <c r="H205" s="14" t="s">
        <v>56</v>
      </c>
      <c r="I205" s="14" t="s">
        <v>59</v>
      </c>
      <c r="J205" s="14" t="s">
        <v>199</v>
      </c>
      <c r="K205" s="14" t="s">
        <v>206</v>
      </c>
      <c r="L205" s="14">
        <v>8.0</v>
      </c>
      <c r="M205" s="17" t="str">
        <f t="shared" ref="M205:N205" si="104">"-8"</f>
        <v>-8</v>
      </c>
      <c r="N205" s="18" t="str">
        <f t="shared" si="104"/>
        <v>-8</v>
      </c>
    </row>
    <row r="206">
      <c r="A206" s="13">
        <v>45901.0</v>
      </c>
      <c r="B206" s="14" t="s">
        <v>47</v>
      </c>
      <c r="C206" s="14" t="s">
        <v>48</v>
      </c>
      <c r="D206" s="14" t="s">
        <v>49</v>
      </c>
      <c r="E206" s="14" t="s">
        <v>50</v>
      </c>
      <c r="F206" s="15" t="s">
        <v>51</v>
      </c>
      <c r="G206" s="14" t="s">
        <v>52</v>
      </c>
      <c r="H206" s="14" t="s">
        <v>53</v>
      </c>
      <c r="I206" s="14" t="s">
        <v>54</v>
      </c>
      <c r="J206" s="14" t="s">
        <v>200</v>
      </c>
      <c r="K206" s="14" t="s">
        <v>202</v>
      </c>
      <c r="L206" s="14">
        <v>20.0</v>
      </c>
      <c r="M206" s="17" t="str">
        <f t="shared" ref="M206:M216" si="105">"+0"</f>
        <v>+0</v>
      </c>
      <c r="N206" s="18" t="str">
        <f>"-7"</f>
        <v>-7</v>
      </c>
    </row>
    <row r="207">
      <c r="A207" s="13">
        <v>45901.0</v>
      </c>
      <c r="B207" s="14" t="s">
        <v>47</v>
      </c>
      <c r="C207" s="14" t="s">
        <v>48</v>
      </c>
      <c r="D207" s="14" t="s">
        <v>165</v>
      </c>
      <c r="E207" s="14" t="s">
        <v>166</v>
      </c>
      <c r="F207" s="14" t="s">
        <v>111</v>
      </c>
      <c r="G207" s="14">
        <v>7116371.0</v>
      </c>
      <c r="H207" s="14" t="s">
        <v>165</v>
      </c>
      <c r="I207" s="14" t="s">
        <v>59</v>
      </c>
      <c r="J207" s="14" t="s">
        <v>199</v>
      </c>
      <c r="K207" s="14" t="s">
        <v>203</v>
      </c>
      <c r="L207" s="14">
        <v>34.0</v>
      </c>
      <c r="M207" s="17" t="str">
        <f t="shared" si="105"/>
        <v>+0</v>
      </c>
      <c r="N207" s="18" t="str">
        <f t="shared" ref="N207:N210" si="106">"+0"</f>
        <v>+0</v>
      </c>
    </row>
    <row r="208">
      <c r="A208" s="13">
        <v>45901.0</v>
      </c>
      <c r="B208" s="14" t="s">
        <v>47</v>
      </c>
      <c r="C208" s="14" t="s">
        <v>48</v>
      </c>
      <c r="D208" s="14" t="s">
        <v>118</v>
      </c>
      <c r="E208" s="14" t="s">
        <v>119</v>
      </c>
      <c r="F208" s="15" t="s">
        <v>51</v>
      </c>
      <c r="G208" s="14" t="s">
        <v>120</v>
      </c>
      <c r="H208" s="14" t="s">
        <v>118</v>
      </c>
      <c r="I208" s="14" t="s">
        <v>59</v>
      </c>
      <c r="J208" s="14" t="s">
        <v>200</v>
      </c>
      <c r="K208" s="14" t="s">
        <v>214</v>
      </c>
      <c r="L208" s="14">
        <v>0.0</v>
      </c>
      <c r="M208" s="17" t="str">
        <f t="shared" si="105"/>
        <v>+0</v>
      </c>
      <c r="N208" s="18" t="str">
        <f t="shared" si="106"/>
        <v>+0</v>
      </c>
    </row>
    <row r="209">
      <c r="A209" s="13">
        <v>45901.0</v>
      </c>
      <c r="B209" s="14" t="s">
        <v>47</v>
      </c>
      <c r="C209" s="14" t="s">
        <v>48</v>
      </c>
      <c r="D209" s="14" t="s">
        <v>192</v>
      </c>
      <c r="E209" s="14" t="s">
        <v>193</v>
      </c>
      <c r="F209" s="15" t="s">
        <v>51</v>
      </c>
      <c r="G209" s="14" t="s">
        <v>194</v>
      </c>
      <c r="H209" s="14" t="s">
        <v>192</v>
      </c>
      <c r="I209" s="14" t="s">
        <v>54</v>
      </c>
      <c r="J209" s="14" t="s">
        <v>200</v>
      </c>
      <c r="K209" s="14" t="s">
        <v>222</v>
      </c>
      <c r="L209" s="14">
        <v>63.0</v>
      </c>
      <c r="M209" s="17" t="str">
        <f t="shared" si="105"/>
        <v>+0</v>
      </c>
      <c r="N209" s="18" t="str">
        <f t="shared" si="106"/>
        <v>+0</v>
      </c>
    </row>
    <row r="210">
      <c r="A210" s="13">
        <v>45901.0</v>
      </c>
      <c r="B210" s="14" t="s">
        <v>47</v>
      </c>
      <c r="C210" s="14" t="s">
        <v>48</v>
      </c>
      <c r="D210" s="14" t="s">
        <v>155</v>
      </c>
      <c r="E210" s="14" t="s">
        <v>156</v>
      </c>
      <c r="F210" s="15" t="s">
        <v>51</v>
      </c>
      <c r="G210" s="14" t="s">
        <v>157</v>
      </c>
      <c r="H210" s="14" t="s">
        <v>155</v>
      </c>
      <c r="I210" s="14" t="s">
        <v>59</v>
      </c>
      <c r="J210" s="14" t="s">
        <v>199</v>
      </c>
      <c r="K210" s="14" t="s">
        <v>203</v>
      </c>
      <c r="L210" s="14">
        <v>0.0</v>
      </c>
      <c r="M210" s="17" t="str">
        <f t="shared" si="105"/>
        <v>+0</v>
      </c>
      <c r="N210" s="18" t="str">
        <f t="shared" si="106"/>
        <v>+0</v>
      </c>
    </row>
    <row r="211">
      <c r="A211" s="13">
        <v>45901.0</v>
      </c>
      <c r="B211" s="14" t="s">
        <v>47</v>
      </c>
      <c r="C211" s="14" t="s">
        <v>48</v>
      </c>
      <c r="D211" s="14" t="s">
        <v>96</v>
      </c>
      <c r="E211" s="14" t="s">
        <v>97</v>
      </c>
      <c r="F211" s="15" t="s">
        <v>51</v>
      </c>
      <c r="G211" s="14" t="s">
        <v>98</v>
      </c>
      <c r="H211" s="14" t="s">
        <v>96</v>
      </c>
      <c r="I211" s="14" t="s">
        <v>59</v>
      </c>
      <c r="J211" s="14" t="s">
        <v>200</v>
      </c>
      <c r="K211" s="14" t="s">
        <v>234</v>
      </c>
      <c r="L211" s="14">
        <v>20.0</v>
      </c>
      <c r="M211" s="17" t="str">
        <f t="shared" si="105"/>
        <v>+0</v>
      </c>
      <c r="N211" s="18" t="str">
        <f>"-20"</f>
        <v>-20</v>
      </c>
    </row>
    <row r="212">
      <c r="A212" s="13">
        <v>45901.0</v>
      </c>
      <c r="B212" s="14" t="s">
        <v>47</v>
      </c>
      <c r="C212" s="14" t="s">
        <v>48</v>
      </c>
      <c r="D212" s="14" t="s">
        <v>77</v>
      </c>
      <c r="E212" s="14" t="s">
        <v>78</v>
      </c>
      <c r="F212" s="15" t="s">
        <v>51</v>
      </c>
      <c r="G212" s="14" t="s">
        <v>128</v>
      </c>
      <c r="H212" s="14" t="s">
        <v>81</v>
      </c>
      <c r="I212" s="14" t="s">
        <v>59</v>
      </c>
      <c r="J212" s="14" t="s">
        <v>200</v>
      </c>
      <c r="K212" s="14" t="s">
        <v>214</v>
      </c>
      <c r="L212" s="14">
        <v>0.0</v>
      </c>
      <c r="M212" s="17" t="str">
        <f t="shared" si="105"/>
        <v>+0</v>
      </c>
      <c r="N212" s="18" t="str">
        <f t="shared" ref="N212:N216" si="107">"+0"</f>
        <v>+0</v>
      </c>
    </row>
    <row r="213">
      <c r="A213" s="13">
        <v>45901.0</v>
      </c>
      <c r="B213" s="14" t="s">
        <v>47</v>
      </c>
      <c r="C213" s="14" t="s">
        <v>48</v>
      </c>
      <c r="D213" s="14" t="s">
        <v>91</v>
      </c>
      <c r="E213" s="14" t="s">
        <v>92</v>
      </c>
      <c r="F213" s="14" t="s">
        <v>71</v>
      </c>
      <c r="G213" s="14">
        <v>1.00004432E8</v>
      </c>
      <c r="H213" s="14" t="s">
        <v>91</v>
      </c>
      <c r="I213" s="14" t="s">
        <v>59</v>
      </c>
      <c r="J213" s="14" t="s">
        <v>199</v>
      </c>
      <c r="K213" s="14" t="s">
        <v>208</v>
      </c>
      <c r="L213" s="14">
        <v>100.0</v>
      </c>
      <c r="M213" s="17" t="str">
        <f t="shared" si="105"/>
        <v>+0</v>
      </c>
      <c r="N213" s="18" t="str">
        <f t="shared" si="107"/>
        <v>+0</v>
      </c>
    </row>
    <row r="214">
      <c r="A214" s="13">
        <v>45901.0</v>
      </c>
      <c r="B214" s="14" t="s">
        <v>47</v>
      </c>
      <c r="C214" s="14" t="s">
        <v>48</v>
      </c>
      <c r="D214" s="14" t="s">
        <v>184</v>
      </c>
      <c r="E214" s="14" t="s">
        <v>185</v>
      </c>
      <c r="F214" s="15" t="s">
        <v>51</v>
      </c>
      <c r="G214" s="14" t="s">
        <v>186</v>
      </c>
      <c r="H214" s="14" t="s">
        <v>187</v>
      </c>
      <c r="I214" s="14" t="s">
        <v>59</v>
      </c>
      <c r="J214" s="14" t="s">
        <v>200</v>
      </c>
      <c r="K214" s="14" t="s">
        <v>222</v>
      </c>
      <c r="L214" s="14">
        <v>25.0</v>
      </c>
      <c r="M214" s="17" t="str">
        <f t="shared" si="105"/>
        <v>+0</v>
      </c>
      <c r="N214" s="18" t="str">
        <f t="shared" si="107"/>
        <v>+0</v>
      </c>
    </row>
    <row r="215">
      <c r="A215" s="13">
        <v>45901.0</v>
      </c>
      <c r="B215" s="14" t="s">
        <v>47</v>
      </c>
      <c r="C215" s="14" t="s">
        <v>48</v>
      </c>
      <c r="D215" s="14" t="s">
        <v>103</v>
      </c>
      <c r="E215" s="14" t="s">
        <v>104</v>
      </c>
      <c r="F215" s="15" t="s">
        <v>51</v>
      </c>
      <c r="G215" s="14" t="s">
        <v>105</v>
      </c>
      <c r="H215" s="14" t="s">
        <v>106</v>
      </c>
      <c r="I215" s="14" t="s">
        <v>59</v>
      </c>
      <c r="J215" s="14" t="s">
        <v>200</v>
      </c>
      <c r="K215" s="14" t="s">
        <v>209</v>
      </c>
      <c r="L215" s="14">
        <v>1.0</v>
      </c>
      <c r="M215" s="17" t="str">
        <f t="shared" si="105"/>
        <v>+0</v>
      </c>
      <c r="N215" s="18" t="str">
        <f t="shared" si="107"/>
        <v>+0</v>
      </c>
    </row>
    <row r="216">
      <c r="A216" s="13">
        <v>45901.0</v>
      </c>
      <c r="B216" s="14" t="s">
        <v>47</v>
      </c>
      <c r="C216" s="14" t="s">
        <v>48</v>
      </c>
      <c r="D216" s="14" t="s">
        <v>143</v>
      </c>
      <c r="E216" s="14" t="s">
        <v>144</v>
      </c>
      <c r="F216" s="15" t="s">
        <v>51</v>
      </c>
      <c r="G216" s="14" t="s">
        <v>145</v>
      </c>
      <c r="H216" s="14" t="s">
        <v>143</v>
      </c>
      <c r="I216" s="14" t="s">
        <v>59</v>
      </c>
      <c r="J216" s="14" t="s">
        <v>200</v>
      </c>
      <c r="K216" s="14" t="s">
        <v>209</v>
      </c>
      <c r="L216" s="14">
        <v>1.0</v>
      </c>
      <c r="M216" s="17" t="str">
        <f t="shared" si="105"/>
        <v>+0</v>
      </c>
      <c r="N216" s="18" t="str">
        <f t="shared" si="107"/>
        <v>+0</v>
      </c>
    </row>
    <row r="217">
      <c r="A217" s="13">
        <v>45901.0</v>
      </c>
      <c r="B217" s="14" t="s">
        <v>47</v>
      </c>
      <c r="C217" s="14" t="s">
        <v>48</v>
      </c>
      <c r="D217" s="14" t="s">
        <v>73</v>
      </c>
      <c r="E217" s="14" t="s">
        <v>74</v>
      </c>
      <c r="F217" s="15" t="s">
        <v>51</v>
      </c>
      <c r="G217" s="14" t="s">
        <v>75</v>
      </c>
      <c r="H217" s="14" t="s">
        <v>76</v>
      </c>
      <c r="I217" s="14" t="s">
        <v>59</v>
      </c>
      <c r="J217" s="14" t="s">
        <v>198</v>
      </c>
      <c r="K217" s="14" t="s">
        <v>212</v>
      </c>
      <c r="L217" s="14">
        <v>58.0</v>
      </c>
      <c r="M217" s="17" t="str">
        <f t="shared" ref="M217:N217" si="108">"+17"</f>
        <v>+17</v>
      </c>
      <c r="N217" s="18" t="str">
        <f t="shared" si="108"/>
        <v>+17</v>
      </c>
    </row>
    <row r="218">
      <c r="A218" s="13">
        <v>45901.0</v>
      </c>
      <c r="B218" s="14" t="s">
        <v>47</v>
      </c>
      <c r="C218" s="14" t="s">
        <v>48</v>
      </c>
      <c r="D218" s="14" t="s">
        <v>143</v>
      </c>
      <c r="E218" s="14" t="s">
        <v>144</v>
      </c>
      <c r="F218" s="15" t="s">
        <v>51</v>
      </c>
      <c r="G218" s="14" t="s">
        <v>145</v>
      </c>
      <c r="H218" s="14" t="s">
        <v>143</v>
      </c>
      <c r="I218" s="14" t="s">
        <v>59</v>
      </c>
      <c r="J218" s="14" t="s">
        <v>199</v>
      </c>
      <c r="K218" s="14" t="s">
        <v>206</v>
      </c>
      <c r="L218" s="14">
        <v>66.0</v>
      </c>
      <c r="M218" s="17" t="str">
        <f t="shared" ref="M218:N218" si="109">"+0"</f>
        <v>+0</v>
      </c>
      <c r="N218" s="18" t="str">
        <f t="shared" si="109"/>
        <v>+0</v>
      </c>
    </row>
    <row r="219">
      <c r="A219" s="13">
        <v>45901.0</v>
      </c>
      <c r="B219" s="14" t="s">
        <v>47</v>
      </c>
      <c r="C219" s="14" t="s">
        <v>48</v>
      </c>
      <c r="D219" s="14" t="s">
        <v>125</v>
      </c>
      <c r="E219" s="14" t="s">
        <v>126</v>
      </c>
      <c r="F219" s="15" t="s">
        <v>51</v>
      </c>
      <c r="G219" s="14" t="s">
        <v>127</v>
      </c>
      <c r="H219" s="14" t="s">
        <v>125</v>
      </c>
      <c r="I219" s="14" t="s">
        <v>59</v>
      </c>
      <c r="J219" s="14" t="s">
        <v>200</v>
      </c>
      <c r="K219" s="14" t="s">
        <v>202</v>
      </c>
      <c r="L219" s="14">
        <v>0.0</v>
      </c>
      <c r="M219" s="17" t="str">
        <f t="shared" ref="M219:N219" si="110">"+0"</f>
        <v>+0</v>
      </c>
      <c r="N219" s="18" t="str">
        <f t="shared" si="110"/>
        <v>+0</v>
      </c>
    </row>
    <row r="220">
      <c r="A220" s="13">
        <v>45901.0</v>
      </c>
      <c r="B220" s="14" t="s">
        <v>47</v>
      </c>
      <c r="C220" s="14" t="s">
        <v>48</v>
      </c>
      <c r="D220" s="14" t="s">
        <v>69</v>
      </c>
      <c r="E220" s="14" t="s">
        <v>70</v>
      </c>
      <c r="F220" s="14" t="s">
        <v>71</v>
      </c>
      <c r="G220" s="14">
        <v>1.00002092E8</v>
      </c>
      <c r="H220" s="14" t="s">
        <v>72</v>
      </c>
      <c r="I220" s="14" t="s">
        <v>54</v>
      </c>
      <c r="J220" s="14" t="s">
        <v>200</v>
      </c>
      <c r="K220" s="14" t="s">
        <v>230</v>
      </c>
      <c r="L220" s="14">
        <v>30.0</v>
      </c>
      <c r="M220" s="17" t="str">
        <f>"+1"</f>
        <v>+1</v>
      </c>
      <c r="N220" s="18" t="str">
        <f>"+16"</f>
        <v>+16</v>
      </c>
    </row>
    <row r="221">
      <c r="A221" s="13">
        <v>45901.0</v>
      </c>
      <c r="B221" s="14" t="s">
        <v>47</v>
      </c>
      <c r="C221" s="14" t="s">
        <v>48</v>
      </c>
      <c r="D221" s="14" t="s">
        <v>69</v>
      </c>
      <c r="E221" s="14" t="s">
        <v>70</v>
      </c>
      <c r="F221" s="15" t="s">
        <v>51</v>
      </c>
      <c r="G221" s="14" t="s">
        <v>115</v>
      </c>
      <c r="H221" s="14" t="s">
        <v>72</v>
      </c>
      <c r="I221" s="14" t="s">
        <v>54</v>
      </c>
      <c r="J221" s="14" t="s">
        <v>200</v>
      </c>
      <c r="K221" s="14" t="s">
        <v>202</v>
      </c>
      <c r="L221" s="14">
        <v>59.0</v>
      </c>
      <c r="M221" s="17" t="str">
        <f t="shared" ref="M221:N221" si="111">"-3"</f>
        <v>-3</v>
      </c>
      <c r="N221" s="18" t="str">
        <f t="shared" si="111"/>
        <v>-3</v>
      </c>
    </row>
    <row r="222">
      <c r="A222" s="13">
        <v>45901.0</v>
      </c>
      <c r="B222" s="14" t="s">
        <v>47</v>
      </c>
      <c r="C222" s="14" t="s">
        <v>48</v>
      </c>
      <c r="D222" s="14" t="s">
        <v>77</v>
      </c>
      <c r="E222" s="14" t="s">
        <v>78</v>
      </c>
      <c r="F222" s="14" t="s">
        <v>71</v>
      </c>
      <c r="G222" s="14">
        <v>5.36009043E8</v>
      </c>
      <c r="H222" s="14" t="s">
        <v>81</v>
      </c>
      <c r="J222" s="14" t="s">
        <v>199</v>
      </c>
      <c r="K222" s="14" t="s">
        <v>203</v>
      </c>
      <c r="L222" s="14">
        <v>100.0</v>
      </c>
      <c r="M222" s="17" t="str">
        <f t="shared" ref="M222:M225" si="112">"+0"</f>
        <v>+0</v>
      </c>
    </row>
    <row r="223">
      <c r="A223" s="13">
        <v>45901.0</v>
      </c>
      <c r="B223" s="14" t="s">
        <v>47</v>
      </c>
      <c r="C223" s="14" t="s">
        <v>48</v>
      </c>
      <c r="D223" s="14" t="s">
        <v>116</v>
      </c>
      <c r="E223" s="14" t="s">
        <v>117</v>
      </c>
      <c r="F223" s="14" t="s">
        <v>111</v>
      </c>
      <c r="G223" s="14">
        <v>5298600.0</v>
      </c>
      <c r="H223" s="14" t="s">
        <v>116</v>
      </c>
      <c r="I223" s="14" t="s">
        <v>59</v>
      </c>
      <c r="J223" s="14" t="s">
        <v>199</v>
      </c>
      <c r="K223" s="14" t="s">
        <v>208</v>
      </c>
      <c r="L223" s="14">
        <v>0.0</v>
      </c>
      <c r="M223" s="17" t="str">
        <f t="shared" si="112"/>
        <v>+0</v>
      </c>
      <c r="N223" s="18" t="str">
        <f>"+0"</f>
        <v>+0</v>
      </c>
    </row>
    <row r="224">
      <c r="A224" s="13">
        <v>45901.0</v>
      </c>
      <c r="B224" s="14" t="s">
        <v>47</v>
      </c>
      <c r="C224" s="14" t="s">
        <v>48</v>
      </c>
      <c r="D224" s="14" t="s">
        <v>77</v>
      </c>
      <c r="E224" s="14" t="s">
        <v>78</v>
      </c>
      <c r="F224" s="14" t="s">
        <v>79</v>
      </c>
      <c r="G224" s="14" t="s">
        <v>80</v>
      </c>
      <c r="H224" s="14" t="s">
        <v>81</v>
      </c>
      <c r="J224" s="14" t="s">
        <v>199</v>
      </c>
      <c r="K224" s="14" t="s">
        <v>208</v>
      </c>
      <c r="L224" s="14">
        <v>75.0</v>
      </c>
      <c r="M224" s="17" t="str">
        <f t="shared" si="112"/>
        <v>+0</v>
      </c>
      <c r="N224" s="18" t="str">
        <f>"+75"</f>
        <v>+75</v>
      </c>
    </row>
    <row r="225">
      <c r="A225" s="13">
        <v>45901.0</v>
      </c>
      <c r="B225" s="14" t="s">
        <v>47</v>
      </c>
      <c r="C225" s="14" t="s">
        <v>48</v>
      </c>
      <c r="D225" s="14" t="s">
        <v>93</v>
      </c>
      <c r="E225" s="14" t="s">
        <v>94</v>
      </c>
      <c r="F225" s="14" t="s">
        <v>71</v>
      </c>
      <c r="G225" s="14">
        <v>5.36001438E8</v>
      </c>
      <c r="H225" s="14" t="s">
        <v>95</v>
      </c>
      <c r="I225" s="14" t="s">
        <v>59</v>
      </c>
      <c r="J225" s="14" t="s">
        <v>200</v>
      </c>
      <c r="K225" s="14" t="s">
        <v>230</v>
      </c>
      <c r="L225" s="14">
        <v>0.0</v>
      </c>
      <c r="M225" s="17" t="str">
        <f t="shared" si="112"/>
        <v>+0</v>
      </c>
      <c r="N225" s="18" t="str">
        <f>"+0"</f>
        <v>+0</v>
      </c>
    </row>
    <row r="226">
      <c r="A226" s="13">
        <v>45901.0</v>
      </c>
      <c r="B226" s="14" t="s">
        <v>47</v>
      </c>
      <c r="C226" s="14" t="s">
        <v>48</v>
      </c>
      <c r="D226" s="14" t="s">
        <v>132</v>
      </c>
      <c r="E226" s="14" t="s">
        <v>133</v>
      </c>
      <c r="F226" s="15" t="s">
        <v>51</v>
      </c>
      <c r="G226" s="14" t="s">
        <v>134</v>
      </c>
      <c r="H226" s="14" t="s">
        <v>135</v>
      </c>
      <c r="I226" s="14" t="s">
        <v>59</v>
      </c>
      <c r="J226" s="14" t="s">
        <v>200</v>
      </c>
      <c r="K226" s="14" t="s">
        <v>209</v>
      </c>
      <c r="L226" s="14">
        <v>55.0</v>
      </c>
      <c r="M226" s="17" t="str">
        <f t="shared" ref="M226:N226" si="113">"+1"</f>
        <v>+1</v>
      </c>
      <c r="N226" s="18" t="str">
        <f t="shared" si="113"/>
        <v>+1</v>
      </c>
    </row>
    <row r="227">
      <c r="A227" s="13">
        <v>45901.0</v>
      </c>
      <c r="B227" s="14" t="s">
        <v>47</v>
      </c>
      <c r="C227" s="14" t="s">
        <v>48</v>
      </c>
      <c r="D227" s="14" t="s">
        <v>143</v>
      </c>
      <c r="E227" s="14" t="s">
        <v>144</v>
      </c>
      <c r="F227" s="15" t="s">
        <v>51</v>
      </c>
      <c r="G227" s="14" t="s">
        <v>145</v>
      </c>
      <c r="H227" s="14" t="s">
        <v>143</v>
      </c>
      <c r="I227" s="14" t="s">
        <v>59</v>
      </c>
      <c r="J227" s="14" t="s">
        <v>200</v>
      </c>
      <c r="K227" s="14" t="s">
        <v>232</v>
      </c>
      <c r="L227" s="14">
        <v>52.0</v>
      </c>
      <c r="M227" s="17" t="str">
        <f>"+5"</f>
        <v>+5</v>
      </c>
      <c r="N227" s="18" t="str">
        <f>"-2"</f>
        <v>-2</v>
      </c>
    </row>
    <row r="228">
      <c r="A228" s="13">
        <v>45901.0</v>
      </c>
      <c r="B228" s="14" t="s">
        <v>47</v>
      </c>
      <c r="C228" s="14" t="s">
        <v>48</v>
      </c>
      <c r="D228" s="14" t="s">
        <v>103</v>
      </c>
      <c r="E228" s="14" t="s">
        <v>104</v>
      </c>
      <c r="F228" s="15" t="s">
        <v>51</v>
      </c>
      <c r="G228" s="14" t="s">
        <v>105</v>
      </c>
      <c r="H228" s="14" t="s">
        <v>106</v>
      </c>
      <c r="I228" s="14" t="s">
        <v>59</v>
      </c>
      <c r="J228" s="14" t="s">
        <v>198</v>
      </c>
      <c r="K228" s="14" t="s">
        <v>210</v>
      </c>
      <c r="L228" s="14">
        <v>90.0</v>
      </c>
      <c r="M228" s="17" t="str">
        <f>"-4"</f>
        <v>-4</v>
      </c>
      <c r="N228" s="18" t="str">
        <f>"+1"</f>
        <v>+1</v>
      </c>
    </row>
    <row r="229">
      <c r="A229" s="13">
        <v>45901.0</v>
      </c>
      <c r="B229" s="14" t="s">
        <v>47</v>
      </c>
      <c r="C229" s="14" t="s">
        <v>48</v>
      </c>
      <c r="D229" s="14" t="s">
        <v>171</v>
      </c>
      <c r="E229" s="14" t="s">
        <v>172</v>
      </c>
      <c r="F229" s="15" t="s">
        <v>51</v>
      </c>
      <c r="G229" s="14" t="s">
        <v>173</v>
      </c>
      <c r="H229" s="14" t="s">
        <v>171</v>
      </c>
      <c r="I229" s="14" t="s">
        <v>59</v>
      </c>
      <c r="J229" s="14" t="s">
        <v>199</v>
      </c>
      <c r="K229" s="14" t="s">
        <v>203</v>
      </c>
      <c r="L229" s="14">
        <v>34.0</v>
      </c>
      <c r="M229" s="17" t="str">
        <f t="shared" ref="M229:N229" si="114">"+0"</f>
        <v>+0</v>
      </c>
      <c r="N229" s="18" t="str">
        <f t="shared" si="114"/>
        <v>+0</v>
      </c>
    </row>
    <row r="230">
      <c r="A230" s="13">
        <v>45901.0</v>
      </c>
      <c r="B230" s="14" t="s">
        <v>47</v>
      </c>
      <c r="C230" s="14" t="s">
        <v>48</v>
      </c>
      <c r="D230" s="14" t="s">
        <v>85</v>
      </c>
      <c r="E230" s="14" t="s">
        <v>86</v>
      </c>
      <c r="F230" s="15" t="s">
        <v>51</v>
      </c>
      <c r="G230" s="14" t="s">
        <v>148</v>
      </c>
      <c r="H230" s="14" t="s">
        <v>85</v>
      </c>
      <c r="I230" s="14" t="s">
        <v>59</v>
      </c>
      <c r="J230" s="14" t="s">
        <v>199</v>
      </c>
      <c r="K230" s="14" t="s">
        <v>203</v>
      </c>
      <c r="L230" s="14">
        <v>0.0</v>
      </c>
      <c r="M230" s="17" t="str">
        <f t="shared" ref="M230:N230" si="115">"+0"</f>
        <v>+0</v>
      </c>
      <c r="N230" s="18" t="str">
        <f t="shared" si="115"/>
        <v>+0</v>
      </c>
    </row>
    <row r="231">
      <c r="A231" s="13">
        <v>45901.0</v>
      </c>
      <c r="B231" s="14" t="s">
        <v>47</v>
      </c>
      <c r="C231" s="14" t="s">
        <v>48</v>
      </c>
      <c r="D231" s="14" t="s">
        <v>116</v>
      </c>
      <c r="E231" s="14" t="s">
        <v>117</v>
      </c>
      <c r="F231" s="14" t="s">
        <v>111</v>
      </c>
      <c r="G231" s="14">
        <v>5298600.0</v>
      </c>
      <c r="H231" s="14" t="s">
        <v>116</v>
      </c>
      <c r="I231" s="14" t="s">
        <v>59</v>
      </c>
      <c r="J231" s="14" t="s">
        <v>200</v>
      </c>
      <c r="K231" s="14" t="s">
        <v>221</v>
      </c>
      <c r="L231" s="14">
        <v>61.0</v>
      </c>
      <c r="M231" s="17" t="str">
        <f t="shared" ref="M231:M234" si="116">"+0"</f>
        <v>+0</v>
      </c>
      <c r="N231" s="18" t="str">
        <f>"-7"</f>
        <v>-7</v>
      </c>
    </row>
    <row r="232">
      <c r="A232" s="13">
        <v>45901.0</v>
      </c>
      <c r="B232" s="14" t="s">
        <v>47</v>
      </c>
      <c r="C232" s="14" t="s">
        <v>48</v>
      </c>
      <c r="D232" s="14" t="s">
        <v>140</v>
      </c>
      <c r="E232" s="14" t="s">
        <v>141</v>
      </c>
      <c r="F232" s="15" t="s">
        <v>51</v>
      </c>
      <c r="G232" s="14" t="s">
        <v>142</v>
      </c>
      <c r="H232" s="14" t="s">
        <v>140</v>
      </c>
      <c r="I232" s="14" t="s">
        <v>59</v>
      </c>
      <c r="J232" s="14" t="s">
        <v>200</v>
      </c>
      <c r="K232" s="14" t="s">
        <v>209</v>
      </c>
      <c r="L232" s="14">
        <v>4.0</v>
      </c>
      <c r="M232" s="17" t="str">
        <f t="shared" si="116"/>
        <v>+0</v>
      </c>
      <c r="N232" s="18" t="str">
        <f t="shared" ref="N232:N234" si="117">"+0"</f>
        <v>+0</v>
      </c>
    </row>
    <row r="233">
      <c r="A233" s="13">
        <v>45901.0</v>
      </c>
      <c r="B233" s="14" t="s">
        <v>47</v>
      </c>
      <c r="C233" s="14" t="s">
        <v>48</v>
      </c>
      <c r="D233" s="14" t="s">
        <v>56</v>
      </c>
      <c r="E233" s="14" t="s">
        <v>57</v>
      </c>
      <c r="F233" s="15" t="s">
        <v>51</v>
      </c>
      <c r="G233" s="14" t="s">
        <v>58</v>
      </c>
      <c r="H233" s="14" t="s">
        <v>56</v>
      </c>
      <c r="I233" s="14" t="s">
        <v>59</v>
      </c>
      <c r="J233" s="14" t="s">
        <v>200</v>
      </c>
      <c r="K233" s="14" t="s">
        <v>201</v>
      </c>
      <c r="L233" s="14">
        <v>1.0</v>
      </c>
      <c r="M233" s="17" t="str">
        <f t="shared" si="116"/>
        <v>+0</v>
      </c>
      <c r="N233" s="18" t="str">
        <f t="shared" si="117"/>
        <v>+0</v>
      </c>
    </row>
    <row r="234">
      <c r="A234" s="13">
        <v>45901.0</v>
      </c>
      <c r="B234" s="14" t="s">
        <v>47</v>
      </c>
      <c r="C234" s="14" t="s">
        <v>48</v>
      </c>
      <c r="D234" s="14" t="s">
        <v>155</v>
      </c>
      <c r="E234" s="14" t="s">
        <v>156</v>
      </c>
      <c r="F234" s="15" t="s">
        <v>51</v>
      </c>
      <c r="G234" s="14" t="s">
        <v>157</v>
      </c>
      <c r="H234" s="14" t="s">
        <v>155</v>
      </c>
      <c r="I234" s="14" t="s">
        <v>59</v>
      </c>
      <c r="J234" s="14" t="s">
        <v>199</v>
      </c>
      <c r="K234" s="14" t="s">
        <v>206</v>
      </c>
      <c r="L234" s="14">
        <v>0.0</v>
      </c>
      <c r="M234" s="17" t="str">
        <f t="shared" si="116"/>
        <v>+0</v>
      </c>
      <c r="N234" s="18" t="str">
        <f t="shared" si="117"/>
        <v>+0</v>
      </c>
    </row>
    <row r="235">
      <c r="A235" s="13">
        <v>45901.0</v>
      </c>
      <c r="B235" s="14" t="s">
        <v>47</v>
      </c>
      <c r="C235" s="14" t="s">
        <v>48</v>
      </c>
      <c r="D235" s="14" t="s">
        <v>56</v>
      </c>
      <c r="E235" s="14" t="s">
        <v>57</v>
      </c>
      <c r="F235" s="15" t="s">
        <v>51</v>
      </c>
      <c r="G235" s="14" t="s">
        <v>58</v>
      </c>
      <c r="H235" s="14" t="s">
        <v>56</v>
      </c>
      <c r="I235" s="14" t="s">
        <v>59</v>
      </c>
      <c r="J235" s="14" t="s">
        <v>199</v>
      </c>
      <c r="K235" s="14" t="s">
        <v>206</v>
      </c>
      <c r="L235" s="14">
        <v>8.0</v>
      </c>
      <c r="M235" s="17" t="str">
        <f t="shared" ref="M235:N235" si="118">"-8"</f>
        <v>-8</v>
      </c>
      <c r="N235" s="18" t="str">
        <f t="shared" si="118"/>
        <v>-8</v>
      </c>
    </row>
    <row r="236">
      <c r="A236" s="13">
        <v>45901.0</v>
      </c>
      <c r="B236" s="14" t="s">
        <v>47</v>
      </c>
      <c r="C236" s="14" t="s">
        <v>48</v>
      </c>
      <c r="D236" s="14" t="s">
        <v>49</v>
      </c>
      <c r="E236" s="14" t="s">
        <v>50</v>
      </c>
      <c r="F236" s="15" t="s">
        <v>51</v>
      </c>
      <c r="G236" s="14" t="s">
        <v>52</v>
      </c>
      <c r="H236" s="14" t="s">
        <v>53</v>
      </c>
      <c r="I236" s="14" t="s">
        <v>54</v>
      </c>
      <c r="J236" s="14" t="s">
        <v>199</v>
      </c>
      <c r="K236" s="14" t="s">
        <v>208</v>
      </c>
      <c r="L236" s="14">
        <v>100.0</v>
      </c>
      <c r="M236" s="17" t="str">
        <f t="shared" ref="M236:N236" si="119">"+0"</f>
        <v>+0</v>
      </c>
      <c r="N236" s="18" t="str">
        <f t="shared" si="119"/>
        <v>+0</v>
      </c>
    </row>
    <row r="237">
      <c r="A237" s="13">
        <v>45901.0</v>
      </c>
      <c r="B237" s="14" t="s">
        <v>47</v>
      </c>
      <c r="C237" s="14" t="s">
        <v>48</v>
      </c>
      <c r="D237" s="14" t="s">
        <v>118</v>
      </c>
      <c r="E237" s="14" t="s">
        <v>119</v>
      </c>
      <c r="F237" s="15" t="s">
        <v>51</v>
      </c>
      <c r="G237" s="14" t="s">
        <v>120</v>
      </c>
      <c r="H237" s="14" t="s">
        <v>118</v>
      </c>
      <c r="I237" s="14" t="s">
        <v>59</v>
      </c>
      <c r="J237" s="14" t="s">
        <v>198</v>
      </c>
      <c r="K237" s="14" t="s">
        <v>205</v>
      </c>
      <c r="L237" s="14">
        <v>48.0</v>
      </c>
      <c r="M237" s="17" t="str">
        <f>"+0"</f>
        <v>+0</v>
      </c>
    </row>
    <row r="238">
      <c r="A238" s="13">
        <v>45901.0</v>
      </c>
      <c r="B238" s="14" t="s">
        <v>47</v>
      </c>
      <c r="C238" s="14" t="s">
        <v>48</v>
      </c>
      <c r="D238" s="14" t="s">
        <v>99</v>
      </c>
      <c r="E238" s="14" t="s">
        <v>100</v>
      </c>
      <c r="F238" s="15" t="s">
        <v>51</v>
      </c>
      <c r="G238" s="14" t="s">
        <v>101</v>
      </c>
      <c r="H238" s="14" t="s">
        <v>102</v>
      </c>
      <c r="I238" s="14" t="s">
        <v>54</v>
      </c>
      <c r="J238" s="14" t="s">
        <v>198</v>
      </c>
      <c r="K238" s="14" t="s">
        <v>212</v>
      </c>
      <c r="L238" s="14">
        <v>51.0</v>
      </c>
      <c r="M238" s="17" t="str">
        <f t="shared" ref="M238:N238" si="120">"+18"</f>
        <v>+18</v>
      </c>
      <c r="N238" s="18" t="str">
        <f t="shared" si="120"/>
        <v>+18</v>
      </c>
    </row>
    <row r="239">
      <c r="A239" s="13">
        <v>45901.0</v>
      </c>
      <c r="B239" s="14" t="s">
        <v>47</v>
      </c>
      <c r="C239" s="14" t="s">
        <v>48</v>
      </c>
      <c r="D239" s="14" t="s">
        <v>91</v>
      </c>
      <c r="E239" s="14" t="s">
        <v>92</v>
      </c>
      <c r="F239" s="14" t="s">
        <v>79</v>
      </c>
      <c r="G239" s="14" t="s">
        <v>164</v>
      </c>
      <c r="H239" s="14" t="s">
        <v>91</v>
      </c>
      <c r="I239" s="14" t="s">
        <v>154</v>
      </c>
      <c r="J239" s="14" t="s">
        <v>198</v>
      </c>
      <c r="K239" s="14" t="s">
        <v>205</v>
      </c>
      <c r="L239" s="14">
        <v>0.0</v>
      </c>
      <c r="M239" s="17" t="str">
        <f>"+0"</f>
        <v>+0</v>
      </c>
    </row>
    <row r="240">
      <c r="A240" s="13">
        <v>45901.0</v>
      </c>
      <c r="B240" s="14" t="s">
        <v>47</v>
      </c>
      <c r="C240" s="14" t="s">
        <v>48</v>
      </c>
      <c r="D240" s="14" t="s">
        <v>91</v>
      </c>
      <c r="E240" s="14" t="s">
        <v>92</v>
      </c>
      <c r="F240" s="15" t="s">
        <v>51</v>
      </c>
      <c r="G240" s="14" t="s">
        <v>163</v>
      </c>
      <c r="H240" s="14" t="s">
        <v>91</v>
      </c>
      <c r="I240" s="14" t="s">
        <v>59</v>
      </c>
      <c r="J240" s="14" t="s">
        <v>200</v>
      </c>
      <c r="K240" s="14" t="s">
        <v>204</v>
      </c>
      <c r="L240" s="14">
        <v>0.0</v>
      </c>
      <c r="M240" s="17" t="str">
        <f t="shared" ref="M240:N240" si="121">"-1"</f>
        <v>-1</v>
      </c>
      <c r="N240" s="18" t="str">
        <f t="shared" si="121"/>
        <v>-1</v>
      </c>
    </row>
    <row r="241">
      <c r="A241" s="13">
        <v>45901.0</v>
      </c>
      <c r="B241" s="14" t="s">
        <v>47</v>
      </c>
      <c r="C241" s="14" t="s">
        <v>48</v>
      </c>
      <c r="D241" s="14" t="s">
        <v>91</v>
      </c>
      <c r="E241" s="14" t="s">
        <v>92</v>
      </c>
      <c r="F241" s="14" t="s">
        <v>71</v>
      </c>
      <c r="G241" s="14">
        <v>1.00005882E8</v>
      </c>
      <c r="H241" s="14" t="s">
        <v>91</v>
      </c>
      <c r="I241" s="14" t="s">
        <v>59</v>
      </c>
      <c r="J241" s="14" t="s">
        <v>200</v>
      </c>
      <c r="K241" s="14" t="s">
        <v>218</v>
      </c>
      <c r="L241" s="14">
        <v>23.0</v>
      </c>
      <c r="M241" s="17" t="str">
        <f>"-1"</f>
        <v>-1</v>
      </c>
      <c r="N241" s="18" t="str">
        <f>"-7"</f>
        <v>-7</v>
      </c>
    </row>
    <row r="242">
      <c r="A242" s="13">
        <v>45901.0</v>
      </c>
      <c r="B242" s="14" t="s">
        <v>47</v>
      </c>
      <c r="C242" s="14" t="s">
        <v>48</v>
      </c>
      <c r="D242" s="14" t="s">
        <v>91</v>
      </c>
      <c r="E242" s="14" t="s">
        <v>92</v>
      </c>
      <c r="F242" s="14" t="s">
        <v>71</v>
      </c>
      <c r="G242" s="14">
        <v>5.10011769E8</v>
      </c>
      <c r="H242" s="14" t="s">
        <v>91</v>
      </c>
      <c r="I242" s="14" t="s">
        <v>59</v>
      </c>
      <c r="J242" s="14" t="s">
        <v>199</v>
      </c>
      <c r="K242" s="14" t="s">
        <v>208</v>
      </c>
      <c r="L242" s="14">
        <v>100.0</v>
      </c>
      <c r="M242" s="17" t="str">
        <f t="shared" ref="M242:N242" si="122">"+5"</f>
        <v>+5</v>
      </c>
      <c r="N242" s="18" t="str">
        <f t="shared" si="122"/>
        <v>+5</v>
      </c>
    </row>
    <row r="243">
      <c r="A243" s="13">
        <v>45901.0</v>
      </c>
      <c r="B243" s="14" t="s">
        <v>47</v>
      </c>
      <c r="C243" s="14" t="s">
        <v>48</v>
      </c>
      <c r="D243" s="14" t="s">
        <v>93</v>
      </c>
      <c r="E243" s="14" t="s">
        <v>94</v>
      </c>
      <c r="F243" s="14" t="s">
        <v>71</v>
      </c>
      <c r="G243" s="14">
        <v>5.36001438E8</v>
      </c>
      <c r="H243" s="14" t="s">
        <v>95</v>
      </c>
      <c r="I243" s="14" t="s">
        <v>59</v>
      </c>
      <c r="J243" s="14" t="s">
        <v>200</v>
      </c>
      <c r="K243" s="14" t="s">
        <v>218</v>
      </c>
      <c r="L243" s="14">
        <v>25.0</v>
      </c>
      <c r="M243" s="17" t="str">
        <f t="shared" ref="M243:N243" si="123">"+0"</f>
        <v>+0</v>
      </c>
      <c r="N243" s="18" t="str">
        <f t="shared" si="123"/>
        <v>+0</v>
      </c>
    </row>
    <row r="244">
      <c r="A244" s="13">
        <v>45901.0</v>
      </c>
      <c r="B244" s="14" t="s">
        <v>47</v>
      </c>
      <c r="C244" s="14" t="s">
        <v>48</v>
      </c>
      <c r="D244" s="14" t="s">
        <v>49</v>
      </c>
      <c r="E244" s="14" t="s">
        <v>50</v>
      </c>
      <c r="F244" s="15" t="s">
        <v>51</v>
      </c>
      <c r="G244" s="14" t="s">
        <v>52</v>
      </c>
      <c r="H244" s="14" t="s">
        <v>53</v>
      </c>
      <c r="I244" s="14" t="s">
        <v>54</v>
      </c>
      <c r="J244" s="14" t="s">
        <v>200</v>
      </c>
      <c r="K244" s="14" t="s">
        <v>227</v>
      </c>
      <c r="L244" s="14">
        <v>49.0</v>
      </c>
      <c r="M244" s="17" t="str">
        <f>"-4"</f>
        <v>-4</v>
      </c>
      <c r="N244" s="18" t="str">
        <f>"-10"</f>
        <v>-10</v>
      </c>
    </row>
    <row r="245">
      <c r="A245" s="13">
        <v>45901.0</v>
      </c>
      <c r="B245" s="14" t="s">
        <v>47</v>
      </c>
      <c r="C245" s="14" t="s">
        <v>48</v>
      </c>
      <c r="D245" s="14" t="s">
        <v>136</v>
      </c>
      <c r="E245" s="14" t="s">
        <v>137</v>
      </c>
      <c r="F245" s="15" t="s">
        <v>51</v>
      </c>
      <c r="G245" s="14" t="s">
        <v>138</v>
      </c>
      <c r="H245" s="14" t="s">
        <v>139</v>
      </c>
      <c r="I245" s="14" t="s">
        <v>59</v>
      </c>
      <c r="J245" s="14" t="s">
        <v>200</v>
      </c>
      <c r="K245" s="14" t="s">
        <v>224</v>
      </c>
      <c r="L245" s="14">
        <v>60.0</v>
      </c>
      <c r="M245" s="17" t="str">
        <f t="shared" ref="M245:M246" si="124">"+0"</f>
        <v>+0</v>
      </c>
      <c r="N245" s="18" t="str">
        <f>"+38"</f>
        <v>+38</v>
      </c>
    </row>
    <row r="246">
      <c r="A246" s="13">
        <v>45901.0</v>
      </c>
      <c r="B246" s="14" t="s">
        <v>47</v>
      </c>
      <c r="C246" s="14" t="s">
        <v>48</v>
      </c>
      <c r="D246" s="14" t="s">
        <v>91</v>
      </c>
      <c r="E246" s="14" t="s">
        <v>92</v>
      </c>
      <c r="F246" s="14" t="s">
        <v>71</v>
      </c>
      <c r="G246" s="14">
        <v>7295600.0</v>
      </c>
      <c r="H246" s="14" t="s">
        <v>91</v>
      </c>
      <c r="I246" s="14" t="s">
        <v>54</v>
      </c>
      <c r="J246" s="14" t="s">
        <v>200</v>
      </c>
      <c r="K246" s="14" t="s">
        <v>230</v>
      </c>
      <c r="L246" s="14">
        <v>12.0</v>
      </c>
      <c r="M246" s="17" t="str">
        <f t="shared" si="124"/>
        <v>+0</v>
      </c>
      <c r="N246" s="18" t="str">
        <f>"+6"</f>
        <v>+6</v>
      </c>
    </row>
    <row r="247">
      <c r="A247" s="13">
        <v>45901.0</v>
      </c>
      <c r="B247" s="14" t="s">
        <v>47</v>
      </c>
      <c r="C247" s="14" t="s">
        <v>48</v>
      </c>
      <c r="D247" s="14" t="s">
        <v>66</v>
      </c>
      <c r="E247" s="14" t="s">
        <v>67</v>
      </c>
      <c r="F247" s="15" t="s">
        <v>51</v>
      </c>
      <c r="G247" s="14" t="s">
        <v>68</v>
      </c>
      <c r="H247" s="14" t="s">
        <v>66</v>
      </c>
      <c r="I247" s="14" t="s">
        <v>59</v>
      </c>
      <c r="J247" s="14" t="s">
        <v>198</v>
      </c>
      <c r="K247" s="14" t="s">
        <v>212</v>
      </c>
      <c r="L247" s="14">
        <v>58.0</v>
      </c>
      <c r="M247" s="17" t="str">
        <f t="shared" ref="M247:N247" si="125">"+17"</f>
        <v>+17</v>
      </c>
      <c r="N247" s="18" t="str">
        <f t="shared" si="125"/>
        <v>+17</v>
      </c>
    </row>
    <row r="248">
      <c r="A248" s="13">
        <v>45901.0</v>
      </c>
      <c r="B248" s="14" t="s">
        <v>47</v>
      </c>
      <c r="C248" s="14" t="s">
        <v>48</v>
      </c>
      <c r="D248" s="14" t="s">
        <v>103</v>
      </c>
      <c r="E248" s="14" t="s">
        <v>104</v>
      </c>
      <c r="F248" s="15" t="s">
        <v>51</v>
      </c>
      <c r="G248" s="14" t="s">
        <v>105</v>
      </c>
      <c r="H248" s="14" t="s">
        <v>106</v>
      </c>
      <c r="I248" s="14" t="s">
        <v>59</v>
      </c>
      <c r="J248" s="14" t="s">
        <v>200</v>
      </c>
      <c r="K248" s="14" t="s">
        <v>204</v>
      </c>
      <c r="L248" s="14">
        <v>0.0</v>
      </c>
      <c r="M248" s="17" t="str">
        <f t="shared" ref="M248:N248" si="126">"+0"</f>
        <v>+0</v>
      </c>
      <c r="N248" s="18" t="str">
        <f t="shared" si="126"/>
        <v>+0</v>
      </c>
    </row>
    <row r="249">
      <c r="A249" s="13">
        <v>45901.0</v>
      </c>
      <c r="B249" s="14" t="s">
        <v>47</v>
      </c>
      <c r="C249" s="14" t="s">
        <v>48</v>
      </c>
      <c r="D249" s="14" t="s">
        <v>129</v>
      </c>
      <c r="E249" s="14" t="s">
        <v>130</v>
      </c>
      <c r="F249" s="15" t="s">
        <v>51</v>
      </c>
      <c r="G249" s="14" t="s">
        <v>131</v>
      </c>
      <c r="H249" s="14" t="s">
        <v>129</v>
      </c>
      <c r="I249" s="14" t="s">
        <v>59</v>
      </c>
      <c r="J249" s="14" t="s">
        <v>198</v>
      </c>
      <c r="K249" s="14" t="s">
        <v>207</v>
      </c>
      <c r="L249" s="14">
        <v>0.0</v>
      </c>
      <c r="M249" s="17" t="str">
        <f t="shared" ref="M249:M250" si="127">"+0"</f>
        <v>+0</v>
      </c>
    </row>
    <row r="250">
      <c r="A250" s="13">
        <v>45901.0</v>
      </c>
      <c r="B250" s="14" t="s">
        <v>47</v>
      </c>
      <c r="C250" s="14" t="s">
        <v>48</v>
      </c>
      <c r="D250" s="14" t="s">
        <v>93</v>
      </c>
      <c r="E250" s="14" t="s">
        <v>94</v>
      </c>
      <c r="F250" s="14" t="s">
        <v>71</v>
      </c>
      <c r="G250" s="14">
        <v>5.36001438E8</v>
      </c>
      <c r="H250" s="14" t="s">
        <v>95</v>
      </c>
      <c r="I250" s="14" t="s">
        <v>59</v>
      </c>
      <c r="J250" s="14" t="s">
        <v>199</v>
      </c>
      <c r="K250" s="14" t="s">
        <v>208</v>
      </c>
      <c r="L250" s="14">
        <v>0.0</v>
      </c>
      <c r="M250" s="17" t="str">
        <f t="shared" si="127"/>
        <v>+0</v>
      </c>
      <c r="N250" s="18" t="str">
        <f t="shared" ref="N250:N251" si="128">"+0"</f>
        <v>+0</v>
      </c>
    </row>
    <row r="251">
      <c r="A251" s="13">
        <v>45901.0</v>
      </c>
      <c r="B251" s="14" t="s">
        <v>47</v>
      </c>
      <c r="C251" s="14" t="s">
        <v>48</v>
      </c>
      <c r="D251" s="14" t="s">
        <v>136</v>
      </c>
      <c r="E251" s="14" t="s">
        <v>137</v>
      </c>
      <c r="F251" s="15" t="s">
        <v>51</v>
      </c>
      <c r="G251" s="14" t="s">
        <v>138</v>
      </c>
      <c r="H251" s="14" t="s">
        <v>139</v>
      </c>
      <c r="I251" s="14" t="s">
        <v>59</v>
      </c>
      <c r="J251" s="14" t="s">
        <v>200</v>
      </c>
      <c r="K251" s="14" t="s">
        <v>213</v>
      </c>
      <c r="L251" s="14">
        <v>51.0</v>
      </c>
      <c r="M251" s="17" t="str">
        <f>"-1"</f>
        <v>-1</v>
      </c>
      <c r="N251" s="18" t="str">
        <f t="shared" si="128"/>
        <v>+0</v>
      </c>
    </row>
    <row r="252">
      <c r="A252" s="13">
        <v>45901.0</v>
      </c>
      <c r="B252" s="14" t="s">
        <v>47</v>
      </c>
      <c r="C252" s="14" t="s">
        <v>48</v>
      </c>
      <c r="D252" s="14" t="s">
        <v>85</v>
      </c>
      <c r="E252" s="14" t="s">
        <v>86</v>
      </c>
      <c r="F252" s="14" t="s">
        <v>71</v>
      </c>
      <c r="G252" s="14">
        <v>88285.0</v>
      </c>
      <c r="H252" s="14" t="s">
        <v>85</v>
      </c>
      <c r="I252" s="14" t="s">
        <v>59</v>
      </c>
      <c r="J252" s="14" t="s">
        <v>200</v>
      </c>
      <c r="K252" s="14" t="s">
        <v>220</v>
      </c>
      <c r="L252" s="14">
        <v>5.0</v>
      </c>
      <c r="M252" s="17" t="str">
        <f t="shared" ref="M252:N252" si="129">"+0"</f>
        <v>+0</v>
      </c>
      <c r="N252" s="18" t="str">
        <f t="shared" si="129"/>
        <v>+0</v>
      </c>
    </row>
    <row r="253">
      <c r="A253" s="13">
        <v>45901.0</v>
      </c>
      <c r="B253" s="14" t="s">
        <v>47</v>
      </c>
      <c r="C253" s="14" t="s">
        <v>48</v>
      </c>
      <c r="D253" s="14" t="s">
        <v>112</v>
      </c>
      <c r="E253" s="14" t="s">
        <v>113</v>
      </c>
      <c r="F253" s="15" t="s">
        <v>51</v>
      </c>
      <c r="G253" s="14" t="s">
        <v>114</v>
      </c>
      <c r="H253" s="14" t="s">
        <v>112</v>
      </c>
      <c r="I253" s="14" t="s">
        <v>59</v>
      </c>
      <c r="J253" s="14" t="s">
        <v>200</v>
      </c>
      <c r="K253" s="14" t="s">
        <v>204</v>
      </c>
      <c r="L253" s="14">
        <v>1.0</v>
      </c>
      <c r="M253" s="17" t="str">
        <f t="shared" ref="M253:N253" si="130">"+0"</f>
        <v>+0</v>
      </c>
      <c r="N253" s="18" t="str">
        <f t="shared" si="130"/>
        <v>+0</v>
      </c>
    </row>
    <row r="254">
      <c r="A254" s="13">
        <v>45901.0</v>
      </c>
      <c r="B254" s="14" t="s">
        <v>47</v>
      </c>
      <c r="C254" s="14" t="s">
        <v>48</v>
      </c>
      <c r="D254" s="14" t="s">
        <v>121</v>
      </c>
      <c r="E254" s="14" t="s">
        <v>122</v>
      </c>
      <c r="F254" s="15" t="s">
        <v>51</v>
      </c>
      <c r="G254" s="14" t="s">
        <v>123</v>
      </c>
      <c r="H254" s="14" t="s">
        <v>124</v>
      </c>
      <c r="I254" s="14" t="s">
        <v>59</v>
      </c>
      <c r="J254" s="14" t="s">
        <v>200</v>
      </c>
      <c r="K254" s="14" t="s">
        <v>214</v>
      </c>
      <c r="L254" s="14">
        <v>7.0</v>
      </c>
      <c r="M254" s="17" t="str">
        <f t="shared" ref="M254:N254" si="131">"+0"</f>
        <v>+0</v>
      </c>
      <c r="N254" s="18" t="str">
        <f t="shared" si="131"/>
        <v>+0</v>
      </c>
    </row>
    <row r="255">
      <c r="A255" s="13">
        <v>45901.0</v>
      </c>
      <c r="B255" s="14" t="s">
        <v>47</v>
      </c>
      <c r="C255" s="14" t="s">
        <v>48</v>
      </c>
      <c r="D255" s="14" t="s">
        <v>63</v>
      </c>
      <c r="E255" s="14" t="s">
        <v>64</v>
      </c>
      <c r="F255" s="15" t="s">
        <v>51</v>
      </c>
      <c r="G255" s="14" t="s">
        <v>65</v>
      </c>
      <c r="H255" s="14" t="s">
        <v>63</v>
      </c>
      <c r="I255" s="14" t="s">
        <v>54</v>
      </c>
      <c r="J255" s="14" t="s">
        <v>200</v>
      </c>
      <c r="K255" s="14" t="s">
        <v>235</v>
      </c>
      <c r="L255" s="14">
        <v>100.0</v>
      </c>
      <c r="M255" s="17" t="str">
        <f t="shared" ref="M255:N255" si="132">"+0"</f>
        <v>+0</v>
      </c>
      <c r="N255" s="18" t="str">
        <f t="shared" si="132"/>
        <v>+0</v>
      </c>
    </row>
    <row r="256">
      <c r="A256" s="13">
        <v>45901.0</v>
      </c>
      <c r="B256" s="14" t="s">
        <v>47</v>
      </c>
      <c r="C256" s="14" t="s">
        <v>48</v>
      </c>
      <c r="D256" s="14" t="s">
        <v>91</v>
      </c>
      <c r="E256" s="14" t="s">
        <v>92</v>
      </c>
      <c r="F256" s="14" t="s">
        <v>71</v>
      </c>
      <c r="G256" s="14">
        <v>5.00008613E8</v>
      </c>
      <c r="H256" s="14" t="s">
        <v>91</v>
      </c>
      <c r="I256" s="14" t="s">
        <v>59</v>
      </c>
      <c r="J256" s="14" t="s">
        <v>199</v>
      </c>
      <c r="K256" s="14" t="s">
        <v>206</v>
      </c>
      <c r="L256" s="14">
        <v>100.0</v>
      </c>
      <c r="M256" s="17" t="str">
        <f t="shared" ref="M256:N256" si="133">"+0"</f>
        <v>+0</v>
      </c>
      <c r="N256" s="18" t="str">
        <f t="shared" si="133"/>
        <v>+0</v>
      </c>
    </row>
    <row r="257">
      <c r="A257" s="13">
        <v>45901.0</v>
      </c>
      <c r="B257" s="14" t="s">
        <v>47</v>
      </c>
      <c r="C257" s="14" t="s">
        <v>48</v>
      </c>
      <c r="D257" s="14" t="s">
        <v>118</v>
      </c>
      <c r="E257" s="14" t="s">
        <v>119</v>
      </c>
      <c r="F257" s="15" t="s">
        <v>51</v>
      </c>
      <c r="G257" s="14" t="s">
        <v>120</v>
      </c>
      <c r="H257" s="14" t="s">
        <v>118</v>
      </c>
      <c r="I257" s="14" t="s">
        <v>59</v>
      </c>
      <c r="J257" s="14" t="s">
        <v>200</v>
      </c>
      <c r="K257" s="14" t="s">
        <v>209</v>
      </c>
      <c r="L257" s="14">
        <v>46.0</v>
      </c>
      <c r="M257" s="17" t="str">
        <f>"+2"</f>
        <v>+2</v>
      </c>
      <c r="N257" s="18" t="str">
        <f>"+5"</f>
        <v>+5</v>
      </c>
    </row>
    <row r="258">
      <c r="A258" s="13">
        <v>45901.0</v>
      </c>
      <c r="B258" s="14" t="s">
        <v>47</v>
      </c>
      <c r="C258" s="14" t="s">
        <v>48</v>
      </c>
      <c r="D258" s="14" t="s">
        <v>91</v>
      </c>
      <c r="E258" s="14" t="s">
        <v>92</v>
      </c>
      <c r="F258" s="14" t="s">
        <v>71</v>
      </c>
      <c r="G258" s="14">
        <v>5.10011769E8</v>
      </c>
      <c r="H258" s="14" t="s">
        <v>91</v>
      </c>
      <c r="I258" s="14" t="s">
        <v>59</v>
      </c>
      <c r="J258" s="14" t="s">
        <v>199</v>
      </c>
      <c r="K258" s="14" t="s">
        <v>206</v>
      </c>
      <c r="L258" s="14">
        <v>93.0</v>
      </c>
      <c r="M258" s="17" t="str">
        <f t="shared" ref="M258:N258" si="134">"+27"</f>
        <v>+27</v>
      </c>
      <c r="N258" s="18" t="str">
        <f t="shared" si="134"/>
        <v>+27</v>
      </c>
    </row>
    <row r="259">
      <c r="A259" s="13">
        <v>45901.0</v>
      </c>
      <c r="B259" s="14" t="s">
        <v>47</v>
      </c>
      <c r="C259" s="14" t="s">
        <v>48</v>
      </c>
      <c r="D259" s="14" t="s">
        <v>184</v>
      </c>
      <c r="E259" s="14" t="s">
        <v>185</v>
      </c>
      <c r="F259" s="15" t="s">
        <v>51</v>
      </c>
      <c r="G259" s="14" t="s">
        <v>186</v>
      </c>
      <c r="H259" s="14" t="s">
        <v>187</v>
      </c>
      <c r="I259" s="14" t="s">
        <v>59</v>
      </c>
      <c r="J259" s="14" t="s">
        <v>200</v>
      </c>
      <c r="K259" s="14" t="s">
        <v>224</v>
      </c>
      <c r="L259" s="14">
        <v>33.0</v>
      </c>
      <c r="M259" s="17" t="str">
        <f>"-19"</f>
        <v>-19</v>
      </c>
      <c r="N259" s="18" t="str">
        <f>"-29"</f>
        <v>-29</v>
      </c>
    </row>
    <row r="260">
      <c r="A260" s="13">
        <v>45901.0</v>
      </c>
      <c r="B260" s="14" t="s">
        <v>47</v>
      </c>
      <c r="C260" s="14" t="s">
        <v>48</v>
      </c>
      <c r="D260" s="14" t="s">
        <v>132</v>
      </c>
      <c r="E260" s="14" t="s">
        <v>133</v>
      </c>
      <c r="F260" s="15" t="s">
        <v>51</v>
      </c>
      <c r="G260" s="14" t="s">
        <v>134</v>
      </c>
      <c r="H260" s="14" t="s">
        <v>135</v>
      </c>
      <c r="I260" s="14" t="s">
        <v>59</v>
      </c>
      <c r="J260" s="14" t="s">
        <v>198</v>
      </c>
      <c r="K260" s="14" t="s">
        <v>205</v>
      </c>
      <c r="L260" s="14">
        <v>48.0</v>
      </c>
      <c r="M260" s="17" t="str">
        <f t="shared" ref="M260:M261" si="135">"+0"</f>
        <v>+0</v>
      </c>
    </row>
    <row r="261">
      <c r="A261" s="13">
        <v>45901.0</v>
      </c>
      <c r="B261" s="14" t="s">
        <v>47</v>
      </c>
      <c r="C261" s="14" t="s">
        <v>48</v>
      </c>
      <c r="D261" s="14" t="s">
        <v>103</v>
      </c>
      <c r="E261" s="14" t="s">
        <v>104</v>
      </c>
      <c r="F261" s="15" t="s">
        <v>51</v>
      </c>
      <c r="G261" s="14" t="s">
        <v>105</v>
      </c>
      <c r="H261" s="14" t="s">
        <v>106</v>
      </c>
      <c r="I261" s="14" t="s">
        <v>59</v>
      </c>
      <c r="J261" s="14" t="s">
        <v>200</v>
      </c>
      <c r="K261" s="14" t="s">
        <v>202</v>
      </c>
      <c r="L261" s="14">
        <v>0.0</v>
      </c>
      <c r="M261" s="17" t="str">
        <f t="shared" si="135"/>
        <v>+0</v>
      </c>
      <c r="N261" s="18" t="str">
        <f>"+0"</f>
        <v>+0</v>
      </c>
    </row>
    <row r="262">
      <c r="A262" s="13">
        <v>45901.0</v>
      </c>
      <c r="B262" s="14" t="s">
        <v>47</v>
      </c>
      <c r="C262" s="14" t="s">
        <v>48</v>
      </c>
      <c r="D262" s="14" t="s">
        <v>149</v>
      </c>
      <c r="E262" s="14" t="s">
        <v>150</v>
      </c>
      <c r="F262" s="15" t="s">
        <v>51</v>
      </c>
      <c r="G262" s="14" t="s">
        <v>151</v>
      </c>
      <c r="H262" s="14" t="s">
        <v>152</v>
      </c>
      <c r="I262" s="14" t="s">
        <v>54</v>
      </c>
      <c r="J262" s="14" t="s">
        <v>198</v>
      </c>
      <c r="K262" s="14" t="s">
        <v>210</v>
      </c>
      <c r="L262" s="14">
        <v>41.0</v>
      </c>
      <c r="M262" s="17" t="str">
        <f>"-11"</f>
        <v>-11</v>
      </c>
      <c r="N262" s="18" t="str">
        <f>"-1"</f>
        <v>-1</v>
      </c>
    </row>
    <row r="263">
      <c r="A263" s="13">
        <v>45901.0</v>
      </c>
      <c r="B263" s="14" t="s">
        <v>47</v>
      </c>
      <c r="C263" s="14" t="s">
        <v>48</v>
      </c>
      <c r="D263" s="14" t="s">
        <v>125</v>
      </c>
      <c r="E263" s="14" t="s">
        <v>126</v>
      </c>
      <c r="F263" s="15" t="s">
        <v>51</v>
      </c>
      <c r="G263" s="14" t="s">
        <v>127</v>
      </c>
      <c r="H263" s="14" t="s">
        <v>125</v>
      </c>
      <c r="I263" s="14" t="s">
        <v>59</v>
      </c>
      <c r="J263" s="14" t="s">
        <v>199</v>
      </c>
      <c r="K263" s="14" t="s">
        <v>206</v>
      </c>
      <c r="L263" s="14">
        <v>100.0</v>
      </c>
      <c r="M263" s="17" t="str">
        <f>"+0"</f>
        <v>+0</v>
      </c>
      <c r="N263" s="18" t="str">
        <f>"+9"</f>
        <v>+9</v>
      </c>
    </row>
    <row r="264">
      <c r="A264" s="13">
        <v>45901.0</v>
      </c>
      <c r="B264" s="14" t="s">
        <v>47</v>
      </c>
      <c r="C264" s="14" t="s">
        <v>48</v>
      </c>
      <c r="D264" s="14" t="s">
        <v>69</v>
      </c>
      <c r="E264" s="14" t="s">
        <v>70</v>
      </c>
      <c r="F264" s="15" t="s">
        <v>51</v>
      </c>
      <c r="G264" s="14" t="s">
        <v>115</v>
      </c>
      <c r="H264" s="14" t="s">
        <v>72</v>
      </c>
      <c r="I264" s="14" t="s">
        <v>54</v>
      </c>
      <c r="J264" s="14" t="s">
        <v>200</v>
      </c>
      <c r="K264" s="14" t="s">
        <v>211</v>
      </c>
      <c r="L264" s="14">
        <v>46.0</v>
      </c>
      <c r="M264" s="17" t="str">
        <f>"-2"</f>
        <v>-2</v>
      </c>
      <c r="N264" s="18" t="str">
        <f>"-5"</f>
        <v>-5</v>
      </c>
    </row>
    <row r="265">
      <c r="A265" s="13">
        <v>45901.0</v>
      </c>
      <c r="B265" s="14" t="s">
        <v>47</v>
      </c>
      <c r="C265" s="14" t="s">
        <v>48</v>
      </c>
      <c r="D265" s="14" t="s">
        <v>116</v>
      </c>
      <c r="E265" s="14" t="s">
        <v>117</v>
      </c>
      <c r="F265" s="15" t="s">
        <v>51</v>
      </c>
      <c r="G265" s="14" t="s">
        <v>161</v>
      </c>
      <c r="H265" s="14" t="s">
        <v>116</v>
      </c>
      <c r="I265" s="14" t="s">
        <v>54</v>
      </c>
      <c r="J265" s="14" t="s">
        <v>200</v>
      </c>
      <c r="K265" s="14" t="s">
        <v>224</v>
      </c>
      <c r="L265" s="14">
        <v>44.0</v>
      </c>
      <c r="M265" s="17" t="str">
        <f>"+17"</f>
        <v>+17</v>
      </c>
      <c r="N265" s="18" t="str">
        <f>"+18"</f>
        <v>+18</v>
      </c>
    </row>
    <row r="266">
      <c r="A266" s="13">
        <v>45901.0</v>
      </c>
      <c r="B266" s="14" t="s">
        <v>47</v>
      </c>
      <c r="C266" s="14" t="s">
        <v>48</v>
      </c>
      <c r="D266" s="14" t="s">
        <v>174</v>
      </c>
      <c r="E266" s="14" t="s">
        <v>175</v>
      </c>
      <c r="F266" s="15" t="s">
        <v>51</v>
      </c>
      <c r="G266" s="14" t="s">
        <v>176</v>
      </c>
      <c r="H266" s="14" t="s">
        <v>174</v>
      </c>
      <c r="I266" s="14" t="s">
        <v>59</v>
      </c>
      <c r="J266" s="14" t="s">
        <v>199</v>
      </c>
      <c r="K266" s="14" t="s">
        <v>206</v>
      </c>
      <c r="L266" s="14">
        <v>80.0</v>
      </c>
      <c r="M266" s="17" t="str">
        <f t="shared" ref="M266:M267" si="136">"+0"</f>
        <v>+0</v>
      </c>
      <c r="N266" s="18" t="str">
        <f>"-8"</f>
        <v>-8</v>
      </c>
    </row>
    <row r="267">
      <c r="A267" s="13">
        <v>45901.0</v>
      </c>
      <c r="B267" s="14" t="s">
        <v>47</v>
      </c>
      <c r="C267" s="14" t="s">
        <v>48</v>
      </c>
      <c r="D267" s="14" t="s">
        <v>108</v>
      </c>
      <c r="E267" s="14" t="s">
        <v>109</v>
      </c>
      <c r="F267" s="15" t="s">
        <v>51</v>
      </c>
      <c r="G267" s="14" t="s">
        <v>110</v>
      </c>
      <c r="H267" s="14" t="s">
        <v>108</v>
      </c>
      <c r="I267" s="14" t="s">
        <v>59</v>
      </c>
      <c r="J267" s="14" t="s">
        <v>199</v>
      </c>
      <c r="K267" s="14" t="s">
        <v>203</v>
      </c>
      <c r="L267" s="14">
        <v>0.0</v>
      </c>
      <c r="M267" s="17" t="str">
        <f t="shared" si="136"/>
        <v>+0</v>
      </c>
      <c r="N267" s="18" t="str">
        <f t="shared" ref="N267:N268" si="137">"+0"</f>
        <v>+0</v>
      </c>
    </row>
    <row r="268">
      <c r="A268" s="13">
        <v>45901.0</v>
      </c>
      <c r="B268" s="14" t="s">
        <v>47</v>
      </c>
      <c r="C268" s="14" t="s">
        <v>48</v>
      </c>
      <c r="D268" s="14" t="s">
        <v>168</v>
      </c>
      <c r="E268" s="14" t="s">
        <v>169</v>
      </c>
      <c r="F268" s="15" t="s">
        <v>51</v>
      </c>
      <c r="G268" s="14" t="s">
        <v>170</v>
      </c>
      <c r="H268" s="14" t="s">
        <v>168</v>
      </c>
      <c r="I268" s="14" t="s">
        <v>59</v>
      </c>
      <c r="J268" s="14" t="s">
        <v>200</v>
      </c>
      <c r="K268" s="14" t="s">
        <v>213</v>
      </c>
      <c r="L268" s="14">
        <v>33.0</v>
      </c>
      <c r="M268" s="17" t="str">
        <f>"+4"</f>
        <v>+4</v>
      </c>
      <c r="N268" s="18" t="str">
        <f t="shared" si="137"/>
        <v>+0</v>
      </c>
    </row>
    <row r="269">
      <c r="A269" s="13">
        <v>45901.0</v>
      </c>
      <c r="B269" s="14" t="s">
        <v>47</v>
      </c>
      <c r="C269" s="14" t="s">
        <v>48</v>
      </c>
      <c r="D269" s="14" t="s">
        <v>165</v>
      </c>
      <c r="E269" s="14" t="s">
        <v>166</v>
      </c>
      <c r="F269" s="15" t="s">
        <v>51</v>
      </c>
      <c r="G269" s="14" t="s">
        <v>167</v>
      </c>
      <c r="H269" s="14" t="s">
        <v>165</v>
      </c>
      <c r="I269" s="14" t="s">
        <v>54</v>
      </c>
      <c r="J269" s="14" t="s">
        <v>198</v>
      </c>
      <c r="K269" s="14" t="s">
        <v>207</v>
      </c>
      <c r="L269" s="14">
        <v>100.0</v>
      </c>
      <c r="M269" s="17" t="str">
        <f t="shared" ref="M269:M273" si="138">"+0"</f>
        <v>+0</v>
      </c>
    </row>
    <row r="270">
      <c r="A270" s="13">
        <v>45901.0</v>
      </c>
      <c r="B270" s="14" t="s">
        <v>47</v>
      </c>
      <c r="C270" s="14" t="s">
        <v>48</v>
      </c>
      <c r="D270" s="14" t="s">
        <v>165</v>
      </c>
      <c r="E270" s="14" t="s">
        <v>166</v>
      </c>
      <c r="F270" s="15" t="s">
        <v>51</v>
      </c>
      <c r="G270" s="14" t="s">
        <v>167</v>
      </c>
      <c r="H270" s="14" t="s">
        <v>165</v>
      </c>
      <c r="I270" s="14" t="s">
        <v>54</v>
      </c>
      <c r="J270" s="14" t="s">
        <v>200</v>
      </c>
      <c r="K270" s="14" t="s">
        <v>236</v>
      </c>
      <c r="L270" s="14">
        <v>0.0</v>
      </c>
      <c r="M270" s="17" t="str">
        <f t="shared" si="138"/>
        <v>+0</v>
      </c>
      <c r="N270" s="18" t="str">
        <f>"+0"</f>
        <v>+0</v>
      </c>
    </row>
    <row r="271">
      <c r="A271" s="13">
        <v>45901.0</v>
      </c>
      <c r="B271" s="14" t="s">
        <v>47</v>
      </c>
      <c r="C271" s="14" t="s">
        <v>48</v>
      </c>
      <c r="D271" s="14" t="s">
        <v>184</v>
      </c>
      <c r="E271" s="14" t="s">
        <v>185</v>
      </c>
      <c r="F271" s="15" t="s">
        <v>51</v>
      </c>
      <c r="G271" s="14" t="s">
        <v>186</v>
      </c>
      <c r="H271" s="14" t="s">
        <v>187</v>
      </c>
      <c r="I271" s="14" t="s">
        <v>59</v>
      </c>
      <c r="J271" s="14" t="s">
        <v>198</v>
      </c>
      <c r="K271" s="14" t="s">
        <v>207</v>
      </c>
      <c r="L271" s="14">
        <v>0.0</v>
      </c>
      <c r="M271" s="17" t="str">
        <f t="shared" si="138"/>
        <v>+0</v>
      </c>
    </row>
    <row r="272">
      <c r="A272" s="13">
        <v>45901.0</v>
      </c>
      <c r="B272" s="14" t="s">
        <v>47</v>
      </c>
      <c r="C272" s="14" t="s">
        <v>48</v>
      </c>
      <c r="D272" s="14" t="s">
        <v>73</v>
      </c>
      <c r="E272" s="14" t="s">
        <v>74</v>
      </c>
      <c r="F272" s="15" t="s">
        <v>51</v>
      </c>
      <c r="G272" s="14" t="s">
        <v>75</v>
      </c>
      <c r="H272" s="14" t="s">
        <v>76</v>
      </c>
      <c r="I272" s="14" t="s">
        <v>59</v>
      </c>
      <c r="J272" s="14" t="s">
        <v>198</v>
      </c>
      <c r="K272" s="14" t="s">
        <v>205</v>
      </c>
      <c r="L272" s="14">
        <v>48.0</v>
      </c>
      <c r="M272" s="17" t="str">
        <f t="shared" si="138"/>
        <v>+0</v>
      </c>
    </row>
    <row r="273">
      <c r="A273" s="13">
        <v>45901.0</v>
      </c>
      <c r="B273" s="14" t="s">
        <v>47</v>
      </c>
      <c r="C273" s="14" t="s">
        <v>48</v>
      </c>
      <c r="D273" s="14" t="s">
        <v>174</v>
      </c>
      <c r="E273" s="14" t="s">
        <v>175</v>
      </c>
      <c r="F273" s="15" t="s">
        <v>51</v>
      </c>
      <c r="G273" s="14" t="s">
        <v>176</v>
      </c>
      <c r="H273" s="14" t="s">
        <v>174</v>
      </c>
      <c r="I273" s="14" t="s">
        <v>59</v>
      </c>
      <c r="J273" s="14" t="s">
        <v>199</v>
      </c>
      <c r="K273" s="14" t="s">
        <v>208</v>
      </c>
      <c r="L273" s="14">
        <v>100.0</v>
      </c>
      <c r="M273" s="17" t="str">
        <f t="shared" si="138"/>
        <v>+0</v>
      </c>
      <c r="N273" s="18" t="str">
        <f>"+0"</f>
        <v>+0</v>
      </c>
    </row>
    <row r="274">
      <c r="A274" s="13">
        <v>45901.0</v>
      </c>
      <c r="B274" s="14" t="s">
        <v>47</v>
      </c>
      <c r="C274" s="14" t="s">
        <v>48</v>
      </c>
      <c r="D274" s="14" t="s">
        <v>149</v>
      </c>
      <c r="E274" s="14" t="s">
        <v>150</v>
      </c>
      <c r="F274" s="15" t="s">
        <v>51</v>
      </c>
      <c r="G274" s="14" t="s">
        <v>151</v>
      </c>
      <c r="H274" s="14" t="s">
        <v>152</v>
      </c>
      <c r="I274" s="14" t="s">
        <v>54</v>
      </c>
      <c r="J274" s="14" t="s">
        <v>200</v>
      </c>
      <c r="K274" s="14" t="s">
        <v>222</v>
      </c>
      <c r="L274" s="14">
        <v>86.0</v>
      </c>
      <c r="M274" s="17" t="str">
        <f t="shared" ref="M274:N274" si="139">"+14"</f>
        <v>+14</v>
      </c>
      <c r="N274" s="18" t="str">
        <f t="shared" si="139"/>
        <v>+14</v>
      </c>
    </row>
    <row r="275">
      <c r="A275" s="13">
        <v>45901.0</v>
      </c>
      <c r="B275" s="14" t="s">
        <v>47</v>
      </c>
      <c r="C275" s="14" t="s">
        <v>48</v>
      </c>
      <c r="D275" s="14" t="s">
        <v>49</v>
      </c>
      <c r="E275" s="14" t="s">
        <v>50</v>
      </c>
      <c r="F275" s="15" t="s">
        <v>51</v>
      </c>
      <c r="G275" s="14" t="s">
        <v>52</v>
      </c>
      <c r="H275" s="14" t="s">
        <v>53</v>
      </c>
      <c r="I275" s="14" t="s">
        <v>54</v>
      </c>
      <c r="J275" s="14" t="s">
        <v>200</v>
      </c>
      <c r="K275" s="14" t="s">
        <v>222</v>
      </c>
      <c r="L275" s="14">
        <v>86.0</v>
      </c>
      <c r="M275" s="17" t="str">
        <f t="shared" ref="M275:N275" si="140">"+28"</f>
        <v>+28</v>
      </c>
      <c r="N275" s="18" t="str">
        <f t="shared" si="140"/>
        <v>+28</v>
      </c>
    </row>
    <row r="276">
      <c r="A276" s="13">
        <v>45901.0</v>
      </c>
      <c r="B276" s="14" t="s">
        <v>47</v>
      </c>
      <c r="C276" s="14" t="s">
        <v>48</v>
      </c>
      <c r="D276" s="14" t="s">
        <v>108</v>
      </c>
      <c r="E276" s="14" t="s">
        <v>109</v>
      </c>
      <c r="F276" s="15" t="s">
        <v>51</v>
      </c>
      <c r="G276" s="14" t="s">
        <v>110</v>
      </c>
      <c r="H276" s="14" t="s">
        <v>108</v>
      </c>
      <c r="I276" s="14" t="s">
        <v>59</v>
      </c>
      <c r="J276" s="14" t="s">
        <v>200</v>
      </c>
      <c r="K276" s="14" t="s">
        <v>202</v>
      </c>
      <c r="L276" s="14">
        <v>17.0</v>
      </c>
      <c r="M276" s="17" t="str">
        <f t="shared" ref="M276:N276" si="141">"+17"</f>
        <v>+17</v>
      </c>
      <c r="N276" s="18" t="str">
        <f t="shared" si="141"/>
        <v>+17</v>
      </c>
    </row>
    <row r="277">
      <c r="A277" s="13">
        <v>45901.0</v>
      </c>
      <c r="B277" s="14" t="s">
        <v>47</v>
      </c>
      <c r="C277" s="14" t="s">
        <v>48</v>
      </c>
      <c r="D277" s="14" t="s">
        <v>99</v>
      </c>
      <c r="E277" s="14" t="s">
        <v>100</v>
      </c>
      <c r="F277" s="15" t="s">
        <v>51</v>
      </c>
      <c r="G277" s="14" t="s">
        <v>101</v>
      </c>
      <c r="H277" s="14" t="s">
        <v>102</v>
      </c>
      <c r="I277" s="14" t="s">
        <v>54</v>
      </c>
      <c r="J277" s="14" t="s">
        <v>199</v>
      </c>
      <c r="K277" s="14" t="s">
        <v>208</v>
      </c>
      <c r="L277" s="14">
        <v>100.0</v>
      </c>
      <c r="M277" s="17" t="str">
        <f t="shared" ref="M277:N277" si="142">"+0"</f>
        <v>+0</v>
      </c>
      <c r="N277" s="18" t="str">
        <f t="shared" si="142"/>
        <v>+0</v>
      </c>
    </row>
    <row r="278">
      <c r="A278" s="13">
        <v>45901.0</v>
      </c>
      <c r="B278" s="14" t="s">
        <v>47</v>
      </c>
      <c r="C278" s="14" t="s">
        <v>48</v>
      </c>
      <c r="D278" s="14" t="s">
        <v>96</v>
      </c>
      <c r="E278" s="14" t="s">
        <v>97</v>
      </c>
      <c r="F278" s="15" t="s">
        <v>51</v>
      </c>
      <c r="G278" s="14" t="s">
        <v>98</v>
      </c>
      <c r="H278" s="14" t="s">
        <v>96</v>
      </c>
      <c r="I278" s="14" t="s">
        <v>59</v>
      </c>
      <c r="J278" s="14" t="s">
        <v>198</v>
      </c>
      <c r="K278" s="14" t="s">
        <v>212</v>
      </c>
      <c r="L278" s="14">
        <v>51.0</v>
      </c>
      <c r="M278" s="17" t="str">
        <f>"+16"</f>
        <v>+16</v>
      </c>
      <c r="N278" s="18" t="str">
        <f>"+19"</f>
        <v>+19</v>
      </c>
    </row>
    <row r="279">
      <c r="A279" s="13">
        <v>45901.0</v>
      </c>
      <c r="B279" s="14" t="s">
        <v>47</v>
      </c>
      <c r="C279" s="14" t="s">
        <v>48</v>
      </c>
      <c r="D279" s="14" t="s">
        <v>129</v>
      </c>
      <c r="E279" s="14" t="s">
        <v>130</v>
      </c>
      <c r="F279" s="15" t="s">
        <v>51</v>
      </c>
      <c r="G279" s="14" t="s">
        <v>131</v>
      </c>
      <c r="H279" s="14" t="s">
        <v>129</v>
      </c>
      <c r="I279" s="14" t="s">
        <v>59</v>
      </c>
      <c r="J279" s="14" t="s">
        <v>199</v>
      </c>
      <c r="K279" s="14" t="s">
        <v>206</v>
      </c>
      <c r="L279" s="14">
        <v>58.0</v>
      </c>
      <c r="M279" s="17" t="str">
        <f t="shared" ref="M279:N279" si="143">"+0"</f>
        <v>+0</v>
      </c>
      <c r="N279" s="18" t="str">
        <f t="shared" si="143"/>
        <v>+0</v>
      </c>
    </row>
    <row r="280">
      <c r="A280" s="13">
        <v>45901.0</v>
      </c>
      <c r="B280" s="14" t="s">
        <v>47</v>
      </c>
      <c r="C280" s="14" t="s">
        <v>48</v>
      </c>
      <c r="D280" s="14" t="s">
        <v>63</v>
      </c>
      <c r="E280" s="14" t="s">
        <v>64</v>
      </c>
      <c r="F280" s="14" t="s">
        <v>111</v>
      </c>
      <c r="G280" s="14">
        <v>4916210.0</v>
      </c>
      <c r="H280" s="14" t="s">
        <v>63</v>
      </c>
      <c r="I280" s="14" t="s">
        <v>59</v>
      </c>
      <c r="J280" s="14" t="s">
        <v>199</v>
      </c>
      <c r="K280" s="14" t="s">
        <v>203</v>
      </c>
      <c r="L280" s="14">
        <v>33.0</v>
      </c>
      <c r="M280" s="17" t="str">
        <f t="shared" ref="M280:N280" si="144">"+0"</f>
        <v>+0</v>
      </c>
      <c r="N280" s="18" t="str">
        <f t="shared" si="144"/>
        <v>+0</v>
      </c>
    </row>
    <row r="281">
      <c r="A281" s="13">
        <v>45901.0</v>
      </c>
      <c r="B281" s="14" t="s">
        <v>47</v>
      </c>
      <c r="C281" s="14" t="s">
        <v>48</v>
      </c>
      <c r="D281" s="14" t="s">
        <v>140</v>
      </c>
      <c r="E281" s="14" t="s">
        <v>141</v>
      </c>
      <c r="F281" s="15" t="s">
        <v>51</v>
      </c>
      <c r="G281" s="14" t="s">
        <v>142</v>
      </c>
      <c r="H281" s="14" t="s">
        <v>140</v>
      </c>
      <c r="I281" s="14" t="s">
        <v>59</v>
      </c>
      <c r="J281" s="14" t="s">
        <v>198</v>
      </c>
      <c r="K281" s="14" t="s">
        <v>212</v>
      </c>
      <c r="L281" s="14">
        <v>53.0</v>
      </c>
      <c r="M281" s="17" t="str">
        <f>"+19"</f>
        <v>+19</v>
      </c>
      <c r="N281" s="18" t="str">
        <f>"+18"</f>
        <v>+18</v>
      </c>
    </row>
    <row r="282">
      <c r="A282" s="13">
        <v>45901.0</v>
      </c>
      <c r="B282" s="14" t="s">
        <v>47</v>
      </c>
      <c r="C282" s="14" t="s">
        <v>48</v>
      </c>
      <c r="D282" s="14" t="s">
        <v>93</v>
      </c>
      <c r="E282" s="14" t="s">
        <v>94</v>
      </c>
      <c r="F282" s="15" t="s">
        <v>51</v>
      </c>
      <c r="G282" s="14" t="s">
        <v>191</v>
      </c>
      <c r="H282" s="14" t="s">
        <v>95</v>
      </c>
      <c r="I282" s="14" t="s">
        <v>59</v>
      </c>
      <c r="J282" s="14" t="s">
        <v>198</v>
      </c>
      <c r="K282" s="14" t="s">
        <v>210</v>
      </c>
      <c r="L282" s="14">
        <v>88.0</v>
      </c>
      <c r="M282" s="17" t="str">
        <f>"-4"</f>
        <v>-4</v>
      </c>
      <c r="N282" s="18" t="str">
        <f>"+0"</f>
        <v>+0</v>
      </c>
    </row>
    <row r="283">
      <c r="A283" s="13">
        <v>45901.0</v>
      </c>
      <c r="B283" s="14" t="s">
        <v>47</v>
      </c>
      <c r="C283" s="14" t="s">
        <v>48</v>
      </c>
      <c r="D283" s="14" t="s">
        <v>136</v>
      </c>
      <c r="E283" s="14" t="s">
        <v>137</v>
      </c>
      <c r="F283" s="15" t="s">
        <v>51</v>
      </c>
      <c r="G283" s="14" t="s">
        <v>138</v>
      </c>
      <c r="H283" s="14" t="s">
        <v>139</v>
      </c>
      <c r="I283" s="14" t="s">
        <v>59</v>
      </c>
      <c r="J283" s="14" t="s">
        <v>199</v>
      </c>
      <c r="K283" s="14" t="s">
        <v>208</v>
      </c>
      <c r="L283" s="14">
        <v>0.0</v>
      </c>
      <c r="M283" s="17" t="str">
        <f t="shared" ref="M283:N283" si="145">"+0"</f>
        <v>+0</v>
      </c>
      <c r="N283" s="18" t="str">
        <f t="shared" si="145"/>
        <v>+0</v>
      </c>
    </row>
    <row r="284">
      <c r="A284" s="13">
        <v>45901.0</v>
      </c>
      <c r="B284" s="14" t="s">
        <v>47</v>
      </c>
      <c r="C284" s="14" t="s">
        <v>48</v>
      </c>
      <c r="D284" s="14" t="s">
        <v>82</v>
      </c>
      <c r="E284" s="14" t="s">
        <v>83</v>
      </c>
      <c r="F284" s="15" t="s">
        <v>51</v>
      </c>
      <c r="G284" s="14" t="s">
        <v>84</v>
      </c>
      <c r="H284" s="14" t="s">
        <v>82</v>
      </c>
      <c r="I284" s="14" t="s">
        <v>59</v>
      </c>
      <c r="J284" s="14" t="s">
        <v>200</v>
      </c>
      <c r="K284" s="14" t="s">
        <v>209</v>
      </c>
      <c r="L284" s="14">
        <v>77.0</v>
      </c>
      <c r="M284" s="17" t="str">
        <f>"+2"</f>
        <v>+2</v>
      </c>
      <c r="N284" s="18" t="str">
        <f>"+6"</f>
        <v>+6</v>
      </c>
    </row>
    <row r="285">
      <c r="A285" s="13">
        <v>45901.0</v>
      </c>
      <c r="B285" s="14" t="s">
        <v>47</v>
      </c>
      <c r="C285" s="14" t="s">
        <v>48</v>
      </c>
      <c r="D285" s="14" t="s">
        <v>103</v>
      </c>
      <c r="E285" s="14" t="s">
        <v>104</v>
      </c>
      <c r="F285" s="15" t="s">
        <v>51</v>
      </c>
      <c r="G285" s="14" t="s">
        <v>105</v>
      </c>
      <c r="H285" s="14" t="s">
        <v>106</v>
      </c>
      <c r="I285" s="14" t="s">
        <v>59</v>
      </c>
      <c r="J285" s="14" t="s">
        <v>199</v>
      </c>
      <c r="K285" s="14" t="s">
        <v>208</v>
      </c>
      <c r="L285" s="14">
        <v>0.0</v>
      </c>
      <c r="M285" s="17" t="str">
        <f t="shared" ref="M285:N285" si="146">"+0"</f>
        <v>+0</v>
      </c>
      <c r="N285" s="18" t="str">
        <f t="shared" si="146"/>
        <v>+0</v>
      </c>
    </row>
    <row r="286">
      <c r="A286" s="13">
        <v>45901.0</v>
      </c>
      <c r="B286" s="14" t="s">
        <v>47</v>
      </c>
      <c r="C286" s="14" t="s">
        <v>48</v>
      </c>
      <c r="D286" s="14" t="s">
        <v>103</v>
      </c>
      <c r="E286" s="14" t="s">
        <v>104</v>
      </c>
      <c r="F286" s="15" t="s">
        <v>51</v>
      </c>
      <c r="G286" s="14" t="s">
        <v>105</v>
      </c>
      <c r="H286" s="14" t="s">
        <v>106</v>
      </c>
      <c r="I286" s="14" t="s">
        <v>59</v>
      </c>
      <c r="J286" s="14" t="s">
        <v>198</v>
      </c>
      <c r="K286" s="14" t="s">
        <v>212</v>
      </c>
      <c r="L286" s="14">
        <v>50.0</v>
      </c>
      <c r="M286" s="17" t="str">
        <f t="shared" ref="M286:N286" si="147">"+18"</f>
        <v>+18</v>
      </c>
      <c r="N286" s="18" t="str">
        <f t="shared" si="147"/>
        <v>+18</v>
      </c>
    </row>
    <row r="287">
      <c r="A287" s="13">
        <v>45901.0</v>
      </c>
      <c r="B287" s="14" t="s">
        <v>47</v>
      </c>
      <c r="C287" s="14" t="s">
        <v>48</v>
      </c>
      <c r="D287" s="14" t="s">
        <v>149</v>
      </c>
      <c r="E287" s="14" t="s">
        <v>150</v>
      </c>
      <c r="F287" s="15" t="s">
        <v>51</v>
      </c>
      <c r="G287" s="14" t="s">
        <v>151</v>
      </c>
      <c r="H287" s="14" t="s">
        <v>152</v>
      </c>
      <c r="I287" s="14" t="s">
        <v>54</v>
      </c>
      <c r="J287" s="14" t="s">
        <v>200</v>
      </c>
      <c r="K287" s="14" t="s">
        <v>223</v>
      </c>
      <c r="L287" s="14">
        <v>65.0</v>
      </c>
      <c r="M287" s="17" t="str">
        <f>"+1"</f>
        <v>+1</v>
      </c>
      <c r="N287" s="18" t="str">
        <f>"+0"</f>
        <v>+0</v>
      </c>
    </row>
    <row r="288">
      <c r="A288" s="13">
        <v>45901.0</v>
      </c>
      <c r="B288" s="14" t="s">
        <v>47</v>
      </c>
      <c r="C288" s="14" t="s">
        <v>48</v>
      </c>
      <c r="D288" s="14" t="s">
        <v>91</v>
      </c>
      <c r="E288" s="14" t="s">
        <v>92</v>
      </c>
      <c r="F288" s="14" t="s">
        <v>71</v>
      </c>
      <c r="G288" s="14">
        <v>1.00005882E8</v>
      </c>
      <c r="H288" s="14" t="s">
        <v>91</v>
      </c>
      <c r="I288" s="14" t="s">
        <v>59</v>
      </c>
      <c r="J288" s="14" t="s">
        <v>199</v>
      </c>
      <c r="K288" s="14" t="s">
        <v>208</v>
      </c>
      <c r="L288" s="14">
        <v>100.0</v>
      </c>
      <c r="M288" s="17" t="str">
        <f t="shared" ref="M288:N288" si="148">"+0"</f>
        <v>+0</v>
      </c>
      <c r="N288" s="18" t="str">
        <f t="shared" si="148"/>
        <v>+0</v>
      </c>
    </row>
    <row r="289">
      <c r="A289" s="13">
        <v>45901.0</v>
      </c>
      <c r="B289" s="14" t="s">
        <v>47</v>
      </c>
      <c r="C289" s="14" t="s">
        <v>48</v>
      </c>
      <c r="D289" s="14" t="s">
        <v>87</v>
      </c>
      <c r="E289" s="14" t="s">
        <v>88</v>
      </c>
      <c r="F289" s="15" t="s">
        <v>51</v>
      </c>
      <c r="G289" s="14" t="s">
        <v>89</v>
      </c>
      <c r="H289" s="14" t="s">
        <v>90</v>
      </c>
      <c r="I289" s="14" t="s">
        <v>59</v>
      </c>
      <c r="J289" s="14" t="s">
        <v>199</v>
      </c>
      <c r="K289" s="14" t="s">
        <v>206</v>
      </c>
      <c r="L289" s="14">
        <v>91.0</v>
      </c>
      <c r="M289" s="17" t="str">
        <f t="shared" ref="M289:N289" si="149">"+0"</f>
        <v>+0</v>
      </c>
      <c r="N289" s="18" t="str">
        <f t="shared" si="149"/>
        <v>+0</v>
      </c>
    </row>
    <row r="290">
      <c r="A290" s="13">
        <v>45901.0</v>
      </c>
      <c r="B290" s="14" t="s">
        <v>47</v>
      </c>
      <c r="C290" s="14" t="s">
        <v>48</v>
      </c>
      <c r="D290" s="14" t="s">
        <v>85</v>
      </c>
      <c r="E290" s="14" t="s">
        <v>86</v>
      </c>
      <c r="F290" s="15" t="s">
        <v>51</v>
      </c>
      <c r="G290" s="14" t="s">
        <v>148</v>
      </c>
      <c r="H290" s="14" t="s">
        <v>85</v>
      </c>
      <c r="I290" s="14" t="s">
        <v>59</v>
      </c>
      <c r="J290" s="14" t="s">
        <v>200</v>
      </c>
      <c r="K290" s="14" t="s">
        <v>201</v>
      </c>
      <c r="L290" s="14">
        <v>8.0</v>
      </c>
      <c r="M290" s="17" t="str">
        <f t="shared" ref="M290:N290" si="150">"+0"</f>
        <v>+0</v>
      </c>
      <c r="N290" s="18" t="str">
        <f t="shared" si="150"/>
        <v>+0</v>
      </c>
    </row>
    <row r="291">
      <c r="A291" s="13">
        <v>45901.0</v>
      </c>
      <c r="B291" s="14" t="s">
        <v>47</v>
      </c>
      <c r="C291" s="14" t="s">
        <v>48</v>
      </c>
      <c r="D291" s="14" t="s">
        <v>116</v>
      </c>
      <c r="E291" s="14" t="s">
        <v>117</v>
      </c>
      <c r="F291" s="15" t="s">
        <v>51</v>
      </c>
      <c r="G291" s="14" t="s">
        <v>161</v>
      </c>
      <c r="H291" s="14" t="s">
        <v>116</v>
      </c>
      <c r="I291" s="14" t="s">
        <v>54</v>
      </c>
      <c r="J291" s="14" t="s">
        <v>200</v>
      </c>
      <c r="K291" s="14" t="s">
        <v>204</v>
      </c>
      <c r="L291" s="14">
        <v>1.0</v>
      </c>
      <c r="M291" s="17" t="str">
        <f t="shared" ref="M291:N291" si="151">"+0"</f>
        <v>+0</v>
      </c>
      <c r="N291" s="18" t="str">
        <f t="shared" si="151"/>
        <v>+0</v>
      </c>
    </row>
    <row r="292">
      <c r="A292" s="13">
        <v>45901.0</v>
      </c>
      <c r="B292" s="14" t="s">
        <v>47</v>
      </c>
      <c r="C292" s="14" t="s">
        <v>48</v>
      </c>
      <c r="D292" s="14" t="s">
        <v>116</v>
      </c>
      <c r="E292" s="14" t="s">
        <v>117</v>
      </c>
      <c r="F292" s="15" t="s">
        <v>51</v>
      </c>
      <c r="G292" s="14" t="s">
        <v>161</v>
      </c>
      <c r="H292" s="14" t="s">
        <v>116</v>
      </c>
      <c r="I292" s="14" t="s">
        <v>54</v>
      </c>
      <c r="J292" s="14" t="s">
        <v>199</v>
      </c>
      <c r="K292" s="14" t="s">
        <v>206</v>
      </c>
      <c r="L292" s="14">
        <v>93.0</v>
      </c>
      <c r="M292" s="17" t="str">
        <f t="shared" ref="M292:M294" si="152">"+2"</f>
        <v>+2</v>
      </c>
      <c r="N292" s="18" t="str">
        <f>"-7"</f>
        <v>-7</v>
      </c>
    </row>
    <row r="293">
      <c r="A293" s="13">
        <v>45901.0</v>
      </c>
      <c r="B293" s="14" t="s">
        <v>47</v>
      </c>
      <c r="C293" s="14" t="s">
        <v>48</v>
      </c>
      <c r="D293" s="14" t="s">
        <v>108</v>
      </c>
      <c r="E293" s="14" t="s">
        <v>109</v>
      </c>
      <c r="F293" s="14" t="s">
        <v>79</v>
      </c>
      <c r="G293" s="14" t="s">
        <v>153</v>
      </c>
      <c r="H293" s="14" t="s">
        <v>108</v>
      </c>
      <c r="I293" s="14" t="s">
        <v>154</v>
      </c>
      <c r="J293" s="14" t="s">
        <v>200</v>
      </c>
      <c r="K293" s="14" t="s">
        <v>237</v>
      </c>
      <c r="L293" s="14">
        <v>12.0</v>
      </c>
      <c r="M293" s="17" t="str">
        <f t="shared" si="152"/>
        <v>+2</v>
      </c>
    </row>
    <row r="294">
      <c r="A294" s="13">
        <v>45901.0</v>
      </c>
      <c r="B294" s="14" t="s">
        <v>47</v>
      </c>
      <c r="C294" s="14" t="s">
        <v>48</v>
      </c>
      <c r="D294" s="14" t="s">
        <v>116</v>
      </c>
      <c r="E294" s="14" t="s">
        <v>117</v>
      </c>
      <c r="F294" s="15" t="s">
        <v>51</v>
      </c>
      <c r="G294" s="14" t="s">
        <v>161</v>
      </c>
      <c r="H294" s="14" t="s">
        <v>116</v>
      </c>
      <c r="I294" s="14" t="s">
        <v>54</v>
      </c>
      <c r="J294" s="14" t="s">
        <v>200</v>
      </c>
      <c r="K294" s="14" t="s">
        <v>214</v>
      </c>
      <c r="L294" s="14">
        <v>84.0</v>
      </c>
      <c r="M294" s="17" t="str">
        <f t="shared" si="152"/>
        <v>+2</v>
      </c>
      <c r="N294" s="18" t="str">
        <f>"-5"</f>
        <v>-5</v>
      </c>
    </row>
    <row r="295">
      <c r="A295" s="13">
        <v>45901.0</v>
      </c>
      <c r="B295" s="14" t="s">
        <v>47</v>
      </c>
      <c r="C295" s="14" t="s">
        <v>48</v>
      </c>
      <c r="D295" s="14" t="s">
        <v>174</v>
      </c>
      <c r="E295" s="14" t="s">
        <v>175</v>
      </c>
      <c r="F295" s="15" t="s">
        <v>51</v>
      </c>
      <c r="G295" s="14" t="s">
        <v>176</v>
      </c>
      <c r="H295" s="14" t="s">
        <v>174</v>
      </c>
      <c r="I295" s="14" t="s">
        <v>59</v>
      </c>
      <c r="J295" s="14" t="s">
        <v>200</v>
      </c>
      <c r="K295" s="14" t="s">
        <v>201</v>
      </c>
      <c r="L295" s="14">
        <v>4.0</v>
      </c>
      <c r="M295" s="17" t="str">
        <f t="shared" ref="M295:M296" si="153">"+0"</f>
        <v>+0</v>
      </c>
      <c r="N295" s="18" t="str">
        <f>"-1"</f>
        <v>-1</v>
      </c>
    </row>
    <row r="296">
      <c r="A296" s="13">
        <v>45901.0</v>
      </c>
      <c r="B296" s="14" t="s">
        <v>47</v>
      </c>
      <c r="C296" s="14" t="s">
        <v>48</v>
      </c>
      <c r="D296" s="14" t="s">
        <v>63</v>
      </c>
      <c r="E296" s="14" t="s">
        <v>64</v>
      </c>
      <c r="F296" s="15" t="s">
        <v>51</v>
      </c>
      <c r="G296" s="14" t="s">
        <v>65</v>
      </c>
      <c r="H296" s="14" t="s">
        <v>63</v>
      </c>
      <c r="I296" s="14" t="s">
        <v>54</v>
      </c>
      <c r="J296" s="14" t="s">
        <v>200</v>
      </c>
      <c r="K296" s="14" t="s">
        <v>236</v>
      </c>
      <c r="L296" s="14">
        <v>28.0</v>
      </c>
      <c r="M296" s="17" t="str">
        <f t="shared" si="153"/>
        <v>+0</v>
      </c>
      <c r="N296" s="18" t="str">
        <f t="shared" ref="N296:N298" si="154">"+0"</f>
        <v>+0</v>
      </c>
    </row>
    <row r="297">
      <c r="A297" s="13">
        <v>45901.0</v>
      </c>
      <c r="B297" s="14" t="s">
        <v>47</v>
      </c>
      <c r="C297" s="14" t="s">
        <v>48</v>
      </c>
      <c r="D297" s="14" t="s">
        <v>143</v>
      </c>
      <c r="E297" s="14" t="s">
        <v>144</v>
      </c>
      <c r="F297" s="15" t="s">
        <v>51</v>
      </c>
      <c r="G297" s="14" t="s">
        <v>145</v>
      </c>
      <c r="H297" s="14" t="s">
        <v>143</v>
      </c>
      <c r="I297" s="14" t="s">
        <v>59</v>
      </c>
      <c r="J297" s="14" t="s">
        <v>198</v>
      </c>
      <c r="K297" s="14" t="s">
        <v>210</v>
      </c>
      <c r="L297" s="14">
        <v>90.0</v>
      </c>
      <c r="M297" s="17" t="str">
        <f>"+6"</f>
        <v>+6</v>
      </c>
      <c r="N297" s="18" t="str">
        <f t="shared" si="154"/>
        <v>+0</v>
      </c>
    </row>
    <row r="298">
      <c r="A298" s="13">
        <v>45901.0</v>
      </c>
      <c r="B298" s="14" t="s">
        <v>47</v>
      </c>
      <c r="C298" s="14" t="s">
        <v>48</v>
      </c>
      <c r="D298" s="14" t="s">
        <v>99</v>
      </c>
      <c r="E298" s="14" t="s">
        <v>100</v>
      </c>
      <c r="F298" s="15" t="s">
        <v>51</v>
      </c>
      <c r="G298" s="14" t="s">
        <v>101</v>
      </c>
      <c r="H298" s="14" t="s">
        <v>102</v>
      </c>
      <c r="I298" s="14" t="s">
        <v>54</v>
      </c>
      <c r="J298" s="14" t="s">
        <v>200</v>
      </c>
      <c r="K298" s="14" t="s">
        <v>204</v>
      </c>
      <c r="L298" s="14">
        <v>3.0</v>
      </c>
      <c r="M298" s="17" t="str">
        <f>"+3"</f>
        <v>+3</v>
      </c>
      <c r="N298" s="18" t="str">
        <f t="shared" si="154"/>
        <v>+0</v>
      </c>
    </row>
    <row r="299">
      <c r="A299" s="13">
        <v>45901.0</v>
      </c>
      <c r="B299" s="14" t="s">
        <v>47</v>
      </c>
      <c r="C299" s="14" t="s">
        <v>48</v>
      </c>
      <c r="D299" s="14" t="s">
        <v>60</v>
      </c>
      <c r="E299" s="14" t="s">
        <v>61</v>
      </c>
      <c r="F299" s="15" t="s">
        <v>51</v>
      </c>
      <c r="G299" s="14" t="s">
        <v>62</v>
      </c>
      <c r="H299" s="14" t="s">
        <v>60</v>
      </c>
      <c r="I299" s="14" t="s">
        <v>59</v>
      </c>
      <c r="J299" s="14" t="s">
        <v>198</v>
      </c>
      <c r="K299" s="14" t="s">
        <v>212</v>
      </c>
      <c r="L299" s="14">
        <v>58.0</v>
      </c>
      <c r="M299" s="17" t="str">
        <f t="shared" ref="M299:N299" si="155">"+17"</f>
        <v>+17</v>
      </c>
      <c r="N299" s="18" t="str">
        <f t="shared" si="155"/>
        <v>+17</v>
      </c>
    </row>
    <row r="300">
      <c r="A300" s="13">
        <v>45901.0</v>
      </c>
      <c r="B300" s="14" t="s">
        <v>47</v>
      </c>
      <c r="C300" s="14" t="s">
        <v>48</v>
      </c>
      <c r="D300" s="14" t="s">
        <v>143</v>
      </c>
      <c r="E300" s="14" t="s">
        <v>144</v>
      </c>
      <c r="F300" s="15" t="s">
        <v>51</v>
      </c>
      <c r="G300" s="14" t="s">
        <v>145</v>
      </c>
      <c r="H300" s="14" t="s">
        <v>143</v>
      </c>
      <c r="I300" s="14" t="s">
        <v>59</v>
      </c>
      <c r="J300" s="14" t="s">
        <v>200</v>
      </c>
      <c r="K300" s="14" t="s">
        <v>222</v>
      </c>
      <c r="L300" s="14">
        <v>25.0</v>
      </c>
      <c r="M300" s="17" t="str">
        <f t="shared" ref="M300:N300" si="156">"+0"</f>
        <v>+0</v>
      </c>
      <c r="N300" s="18" t="str">
        <f t="shared" si="156"/>
        <v>+0</v>
      </c>
    </row>
    <row r="301">
      <c r="A301" s="13">
        <v>45901.0</v>
      </c>
      <c r="B301" s="14" t="s">
        <v>47</v>
      </c>
      <c r="C301" s="14" t="s">
        <v>48</v>
      </c>
      <c r="D301" s="14" t="s">
        <v>63</v>
      </c>
      <c r="E301" s="14" t="s">
        <v>64</v>
      </c>
      <c r="F301" s="15" t="s">
        <v>51</v>
      </c>
      <c r="G301" s="14" t="s">
        <v>65</v>
      </c>
      <c r="H301" s="14" t="s">
        <v>63</v>
      </c>
      <c r="I301" s="14" t="s">
        <v>54</v>
      </c>
      <c r="J301" s="14" t="s">
        <v>198</v>
      </c>
      <c r="K301" s="14" t="s">
        <v>205</v>
      </c>
      <c r="L301" s="14">
        <v>61.0</v>
      </c>
      <c r="M301" s="17" t="str">
        <f t="shared" ref="M301:M303" si="157">"+0"</f>
        <v>+0</v>
      </c>
    </row>
    <row r="302">
      <c r="A302" s="13">
        <v>45901.0</v>
      </c>
      <c r="B302" s="14" t="s">
        <v>47</v>
      </c>
      <c r="C302" s="14" t="s">
        <v>48</v>
      </c>
      <c r="D302" s="14" t="s">
        <v>155</v>
      </c>
      <c r="E302" s="14" t="s">
        <v>156</v>
      </c>
      <c r="F302" s="15" t="s">
        <v>51</v>
      </c>
      <c r="G302" s="14" t="s">
        <v>157</v>
      </c>
      <c r="H302" s="14" t="s">
        <v>155</v>
      </c>
      <c r="I302" s="14" t="s">
        <v>59</v>
      </c>
      <c r="J302" s="14" t="s">
        <v>198</v>
      </c>
      <c r="K302" s="14" t="s">
        <v>205</v>
      </c>
      <c r="L302" s="14">
        <v>41.0</v>
      </c>
      <c r="M302" s="17" t="str">
        <f t="shared" si="157"/>
        <v>+0</v>
      </c>
    </row>
    <row r="303">
      <c r="A303" s="13">
        <v>45901.0</v>
      </c>
      <c r="B303" s="14" t="s">
        <v>47</v>
      </c>
      <c r="C303" s="14" t="s">
        <v>48</v>
      </c>
      <c r="D303" s="14" t="s">
        <v>63</v>
      </c>
      <c r="E303" s="14" t="s">
        <v>64</v>
      </c>
      <c r="F303" s="14" t="s">
        <v>111</v>
      </c>
      <c r="G303" s="14">
        <v>4916210.0</v>
      </c>
      <c r="H303" s="14" t="s">
        <v>63</v>
      </c>
      <c r="I303" s="14" t="s">
        <v>59</v>
      </c>
      <c r="J303" s="14" t="s">
        <v>199</v>
      </c>
      <c r="K303" s="14" t="s">
        <v>206</v>
      </c>
      <c r="L303" s="14">
        <v>100.0</v>
      </c>
      <c r="M303" s="17" t="str">
        <f t="shared" si="157"/>
        <v>+0</v>
      </c>
      <c r="N303" s="18" t="str">
        <f>"+0"</f>
        <v>+0</v>
      </c>
    </row>
    <row r="304">
      <c r="A304" s="13">
        <v>45901.0</v>
      </c>
      <c r="B304" s="14" t="s">
        <v>47</v>
      </c>
      <c r="C304" s="14" t="s">
        <v>48</v>
      </c>
      <c r="D304" s="14" t="s">
        <v>91</v>
      </c>
      <c r="E304" s="14" t="s">
        <v>92</v>
      </c>
      <c r="F304" s="14" t="s">
        <v>146</v>
      </c>
      <c r="G304" s="14" t="s">
        <v>147</v>
      </c>
      <c r="H304" s="14" t="s">
        <v>91</v>
      </c>
      <c r="I304" s="14" t="s">
        <v>107</v>
      </c>
      <c r="J304" s="14" t="s">
        <v>200</v>
      </c>
      <c r="K304" s="14" t="s">
        <v>226</v>
      </c>
      <c r="L304" s="14">
        <v>51.0</v>
      </c>
      <c r="M304" s="17" t="str">
        <f>"+2"</f>
        <v>+2</v>
      </c>
      <c r="N304" s="18" t="str">
        <f>"-4"</f>
        <v>-4</v>
      </c>
    </row>
    <row r="305">
      <c r="A305" s="13">
        <v>45901.0</v>
      </c>
      <c r="B305" s="14" t="s">
        <v>47</v>
      </c>
      <c r="C305" s="14" t="s">
        <v>48</v>
      </c>
      <c r="D305" s="14" t="s">
        <v>56</v>
      </c>
      <c r="E305" s="14" t="s">
        <v>57</v>
      </c>
      <c r="F305" s="15" t="s">
        <v>51</v>
      </c>
      <c r="G305" s="14" t="s">
        <v>58</v>
      </c>
      <c r="H305" s="14" t="s">
        <v>56</v>
      </c>
      <c r="I305" s="14" t="s">
        <v>59</v>
      </c>
      <c r="J305" s="14" t="s">
        <v>199</v>
      </c>
      <c r="K305" s="14" t="s">
        <v>203</v>
      </c>
      <c r="L305" s="14">
        <v>34.0</v>
      </c>
      <c r="M305" s="17" t="str">
        <f t="shared" ref="M305:N305" si="158">"+0"</f>
        <v>+0</v>
      </c>
      <c r="N305" s="18" t="str">
        <f t="shared" si="158"/>
        <v>+0</v>
      </c>
    </row>
    <row r="306">
      <c r="A306" s="13">
        <v>45901.0</v>
      </c>
      <c r="B306" s="14" t="s">
        <v>47</v>
      </c>
      <c r="C306" s="14" t="s">
        <v>48</v>
      </c>
      <c r="D306" s="14" t="s">
        <v>63</v>
      </c>
      <c r="E306" s="14" t="s">
        <v>64</v>
      </c>
      <c r="F306" s="15" t="s">
        <v>51</v>
      </c>
      <c r="G306" s="14" t="s">
        <v>65</v>
      </c>
      <c r="H306" s="14" t="s">
        <v>63</v>
      </c>
      <c r="I306" s="14" t="s">
        <v>54</v>
      </c>
      <c r="J306" s="14" t="s">
        <v>200</v>
      </c>
      <c r="K306" s="14" t="s">
        <v>227</v>
      </c>
      <c r="L306" s="14">
        <v>45.0</v>
      </c>
      <c r="M306" s="17" t="str">
        <f>"+2"</f>
        <v>+2</v>
      </c>
      <c r="N306" s="18" t="str">
        <f>"-4"</f>
        <v>-4</v>
      </c>
    </row>
    <row r="307">
      <c r="A307" s="13">
        <v>45901.0</v>
      </c>
      <c r="B307" s="14" t="s">
        <v>47</v>
      </c>
      <c r="C307" s="14" t="s">
        <v>48</v>
      </c>
      <c r="D307" s="14" t="s">
        <v>87</v>
      </c>
      <c r="E307" s="14" t="s">
        <v>88</v>
      </c>
      <c r="F307" s="15" t="s">
        <v>51</v>
      </c>
      <c r="G307" s="14" t="s">
        <v>89</v>
      </c>
      <c r="H307" s="14" t="s">
        <v>90</v>
      </c>
      <c r="I307" s="14" t="s">
        <v>59</v>
      </c>
      <c r="J307" s="14" t="s">
        <v>200</v>
      </c>
      <c r="K307" s="14" t="s">
        <v>223</v>
      </c>
      <c r="L307" s="14">
        <v>60.0</v>
      </c>
      <c r="M307" s="17" t="str">
        <f>"+1"</f>
        <v>+1</v>
      </c>
      <c r="N307" s="18" t="str">
        <f>"+5"</f>
        <v>+5</v>
      </c>
    </row>
    <row r="308">
      <c r="A308" s="13">
        <v>45901.0</v>
      </c>
      <c r="B308" s="14" t="s">
        <v>47</v>
      </c>
      <c r="C308" s="14" t="s">
        <v>48</v>
      </c>
      <c r="D308" s="14" t="s">
        <v>63</v>
      </c>
      <c r="E308" s="14" t="s">
        <v>64</v>
      </c>
      <c r="F308" s="15" t="s">
        <v>51</v>
      </c>
      <c r="G308" s="14" t="s">
        <v>65</v>
      </c>
      <c r="H308" s="14" t="s">
        <v>63</v>
      </c>
      <c r="I308" s="14" t="s">
        <v>54</v>
      </c>
      <c r="J308" s="14" t="s">
        <v>200</v>
      </c>
      <c r="K308" s="14" t="s">
        <v>201</v>
      </c>
      <c r="L308" s="14">
        <v>2.0</v>
      </c>
      <c r="M308" s="17" t="str">
        <f t="shared" ref="M308:M311" si="159">"+0"</f>
        <v>+0</v>
      </c>
      <c r="N308" s="18" t="str">
        <f>"-2"</f>
        <v>-2</v>
      </c>
    </row>
    <row r="309">
      <c r="A309" s="13">
        <v>45901.0</v>
      </c>
      <c r="B309" s="14" t="s">
        <v>47</v>
      </c>
      <c r="C309" s="14" t="s">
        <v>48</v>
      </c>
      <c r="D309" s="14" t="s">
        <v>99</v>
      </c>
      <c r="E309" s="14" t="s">
        <v>100</v>
      </c>
      <c r="F309" s="15" t="s">
        <v>51</v>
      </c>
      <c r="G309" s="14" t="s">
        <v>101</v>
      </c>
      <c r="H309" s="14" t="s">
        <v>102</v>
      </c>
      <c r="I309" s="14" t="s">
        <v>54</v>
      </c>
      <c r="J309" s="14" t="s">
        <v>200</v>
      </c>
      <c r="K309" s="14" t="s">
        <v>219</v>
      </c>
      <c r="L309" s="14">
        <v>0.0</v>
      </c>
      <c r="M309" s="17" t="str">
        <f t="shared" si="159"/>
        <v>+0</v>
      </c>
      <c r="N309" s="18" t="str">
        <f t="shared" ref="N309:N311" si="160">"+0"</f>
        <v>+0</v>
      </c>
    </row>
    <row r="310">
      <c r="A310" s="13">
        <v>45901.0</v>
      </c>
      <c r="B310" s="14" t="s">
        <v>47</v>
      </c>
      <c r="C310" s="14" t="s">
        <v>48</v>
      </c>
      <c r="D310" s="14" t="s">
        <v>149</v>
      </c>
      <c r="E310" s="14" t="s">
        <v>150</v>
      </c>
      <c r="F310" s="15" t="s">
        <v>51</v>
      </c>
      <c r="G310" s="14" t="s">
        <v>151</v>
      </c>
      <c r="H310" s="14" t="s">
        <v>152</v>
      </c>
      <c r="I310" s="14" t="s">
        <v>54</v>
      </c>
      <c r="J310" s="14" t="s">
        <v>199</v>
      </c>
      <c r="K310" s="14" t="s">
        <v>206</v>
      </c>
      <c r="L310" s="14">
        <v>100.0</v>
      </c>
      <c r="M310" s="17" t="str">
        <f t="shared" si="159"/>
        <v>+0</v>
      </c>
      <c r="N310" s="18" t="str">
        <f t="shared" si="160"/>
        <v>+0</v>
      </c>
    </row>
    <row r="311">
      <c r="A311" s="13">
        <v>45901.0</v>
      </c>
      <c r="B311" s="14" t="s">
        <v>47</v>
      </c>
      <c r="C311" s="14" t="s">
        <v>48</v>
      </c>
      <c r="D311" s="14" t="s">
        <v>195</v>
      </c>
      <c r="E311" s="14" t="s">
        <v>196</v>
      </c>
      <c r="F311" s="14" t="s">
        <v>111</v>
      </c>
      <c r="G311" s="14">
        <v>5252823.0</v>
      </c>
      <c r="H311" s="14" t="s">
        <v>197</v>
      </c>
      <c r="I311" s="14" t="s">
        <v>59</v>
      </c>
      <c r="J311" s="14" t="s">
        <v>199</v>
      </c>
      <c r="K311" s="14" t="s">
        <v>203</v>
      </c>
      <c r="L311" s="14">
        <v>0.0</v>
      </c>
      <c r="M311" s="17" t="str">
        <f t="shared" si="159"/>
        <v>+0</v>
      </c>
      <c r="N311" s="18" t="str">
        <f t="shared" si="160"/>
        <v>+0</v>
      </c>
    </row>
    <row r="312">
      <c r="A312" s="13">
        <v>45901.0</v>
      </c>
      <c r="B312" s="14" t="s">
        <v>47</v>
      </c>
      <c r="C312" s="14" t="s">
        <v>48</v>
      </c>
      <c r="D312" s="14" t="s">
        <v>77</v>
      </c>
      <c r="E312" s="14" t="s">
        <v>78</v>
      </c>
      <c r="F312" s="14" t="s">
        <v>79</v>
      </c>
      <c r="G312" s="14" t="s">
        <v>80</v>
      </c>
      <c r="H312" s="14" t="s">
        <v>81</v>
      </c>
      <c r="J312" s="14" t="s">
        <v>200</v>
      </c>
      <c r="K312" s="14" t="s">
        <v>237</v>
      </c>
      <c r="L312" s="14">
        <v>14.0</v>
      </c>
      <c r="M312" s="17" t="str">
        <f>"+10"</f>
        <v>+10</v>
      </c>
      <c r="N312" s="18" t="str">
        <f>"+13"</f>
        <v>+13</v>
      </c>
    </row>
    <row r="313">
      <c r="A313" s="13">
        <v>45901.0</v>
      </c>
      <c r="B313" s="14" t="s">
        <v>47</v>
      </c>
      <c r="C313" s="14" t="s">
        <v>48</v>
      </c>
      <c r="D313" s="14" t="s">
        <v>91</v>
      </c>
      <c r="E313" s="14" t="s">
        <v>92</v>
      </c>
      <c r="F313" s="15" t="s">
        <v>51</v>
      </c>
      <c r="G313" s="14" t="s">
        <v>163</v>
      </c>
      <c r="H313" s="14" t="s">
        <v>91</v>
      </c>
      <c r="I313" s="14" t="s">
        <v>59</v>
      </c>
      <c r="J313" s="14" t="s">
        <v>199</v>
      </c>
      <c r="K313" s="14" t="s">
        <v>206</v>
      </c>
      <c r="L313" s="14">
        <v>100.0</v>
      </c>
      <c r="M313" s="17" t="str">
        <f t="shared" ref="M313:N313" si="161">"+0"</f>
        <v>+0</v>
      </c>
      <c r="N313" s="18" t="str">
        <f t="shared" si="161"/>
        <v>+0</v>
      </c>
    </row>
    <row r="314">
      <c r="A314" s="13">
        <v>45901.0</v>
      </c>
      <c r="B314" s="14" t="s">
        <v>47</v>
      </c>
      <c r="C314" s="14" t="s">
        <v>48</v>
      </c>
      <c r="D314" s="14" t="s">
        <v>158</v>
      </c>
      <c r="E314" s="14" t="s">
        <v>159</v>
      </c>
      <c r="F314" s="15" t="s">
        <v>51</v>
      </c>
      <c r="G314" s="14" t="s">
        <v>160</v>
      </c>
      <c r="H314" s="14" t="s">
        <v>158</v>
      </c>
      <c r="I314" s="14" t="s">
        <v>54</v>
      </c>
      <c r="J314" s="14" t="s">
        <v>200</v>
      </c>
      <c r="K314" s="14" t="s">
        <v>224</v>
      </c>
      <c r="L314" s="14">
        <v>18.0</v>
      </c>
      <c r="M314" s="17" t="str">
        <f t="shared" ref="M314:N314" si="162">"+0"</f>
        <v>+0</v>
      </c>
      <c r="N314" s="18" t="str">
        <f t="shared" si="162"/>
        <v>+0</v>
      </c>
    </row>
    <row r="315">
      <c r="A315" s="13">
        <v>45901.0</v>
      </c>
      <c r="B315" s="14" t="s">
        <v>47</v>
      </c>
      <c r="C315" s="14" t="s">
        <v>48</v>
      </c>
      <c r="D315" s="14" t="s">
        <v>108</v>
      </c>
      <c r="E315" s="14" t="s">
        <v>109</v>
      </c>
      <c r="F315" s="15" t="s">
        <v>51</v>
      </c>
      <c r="G315" s="14" t="s">
        <v>110</v>
      </c>
      <c r="H315" s="14" t="s">
        <v>108</v>
      </c>
      <c r="I315" s="14" t="s">
        <v>59</v>
      </c>
      <c r="J315" s="14" t="s">
        <v>200</v>
      </c>
      <c r="K315" s="14" t="s">
        <v>209</v>
      </c>
      <c r="L315" s="14">
        <v>0.0</v>
      </c>
      <c r="M315" s="17" t="str">
        <f t="shared" ref="M315:N315" si="163">"+0"</f>
        <v>+0</v>
      </c>
      <c r="N315" s="18" t="str">
        <f t="shared" si="163"/>
        <v>+0</v>
      </c>
    </row>
    <row r="316">
      <c r="A316" s="13">
        <v>45901.0</v>
      </c>
      <c r="B316" s="14" t="s">
        <v>47</v>
      </c>
      <c r="C316" s="14" t="s">
        <v>48</v>
      </c>
      <c r="D316" s="14" t="s">
        <v>121</v>
      </c>
      <c r="E316" s="14" t="s">
        <v>122</v>
      </c>
      <c r="F316" s="15" t="s">
        <v>51</v>
      </c>
      <c r="G316" s="14" t="s">
        <v>123</v>
      </c>
      <c r="H316" s="14" t="s">
        <v>124</v>
      </c>
      <c r="I316" s="14" t="s">
        <v>59</v>
      </c>
      <c r="J316" s="14" t="s">
        <v>200</v>
      </c>
      <c r="K316" s="14" t="s">
        <v>232</v>
      </c>
      <c r="L316" s="14">
        <v>44.0</v>
      </c>
      <c r="M316" s="17" t="str">
        <f>"+7"</f>
        <v>+7</v>
      </c>
      <c r="N316" s="18" t="str">
        <f>"+2"</f>
        <v>+2</v>
      </c>
    </row>
    <row r="317">
      <c r="A317" s="13">
        <v>45901.0</v>
      </c>
      <c r="B317" s="14" t="s">
        <v>47</v>
      </c>
      <c r="C317" s="14" t="s">
        <v>48</v>
      </c>
      <c r="D317" s="14" t="s">
        <v>168</v>
      </c>
      <c r="E317" s="14" t="s">
        <v>169</v>
      </c>
      <c r="F317" s="15" t="s">
        <v>51</v>
      </c>
      <c r="G317" s="14" t="s">
        <v>170</v>
      </c>
      <c r="H317" s="14" t="s">
        <v>168</v>
      </c>
      <c r="I317" s="14" t="s">
        <v>59</v>
      </c>
      <c r="J317" s="14" t="s">
        <v>200</v>
      </c>
      <c r="K317" s="14" t="s">
        <v>201</v>
      </c>
      <c r="L317" s="14">
        <v>1.0</v>
      </c>
      <c r="M317" s="17" t="str">
        <f t="shared" ref="M317:N317" si="164">"+0"</f>
        <v>+0</v>
      </c>
      <c r="N317" s="18" t="str">
        <f t="shared" si="164"/>
        <v>+0</v>
      </c>
    </row>
    <row r="318">
      <c r="A318" s="13">
        <v>45901.0</v>
      </c>
      <c r="B318" s="14" t="s">
        <v>47</v>
      </c>
      <c r="C318" s="14" t="s">
        <v>48</v>
      </c>
      <c r="D318" s="14" t="s">
        <v>91</v>
      </c>
      <c r="E318" s="14" t="s">
        <v>92</v>
      </c>
      <c r="F318" s="14" t="s">
        <v>71</v>
      </c>
      <c r="G318" s="14">
        <v>5.10000484E8</v>
      </c>
      <c r="H318" s="14" t="s">
        <v>91</v>
      </c>
      <c r="I318" s="14" t="s">
        <v>54</v>
      </c>
      <c r="J318" s="14" t="s">
        <v>199</v>
      </c>
      <c r="K318" s="14" t="s">
        <v>208</v>
      </c>
      <c r="L318" s="14">
        <v>100.0</v>
      </c>
      <c r="M318" s="17" t="str">
        <f t="shared" ref="M318:N318" si="165">"+0"</f>
        <v>+0</v>
      </c>
      <c r="N318" s="18" t="str">
        <f t="shared" si="165"/>
        <v>+0</v>
      </c>
    </row>
    <row r="319">
      <c r="A319" s="13">
        <v>45901.0</v>
      </c>
      <c r="B319" s="14" t="s">
        <v>47</v>
      </c>
      <c r="C319" s="14" t="s">
        <v>48</v>
      </c>
      <c r="D319" s="14" t="s">
        <v>132</v>
      </c>
      <c r="E319" s="14" t="s">
        <v>133</v>
      </c>
      <c r="F319" s="15" t="s">
        <v>51</v>
      </c>
      <c r="G319" s="14" t="s">
        <v>134</v>
      </c>
      <c r="H319" s="14" t="s">
        <v>135</v>
      </c>
      <c r="I319" s="14" t="s">
        <v>59</v>
      </c>
      <c r="J319" s="14" t="s">
        <v>198</v>
      </c>
      <c r="K319" s="14" t="s">
        <v>207</v>
      </c>
      <c r="L319" s="14">
        <v>0.0</v>
      </c>
      <c r="M319" s="17" t="str">
        <f t="shared" ref="M319:M320" si="166">"+0"</f>
        <v>+0</v>
      </c>
    </row>
    <row r="320">
      <c r="A320" s="13">
        <v>45901.0</v>
      </c>
      <c r="B320" s="14" t="s">
        <v>47</v>
      </c>
      <c r="C320" s="14" t="s">
        <v>48</v>
      </c>
      <c r="D320" s="14" t="s">
        <v>129</v>
      </c>
      <c r="E320" s="14" t="s">
        <v>130</v>
      </c>
      <c r="F320" s="15" t="s">
        <v>51</v>
      </c>
      <c r="G320" s="14" t="s">
        <v>131</v>
      </c>
      <c r="H320" s="14" t="s">
        <v>129</v>
      </c>
      <c r="I320" s="14" t="s">
        <v>59</v>
      </c>
      <c r="J320" s="14" t="s">
        <v>199</v>
      </c>
      <c r="K320" s="14" t="s">
        <v>203</v>
      </c>
      <c r="L320" s="14">
        <v>0.0</v>
      </c>
      <c r="M320" s="17" t="str">
        <f t="shared" si="166"/>
        <v>+0</v>
      </c>
      <c r="N320" s="18" t="str">
        <f>"+0"</f>
        <v>+0</v>
      </c>
    </row>
    <row r="321">
      <c r="A321" s="13">
        <v>45901.0</v>
      </c>
      <c r="B321" s="14" t="s">
        <v>47</v>
      </c>
      <c r="C321" s="14" t="s">
        <v>48</v>
      </c>
      <c r="D321" s="14" t="s">
        <v>77</v>
      </c>
      <c r="E321" s="14" t="s">
        <v>78</v>
      </c>
      <c r="F321" s="14" t="s">
        <v>79</v>
      </c>
      <c r="G321" s="14" t="s">
        <v>80</v>
      </c>
      <c r="H321" s="14" t="s">
        <v>81</v>
      </c>
      <c r="J321" s="14" t="s">
        <v>200</v>
      </c>
      <c r="K321" s="14" t="s">
        <v>238</v>
      </c>
      <c r="L321" s="14">
        <v>6.0</v>
      </c>
      <c r="M321" s="17" t="str">
        <f t="shared" ref="M321:N321" si="167">"+4"</f>
        <v>+4</v>
      </c>
      <c r="N321" s="18" t="str">
        <f t="shared" si="167"/>
        <v>+4</v>
      </c>
    </row>
    <row r="322">
      <c r="A322" s="13">
        <v>45901.0</v>
      </c>
      <c r="B322" s="14" t="s">
        <v>47</v>
      </c>
      <c r="C322" s="14" t="s">
        <v>48</v>
      </c>
      <c r="D322" s="14" t="s">
        <v>77</v>
      </c>
      <c r="E322" s="14" t="s">
        <v>78</v>
      </c>
      <c r="F322" s="14" t="s">
        <v>79</v>
      </c>
      <c r="G322" s="14" t="s">
        <v>80</v>
      </c>
      <c r="H322" s="14" t="s">
        <v>81</v>
      </c>
      <c r="J322" s="14" t="s">
        <v>198</v>
      </c>
      <c r="K322" s="14" t="s">
        <v>212</v>
      </c>
      <c r="L322" s="14">
        <v>66.0</v>
      </c>
      <c r="M322" s="17" t="str">
        <f>"-33"</f>
        <v>-33</v>
      </c>
    </row>
    <row r="323">
      <c r="A323" s="13">
        <v>45901.0</v>
      </c>
      <c r="B323" s="14" t="s">
        <v>47</v>
      </c>
      <c r="C323" s="14" t="s">
        <v>48</v>
      </c>
      <c r="D323" s="14" t="s">
        <v>77</v>
      </c>
      <c r="E323" s="14" t="s">
        <v>78</v>
      </c>
      <c r="F323" s="15" t="s">
        <v>51</v>
      </c>
      <c r="G323" s="14" t="s">
        <v>128</v>
      </c>
      <c r="H323" s="14" t="s">
        <v>81</v>
      </c>
      <c r="I323" s="14" t="s">
        <v>59</v>
      </c>
      <c r="J323" s="14" t="s">
        <v>200</v>
      </c>
      <c r="K323" s="14" t="s">
        <v>222</v>
      </c>
      <c r="L323" s="14">
        <v>25.0</v>
      </c>
      <c r="M323" s="17" t="str">
        <f t="shared" ref="M323:N323" si="168">"+0"</f>
        <v>+0</v>
      </c>
      <c r="N323" s="18" t="str">
        <f t="shared" si="168"/>
        <v>+0</v>
      </c>
    </row>
    <row r="324">
      <c r="A324" s="13">
        <v>45901.0</v>
      </c>
      <c r="B324" s="14" t="s">
        <v>47</v>
      </c>
      <c r="C324" s="14" t="s">
        <v>48</v>
      </c>
      <c r="D324" s="14" t="s">
        <v>181</v>
      </c>
      <c r="E324" s="14" t="s">
        <v>182</v>
      </c>
      <c r="F324" s="15" t="s">
        <v>51</v>
      </c>
      <c r="G324" s="14" t="s">
        <v>183</v>
      </c>
      <c r="H324" s="14" t="s">
        <v>181</v>
      </c>
      <c r="I324" s="14" t="s">
        <v>59</v>
      </c>
      <c r="J324" s="14" t="s">
        <v>200</v>
      </c>
      <c r="K324" s="14" t="s">
        <v>204</v>
      </c>
      <c r="L324" s="14">
        <v>0.0</v>
      </c>
      <c r="M324" s="17" t="str">
        <f t="shared" ref="M324:N324" si="169">"+0"</f>
        <v>+0</v>
      </c>
      <c r="N324" s="18" t="str">
        <f t="shared" si="169"/>
        <v>+0</v>
      </c>
    </row>
    <row r="325">
      <c r="A325" s="13">
        <v>45901.0</v>
      </c>
      <c r="B325" s="14" t="s">
        <v>47</v>
      </c>
      <c r="C325" s="14" t="s">
        <v>48</v>
      </c>
      <c r="D325" s="14" t="s">
        <v>91</v>
      </c>
      <c r="E325" s="14" t="s">
        <v>92</v>
      </c>
      <c r="F325" s="15" t="s">
        <v>51</v>
      </c>
      <c r="G325" s="14" t="s">
        <v>163</v>
      </c>
      <c r="H325" s="14" t="s">
        <v>91</v>
      </c>
      <c r="I325" s="14" t="s">
        <v>59</v>
      </c>
      <c r="J325" s="14" t="s">
        <v>200</v>
      </c>
      <c r="K325" s="14" t="s">
        <v>227</v>
      </c>
      <c r="L325" s="14">
        <v>44.0</v>
      </c>
      <c r="M325" s="17" t="str">
        <f>"+1"</f>
        <v>+1</v>
      </c>
      <c r="N325" s="18" t="str">
        <f>"-2"</f>
        <v>-2</v>
      </c>
    </row>
    <row r="326">
      <c r="A326" s="13">
        <v>45901.0</v>
      </c>
      <c r="B326" s="14" t="s">
        <v>47</v>
      </c>
      <c r="C326" s="14" t="s">
        <v>48</v>
      </c>
      <c r="D326" s="14" t="s">
        <v>63</v>
      </c>
      <c r="E326" s="14" t="s">
        <v>64</v>
      </c>
      <c r="F326" s="15" t="s">
        <v>51</v>
      </c>
      <c r="G326" s="14" t="s">
        <v>65</v>
      </c>
      <c r="H326" s="14" t="s">
        <v>63</v>
      </c>
      <c r="I326" s="14" t="s">
        <v>54</v>
      </c>
      <c r="J326" s="14" t="s">
        <v>199</v>
      </c>
      <c r="K326" s="14" t="s">
        <v>206</v>
      </c>
      <c r="L326" s="14">
        <v>100.0</v>
      </c>
      <c r="M326" s="17" t="str">
        <f t="shared" ref="M326:N326" si="170">"+0"</f>
        <v>+0</v>
      </c>
      <c r="N326" s="18" t="str">
        <f t="shared" si="170"/>
        <v>+0</v>
      </c>
    </row>
    <row r="327">
      <c r="A327" s="13">
        <v>45901.0</v>
      </c>
      <c r="B327" s="14" t="s">
        <v>47</v>
      </c>
      <c r="C327" s="14" t="s">
        <v>48</v>
      </c>
      <c r="D327" s="14" t="s">
        <v>66</v>
      </c>
      <c r="E327" s="14" t="s">
        <v>67</v>
      </c>
      <c r="F327" s="15" t="s">
        <v>51</v>
      </c>
      <c r="G327" s="14" t="s">
        <v>68</v>
      </c>
      <c r="H327" s="14" t="s">
        <v>66</v>
      </c>
      <c r="I327" s="14" t="s">
        <v>59</v>
      </c>
      <c r="J327" s="14" t="s">
        <v>200</v>
      </c>
      <c r="K327" s="14" t="s">
        <v>209</v>
      </c>
      <c r="L327" s="14">
        <v>39.0</v>
      </c>
      <c r="M327" s="17" t="str">
        <f>"+0"</f>
        <v>+0</v>
      </c>
      <c r="N327" s="18" t="str">
        <f>"+5"</f>
        <v>+5</v>
      </c>
    </row>
    <row r="328">
      <c r="A328" s="13">
        <v>45901.0</v>
      </c>
      <c r="B328" s="14" t="s">
        <v>47</v>
      </c>
      <c r="C328" s="14" t="s">
        <v>48</v>
      </c>
      <c r="D328" s="14" t="s">
        <v>184</v>
      </c>
      <c r="E328" s="14" t="s">
        <v>185</v>
      </c>
      <c r="F328" s="15" t="s">
        <v>51</v>
      </c>
      <c r="G328" s="14" t="s">
        <v>186</v>
      </c>
      <c r="H328" s="14" t="s">
        <v>187</v>
      </c>
      <c r="I328" s="14" t="s">
        <v>59</v>
      </c>
      <c r="J328" s="14" t="s">
        <v>198</v>
      </c>
      <c r="K328" s="14" t="s">
        <v>212</v>
      </c>
      <c r="L328" s="14">
        <v>58.0</v>
      </c>
      <c r="M328" s="17" t="str">
        <f t="shared" ref="M328:N328" si="171">"+17"</f>
        <v>+17</v>
      </c>
      <c r="N328" s="18" t="str">
        <f t="shared" si="171"/>
        <v>+17</v>
      </c>
    </row>
    <row r="329">
      <c r="A329" s="13">
        <v>45901.0</v>
      </c>
      <c r="B329" s="14" t="s">
        <v>47</v>
      </c>
      <c r="C329" s="14" t="s">
        <v>48</v>
      </c>
      <c r="D329" s="14" t="s">
        <v>129</v>
      </c>
      <c r="E329" s="14" t="s">
        <v>130</v>
      </c>
      <c r="F329" s="15" t="s">
        <v>51</v>
      </c>
      <c r="G329" s="14" t="s">
        <v>131</v>
      </c>
      <c r="H329" s="14" t="s">
        <v>129</v>
      </c>
      <c r="I329" s="14" t="s">
        <v>59</v>
      </c>
      <c r="J329" s="14" t="s">
        <v>200</v>
      </c>
      <c r="K329" s="14" t="s">
        <v>222</v>
      </c>
      <c r="L329" s="14">
        <v>25.0</v>
      </c>
      <c r="M329" s="17" t="str">
        <f t="shared" ref="M329:N329" si="172">"+0"</f>
        <v>+0</v>
      </c>
      <c r="N329" s="18" t="str">
        <f t="shared" si="172"/>
        <v>+0</v>
      </c>
    </row>
    <row r="330">
      <c r="A330" s="13">
        <v>45901.0</v>
      </c>
      <c r="B330" s="14" t="s">
        <v>47</v>
      </c>
      <c r="C330" s="14" t="s">
        <v>48</v>
      </c>
      <c r="D330" s="14" t="s">
        <v>60</v>
      </c>
      <c r="E330" s="14" t="s">
        <v>61</v>
      </c>
      <c r="F330" s="15" t="s">
        <v>51</v>
      </c>
      <c r="G330" s="14" t="s">
        <v>62</v>
      </c>
      <c r="H330" s="14" t="s">
        <v>60</v>
      </c>
      <c r="I330" s="14" t="s">
        <v>59</v>
      </c>
      <c r="J330" s="14" t="s">
        <v>200</v>
      </c>
      <c r="K330" s="14" t="s">
        <v>209</v>
      </c>
      <c r="L330" s="14">
        <v>9.0</v>
      </c>
      <c r="M330" s="17" t="str">
        <f>"+1"</f>
        <v>+1</v>
      </c>
      <c r="N330" s="18" t="str">
        <f>"+2"</f>
        <v>+2</v>
      </c>
    </row>
    <row r="331">
      <c r="A331" s="13">
        <v>45901.0</v>
      </c>
      <c r="B331" s="14" t="s">
        <v>47</v>
      </c>
      <c r="C331" s="14" t="s">
        <v>48</v>
      </c>
      <c r="D331" s="14" t="s">
        <v>91</v>
      </c>
      <c r="E331" s="14" t="s">
        <v>92</v>
      </c>
      <c r="F331" s="14" t="s">
        <v>71</v>
      </c>
      <c r="G331" s="14">
        <v>5.00008612E8</v>
      </c>
      <c r="H331" s="14" t="s">
        <v>91</v>
      </c>
      <c r="I331" s="14" t="s">
        <v>59</v>
      </c>
      <c r="J331" s="14" t="s">
        <v>199</v>
      </c>
      <c r="K331" s="14" t="s">
        <v>206</v>
      </c>
      <c r="L331" s="14">
        <v>100.0</v>
      </c>
      <c r="M331" s="17" t="str">
        <f t="shared" ref="M331:N331" si="173">"+0"</f>
        <v>+0</v>
      </c>
      <c r="N331" s="18" t="str">
        <f t="shared" si="173"/>
        <v>+0</v>
      </c>
    </row>
    <row r="332">
      <c r="A332" s="13">
        <v>45901.0</v>
      </c>
      <c r="B332" s="14" t="s">
        <v>47</v>
      </c>
      <c r="C332" s="14" t="s">
        <v>48</v>
      </c>
      <c r="D332" s="14" t="s">
        <v>91</v>
      </c>
      <c r="E332" s="14" t="s">
        <v>92</v>
      </c>
      <c r="F332" s="15" t="s">
        <v>51</v>
      </c>
      <c r="G332" s="14" t="s">
        <v>163</v>
      </c>
      <c r="H332" s="14" t="s">
        <v>91</v>
      </c>
      <c r="I332" s="14" t="s">
        <v>59</v>
      </c>
      <c r="J332" s="14" t="s">
        <v>200</v>
      </c>
      <c r="K332" s="14" t="s">
        <v>223</v>
      </c>
      <c r="L332" s="14">
        <v>34.0</v>
      </c>
      <c r="M332" s="17" t="str">
        <f>"+2"</f>
        <v>+2</v>
      </c>
      <c r="N332" s="18" t="str">
        <f>"-3"</f>
        <v>-3</v>
      </c>
    </row>
    <row r="333">
      <c r="A333" s="13">
        <v>45901.0</v>
      </c>
      <c r="B333" s="14" t="s">
        <v>47</v>
      </c>
      <c r="C333" s="14" t="s">
        <v>48</v>
      </c>
      <c r="D333" s="14" t="s">
        <v>91</v>
      </c>
      <c r="E333" s="14" t="s">
        <v>92</v>
      </c>
      <c r="F333" s="15" t="s">
        <v>51</v>
      </c>
      <c r="G333" s="14" t="s">
        <v>163</v>
      </c>
      <c r="H333" s="14" t="s">
        <v>91</v>
      </c>
      <c r="I333" s="14" t="s">
        <v>59</v>
      </c>
      <c r="J333" s="14" t="s">
        <v>200</v>
      </c>
      <c r="K333" s="14" t="s">
        <v>214</v>
      </c>
      <c r="L333" s="14">
        <v>0.0</v>
      </c>
      <c r="M333" s="17" t="str">
        <f t="shared" ref="M333:N333" si="174">"+0"</f>
        <v>+0</v>
      </c>
      <c r="N333" s="18" t="str">
        <f t="shared" si="174"/>
        <v>+0</v>
      </c>
    </row>
    <row r="334">
      <c r="A334" s="13">
        <v>45901.0</v>
      </c>
      <c r="B334" s="14" t="s">
        <v>47</v>
      </c>
      <c r="C334" s="14" t="s">
        <v>48</v>
      </c>
      <c r="D334" s="14" t="s">
        <v>63</v>
      </c>
      <c r="E334" s="14" t="s">
        <v>64</v>
      </c>
      <c r="F334" s="15" t="s">
        <v>51</v>
      </c>
      <c r="G334" s="14" t="s">
        <v>65</v>
      </c>
      <c r="H334" s="14" t="s">
        <v>63</v>
      </c>
      <c r="I334" s="14" t="s">
        <v>54</v>
      </c>
      <c r="J334" s="14" t="s">
        <v>199</v>
      </c>
      <c r="K334" s="14" t="s">
        <v>203</v>
      </c>
      <c r="L334" s="14">
        <v>100.0</v>
      </c>
      <c r="M334" s="17" t="str">
        <f t="shared" ref="M334:N334" si="175">"+0"</f>
        <v>+0</v>
      </c>
      <c r="N334" s="18" t="str">
        <f t="shared" si="175"/>
        <v>+0</v>
      </c>
    </row>
    <row r="335">
      <c r="A335" s="13">
        <v>45901.0</v>
      </c>
      <c r="B335" s="14" t="s">
        <v>47</v>
      </c>
      <c r="C335" s="14" t="s">
        <v>48</v>
      </c>
      <c r="D335" s="14" t="s">
        <v>112</v>
      </c>
      <c r="E335" s="14" t="s">
        <v>113</v>
      </c>
      <c r="F335" s="15" t="s">
        <v>51</v>
      </c>
      <c r="G335" s="14" t="s">
        <v>114</v>
      </c>
      <c r="H335" s="14" t="s">
        <v>112</v>
      </c>
      <c r="I335" s="14" t="s">
        <v>59</v>
      </c>
      <c r="J335" s="14" t="s">
        <v>200</v>
      </c>
      <c r="K335" s="14" t="s">
        <v>201</v>
      </c>
      <c r="L335" s="14">
        <v>1.0</v>
      </c>
      <c r="M335" s="17" t="str">
        <f t="shared" ref="M335:N335" si="176">"+0"</f>
        <v>+0</v>
      </c>
      <c r="N335" s="18" t="str">
        <f t="shared" si="176"/>
        <v>+0</v>
      </c>
    </row>
    <row r="336">
      <c r="A336" s="13">
        <v>45901.0</v>
      </c>
      <c r="B336" s="14" t="s">
        <v>47</v>
      </c>
      <c r="C336" s="14" t="s">
        <v>48</v>
      </c>
      <c r="D336" s="14" t="s">
        <v>174</v>
      </c>
      <c r="E336" s="14" t="s">
        <v>175</v>
      </c>
      <c r="F336" s="15" t="s">
        <v>51</v>
      </c>
      <c r="G336" s="14" t="s">
        <v>176</v>
      </c>
      <c r="H336" s="14" t="s">
        <v>174</v>
      </c>
      <c r="I336" s="14" t="s">
        <v>59</v>
      </c>
      <c r="J336" s="14" t="s">
        <v>198</v>
      </c>
      <c r="K336" s="14" t="s">
        <v>205</v>
      </c>
      <c r="L336" s="14">
        <v>70.0</v>
      </c>
      <c r="M336" s="17" t="str">
        <f t="shared" ref="M336:M341" si="177">"+0"</f>
        <v>+0</v>
      </c>
    </row>
    <row r="337">
      <c r="A337" s="13">
        <v>45901.0</v>
      </c>
      <c r="B337" s="14" t="s">
        <v>47</v>
      </c>
      <c r="C337" s="14" t="s">
        <v>48</v>
      </c>
      <c r="D337" s="14" t="s">
        <v>93</v>
      </c>
      <c r="E337" s="14" t="s">
        <v>94</v>
      </c>
      <c r="F337" s="15" t="s">
        <v>51</v>
      </c>
      <c r="G337" s="14" t="s">
        <v>191</v>
      </c>
      <c r="H337" s="14" t="s">
        <v>95</v>
      </c>
      <c r="I337" s="14" t="s">
        <v>59</v>
      </c>
      <c r="J337" s="14" t="s">
        <v>200</v>
      </c>
      <c r="K337" s="14" t="s">
        <v>201</v>
      </c>
      <c r="L337" s="14">
        <v>1.0</v>
      </c>
      <c r="M337" s="17" t="str">
        <f t="shared" si="177"/>
        <v>+0</v>
      </c>
      <c r="N337" s="18" t="str">
        <f t="shared" ref="N337:N341" si="178">"+0"</f>
        <v>+0</v>
      </c>
    </row>
    <row r="338">
      <c r="A338" s="13">
        <v>45901.0</v>
      </c>
      <c r="B338" s="14" t="s">
        <v>47</v>
      </c>
      <c r="C338" s="14" t="s">
        <v>48</v>
      </c>
      <c r="D338" s="14" t="s">
        <v>91</v>
      </c>
      <c r="E338" s="14" t="s">
        <v>92</v>
      </c>
      <c r="F338" s="14" t="s">
        <v>146</v>
      </c>
      <c r="G338" s="14" t="s">
        <v>147</v>
      </c>
      <c r="H338" s="14" t="s">
        <v>91</v>
      </c>
      <c r="I338" s="14" t="s">
        <v>107</v>
      </c>
      <c r="J338" s="14" t="s">
        <v>199</v>
      </c>
      <c r="K338" s="14" t="s">
        <v>208</v>
      </c>
      <c r="L338" s="14">
        <v>100.0</v>
      </c>
      <c r="M338" s="17" t="str">
        <f t="shared" si="177"/>
        <v>+0</v>
      </c>
      <c r="N338" s="18" t="str">
        <f t="shared" si="178"/>
        <v>+0</v>
      </c>
    </row>
    <row r="339">
      <c r="A339" s="13">
        <v>45901.0</v>
      </c>
      <c r="B339" s="14" t="s">
        <v>47</v>
      </c>
      <c r="C339" s="14" t="s">
        <v>48</v>
      </c>
      <c r="D339" s="14" t="s">
        <v>91</v>
      </c>
      <c r="E339" s="14" t="s">
        <v>92</v>
      </c>
      <c r="F339" s="14" t="s">
        <v>146</v>
      </c>
      <c r="G339" s="14" t="s">
        <v>147</v>
      </c>
      <c r="H339" s="14" t="s">
        <v>91</v>
      </c>
      <c r="I339" s="14" t="s">
        <v>107</v>
      </c>
      <c r="J339" s="14" t="s">
        <v>199</v>
      </c>
      <c r="K339" s="14" t="s">
        <v>206</v>
      </c>
      <c r="L339" s="14">
        <v>100.0</v>
      </c>
      <c r="M339" s="17" t="str">
        <f t="shared" si="177"/>
        <v>+0</v>
      </c>
      <c r="N339" s="18" t="str">
        <f t="shared" si="178"/>
        <v>+0</v>
      </c>
    </row>
    <row r="340">
      <c r="A340" s="13">
        <v>45901.0</v>
      </c>
      <c r="B340" s="14" t="s">
        <v>47</v>
      </c>
      <c r="C340" s="14" t="s">
        <v>48</v>
      </c>
      <c r="D340" s="14" t="s">
        <v>91</v>
      </c>
      <c r="E340" s="14" t="s">
        <v>92</v>
      </c>
      <c r="F340" s="15" t="s">
        <v>51</v>
      </c>
      <c r="G340" s="14" t="s">
        <v>163</v>
      </c>
      <c r="H340" s="14" t="s">
        <v>91</v>
      </c>
      <c r="I340" s="14" t="s">
        <v>59</v>
      </c>
      <c r="J340" s="14" t="s">
        <v>200</v>
      </c>
      <c r="K340" s="14" t="s">
        <v>201</v>
      </c>
      <c r="L340" s="14">
        <v>1.0</v>
      </c>
      <c r="M340" s="17" t="str">
        <f t="shared" si="177"/>
        <v>+0</v>
      </c>
      <c r="N340" s="18" t="str">
        <f t="shared" si="178"/>
        <v>+0</v>
      </c>
    </row>
    <row r="341">
      <c r="A341" s="13">
        <v>45901.0</v>
      </c>
      <c r="B341" s="14" t="s">
        <v>47</v>
      </c>
      <c r="C341" s="14" t="s">
        <v>48</v>
      </c>
      <c r="D341" s="14" t="s">
        <v>184</v>
      </c>
      <c r="E341" s="14" t="s">
        <v>185</v>
      </c>
      <c r="F341" s="15" t="s">
        <v>51</v>
      </c>
      <c r="G341" s="14" t="s">
        <v>186</v>
      </c>
      <c r="H341" s="14" t="s">
        <v>187</v>
      </c>
      <c r="I341" s="14" t="s">
        <v>59</v>
      </c>
      <c r="J341" s="14" t="s">
        <v>200</v>
      </c>
      <c r="K341" s="14" t="s">
        <v>209</v>
      </c>
      <c r="L341" s="14">
        <v>42.0</v>
      </c>
      <c r="M341" s="17" t="str">
        <f t="shared" si="177"/>
        <v>+0</v>
      </c>
      <c r="N341" s="18" t="str">
        <f t="shared" si="178"/>
        <v>+0</v>
      </c>
    </row>
    <row r="342">
      <c r="A342" s="13">
        <v>45901.0</v>
      </c>
      <c r="B342" s="14" t="s">
        <v>47</v>
      </c>
      <c r="C342" s="14" t="s">
        <v>48</v>
      </c>
      <c r="D342" s="14" t="s">
        <v>87</v>
      </c>
      <c r="E342" s="14" t="s">
        <v>88</v>
      </c>
      <c r="F342" s="15" t="s">
        <v>51</v>
      </c>
      <c r="G342" s="14" t="s">
        <v>89</v>
      </c>
      <c r="H342" s="14" t="s">
        <v>90</v>
      </c>
      <c r="I342" s="14" t="s">
        <v>59</v>
      </c>
      <c r="J342" s="14" t="s">
        <v>200</v>
      </c>
      <c r="K342" s="14" t="s">
        <v>211</v>
      </c>
      <c r="L342" s="14">
        <v>6.0</v>
      </c>
      <c r="M342" s="17" t="str">
        <f>"-2"</f>
        <v>-2</v>
      </c>
      <c r="N342" s="18" t="str">
        <f>"-3"</f>
        <v>-3</v>
      </c>
    </row>
    <row r="343">
      <c r="A343" s="13">
        <v>45901.0</v>
      </c>
      <c r="B343" s="14" t="s">
        <v>47</v>
      </c>
      <c r="C343" s="14" t="s">
        <v>48</v>
      </c>
      <c r="D343" s="14" t="s">
        <v>108</v>
      </c>
      <c r="E343" s="14" t="s">
        <v>109</v>
      </c>
      <c r="F343" s="14" t="s">
        <v>79</v>
      </c>
      <c r="G343" s="14" t="s">
        <v>153</v>
      </c>
      <c r="H343" s="14" t="s">
        <v>108</v>
      </c>
      <c r="I343" s="14" t="s">
        <v>154</v>
      </c>
      <c r="J343" s="14" t="s">
        <v>199</v>
      </c>
      <c r="K343" s="14" t="s">
        <v>208</v>
      </c>
      <c r="L343" s="14">
        <v>80.0</v>
      </c>
      <c r="M343" s="17" t="str">
        <f t="shared" ref="M343:M344" si="179">"+0"</f>
        <v>+0</v>
      </c>
    </row>
    <row r="344">
      <c r="A344" s="13">
        <v>45901.0</v>
      </c>
      <c r="B344" s="14" t="s">
        <v>47</v>
      </c>
      <c r="C344" s="14" t="s">
        <v>48</v>
      </c>
      <c r="D344" s="14" t="s">
        <v>112</v>
      </c>
      <c r="E344" s="14" t="s">
        <v>113</v>
      </c>
      <c r="F344" s="15" t="s">
        <v>51</v>
      </c>
      <c r="G344" s="14" t="s">
        <v>114</v>
      </c>
      <c r="H344" s="14" t="s">
        <v>112</v>
      </c>
      <c r="I344" s="14" t="s">
        <v>59</v>
      </c>
      <c r="J344" s="14" t="s">
        <v>200</v>
      </c>
      <c r="K344" s="14" t="s">
        <v>202</v>
      </c>
      <c r="L344" s="14">
        <v>0.0</v>
      </c>
      <c r="M344" s="17" t="str">
        <f t="shared" si="179"/>
        <v>+0</v>
      </c>
      <c r="N344" s="18" t="str">
        <f>"+0"</f>
        <v>+0</v>
      </c>
    </row>
    <row r="345">
      <c r="A345" s="13">
        <v>45901.0</v>
      </c>
      <c r="B345" s="14" t="s">
        <v>47</v>
      </c>
      <c r="C345" s="14" t="s">
        <v>48</v>
      </c>
      <c r="D345" s="14" t="s">
        <v>91</v>
      </c>
      <c r="E345" s="14" t="s">
        <v>92</v>
      </c>
      <c r="F345" s="14" t="s">
        <v>79</v>
      </c>
      <c r="G345" s="14" t="s">
        <v>164</v>
      </c>
      <c r="H345" s="14" t="s">
        <v>91</v>
      </c>
      <c r="I345" s="14" t="s">
        <v>154</v>
      </c>
      <c r="J345" s="14" t="s">
        <v>200</v>
      </c>
      <c r="K345" s="14" t="s">
        <v>237</v>
      </c>
      <c r="L345" s="14">
        <v>15.0</v>
      </c>
      <c r="M345" s="17" t="str">
        <f t="shared" ref="M345:N345" si="180">"+1"</f>
        <v>+1</v>
      </c>
      <c r="N345" s="18" t="str">
        <f t="shared" si="180"/>
        <v>+1</v>
      </c>
    </row>
    <row r="346">
      <c r="A346" s="13">
        <v>45901.0</v>
      </c>
      <c r="B346" s="14" t="s">
        <v>47</v>
      </c>
      <c r="C346" s="14" t="s">
        <v>48</v>
      </c>
      <c r="D346" s="14" t="s">
        <v>91</v>
      </c>
      <c r="E346" s="14" t="s">
        <v>92</v>
      </c>
      <c r="F346" s="14" t="s">
        <v>79</v>
      </c>
      <c r="G346" s="14" t="s">
        <v>164</v>
      </c>
      <c r="H346" s="14" t="s">
        <v>91</v>
      </c>
      <c r="I346" s="14" t="s">
        <v>154</v>
      </c>
      <c r="J346" s="14" t="s">
        <v>199</v>
      </c>
      <c r="K346" s="14" t="s">
        <v>203</v>
      </c>
      <c r="L346" s="14">
        <v>67.0</v>
      </c>
      <c r="M346" s="17" t="str">
        <f t="shared" ref="M346:N346" si="181">"-33"</f>
        <v>-33</v>
      </c>
      <c r="N346" s="18" t="str">
        <f t="shared" si="181"/>
        <v>-33</v>
      </c>
    </row>
    <row r="347">
      <c r="A347" s="13">
        <v>45901.0</v>
      </c>
      <c r="B347" s="14" t="s">
        <v>47</v>
      </c>
      <c r="C347" s="14" t="s">
        <v>48</v>
      </c>
      <c r="D347" s="14" t="s">
        <v>136</v>
      </c>
      <c r="E347" s="14" t="s">
        <v>137</v>
      </c>
      <c r="F347" s="15" t="s">
        <v>51</v>
      </c>
      <c r="G347" s="14" t="s">
        <v>138</v>
      </c>
      <c r="H347" s="14" t="s">
        <v>139</v>
      </c>
      <c r="I347" s="14" t="s">
        <v>59</v>
      </c>
      <c r="J347" s="14" t="s">
        <v>200</v>
      </c>
      <c r="K347" s="14" t="s">
        <v>214</v>
      </c>
      <c r="L347" s="14">
        <v>66.0</v>
      </c>
      <c r="M347" s="17" t="str">
        <f>"-2"</f>
        <v>-2</v>
      </c>
      <c r="N347" s="18" t="str">
        <f>"-12"</f>
        <v>-12</v>
      </c>
    </row>
    <row r="348">
      <c r="A348" s="13">
        <v>45901.0</v>
      </c>
      <c r="B348" s="14" t="s">
        <v>47</v>
      </c>
      <c r="C348" s="14" t="s">
        <v>48</v>
      </c>
      <c r="D348" s="14" t="s">
        <v>140</v>
      </c>
      <c r="E348" s="14" t="s">
        <v>141</v>
      </c>
      <c r="F348" s="15" t="s">
        <v>51</v>
      </c>
      <c r="G348" s="14" t="s">
        <v>142</v>
      </c>
      <c r="H348" s="14" t="s">
        <v>140</v>
      </c>
      <c r="I348" s="14" t="s">
        <v>59</v>
      </c>
      <c r="J348" s="14" t="s">
        <v>200</v>
      </c>
      <c r="K348" s="14" t="s">
        <v>201</v>
      </c>
      <c r="L348" s="14">
        <v>1.0</v>
      </c>
      <c r="M348" s="17" t="str">
        <f t="shared" ref="M348:N348" si="182">"+0"</f>
        <v>+0</v>
      </c>
      <c r="N348" s="18" t="str">
        <f t="shared" si="182"/>
        <v>+0</v>
      </c>
    </row>
    <row r="349">
      <c r="A349" s="13">
        <v>45901.0</v>
      </c>
      <c r="B349" s="14" t="s">
        <v>47</v>
      </c>
      <c r="C349" s="14" t="s">
        <v>48</v>
      </c>
      <c r="D349" s="14" t="s">
        <v>108</v>
      </c>
      <c r="E349" s="14" t="s">
        <v>109</v>
      </c>
      <c r="F349" s="15" t="s">
        <v>51</v>
      </c>
      <c r="G349" s="14" t="s">
        <v>110</v>
      </c>
      <c r="H349" s="14" t="s">
        <v>108</v>
      </c>
      <c r="I349" s="14" t="s">
        <v>59</v>
      </c>
      <c r="J349" s="14" t="s">
        <v>199</v>
      </c>
      <c r="K349" s="14" t="s">
        <v>206</v>
      </c>
      <c r="L349" s="14">
        <v>60.0</v>
      </c>
      <c r="M349" s="17" t="str">
        <f>"+2"</f>
        <v>+2</v>
      </c>
      <c r="N349" s="18" t="str">
        <f>"+36"</f>
        <v>+36</v>
      </c>
    </row>
    <row r="350">
      <c r="A350" s="13">
        <v>45901.0</v>
      </c>
      <c r="B350" s="14" t="s">
        <v>47</v>
      </c>
      <c r="C350" s="14" t="s">
        <v>48</v>
      </c>
      <c r="D350" s="14" t="s">
        <v>99</v>
      </c>
      <c r="E350" s="14" t="s">
        <v>100</v>
      </c>
      <c r="F350" s="15" t="s">
        <v>51</v>
      </c>
      <c r="G350" s="14" t="s">
        <v>101</v>
      </c>
      <c r="H350" s="14" t="s">
        <v>102</v>
      </c>
      <c r="I350" s="14" t="s">
        <v>54</v>
      </c>
      <c r="J350" s="14" t="s">
        <v>200</v>
      </c>
      <c r="K350" s="14" t="s">
        <v>222</v>
      </c>
      <c r="L350" s="14">
        <v>58.0</v>
      </c>
      <c r="M350" s="17" t="str">
        <f t="shared" ref="M350:N350" si="183">"+25"</f>
        <v>+25</v>
      </c>
      <c r="N350" s="18" t="str">
        <f t="shared" si="183"/>
        <v>+25</v>
      </c>
    </row>
    <row r="351">
      <c r="A351" s="13">
        <v>45901.0</v>
      </c>
      <c r="B351" s="14" t="s">
        <v>47</v>
      </c>
      <c r="C351" s="14" t="s">
        <v>48</v>
      </c>
      <c r="D351" s="14" t="s">
        <v>73</v>
      </c>
      <c r="E351" s="14" t="s">
        <v>74</v>
      </c>
      <c r="F351" s="15" t="s">
        <v>51</v>
      </c>
      <c r="G351" s="14" t="s">
        <v>75</v>
      </c>
      <c r="H351" s="14" t="s">
        <v>76</v>
      </c>
      <c r="I351" s="14" t="s">
        <v>59</v>
      </c>
      <c r="J351" s="14" t="s">
        <v>199</v>
      </c>
      <c r="K351" s="14" t="s">
        <v>206</v>
      </c>
      <c r="L351" s="14">
        <v>26.0</v>
      </c>
      <c r="M351" s="17" t="str">
        <f t="shared" ref="M351:N351" si="184">"+2"</f>
        <v>+2</v>
      </c>
      <c r="N351" s="18" t="str">
        <f t="shared" si="184"/>
        <v>+2</v>
      </c>
    </row>
    <row r="352">
      <c r="A352" s="13">
        <v>45901.0</v>
      </c>
      <c r="B352" s="14" t="s">
        <v>47</v>
      </c>
      <c r="C352" s="14" t="s">
        <v>48</v>
      </c>
      <c r="D352" s="14" t="s">
        <v>125</v>
      </c>
      <c r="E352" s="14" t="s">
        <v>126</v>
      </c>
      <c r="F352" s="15" t="s">
        <v>51</v>
      </c>
      <c r="G352" s="14" t="s">
        <v>127</v>
      </c>
      <c r="H352" s="14" t="s">
        <v>125</v>
      </c>
      <c r="I352" s="14" t="s">
        <v>59</v>
      </c>
      <c r="J352" s="14" t="s">
        <v>200</v>
      </c>
      <c r="K352" s="14" t="s">
        <v>209</v>
      </c>
      <c r="L352" s="14">
        <v>13.0</v>
      </c>
      <c r="M352" s="17" t="str">
        <f t="shared" ref="M352:N352" si="185">"+0"</f>
        <v>+0</v>
      </c>
      <c r="N352" s="18" t="str">
        <f t="shared" si="185"/>
        <v>+0</v>
      </c>
    </row>
    <row r="353">
      <c r="A353" s="13">
        <v>45901.0</v>
      </c>
      <c r="B353" s="14" t="s">
        <v>47</v>
      </c>
      <c r="C353" s="14" t="s">
        <v>48</v>
      </c>
      <c r="D353" s="14" t="s">
        <v>195</v>
      </c>
      <c r="E353" s="14" t="s">
        <v>196</v>
      </c>
      <c r="F353" s="14" t="s">
        <v>111</v>
      </c>
      <c r="G353" s="14">
        <v>5252823.0</v>
      </c>
      <c r="H353" s="14" t="s">
        <v>197</v>
      </c>
      <c r="I353" s="14" t="s">
        <v>59</v>
      </c>
      <c r="J353" s="14" t="s">
        <v>199</v>
      </c>
      <c r="K353" s="14" t="s">
        <v>206</v>
      </c>
      <c r="L353" s="14">
        <v>57.0</v>
      </c>
      <c r="M353" s="17" t="str">
        <f t="shared" ref="M353:M354" si="186">"+0"</f>
        <v>+0</v>
      </c>
      <c r="N353" s="18" t="str">
        <f>"-9"</f>
        <v>-9</v>
      </c>
    </row>
    <row r="354">
      <c r="A354" s="13">
        <v>45901.0</v>
      </c>
      <c r="B354" s="14" t="s">
        <v>47</v>
      </c>
      <c r="C354" s="14" t="s">
        <v>48</v>
      </c>
      <c r="D354" s="14" t="s">
        <v>168</v>
      </c>
      <c r="E354" s="14" t="s">
        <v>169</v>
      </c>
      <c r="F354" s="15" t="s">
        <v>51</v>
      </c>
      <c r="G354" s="14" t="s">
        <v>170</v>
      </c>
      <c r="H354" s="14" t="s">
        <v>168</v>
      </c>
      <c r="I354" s="14" t="s">
        <v>59</v>
      </c>
      <c r="J354" s="14" t="s">
        <v>198</v>
      </c>
      <c r="K354" s="14" t="s">
        <v>205</v>
      </c>
      <c r="L354" s="14">
        <v>70.0</v>
      </c>
      <c r="M354" s="17" t="str">
        <f t="shared" si="186"/>
        <v>+0</v>
      </c>
    </row>
    <row r="355">
      <c r="A355" s="13">
        <v>45901.0</v>
      </c>
      <c r="B355" s="14" t="s">
        <v>47</v>
      </c>
      <c r="C355" s="14" t="s">
        <v>48</v>
      </c>
      <c r="D355" s="14" t="s">
        <v>49</v>
      </c>
      <c r="E355" s="14" t="s">
        <v>50</v>
      </c>
      <c r="F355" s="15" t="s">
        <v>51</v>
      </c>
      <c r="G355" s="14" t="s">
        <v>52</v>
      </c>
      <c r="H355" s="14" t="s">
        <v>53</v>
      </c>
      <c r="I355" s="14" t="s">
        <v>54</v>
      </c>
      <c r="J355" s="14" t="s">
        <v>200</v>
      </c>
      <c r="K355" s="14" t="s">
        <v>201</v>
      </c>
      <c r="L355" s="14">
        <v>34.0</v>
      </c>
      <c r="M355" s="17" t="str">
        <f>"+1"</f>
        <v>+1</v>
      </c>
      <c r="N355" s="18" t="str">
        <f>"-27"</f>
        <v>-27</v>
      </c>
    </row>
    <row r="356">
      <c r="A356" s="13">
        <v>45901.0</v>
      </c>
      <c r="B356" s="14" t="s">
        <v>47</v>
      </c>
      <c r="C356" s="14" t="s">
        <v>48</v>
      </c>
      <c r="D356" s="14" t="s">
        <v>91</v>
      </c>
      <c r="E356" s="14" t="s">
        <v>92</v>
      </c>
      <c r="F356" s="14" t="s">
        <v>71</v>
      </c>
      <c r="G356" s="14">
        <v>7295600.0</v>
      </c>
      <c r="H356" s="14" t="s">
        <v>91</v>
      </c>
      <c r="I356" s="14" t="s">
        <v>54</v>
      </c>
      <c r="J356" s="14" t="s">
        <v>200</v>
      </c>
      <c r="K356" s="14" t="s">
        <v>218</v>
      </c>
      <c r="L356" s="14">
        <v>99.0</v>
      </c>
      <c r="M356" s="17" t="str">
        <f t="shared" ref="M356:N356" si="187">"+0"</f>
        <v>+0</v>
      </c>
      <c r="N356" s="18" t="str">
        <f t="shared" si="187"/>
        <v>+0</v>
      </c>
    </row>
    <row r="357">
      <c r="A357" s="13">
        <v>45901.0</v>
      </c>
      <c r="B357" s="14" t="s">
        <v>47</v>
      </c>
      <c r="C357" s="14" t="s">
        <v>48</v>
      </c>
      <c r="D357" s="14" t="s">
        <v>91</v>
      </c>
      <c r="E357" s="14" t="s">
        <v>92</v>
      </c>
      <c r="F357" s="15" t="s">
        <v>51</v>
      </c>
      <c r="G357" s="14" t="s">
        <v>163</v>
      </c>
      <c r="H357" s="14" t="s">
        <v>91</v>
      </c>
      <c r="I357" s="14" t="s">
        <v>59</v>
      </c>
      <c r="J357" s="14" t="s">
        <v>200</v>
      </c>
      <c r="K357" s="14" t="s">
        <v>222</v>
      </c>
      <c r="L357" s="14">
        <v>25.0</v>
      </c>
      <c r="M357" s="17" t="str">
        <f t="shared" ref="M357:N357" si="188">"+0"</f>
        <v>+0</v>
      </c>
      <c r="N357" s="18" t="str">
        <f t="shared" si="188"/>
        <v>+0</v>
      </c>
    </row>
    <row r="358">
      <c r="A358" s="13">
        <v>45901.0</v>
      </c>
      <c r="B358" s="14" t="s">
        <v>47</v>
      </c>
      <c r="C358" s="14" t="s">
        <v>48</v>
      </c>
      <c r="D358" s="14" t="s">
        <v>149</v>
      </c>
      <c r="E358" s="14" t="s">
        <v>150</v>
      </c>
      <c r="F358" s="15" t="s">
        <v>51</v>
      </c>
      <c r="G358" s="14" t="s">
        <v>151</v>
      </c>
      <c r="H358" s="14" t="s">
        <v>152</v>
      </c>
      <c r="I358" s="14" t="s">
        <v>54</v>
      </c>
      <c r="J358" s="14" t="s">
        <v>199</v>
      </c>
      <c r="K358" s="14" t="s">
        <v>208</v>
      </c>
      <c r="L358" s="14">
        <v>100.0</v>
      </c>
      <c r="M358" s="17" t="str">
        <f t="shared" ref="M358:N358" si="189">"+0"</f>
        <v>+0</v>
      </c>
      <c r="N358" s="18" t="str">
        <f t="shared" si="189"/>
        <v>+0</v>
      </c>
    </row>
    <row r="359">
      <c r="A359" s="13">
        <v>45901.0</v>
      </c>
      <c r="B359" s="14" t="s">
        <v>47</v>
      </c>
      <c r="C359" s="14" t="s">
        <v>48</v>
      </c>
      <c r="D359" s="14" t="s">
        <v>136</v>
      </c>
      <c r="E359" s="14" t="s">
        <v>137</v>
      </c>
      <c r="F359" s="15" t="s">
        <v>51</v>
      </c>
      <c r="G359" s="14" t="s">
        <v>138</v>
      </c>
      <c r="H359" s="14" t="s">
        <v>139</v>
      </c>
      <c r="I359" s="14" t="s">
        <v>59</v>
      </c>
      <c r="J359" s="14" t="s">
        <v>198</v>
      </c>
      <c r="K359" s="14" t="s">
        <v>207</v>
      </c>
      <c r="L359" s="14">
        <v>25.0</v>
      </c>
      <c r="M359" s="17" t="str">
        <f>"+0"</f>
        <v>+0</v>
      </c>
    </row>
    <row r="360">
      <c r="A360" s="13">
        <v>45901.0</v>
      </c>
      <c r="B360" s="14" t="s">
        <v>47</v>
      </c>
      <c r="C360" s="14" t="s">
        <v>48</v>
      </c>
      <c r="D360" s="14" t="s">
        <v>174</v>
      </c>
      <c r="E360" s="14" t="s">
        <v>175</v>
      </c>
      <c r="F360" s="15" t="s">
        <v>51</v>
      </c>
      <c r="G360" s="14" t="s">
        <v>176</v>
      </c>
      <c r="H360" s="14" t="s">
        <v>174</v>
      </c>
      <c r="I360" s="14" t="s">
        <v>59</v>
      </c>
      <c r="J360" s="14" t="s">
        <v>198</v>
      </c>
      <c r="K360" s="14" t="s">
        <v>210</v>
      </c>
      <c r="L360" s="14">
        <v>49.0</v>
      </c>
      <c r="M360" s="17" t="str">
        <f>"-2"</f>
        <v>-2</v>
      </c>
      <c r="N360" s="18" t="str">
        <f>"-36"</f>
        <v>-36</v>
      </c>
    </row>
    <row r="361">
      <c r="A361" s="13">
        <v>45901.0</v>
      </c>
      <c r="B361" s="14" t="s">
        <v>47</v>
      </c>
      <c r="C361" s="14" t="s">
        <v>48</v>
      </c>
      <c r="D361" s="14" t="s">
        <v>108</v>
      </c>
      <c r="E361" s="14" t="s">
        <v>109</v>
      </c>
      <c r="F361" s="15" t="s">
        <v>51</v>
      </c>
      <c r="G361" s="14" t="s">
        <v>110</v>
      </c>
      <c r="H361" s="14" t="s">
        <v>108</v>
      </c>
      <c r="I361" s="14" t="s">
        <v>59</v>
      </c>
      <c r="J361" s="14" t="s">
        <v>200</v>
      </c>
      <c r="K361" s="14" t="s">
        <v>213</v>
      </c>
      <c r="L361" s="14">
        <v>19.0</v>
      </c>
      <c r="M361" s="17" t="str">
        <f>"-3"</f>
        <v>-3</v>
      </c>
    </row>
    <row r="362">
      <c r="A362" s="13">
        <v>45901.0</v>
      </c>
      <c r="B362" s="14" t="s">
        <v>47</v>
      </c>
      <c r="C362" s="14" t="s">
        <v>48</v>
      </c>
      <c r="D362" s="14" t="s">
        <v>168</v>
      </c>
      <c r="E362" s="14" t="s">
        <v>169</v>
      </c>
      <c r="F362" s="15" t="s">
        <v>51</v>
      </c>
      <c r="G362" s="14" t="s">
        <v>170</v>
      </c>
      <c r="H362" s="14" t="s">
        <v>168</v>
      </c>
      <c r="I362" s="14" t="s">
        <v>59</v>
      </c>
      <c r="J362" s="14" t="s">
        <v>199</v>
      </c>
      <c r="K362" s="14" t="s">
        <v>208</v>
      </c>
      <c r="L362" s="14">
        <v>100.0</v>
      </c>
      <c r="M362" s="17" t="str">
        <f t="shared" ref="M362:N362" si="190">"+0"</f>
        <v>+0</v>
      </c>
      <c r="N362" s="18" t="str">
        <f t="shared" si="190"/>
        <v>+0</v>
      </c>
    </row>
    <row r="363">
      <c r="A363" s="13">
        <v>45901.0</v>
      </c>
      <c r="B363" s="14" t="s">
        <v>47</v>
      </c>
      <c r="C363" s="14" t="s">
        <v>48</v>
      </c>
      <c r="D363" s="14" t="s">
        <v>165</v>
      </c>
      <c r="E363" s="14" t="s">
        <v>166</v>
      </c>
      <c r="F363" s="15" t="s">
        <v>51</v>
      </c>
      <c r="G363" s="14" t="s">
        <v>167</v>
      </c>
      <c r="H363" s="14" t="s">
        <v>165</v>
      </c>
      <c r="I363" s="14" t="s">
        <v>54</v>
      </c>
      <c r="J363" s="14" t="s">
        <v>200</v>
      </c>
      <c r="K363" s="14" t="s">
        <v>204</v>
      </c>
      <c r="L363" s="14">
        <v>1.0</v>
      </c>
      <c r="M363" s="17" t="str">
        <f t="shared" ref="M363:N363" si="191">"+0"</f>
        <v>+0</v>
      </c>
      <c r="N363" s="18" t="str">
        <f t="shared" si="191"/>
        <v>+0</v>
      </c>
    </row>
    <row r="364">
      <c r="A364" s="13">
        <v>45901.0</v>
      </c>
      <c r="B364" s="14" t="s">
        <v>47</v>
      </c>
      <c r="C364" s="14" t="s">
        <v>48</v>
      </c>
      <c r="D364" s="14" t="s">
        <v>91</v>
      </c>
      <c r="E364" s="14" t="s">
        <v>92</v>
      </c>
      <c r="F364" s="14" t="s">
        <v>71</v>
      </c>
      <c r="G364" s="14">
        <v>5.10011769E8</v>
      </c>
      <c r="H364" s="14" t="s">
        <v>91</v>
      </c>
      <c r="I364" s="14" t="s">
        <v>59</v>
      </c>
      <c r="J364" s="14" t="s">
        <v>199</v>
      </c>
      <c r="K364" s="14" t="s">
        <v>203</v>
      </c>
      <c r="L364" s="14">
        <v>33.0</v>
      </c>
      <c r="M364" s="17" t="str">
        <f t="shared" ref="M364:N364" si="192">"+0"</f>
        <v>+0</v>
      </c>
      <c r="N364" s="18" t="str">
        <f t="shared" si="192"/>
        <v>+0</v>
      </c>
    </row>
    <row r="365">
      <c r="A365" s="13">
        <v>45901.0</v>
      </c>
      <c r="B365" s="14" t="s">
        <v>47</v>
      </c>
      <c r="C365" s="14" t="s">
        <v>48</v>
      </c>
      <c r="D365" s="14" t="s">
        <v>99</v>
      </c>
      <c r="E365" s="14" t="s">
        <v>100</v>
      </c>
      <c r="F365" s="15" t="s">
        <v>51</v>
      </c>
      <c r="G365" s="14" t="s">
        <v>101</v>
      </c>
      <c r="H365" s="14" t="s">
        <v>102</v>
      </c>
      <c r="I365" s="14" t="s">
        <v>54</v>
      </c>
      <c r="J365" s="14" t="s">
        <v>198</v>
      </c>
      <c r="K365" s="14" t="s">
        <v>210</v>
      </c>
      <c r="L365" s="14">
        <v>83.0</v>
      </c>
      <c r="M365" s="17" t="str">
        <f>"-4"</f>
        <v>-4</v>
      </c>
      <c r="N365" s="18" t="str">
        <f>"+0"</f>
        <v>+0</v>
      </c>
    </row>
    <row r="366">
      <c r="A366" s="13">
        <v>45901.0</v>
      </c>
      <c r="B366" s="14" t="s">
        <v>47</v>
      </c>
      <c r="C366" s="14" t="s">
        <v>48</v>
      </c>
      <c r="D366" s="14" t="s">
        <v>91</v>
      </c>
      <c r="E366" s="14" t="s">
        <v>92</v>
      </c>
      <c r="F366" s="15" t="s">
        <v>51</v>
      </c>
      <c r="G366" s="14" t="s">
        <v>163</v>
      </c>
      <c r="H366" s="14" t="s">
        <v>91</v>
      </c>
      <c r="I366" s="14" t="s">
        <v>59</v>
      </c>
      <c r="J366" s="14" t="s">
        <v>198</v>
      </c>
      <c r="K366" s="14" t="s">
        <v>212</v>
      </c>
      <c r="L366" s="14">
        <v>50.0</v>
      </c>
      <c r="M366" s="17" t="str">
        <f t="shared" ref="M366:N366" si="193">"+18"</f>
        <v>+18</v>
      </c>
      <c r="N366" s="18" t="str">
        <f t="shared" si="193"/>
        <v>+18</v>
      </c>
    </row>
    <row r="367">
      <c r="A367" s="13">
        <v>45901.0</v>
      </c>
      <c r="B367" s="14" t="s">
        <v>47</v>
      </c>
      <c r="C367" s="14" t="s">
        <v>48</v>
      </c>
      <c r="D367" s="14" t="s">
        <v>174</v>
      </c>
      <c r="E367" s="14" t="s">
        <v>175</v>
      </c>
      <c r="F367" s="15" t="s">
        <v>51</v>
      </c>
      <c r="G367" s="14" t="s">
        <v>176</v>
      </c>
      <c r="H367" s="14" t="s">
        <v>174</v>
      </c>
      <c r="I367" s="14" t="s">
        <v>59</v>
      </c>
      <c r="J367" s="14" t="s">
        <v>198</v>
      </c>
      <c r="K367" s="14" t="s">
        <v>207</v>
      </c>
      <c r="L367" s="14">
        <v>25.0</v>
      </c>
      <c r="M367" s="17" t="str">
        <f t="shared" ref="M367:M368" si="194">"+0"</f>
        <v>+0</v>
      </c>
    </row>
    <row r="368">
      <c r="A368" s="13">
        <v>45901.0</v>
      </c>
      <c r="B368" s="14" t="s">
        <v>47</v>
      </c>
      <c r="C368" s="14" t="s">
        <v>48</v>
      </c>
      <c r="D368" s="14" t="s">
        <v>184</v>
      </c>
      <c r="E368" s="14" t="s">
        <v>185</v>
      </c>
      <c r="F368" s="15" t="s">
        <v>51</v>
      </c>
      <c r="G368" s="14" t="s">
        <v>186</v>
      </c>
      <c r="H368" s="14" t="s">
        <v>187</v>
      </c>
      <c r="I368" s="14" t="s">
        <v>59</v>
      </c>
      <c r="J368" s="14" t="s">
        <v>200</v>
      </c>
      <c r="K368" s="14" t="s">
        <v>228</v>
      </c>
      <c r="L368" s="14">
        <v>1.0</v>
      </c>
      <c r="M368" s="17" t="str">
        <f t="shared" si="194"/>
        <v>+0</v>
      </c>
      <c r="N368" s="18" t="str">
        <f>"+0"</f>
        <v>+0</v>
      </c>
    </row>
    <row r="369">
      <c r="A369" s="13">
        <v>45901.0</v>
      </c>
      <c r="B369" s="14" t="s">
        <v>47</v>
      </c>
      <c r="C369" s="14" t="s">
        <v>48</v>
      </c>
      <c r="D369" s="14" t="s">
        <v>87</v>
      </c>
      <c r="E369" s="14" t="s">
        <v>88</v>
      </c>
      <c r="F369" s="15" t="s">
        <v>51</v>
      </c>
      <c r="G369" s="14" t="s">
        <v>89</v>
      </c>
      <c r="H369" s="14" t="s">
        <v>90</v>
      </c>
      <c r="I369" s="14" t="s">
        <v>59</v>
      </c>
      <c r="J369" s="14" t="s">
        <v>198</v>
      </c>
      <c r="K369" s="14" t="s">
        <v>212</v>
      </c>
      <c r="L369" s="14">
        <v>54.0</v>
      </c>
      <c r="M369" s="17" t="str">
        <f t="shared" ref="M369:N369" si="195">"+18"</f>
        <v>+18</v>
      </c>
      <c r="N369" s="18" t="str">
        <f t="shared" si="195"/>
        <v>+18</v>
      </c>
    </row>
    <row r="370">
      <c r="A370" s="13">
        <v>45901.0</v>
      </c>
      <c r="B370" s="14" t="s">
        <v>47</v>
      </c>
      <c r="C370" s="14" t="s">
        <v>48</v>
      </c>
      <c r="D370" s="14" t="s">
        <v>149</v>
      </c>
      <c r="E370" s="14" t="s">
        <v>150</v>
      </c>
      <c r="F370" s="15" t="s">
        <v>51</v>
      </c>
      <c r="G370" s="14" t="s">
        <v>151</v>
      </c>
      <c r="H370" s="14" t="s">
        <v>152</v>
      </c>
      <c r="I370" s="14" t="s">
        <v>54</v>
      </c>
      <c r="J370" s="14" t="s">
        <v>200</v>
      </c>
      <c r="K370" s="14" t="s">
        <v>214</v>
      </c>
      <c r="L370" s="14">
        <v>38.0</v>
      </c>
      <c r="M370" s="17" t="str">
        <f t="shared" ref="M370:N370" si="196">"+2"</f>
        <v>+2</v>
      </c>
      <c r="N370" s="18" t="str">
        <f t="shared" si="196"/>
        <v>+2</v>
      </c>
    </row>
    <row r="371">
      <c r="A371" s="13">
        <v>45901.0</v>
      </c>
      <c r="B371" s="14" t="s">
        <v>47</v>
      </c>
      <c r="C371" s="14" t="s">
        <v>48</v>
      </c>
      <c r="D371" s="14" t="s">
        <v>129</v>
      </c>
      <c r="E371" s="14" t="s">
        <v>130</v>
      </c>
      <c r="F371" s="15" t="s">
        <v>51</v>
      </c>
      <c r="G371" s="14" t="s">
        <v>131</v>
      </c>
      <c r="H371" s="14" t="s">
        <v>129</v>
      </c>
      <c r="I371" s="14" t="s">
        <v>59</v>
      </c>
      <c r="J371" s="14" t="s">
        <v>200</v>
      </c>
      <c r="K371" s="14" t="s">
        <v>204</v>
      </c>
      <c r="L371" s="14">
        <v>0.0</v>
      </c>
      <c r="M371" s="17" t="str">
        <f t="shared" ref="M371:N371" si="197">"+0"</f>
        <v>+0</v>
      </c>
      <c r="N371" s="18" t="str">
        <f t="shared" si="197"/>
        <v>+0</v>
      </c>
    </row>
    <row r="372">
      <c r="A372" s="13">
        <v>45901.0</v>
      </c>
      <c r="B372" s="14" t="s">
        <v>47</v>
      </c>
      <c r="C372" s="14" t="s">
        <v>48</v>
      </c>
      <c r="D372" s="14" t="s">
        <v>116</v>
      </c>
      <c r="E372" s="14" t="s">
        <v>117</v>
      </c>
      <c r="F372" s="15" t="s">
        <v>51</v>
      </c>
      <c r="G372" s="14" t="s">
        <v>161</v>
      </c>
      <c r="H372" s="14" t="s">
        <v>116</v>
      </c>
      <c r="I372" s="14" t="s">
        <v>54</v>
      </c>
      <c r="J372" s="14" t="s">
        <v>200</v>
      </c>
      <c r="K372" s="14" t="s">
        <v>213</v>
      </c>
      <c r="L372" s="14">
        <v>57.0</v>
      </c>
      <c r="M372" s="17" t="str">
        <f>"+1"</f>
        <v>+1</v>
      </c>
      <c r="N372" s="18" t="str">
        <f>"-1"</f>
        <v>-1</v>
      </c>
    </row>
    <row r="373">
      <c r="A373" s="13">
        <v>45901.0</v>
      </c>
      <c r="B373" s="14" t="s">
        <v>47</v>
      </c>
      <c r="C373" s="14" t="s">
        <v>48</v>
      </c>
      <c r="D373" s="14" t="s">
        <v>192</v>
      </c>
      <c r="E373" s="14" t="s">
        <v>193</v>
      </c>
      <c r="F373" s="15" t="s">
        <v>51</v>
      </c>
      <c r="G373" s="14" t="s">
        <v>194</v>
      </c>
      <c r="H373" s="14" t="s">
        <v>192</v>
      </c>
      <c r="I373" s="14" t="s">
        <v>54</v>
      </c>
      <c r="J373" s="14" t="s">
        <v>200</v>
      </c>
      <c r="K373" s="14" t="s">
        <v>211</v>
      </c>
      <c r="L373" s="14">
        <v>48.0</v>
      </c>
      <c r="M373" s="17" t="str">
        <f>"-17"</f>
        <v>-17</v>
      </c>
      <c r="N373" s="18" t="str">
        <f>"+47"</f>
        <v>+47</v>
      </c>
    </row>
    <row r="374">
      <c r="A374" s="13">
        <v>45901.0</v>
      </c>
      <c r="B374" s="14" t="s">
        <v>47</v>
      </c>
      <c r="C374" s="14" t="s">
        <v>48</v>
      </c>
      <c r="D374" s="14" t="s">
        <v>132</v>
      </c>
      <c r="E374" s="14" t="s">
        <v>133</v>
      </c>
      <c r="F374" s="15" t="s">
        <v>51</v>
      </c>
      <c r="G374" s="14" t="s">
        <v>134</v>
      </c>
      <c r="H374" s="14" t="s">
        <v>135</v>
      </c>
      <c r="I374" s="14" t="s">
        <v>59</v>
      </c>
      <c r="J374" s="14" t="s">
        <v>200</v>
      </c>
      <c r="K374" s="14" t="s">
        <v>204</v>
      </c>
      <c r="L374" s="14">
        <v>0.0</v>
      </c>
      <c r="M374" s="17" t="str">
        <f t="shared" ref="M374:N374" si="198">"+0"</f>
        <v>+0</v>
      </c>
      <c r="N374" s="18" t="str">
        <f t="shared" si="198"/>
        <v>+0</v>
      </c>
    </row>
    <row r="375">
      <c r="A375" s="13">
        <v>45901.0</v>
      </c>
      <c r="B375" s="14" t="s">
        <v>47</v>
      </c>
      <c r="C375" s="14" t="s">
        <v>48</v>
      </c>
      <c r="D375" s="14" t="s">
        <v>168</v>
      </c>
      <c r="E375" s="14" t="s">
        <v>169</v>
      </c>
      <c r="F375" s="15" t="s">
        <v>51</v>
      </c>
      <c r="G375" s="14" t="s">
        <v>170</v>
      </c>
      <c r="H375" s="14" t="s">
        <v>168</v>
      </c>
      <c r="I375" s="14" t="s">
        <v>59</v>
      </c>
      <c r="J375" s="14" t="s">
        <v>200</v>
      </c>
      <c r="K375" s="14" t="s">
        <v>227</v>
      </c>
      <c r="L375" s="14">
        <v>41.0</v>
      </c>
      <c r="M375" s="17" t="str">
        <f>"+8"</f>
        <v>+8</v>
      </c>
      <c r="N375" s="18" t="str">
        <f>"-4"</f>
        <v>-4</v>
      </c>
    </row>
    <row r="376">
      <c r="A376" s="13">
        <v>45901.0</v>
      </c>
      <c r="B376" s="14" t="s">
        <v>47</v>
      </c>
      <c r="C376" s="14" t="s">
        <v>48</v>
      </c>
      <c r="D376" s="14" t="s">
        <v>116</v>
      </c>
      <c r="E376" s="14" t="s">
        <v>117</v>
      </c>
      <c r="F376" s="15" t="s">
        <v>51</v>
      </c>
      <c r="G376" s="14" t="s">
        <v>161</v>
      </c>
      <c r="H376" s="14" t="s">
        <v>116</v>
      </c>
      <c r="I376" s="14" t="s">
        <v>54</v>
      </c>
      <c r="J376" s="14" t="s">
        <v>198</v>
      </c>
      <c r="K376" s="14" t="s">
        <v>205</v>
      </c>
      <c r="L376" s="14">
        <v>53.0</v>
      </c>
      <c r="M376" s="17" t="str">
        <f>"+0"</f>
        <v>+0</v>
      </c>
    </row>
    <row r="377">
      <c r="A377" s="13">
        <v>45901.0</v>
      </c>
      <c r="B377" s="14" t="s">
        <v>47</v>
      </c>
      <c r="C377" s="14" t="s">
        <v>48</v>
      </c>
      <c r="D377" s="14" t="s">
        <v>192</v>
      </c>
      <c r="E377" s="14" t="s">
        <v>193</v>
      </c>
      <c r="F377" s="15" t="s">
        <v>51</v>
      </c>
      <c r="G377" s="14" t="s">
        <v>194</v>
      </c>
      <c r="H377" s="14" t="s">
        <v>192</v>
      </c>
      <c r="I377" s="14" t="s">
        <v>54</v>
      </c>
      <c r="J377" s="14" t="s">
        <v>200</v>
      </c>
      <c r="K377" s="14" t="s">
        <v>231</v>
      </c>
      <c r="L377" s="14">
        <v>56.0</v>
      </c>
      <c r="M377" s="17" t="str">
        <f>"+2"</f>
        <v>+2</v>
      </c>
      <c r="N377" s="18" t="str">
        <f>"+1"</f>
        <v>+1</v>
      </c>
    </row>
    <row r="378">
      <c r="A378" s="13">
        <v>45901.0</v>
      </c>
      <c r="B378" s="14" t="s">
        <v>47</v>
      </c>
      <c r="C378" s="14" t="s">
        <v>48</v>
      </c>
      <c r="D378" s="14" t="s">
        <v>93</v>
      </c>
      <c r="E378" s="14" t="s">
        <v>94</v>
      </c>
      <c r="F378" s="15" t="s">
        <v>51</v>
      </c>
      <c r="G378" s="14" t="s">
        <v>191</v>
      </c>
      <c r="H378" s="14" t="s">
        <v>95</v>
      </c>
      <c r="I378" s="14" t="s">
        <v>59</v>
      </c>
      <c r="J378" s="14" t="s">
        <v>198</v>
      </c>
      <c r="K378" s="14" t="s">
        <v>205</v>
      </c>
      <c r="L378" s="14">
        <v>48.0</v>
      </c>
      <c r="M378" s="17" t="str">
        <f>"+0"</f>
        <v>+0</v>
      </c>
    </row>
    <row r="379">
      <c r="A379" s="13">
        <v>45901.0</v>
      </c>
      <c r="B379" s="14" t="s">
        <v>47</v>
      </c>
      <c r="C379" s="14" t="s">
        <v>48</v>
      </c>
      <c r="D379" s="14" t="s">
        <v>103</v>
      </c>
      <c r="E379" s="14" t="s">
        <v>104</v>
      </c>
      <c r="F379" s="15" t="s">
        <v>51</v>
      </c>
      <c r="G379" s="14" t="s">
        <v>105</v>
      </c>
      <c r="H379" s="14" t="s">
        <v>106</v>
      </c>
      <c r="I379" s="14" t="s">
        <v>59</v>
      </c>
      <c r="J379" s="14" t="s">
        <v>200</v>
      </c>
      <c r="K379" s="14" t="s">
        <v>232</v>
      </c>
      <c r="L379" s="14">
        <v>54.0</v>
      </c>
      <c r="M379" s="17" t="str">
        <f>"+10"</f>
        <v>+10</v>
      </c>
      <c r="N379" s="18" t="str">
        <f>"+5"</f>
        <v>+5</v>
      </c>
    </row>
    <row r="380">
      <c r="A380" s="13">
        <v>45901.0</v>
      </c>
      <c r="B380" s="14" t="s">
        <v>47</v>
      </c>
      <c r="C380" s="14" t="s">
        <v>48</v>
      </c>
      <c r="D380" s="14" t="s">
        <v>69</v>
      </c>
      <c r="E380" s="14" t="s">
        <v>70</v>
      </c>
      <c r="F380" s="15" t="s">
        <v>51</v>
      </c>
      <c r="G380" s="14" t="s">
        <v>115</v>
      </c>
      <c r="H380" s="14" t="s">
        <v>72</v>
      </c>
      <c r="I380" s="14" t="s">
        <v>54</v>
      </c>
      <c r="J380" s="14" t="s">
        <v>200</v>
      </c>
      <c r="K380" s="14" t="s">
        <v>201</v>
      </c>
      <c r="L380" s="14">
        <v>71.0</v>
      </c>
      <c r="M380" s="17" t="str">
        <f t="shared" ref="M380:N380" si="199">"+0"</f>
        <v>+0</v>
      </c>
      <c r="N380" s="18" t="str">
        <f t="shared" si="199"/>
        <v>+0</v>
      </c>
    </row>
    <row r="381">
      <c r="A381" s="13">
        <v>45901.0</v>
      </c>
      <c r="B381" s="14" t="s">
        <v>47</v>
      </c>
      <c r="C381" s="14" t="s">
        <v>48</v>
      </c>
      <c r="D381" s="14" t="s">
        <v>85</v>
      </c>
      <c r="E381" s="14" t="s">
        <v>86</v>
      </c>
      <c r="F381" s="15" t="s">
        <v>51</v>
      </c>
      <c r="G381" s="14" t="s">
        <v>148</v>
      </c>
      <c r="H381" s="14" t="s">
        <v>85</v>
      </c>
      <c r="I381" s="14" t="s">
        <v>59</v>
      </c>
      <c r="J381" s="14" t="s">
        <v>199</v>
      </c>
      <c r="K381" s="14" t="s">
        <v>206</v>
      </c>
      <c r="L381" s="14">
        <v>100.0</v>
      </c>
      <c r="M381" s="17" t="str">
        <f t="shared" ref="M381:N381" si="200">"+0"</f>
        <v>+0</v>
      </c>
      <c r="N381" s="18" t="str">
        <f t="shared" si="200"/>
        <v>+0</v>
      </c>
    </row>
    <row r="382">
      <c r="A382" s="13">
        <v>45901.0</v>
      </c>
      <c r="B382" s="14" t="s">
        <v>47</v>
      </c>
      <c r="C382" s="14" t="s">
        <v>48</v>
      </c>
      <c r="D382" s="14" t="s">
        <v>77</v>
      </c>
      <c r="E382" s="14" t="s">
        <v>78</v>
      </c>
      <c r="F382" s="15" t="s">
        <v>51</v>
      </c>
      <c r="G382" s="14" t="s">
        <v>128</v>
      </c>
      <c r="H382" s="14" t="s">
        <v>81</v>
      </c>
      <c r="I382" s="14" t="s">
        <v>59</v>
      </c>
      <c r="J382" s="14" t="s">
        <v>198</v>
      </c>
      <c r="K382" s="14" t="s">
        <v>207</v>
      </c>
      <c r="L382" s="14">
        <v>0.0</v>
      </c>
      <c r="M382" s="17" t="str">
        <f t="shared" ref="M382:M384" si="201">"+0"</f>
        <v>+0</v>
      </c>
    </row>
    <row r="383">
      <c r="A383" s="13">
        <v>45901.0</v>
      </c>
      <c r="B383" s="14" t="s">
        <v>47</v>
      </c>
      <c r="C383" s="14" t="s">
        <v>48</v>
      </c>
      <c r="D383" s="14" t="s">
        <v>56</v>
      </c>
      <c r="E383" s="14" t="s">
        <v>57</v>
      </c>
      <c r="F383" s="14" t="s">
        <v>71</v>
      </c>
      <c r="G383" s="14">
        <v>5.36003976E8</v>
      </c>
      <c r="H383" s="14" t="s">
        <v>56</v>
      </c>
      <c r="I383" s="14" t="s">
        <v>59</v>
      </c>
      <c r="J383" s="14" t="s">
        <v>199</v>
      </c>
      <c r="K383" s="14" t="s">
        <v>203</v>
      </c>
      <c r="L383" s="14">
        <v>34.0</v>
      </c>
      <c r="M383" s="17" t="str">
        <f t="shared" si="201"/>
        <v>+0</v>
      </c>
      <c r="N383" s="18" t="str">
        <f t="shared" ref="N383:N384" si="202">"+0"</f>
        <v>+0</v>
      </c>
    </row>
    <row r="384">
      <c r="A384" s="13">
        <v>45901.0</v>
      </c>
      <c r="B384" s="14" t="s">
        <v>47</v>
      </c>
      <c r="C384" s="14" t="s">
        <v>48</v>
      </c>
      <c r="D384" s="14" t="s">
        <v>155</v>
      </c>
      <c r="E384" s="14" t="s">
        <v>156</v>
      </c>
      <c r="F384" s="15" t="s">
        <v>51</v>
      </c>
      <c r="G384" s="14" t="s">
        <v>157</v>
      </c>
      <c r="H384" s="14" t="s">
        <v>155</v>
      </c>
      <c r="I384" s="14" t="s">
        <v>59</v>
      </c>
      <c r="J384" s="14" t="s">
        <v>199</v>
      </c>
      <c r="K384" s="14" t="s">
        <v>208</v>
      </c>
      <c r="L384" s="14">
        <v>0.0</v>
      </c>
      <c r="M384" s="17" t="str">
        <f t="shared" si="201"/>
        <v>+0</v>
      </c>
      <c r="N384" s="18" t="str">
        <f t="shared" si="202"/>
        <v>+0</v>
      </c>
    </row>
    <row r="385">
      <c r="A385" s="13">
        <v>45901.0</v>
      </c>
      <c r="B385" s="14" t="s">
        <v>47</v>
      </c>
      <c r="C385" s="14" t="s">
        <v>48</v>
      </c>
      <c r="D385" s="14" t="s">
        <v>168</v>
      </c>
      <c r="E385" s="14" t="s">
        <v>169</v>
      </c>
      <c r="F385" s="15" t="s">
        <v>51</v>
      </c>
      <c r="G385" s="14" t="s">
        <v>170</v>
      </c>
      <c r="H385" s="14" t="s">
        <v>168</v>
      </c>
      <c r="I385" s="14" t="s">
        <v>59</v>
      </c>
      <c r="J385" s="14" t="s">
        <v>198</v>
      </c>
      <c r="K385" s="14" t="s">
        <v>210</v>
      </c>
      <c r="L385" s="14">
        <v>92.0</v>
      </c>
      <c r="M385" s="17" t="str">
        <f>"+7"</f>
        <v>+7</v>
      </c>
      <c r="N385" s="18" t="str">
        <f>"+14"</f>
        <v>+14</v>
      </c>
    </row>
    <row r="386">
      <c r="A386" s="13">
        <v>45901.0</v>
      </c>
      <c r="B386" s="14" t="s">
        <v>47</v>
      </c>
      <c r="C386" s="14" t="s">
        <v>48</v>
      </c>
      <c r="D386" s="14" t="s">
        <v>60</v>
      </c>
      <c r="E386" s="14" t="s">
        <v>61</v>
      </c>
      <c r="F386" s="15" t="s">
        <v>51</v>
      </c>
      <c r="G386" s="14" t="s">
        <v>62</v>
      </c>
      <c r="H386" s="14" t="s">
        <v>60</v>
      </c>
      <c r="I386" s="14" t="s">
        <v>59</v>
      </c>
      <c r="J386" s="14" t="s">
        <v>200</v>
      </c>
      <c r="K386" s="14" t="s">
        <v>223</v>
      </c>
      <c r="L386" s="14">
        <v>42.0</v>
      </c>
      <c r="M386" s="17" t="str">
        <f>"+5"</f>
        <v>+5</v>
      </c>
      <c r="N386" s="18" t="str">
        <f>"-1"</f>
        <v>-1</v>
      </c>
    </row>
    <row r="387">
      <c r="A387" s="13">
        <v>45901.0</v>
      </c>
      <c r="B387" s="14" t="s">
        <v>47</v>
      </c>
      <c r="C387" s="14" t="s">
        <v>48</v>
      </c>
      <c r="D387" s="14" t="s">
        <v>60</v>
      </c>
      <c r="E387" s="14" t="s">
        <v>61</v>
      </c>
      <c r="F387" s="15" t="s">
        <v>51</v>
      </c>
      <c r="G387" s="14" t="s">
        <v>62</v>
      </c>
      <c r="H387" s="14" t="s">
        <v>60</v>
      </c>
      <c r="I387" s="14" t="s">
        <v>59</v>
      </c>
      <c r="J387" s="14" t="s">
        <v>200</v>
      </c>
      <c r="K387" s="14" t="s">
        <v>216</v>
      </c>
      <c r="L387" s="14">
        <v>39.0</v>
      </c>
      <c r="M387" s="17" t="str">
        <f>"+2"</f>
        <v>+2</v>
      </c>
      <c r="N387" s="18" t="str">
        <f>"-4"</f>
        <v>-4</v>
      </c>
    </row>
    <row r="388">
      <c r="A388" s="13">
        <v>45901.0</v>
      </c>
      <c r="B388" s="14" t="s">
        <v>47</v>
      </c>
      <c r="C388" s="14" t="s">
        <v>48</v>
      </c>
      <c r="D388" s="14" t="s">
        <v>168</v>
      </c>
      <c r="E388" s="14" t="s">
        <v>169</v>
      </c>
      <c r="F388" s="15" t="s">
        <v>51</v>
      </c>
      <c r="G388" s="14" t="s">
        <v>170</v>
      </c>
      <c r="H388" s="14" t="s">
        <v>168</v>
      </c>
      <c r="I388" s="14" t="s">
        <v>59</v>
      </c>
      <c r="J388" s="14" t="s">
        <v>200</v>
      </c>
      <c r="K388" s="14" t="s">
        <v>214</v>
      </c>
      <c r="L388" s="14">
        <v>50.0</v>
      </c>
      <c r="M388" s="17" t="str">
        <f t="shared" ref="M388:M390" si="203">"+0"</f>
        <v>+0</v>
      </c>
      <c r="N388" s="18" t="str">
        <f>"+19"</f>
        <v>+19</v>
      </c>
    </row>
    <row r="389">
      <c r="A389" s="13">
        <v>45901.0</v>
      </c>
      <c r="B389" s="14" t="s">
        <v>47</v>
      </c>
      <c r="C389" s="14" t="s">
        <v>48</v>
      </c>
      <c r="D389" s="14" t="s">
        <v>121</v>
      </c>
      <c r="E389" s="14" t="s">
        <v>122</v>
      </c>
      <c r="F389" s="15" t="s">
        <v>51</v>
      </c>
      <c r="G389" s="14" t="s">
        <v>123</v>
      </c>
      <c r="H389" s="14" t="s">
        <v>124</v>
      </c>
      <c r="I389" s="14" t="s">
        <v>59</v>
      </c>
      <c r="J389" s="14" t="s">
        <v>198</v>
      </c>
      <c r="K389" s="14" t="s">
        <v>205</v>
      </c>
      <c r="L389" s="14">
        <v>56.0</v>
      </c>
      <c r="M389" s="17" t="str">
        <f t="shared" si="203"/>
        <v>+0</v>
      </c>
    </row>
    <row r="390">
      <c r="A390" s="13">
        <v>45901.0</v>
      </c>
      <c r="B390" s="14" t="s">
        <v>47</v>
      </c>
      <c r="C390" s="14" t="s">
        <v>48</v>
      </c>
      <c r="D390" s="14" t="s">
        <v>60</v>
      </c>
      <c r="E390" s="14" t="s">
        <v>61</v>
      </c>
      <c r="F390" s="15" t="s">
        <v>51</v>
      </c>
      <c r="G390" s="14" t="s">
        <v>62</v>
      </c>
      <c r="H390" s="14" t="s">
        <v>60</v>
      </c>
      <c r="I390" s="14" t="s">
        <v>59</v>
      </c>
      <c r="J390" s="14" t="s">
        <v>198</v>
      </c>
      <c r="K390" s="14" t="s">
        <v>205</v>
      </c>
      <c r="L390" s="14">
        <v>73.0</v>
      </c>
      <c r="M390" s="17" t="str">
        <f t="shared" si="203"/>
        <v>+0</v>
      </c>
    </row>
    <row r="391">
      <c r="A391" s="13">
        <v>45901.0</v>
      </c>
      <c r="B391" s="14" t="s">
        <v>47</v>
      </c>
      <c r="C391" s="14" t="s">
        <v>48</v>
      </c>
      <c r="D391" s="14" t="s">
        <v>99</v>
      </c>
      <c r="E391" s="14" t="s">
        <v>100</v>
      </c>
      <c r="F391" s="15" t="s">
        <v>51</v>
      </c>
      <c r="G391" s="14" t="s">
        <v>101</v>
      </c>
      <c r="H391" s="14" t="s">
        <v>102</v>
      </c>
      <c r="I391" s="14" t="s">
        <v>54</v>
      </c>
      <c r="J391" s="14" t="s">
        <v>200</v>
      </c>
      <c r="K391" s="14" t="s">
        <v>228</v>
      </c>
      <c r="L391" s="14">
        <v>32.0</v>
      </c>
      <c r="M391" s="17" t="str">
        <f>"+2"</f>
        <v>+2</v>
      </c>
      <c r="N391" s="18" t="str">
        <f>"+4"</f>
        <v>+4</v>
      </c>
    </row>
    <row r="392">
      <c r="A392" s="13">
        <v>45901.0</v>
      </c>
      <c r="B392" s="14" t="s">
        <v>47</v>
      </c>
      <c r="C392" s="14" t="s">
        <v>48</v>
      </c>
      <c r="D392" s="14" t="s">
        <v>63</v>
      </c>
      <c r="E392" s="14" t="s">
        <v>64</v>
      </c>
      <c r="F392" s="15" t="s">
        <v>51</v>
      </c>
      <c r="G392" s="14" t="s">
        <v>65</v>
      </c>
      <c r="H392" s="14" t="s">
        <v>63</v>
      </c>
      <c r="I392" s="14" t="s">
        <v>54</v>
      </c>
      <c r="J392" s="14" t="s">
        <v>200</v>
      </c>
      <c r="K392" s="14" t="s">
        <v>219</v>
      </c>
      <c r="L392" s="14">
        <v>100.0</v>
      </c>
      <c r="M392" s="17" t="str">
        <f>"+0"</f>
        <v>+0</v>
      </c>
      <c r="N392" s="18" t="str">
        <f>"+34"</f>
        <v>+34</v>
      </c>
    </row>
    <row r="393">
      <c r="A393" s="13">
        <v>45901.0</v>
      </c>
      <c r="B393" s="14" t="s">
        <v>47</v>
      </c>
      <c r="C393" s="14" t="s">
        <v>48</v>
      </c>
      <c r="D393" s="14" t="s">
        <v>63</v>
      </c>
      <c r="E393" s="14" t="s">
        <v>64</v>
      </c>
      <c r="F393" s="15" t="s">
        <v>51</v>
      </c>
      <c r="G393" s="14" t="s">
        <v>65</v>
      </c>
      <c r="H393" s="14" t="s">
        <v>63</v>
      </c>
      <c r="I393" s="14" t="s">
        <v>54</v>
      </c>
      <c r="J393" s="14" t="s">
        <v>200</v>
      </c>
      <c r="K393" s="14" t="s">
        <v>215</v>
      </c>
      <c r="L393" s="14">
        <v>8.0</v>
      </c>
      <c r="M393" s="17" t="str">
        <f>"+1"</f>
        <v>+1</v>
      </c>
      <c r="N393" s="18" t="str">
        <f>"+2"</f>
        <v>+2</v>
      </c>
    </row>
    <row r="394">
      <c r="A394" s="13">
        <v>45901.0</v>
      </c>
      <c r="B394" s="14" t="s">
        <v>47</v>
      </c>
      <c r="C394" s="14" t="s">
        <v>48</v>
      </c>
      <c r="D394" s="14" t="s">
        <v>121</v>
      </c>
      <c r="E394" s="14" t="s">
        <v>122</v>
      </c>
      <c r="F394" s="15" t="s">
        <v>51</v>
      </c>
      <c r="G394" s="14" t="s">
        <v>123</v>
      </c>
      <c r="H394" s="14" t="s">
        <v>124</v>
      </c>
      <c r="I394" s="14" t="s">
        <v>59</v>
      </c>
      <c r="J394" s="14" t="s">
        <v>198</v>
      </c>
      <c r="K394" s="14" t="s">
        <v>207</v>
      </c>
      <c r="L394" s="14">
        <v>0.0</v>
      </c>
      <c r="M394" s="17" t="str">
        <f>"+0"</f>
        <v>+0</v>
      </c>
    </row>
    <row r="395">
      <c r="A395" s="13">
        <v>45901.0</v>
      </c>
      <c r="B395" s="14" t="s">
        <v>47</v>
      </c>
      <c r="C395" s="14" t="s">
        <v>48</v>
      </c>
      <c r="D395" s="14" t="s">
        <v>121</v>
      </c>
      <c r="E395" s="14" t="s">
        <v>122</v>
      </c>
      <c r="F395" s="15" t="s">
        <v>51</v>
      </c>
      <c r="G395" s="14" t="s">
        <v>123</v>
      </c>
      <c r="H395" s="14" t="s">
        <v>124</v>
      </c>
      <c r="I395" s="14" t="s">
        <v>59</v>
      </c>
      <c r="J395" s="14" t="s">
        <v>198</v>
      </c>
      <c r="K395" s="14" t="s">
        <v>212</v>
      </c>
      <c r="L395" s="14">
        <v>56.0</v>
      </c>
      <c r="M395" s="17" t="str">
        <f>"+20"</f>
        <v>+20</v>
      </c>
      <c r="N395" s="18" t="str">
        <f>"+17"</f>
        <v>+17</v>
      </c>
    </row>
    <row r="396">
      <c r="A396" s="13">
        <v>45901.0</v>
      </c>
      <c r="B396" s="14" t="s">
        <v>47</v>
      </c>
      <c r="C396" s="14" t="s">
        <v>48</v>
      </c>
      <c r="D396" s="14" t="s">
        <v>77</v>
      </c>
      <c r="E396" s="14" t="s">
        <v>78</v>
      </c>
      <c r="F396" s="15" t="s">
        <v>51</v>
      </c>
      <c r="G396" s="14" t="s">
        <v>128</v>
      </c>
      <c r="H396" s="14" t="s">
        <v>81</v>
      </c>
      <c r="I396" s="14" t="s">
        <v>59</v>
      </c>
      <c r="J396" s="14" t="s">
        <v>200</v>
      </c>
      <c r="K396" s="14" t="s">
        <v>227</v>
      </c>
      <c r="L396" s="14">
        <v>40.0</v>
      </c>
      <c r="M396" s="17" t="str">
        <f>"+32"</f>
        <v>+32</v>
      </c>
      <c r="N396" s="18" t="str">
        <f>"+22"</f>
        <v>+22</v>
      </c>
    </row>
    <row r="397">
      <c r="A397" s="13">
        <v>45901.0</v>
      </c>
      <c r="B397" s="14" t="s">
        <v>47</v>
      </c>
      <c r="C397" s="14" t="s">
        <v>48</v>
      </c>
      <c r="D397" s="14" t="s">
        <v>91</v>
      </c>
      <c r="E397" s="14" t="s">
        <v>92</v>
      </c>
      <c r="F397" s="14" t="s">
        <v>71</v>
      </c>
      <c r="G397" s="14">
        <v>7295600.0</v>
      </c>
      <c r="H397" s="14" t="s">
        <v>91</v>
      </c>
      <c r="I397" s="14" t="s">
        <v>54</v>
      </c>
      <c r="J397" s="14" t="s">
        <v>199</v>
      </c>
      <c r="K397" s="14" t="s">
        <v>206</v>
      </c>
      <c r="L397" s="14">
        <v>100.0</v>
      </c>
      <c r="M397" s="17" t="str">
        <f t="shared" ref="M397:N397" si="204">"+0"</f>
        <v>+0</v>
      </c>
      <c r="N397" s="18" t="str">
        <f t="shared" si="204"/>
        <v>+0</v>
      </c>
    </row>
    <row r="398">
      <c r="A398" s="13">
        <v>45901.0</v>
      </c>
      <c r="B398" s="14" t="s">
        <v>47</v>
      </c>
      <c r="C398" s="14" t="s">
        <v>48</v>
      </c>
      <c r="D398" s="14" t="s">
        <v>192</v>
      </c>
      <c r="E398" s="14" t="s">
        <v>193</v>
      </c>
      <c r="F398" s="15" t="s">
        <v>51</v>
      </c>
      <c r="G398" s="14" t="s">
        <v>194</v>
      </c>
      <c r="H398" s="14" t="s">
        <v>192</v>
      </c>
      <c r="I398" s="14" t="s">
        <v>54</v>
      </c>
      <c r="J398" s="14" t="s">
        <v>198</v>
      </c>
      <c r="K398" s="14" t="s">
        <v>210</v>
      </c>
      <c r="L398" s="14">
        <v>26.0</v>
      </c>
      <c r="M398" s="17" t="str">
        <f>"+1"</f>
        <v>+1</v>
      </c>
      <c r="N398" s="18" t="str">
        <f>"+2"</f>
        <v>+2</v>
      </c>
    </row>
    <row r="399">
      <c r="A399" s="13">
        <v>45901.0</v>
      </c>
      <c r="B399" s="14" t="s">
        <v>47</v>
      </c>
      <c r="C399" s="14" t="s">
        <v>48</v>
      </c>
      <c r="D399" s="14" t="s">
        <v>85</v>
      </c>
      <c r="E399" s="14" t="s">
        <v>86</v>
      </c>
      <c r="F399" s="15" t="s">
        <v>51</v>
      </c>
      <c r="G399" s="14" t="s">
        <v>148</v>
      </c>
      <c r="H399" s="14" t="s">
        <v>85</v>
      </c>
      <c r="I399" s="14" t="s">
        <v>59</v>
      </c>
      <c r="J399" s="14" t="s">
        <v>200</v>
      </c>
      <c r="K399" s="14" t="s">
        <v>228</v>
      </c>
      <c r="L399" s="14">
        <v>28.0</v>
      </c>
      <c r="M399" s="17" t="str">
        <f>"+0"</f>
        <v>+0</v>
      </c>
      <c r="N399" s="18" t="str">
        <f>"+1"</f>
        <v>+1</v>
      </c>
    </row>
    <row r="400">
      <c r="A400" s="13">
        <v>45901.0</v>
      </c>
      <c r="B400" s="14" t="s">
        <v>47</v>
      </c>
      <c r="C400" s="14" t="s">
        <v>48</v>
      </c>
      <c r="D400" s="14" t="s">
        <v>69</v>
      </c>
      <c r="E400" s="14" t="s">
        <v>70</v>
      </c>
      <c r="F400" s="15" t="s">
        <v>51</v>
      </c>
      <c r="G400" s="14" t="s">
        <v>115</v>
      </c>
      <c r="H400" s="14" t="s">
        <v>72</v>
      </c>
      <c r="I400" s="14" t="s">
        <v>54</v>
      </c>
      <c r="J400" s="14" t="s">
        <v>200</v>
      </c>
      <c r="K400" s="14" t="s">
        <v>239</v>
      </c>
      <c r="L400" s="14">
        <v>79.0</v>
      </c>
      <c r="M400" s="17" t="str">
        <f>"+8"</f>
        <v>+8</v>
      </c>
      <c r="N400" s="18" t="str">
        <f>"+7"</f>
        <v>+7</v>
      </c>
    </row>
    <row r="401">
      <c r="A401" s="13">
        <v>45901.0</v>
      </c>
      <c r="B401" s="14" t="s">
        <v>47</v>
      </c>
      <c r="C401" s="14" t="s">
        <v>48</v>
      </c>
      <c r="D401" s="14" t="s">
        <v>165</v>
      </c>
      <c r="E401" s="14" t="s">
        <v>166</v>
      </c>
      <c r="F401" s="15" t="s">
        <v>51</v>
      </c>
      <c r="G401" s="14" t="s">
        <v>167</v>
      </c>
      <c r="H401" s="14" t="s">
        <v>165</v>
      </c>
      <c r="I401" s="14" t="s">
        <v>54</v>
      </c>
      <c r="J401" s="14" t="s">
        <v>200</v>
      </c>
      <c r="K401" s="14" t="s">
        <v>219</v>
      </c>
      <c r="L401" s="14">
        <v>100.0</v>
      </c>
      <c r="M401" s="17" t="str">
        <f t="shared" ref="M401:N401" si="205">"+0"</f>
        <v>+0</v>
      </c>
      <c r="N401" s="18" t="str">
        <f t="shared" si="205"/>
        <v>+0</v>
      </c>
    </row>
    <row r="402">
      <c r="A402" s="13">
        <v>45901.0</v>
      </c>
      <c r="B402" s="14" t="s">
        <v>47</v>
      </c>
      <c r="C402" s="14" t="s">
        <v>48</v>
      </c>
      <c r="D402" s="14" t="s">
        <v>93</v>
      </c>
      <c r="E402" s="14" t="s">
        <v>94</v>
      </c>
      <c r="F402" s="15" t="s">
        <v>51</v>
      </c>
      <c r="G402" s="14" t="s">
        <v>191</v>
      </c>
      <c r="H402" s="14" t="s">
        <v>95</v>
      </c>
      <c r="I402" s="14" t="s">
        <v>59</v>
      </c>
      <c r="J402" s="14" t="s">
        <v>200</v>
      </c>
      <c r="K402" s="14" t="s">
        <v>202</v>
      </c>
      <c r="L402" s="14">
        <v>0.0</v>
      </c>
      <c r="M402" s="17" t="str">
        <f t="shared" ref="M402:N402" si="206">"+0"</f>
        <v>+0</v>
      </c>
      <c r="N402" s="18" t="str">
        <f t="shared" si="206"/>
        <v>+0</v>
      </c>
    </row>
    <row r="403">
      <c r="A403" s="13">
        <v>45901.0</v>
      </c>
      <c r="B403" s="14" t="s">
        <v>47</v>
      </c>
      <c r="C403" s="14" t="s">
        <v>48</v>
      </c>
      <c r="D403" s="14" t="s">
        <v>87</v>
      </c>
      <c r="E403" s="14" t="s">
        <v>88</v>
      </c>
      <c r="F403" s="15" t="s">
        <v>51</v>
      </c>
      <c r="G403" s="14" t="s">
        <v>89</v>
      </c>
      <c r="H403" s="14" t="s">
        <v>90</v>
      </c>
      <c r="I403" s="14" t="s">
        <v>59</v>
      </c>
      <c r="J403" s="14" t="s">
        <v>198</v>
      </c>
      <c r="K403" s="14" t="s">
        <v>205</v>
      </c>
      <c r="L403" s="14">
        <v>53.0</v>
      </c>
      <c r="M403" s="17" t="str">
        <f>"+0"</f>
        <v>+0</v>
      </c>
    </row>
    <row r="404">
      <c r="A404" s="13">
        <v>45901.0</v>
      </c>
      <c r="B404" s="14" t="s">
        <v>47</v>
      </c>
      <c r="C404" s="14" t="s">
        <v>48</v>
      </c>
      <c r="D404" s="14" t="s">
        <v>63</v>
      </c>
      <c r="E404" s="14" t="s">
        <v>64</v>
      </c>
      <c r="F404" s="15" t="s">
        <v>51</v>
      </c>
      <c r="G404" s="14" t="s">
        <v>65</v>
      </c>
      <c r="H404" s="14" t="s">
        <v>63</v>
      </c>
      <c r="I404" s="14" t="s">
        <v>54</v>
      </c>
      <c r="J404" s="14" t="s">
        <v>200</v>
      </c>
      <c r="K404" s="14" t="s">
        <v>222</v>
      </c>
      <c r="L404" s="14">
        <v>61.0</v>
      </c>
      <c r="M404" s="17" t="str">
        <f>"+5"</f>
        <v>+5</v>
      </c>
      <c r="N404" s="18" t="str">
        <f>"-8"</f>
        <v>-8</v>
      </c>
    </row>
    <row r="405">
      <c r="A405" s="13">
        <v>45901.0</v>
      </c>
      <c r="B405" s="14" t="s">
        <v>47</v>
      </c>
      <c r="C405" s="14" t="s">
        <v>48</v>
      </c>
      <c r="D405" s="14" t="s">
        <v>85</v>
      </c>
      <c r="E405" s="14" t="s">
        <v>86</v>
      </c>
      <c r="F405" s="14" t="s">
        <v>146</v>
      </c>
      <c r="G405" s="14" t="s">
        <v>162</v>
      </c>
      <c r="H405" s="14" t="s">
        <v>85</v>
      </c>
      <c r="I405" s="14" t="s">
        <v>107</v>
      </c>
      <c r="J405" s="14" t="s">
        <v>200</v>
      </c>
      <c r="K405" s="14" t="s">
        <v>240</v>
      </c>
      <c r="L405" s="14">
        <v>0.0</v>
      </c>
      <c r="M405" s="17" t="str">
        <f t="shared" ref="M405:N405" si="207">"+0"</f>
        <v>+0</v>
      </c>
      <c r="N405" s="18" t="str">
        <f t="shared" si="207"/>
        <v>+0</v>
      </c>
    </row>
    <row r="406">
      <c r="A406" s="13">
        <v>45901.0</v>
      </c>
      <c r="B406" s="14" t="s">
        <v>47</v>
      </c>
      <c r="C406" s="14" t="s">
        <v>48</v>
      </c>
      <c r="D406" s="14" t="s">
        <v>192</v>
      </c>
      <c r="E406" s="14" t="s">
        <v>193</v>
      </c>
      <c r="F406" s="15" t="s">
        <v>51</v>
      </c>
      <c r="G406" s="14" t="s">
        <v>194</v>
      </c>
      <c r="H406" s="14" t="s">
        <v>192</v>
      </c>
      <c r="I406" s="14" t="s">
        <v>54</v>
      </c>
      <c r="J406" s="14" t="s">
        <v>200</v>
      </c>
      <c r="K406" s="14" t="s">
        <v>227</v>
      </c>
      <c r="L406" s="14">
        <v>70.0</v>
      </c>
      <c r="M406" s="17" t="str">
        <f>"+6"</f>
        <v>+6</v>
      </c>
      <c r="N406" s="18" t="str">
        <f>"-1"</f>
        <v>-1</v>
      </c>
    </row>
    <row r="407">
      <c r="A407" s="13">
        <v>45901.0</v>
      </c>
      <c r="B407" s="14" t="s">
        <v>47</v>
      </c>
      <c r="C407" s="14" t="s">
        <v>48</v>
      </c>
      <c r="D407" s="14" t="s">
        <v>192</v>
      </c>
      <c r="E407" s="14" t="s">
        <v>193</v>
      </c>
      <c r="F407" s="15" t="s">
        <v>51</v>
      </c>
      <c r="G407" s="14" t="s">
        <v>194</v>
      </c>
      <c r="H407" s="14" t="s">
        <v>192</v>
      </c>
      <c r="I407" s="14" t="s">
        <v>54</v>
      </c>
      <c r="J407" s="14" t="s">
        <v>200</v>
      </c>
      <c r="K407" s="14" t="s">
        <v>202</v>
      </c>
      <c r="L407" s="14">
        <v>62.0</v>
      </c>
      <c r="M407" s="17" t="str">
        <f>"+0"</f>
        <v>+0</v>
      </c>
      <c r="N407" s="18" t="str">
        <f>"-3"</f>
        <v>-3</v>
      </c>
    </row>
    <row r="408">
      <c r="A408" s="13">
        <v>45901.0</v>
      </c>
      <c r="B408" s="14" t="s">
        <v>47</v>
      </c>
      <c r="C408" s="14" t="s">
        <v>48</v>
      </c>
      <c r="D408" s="14" t="s">
        <v>132</v>
      </c>
      <c r="E408" s="14" t="s">
        <v>133</v>
      </c>
      <c r="F408" s="15" t="s">
        <v>51</v>
      </c>
      <c r="G408" s="14" t="s">
        <v>134</v>
      </c>
      <c r="H408" s="14" t="s">
        <v>135</v>
      </c>
      <c r="I408" s="14" t="s">
        <v>59</v>
      </c>
      <c r="J408" s="14" t="s">
        <v>200</v>
      </c>
      <c r="K408" s="14" t="s">
        <v>214</v>
      </c>
      <c r="L408" s="14">
        <v>26.0</v>
      </c>
      <c r="M408" s="17" t="str">
        <f>"+1"</f>
        <v>+1</v>
      </c>
      <c r="N408" s="18" t="str">
        <f>"-1"</f>
        <v>-1</v>
      </c>
    </row>
    <row r="409">
      <c r="A409" s="13">
        <v>45901.0</v>
      </c>
      <c r="B409" s="14" t="s">
        <v>47</v>
      </c>
      <c r="C409" s="14" t="s">
        <v>48</v>
      </c>
      <c r="D409" s="14" t="s">
        <v>149</v>
      </c>
      <c r="E409" s="14" t="s">
        <v>150</v>
      </c>
      <c r="F409" s="15" t="s">
        <v>51</v>
      </c>
      <c r="G409" s="14" t="s">
        <v>151</v>
      </c>
      <c r="H409" s="14" t="s">
        <v>152</v>
      </c>
      <c r="I409" s="14" t="s">
        <v>54</v>
      </c>
      <c r="J409" s="14" t="s">
        <v>200</v>
      </c>
      <c r="K409" s="14" t="s">
        <v>201</v>
      </c>
      <c r="L409" s="14">
        <v>12.0</v>
      </c>
      <c r="M409" s="17" t="str">
        <f t="shared" ref="M409:N409" si="208">"+0"</f>
        <v>+0</v>
      </c>
      <c r="N409" s="18" t="str">
        <f t="shared" si="208"/>
        <v>+0</v>
      </c>
    </row>
    <row r="410">
      <c r="A410" s="13">
        <v>45901.0</v>
      </c>
      <c r="B410" s="14" t="s">
        <v>47</v>
      </c>
      <c r="C410" s="14" t="s">
        <v>48</v>
      </c>
      <c r="D410" s="14" t="s">
        <v>85</v>
      </c>
      <c r="E410" s="14" t="s">
        <v>86</v>
      </c>
      <c r="F410" s="15" t="s">
        <v>51</v>
      </c>
      <c r="G410" s="14" t="s">
        <v>148</v>
      </c>
      <c r="H410" s="14" t="s">
        <v>85</v>
      </c>
      <c r="I410" s="14" t="s">
        <v>59</v>
      </c>
      <c r="J410" s="14" t="s">
        <v>200</v>
      </c>
      <c r="K410" s="14" t="s">
        <v>204</v>
      </c>
      <c r="L410" s="14">
        <v>1.0</v>
      </c>
      <c r="M410" s="17" t="str">
        <f t="shared" ref="M410:N410" si="209">"+0"</f>
        <v>+0</v>
      </c>
      <c r="N410" s="18" t="str">
        <f t="shared" si="209"/>
        <v>+0</v>
      </c>
    </row>
    <row r="411">
      <c r="A411" s="13">
        <v>45901.0</v>
      </c>
      <c r="B411" s="14" t="s">
        <v>47</v>
      </c>
      <c r="C411" s="14" t="s">
        <v>48</v>
      </c>
      <c r="D411" s="14" t="s">
        <v>112</v>
      </c>
      <c r="E411" s="14" t="s">
        <v>113</v>
      </c>
      <c r="F411" s="15" t="s">
        <v>51</v>
      </c>
      <c r="G411" s="14" t="s">
        <v>114</v>
      </c>
      <c r="H411" s="14" t="s">
        <v>112</v>
      </c>
      <c r="I411" s="14" t="s">
        <v>59</v>
      </c>
      <c r="J411" s="14" t="s">
        <v>200</v>
      </c>
      <c r="K411" s="14" t="s">
        <v>228</v>
      </c>
      <c r="L411" s="14">
        <v>5.0</v>
      </c>
      <c r="M411" s="17" t="str">
        <f>"-1"</f>
        <v>-1</v>
      </c>
      <c r="N411" s="18" t="str">
        <f>"-2"</f>
        <v>-2</v>
      </c>
    </row>
    <row r="412">
      <c r="A412" s="13">
        <v>45901.0</v>
      </c>
      <c r="B412" s="14" t="s">
        <v>47</v>
      </c>
      <c r="C412" s="14" t="s">
        <v>48</v>
      </c>
      <c r="D412" s="14" t="s">
        <v>158</v>
      </c>
      <c r="E412" s="14" t="s">
        <v>159</v>
      </c>
      <c r="F412" s="15" t="s">
        <v>51</v>
      </c>
      <c r="G412" s="14" t="s">
        <v>160</v>
      </c>
      <c r="H412" s="14" t="s">
        <v>158</v>
      </c>
      <c r="I412" s="14" t="s">
        <v>54</v>
      </c>
      <c r="J412" s="14" t="s">
        <v>200</v>
      </c>
      <c r="K412" s="14" t="s">
        <v>202</v>
      </c>
      <c r="L412" s="14">
        <v>0.0</v>
      </c>
      <c r="M412" s="17" t="str">
        <f t="shared" ref="M412:N412" si="210">"+0"</f>
        <v>+0</v>
      </c>
      <c r="N412" s="18" t="str">
        <f t="shared" si="210"/>
        <v>+0</v>
      </c>
    </row>
    <row r="413">
      <c r="A413" s="13">
        <v>45901.0</v>
      </c>
      <c r="B413" s="14" t="s">
        <v>47</v>
      </c>
      <c r="C413" s="14" t="s">
        <v>48</v>
      </c>
      <c r="D413" s="14" t="s">
        <v>181</v>
      </c>
      <c r="E413" s="14" t="s">
        <v>182</v>
      </c>
      <c r="F413" s="15" t="s">
        <v>51</v>
      </c>
      <c r="G413" s="14" t="s">
        <v>183</v>
      </c>
      <c r="H413" s="14" t="s">
        <v>181</v>
      </c>
      <c r="I413" s="14" t="s">
        <v>59</v>
      </c>
      <c r="J413" s="14" t="s">
        <v>200</v>
      </c>
      <c r="K413" s="14" t="s">
        <v>232</v>
      </c>
      <c r="L413" s="14">
        <v>25.0</v>
      </c>
      <c r="M413" s="17" t="str">
        <f>"+1"</f>
        <v>+1</v>
      </c>
      <c r="N413" s="18" t="str">
        <f>"+2"</f>
        <v>+2</v>
      </c>
    </row>
    <row r="414">
      <c r="A414" s="13">
        <v>45901.0</v>
      </c>
      <c r="B414" s="14" t="s">
        <v>47</v>
      </c>
      <c r="C414" s="14" t="s">
        <v>48</v>
      </c>
      <c r="D414" s="14" t="s">
        <v>91</v>
      </c>
      <c r="E414" s="14" t="s">
        <v>92</v>
      </c>
      <c r="F414" s="14" t="s">
        <v>71</v>
      </c>
      <c r="G414" s="14">
        <v>1.00004432E8</v>
      </c>
      <c r="H414" s="14" t="s">
        <v>91</v>
      </c>
      <c r="I414" s="14" t="s">
        <v>59</v>
      </c>
      <c r="J414" s="14" t="s">
        <v>200</v>
      </c>
      <c r="K414" s="14" t="s">
        <v>218</v>
      </c>
      <c r="L414" s="14">
        <v>76.0</v>
      </c>
      <c r="M414" s="17" t="str">
        <f t="shared" ref="M414:N414" si="211">"-11"</f>
        <v>-11</v>
      </c>
      <c r="N414" s="18" t="str">
        <f t="shared" si="211"/>
        <v>-11</v>
      </c>
    </row>
    <row r="415">
      <c r="A415" s="13">
        <v>45901.0</v>
      </c>
      <c r="B415" s="14" t="s">
        <v>47</v>
      </c>
      <c r="C415" s="14" t="s">
        <v>48</v>
      </c>
      <c r="D415" s="14" t="s">
        <v>91</v>
      </c>
      <c r="E415" s="14" t="s">
        <v>92</v>
      </c>
      <c r="F415" s="14" t="s">
        <v>71</v>
      </c>
      <c r="G415" s="14">
        <v>1.00005882E8</v>
      </c>
      <c r="H415" s="14" t="s">
        <v>91</v>
      </c>
      <c r="I415" s="14" t="s">
        <v>59</v>
      </c>
      <c r="J415" s="14" t="s">
        <v>199</v>
      </c>
      <c r="K415" s="14" t="s">
        <v>206</v>
      </c>
      <c r="L415" s="14">
        <v>100.0</v>
      </c>
      <c r="M415" s="17" t="str">
        <f t="shared" ref="M415:N415" si="212">"+0"</f>
        <v>+0</v>
      </c>
      <c r="N415" s="18" t="str">
        <f t="shared" si="212"/>
        <v>+0</v>
      </c>
    </row>
    <row r="416">
      <c r="A416" s="13">
        <v>45901.0</v>
      </c>
      <c r="B416" s="14" t="s">
        <v>47</v>
      </c>
      <c r="C416" s="14" t="s">
        <v>48</v>
      </c>
      <c r="D416" s="14" t="s">
        <v>192</v>
      </c>
      <c r="E416" s="14" t="s">
        <v>193</v>
      </c>
      <c r="F416" s="15" t="s">
        <v>51</v>
      </c>
      <c r="G416" s="14" t="s">
        <v>194</v>
      </c>
      <c r="H416" s="14" t="s">
        <v>192</v>
      </c>
      <c r="I416" s="14" t="s">
        <v>54</v>
      </c>
      <c r="J416" s="14" t="s">
        <v>200</v>
      </c>
      <c r="K416" s="14" t="s">
        <v>223</v>
      </c>
      <c r="L416" s="14">
        <v>65.0</v>
      </c>
      <c r="M416" s="17" t="str">
        <f>"+3"</f>
        <v>+3</v>
      </c>
      <c r="N416" s="18" t="str">
        <f>"+1"</f>
        <v>+1</v>
      </c>
    </row>
    <row r="417">
      <c r="A417" s="13">
        <v>45901.0</v>
      </c>
      <c r="B417" s="14" t="s">
        <v>47</v>
      </c>
      <c r="C417" s="14" t="s">
        <v>48</v>
      </c>
      <c r="D417" s="14" t="s">
        <v>66</v>
      </c>
      <c r="E417" s="14" t="s">
        <v>67</v>
      </c>
      <c r="F417" s="15" t="s">
        <v>51</v>
      </c>
      <c r="G417" s="14" t="s">
        <v>68</v>
      </c>
      <c r="H417" s="14" t="s">
        <v>66</v>
      </c>
      <c r="I417" s="14" t="s">
        <v>59</v>
      </c>
      <c r="J417" s="14" t="s">
        <v>200</v>
      </c>
      <c r="K417" s="14" t="s">
        <v>202</v>
      </c>
      <c r="L417" s="14">
        <v>0.0</v>
      </c>
      <c r="M417" s="17" t="str">
        <f>"-2"</f>
        <v>-2</v>
      </c>
      <c r="N417" s="18" t="str">
        <f>"-22"</f>
        <v>-22</v>
      </c>
    </row>
    <row r="418">
      <c r="A418" s="13">
        <v>45901.0</v>
      </c>
      <c r="B418" s="14" t="s">
        <v>47</v>
      </c>
      <c r="C418" s="14" t="s">
        <v>48</v>
      </c>
      <c r="D418" s="14" t="s">
        <v>93</v>
      </c>
      <c r="E418" s="14" t="s">
        <v>94</v>
      </c>
      <c r="F418" s="15" t="s">
        <v>51</v>
      </c>
      <c r="G418" s="14" t="s">
        <v>191</v>
      </c>
      <c r="H418" s="14" t="s">
        <v>95</v>
      </c>
      <c r="I418" s="14" t="s">
        <v>59</v>
      </c>
      <c r="J418" s="14" t="s">
        <v>199</v>
      </c>
      <c r="K418" s="14" t="s">
        <v>208</v>
      </c>
      <c r="L418" s="14">
        <v>0.0</v>
      </c>
      <c r="M418" s="17" t="str">
        <f t="shared" ref="M418:N418" si="213">"+0"</f>
        <v>+0</v>
      </c>
      <c r="N418" s="18" t="str">
        <f t="shared" si="213"/>
        <v>+0</v>
      </c>
    </row>
    <row r="419">
      <c r="A419" s="13">
        <v>45901.0</v>
      </c>
      <c r="B419" s="14" t="s">
        <v>47</v>
      </c>
      <c r="C419" s="14" t="s">
        <v>48</v>
      </c>
      <c r="D419" s="14" t="s">
        <v>96</v>
      </c>
      <c r="E419" s="14" t="s">
        <v>97</v>
      </c>
      <c r="F419" s="15" t="s">
        <v>51</v>
      </c>
      <c r="G419" s="14" t="s">
        <v>98</v>
      </c>
      <c r="H419" s="14" t="s">
        <v>96</v>
      </c>
      <c r="I419" s="14" t="s">
        <v>59</v>
      </c>
      <c r="J419" s="14" t="s">
        <v>198</v>
      </c>
      <c r="K419" s="14" t="s">
        <v>210</v>
      </c>
      <c r="L419" s="14">
        <v>85.0</v>
      </c>
      <c r="M419" s="17" t="str">
        <f t="shared" ref="M419:N419" si="214">"+0"</f>
        <v>+0</v>
      </c>
      <c r="N419" s="18" t="str">
        <f t="shared" si="214"/>
        <v>+0</v>
      </c>
    </row>
    <row r="420">
      <c r="A420" s="13">
        <v>45901.0</v>
      </c>
      <c r="B420" s="14" t="s">
        <v>47</v>
      </c>
      <c r="C420" s="14" t="s">
        <v>48</v>
      </c>
      <c r="D420" s="14" t="s">
        <v>125</v>
      </c>
      <c r="E420" s="14" t="s">
        <v>126</v>
      </c>
      <c r="F420" s="15" t="s">
        <v>51</v>
      </c>
      <c r="G420" s="14" t="s">
        <v>127</v>
      </c>
      <c r="H420" s="14" t="s">
        <v>125</v>
      </c>
      <c r="I420" s="14" t="s">
        <v>59</v>
      </c>
      <c r="J420" s="14" t="s">
        <v>200</v>
      </c>
      <c r="K420" s="14" t="s">
        <v>232</v>
      </c>
      <c r="L420" s="14">
        <v>35.0</v>
      </c>
      <c r="M420" s="17" t="str">
        <f t="shared" ref="M420:N420" si="215">"+0"</f>
        <v>+0</v>
      </c>
      <c r="N420" s="18" t="str">
        <f t="shared" si="215"/>
        <v>+0</v>
      </c>
    </row>
    <row r="421">
      <c r="A421" s="13">
        <v>45901.0</v>
      </c>
      <c r="B421" s="14" t="s">
        <v>47</v>
      </c>
      <c r="C421" s="14" t="s">
        <v>48</v>
      </c>
      <c r="D421" s="14" t="s">
        <v>195</v>
      </c>
      <c r="E421" s="14" t="s">
        <v>196</v>
      </c>
      <c r="F421" s="14" t="s">
        <v>111</v>
      </c>
      <c r="G421" s="14">
        <v>5252823.0</v>
      </c>
      <c r="H421" s="14" t="s">
        <v>197</v>
      </c>
      <c r="I421" s="14" t="s">
        <v>59</v>
      </c>
      <c r="J421" s="14" t="s">
        <v>199</v>
      </c>
      <c r="K421" s="14" t="s">
        <v>208</v>
      </c>
      <c r="L421" s="14">
        <v>0.0</v>
      </c>
      <c r="M421" s="17" t="str">
        <f t="shared" ref="M421:N421" si="216">"+0"</f>
        <v>+0</v>
      </c>
      <c r="N421" s="18" t="str">
        <f t="shared" si="216"/>
        <v>+0</v>
      </c>
    </row>
    <row r="422">
      <c r="A422" s="13">
        <v>45901.0</v>
      </c>
      <c r="B422" s="14" t="s">
        <v>47</v>
      </c>
      <c r="C422" s="14" t="s">
        <v>48</v>
      </c>
      <c r="D422" s="14" t="s">
        <v>96</v>
      </c>
      <c r="E422" s="14" t="s">
        <v>97</v>
      </c>
      <c r="F422" s="15" t="s">
        <v>51</v>
      </c>
      <c r="G422" s="14" t="s">
        <v>98</v>
      </c>
      <c r="H422" s="14" t="s">
        <v>96</v>
      </c>
      <c r="I422" s="14" t="s">
        <v>59</v>
      </c>
      <c r="J422" s="14" t="s">
        <v>200</v>
      </c>
      <c r="K422" s="14" t="s">
        <v>201</v>
      </c>
      <c r="L422" s="14">
        <v>1.0</v>
      </c>
      <c r="M422" s="17" t="str">
        <f t="shared" ref="M422:N422" si="217">"+0"</f>
        <v>+0</v>
      </c>
      <c r="N422" s="18" t="str">
        <f t="shared" si="217"/>
        <v>+0</v>
      </c>
    </row>
    <row r="423">
      <c r="A423" s="13">
        <v>45901.0</v>
      </c>
      <c r="B423" s="14" t="s">
        <v>47</v>
      </c>
      <c r="C423" s="14" t="s">
        <v>48</v>
      </c>
      <c r="D423" s="14" t="s">
        <v>69</v>
      </c>
      <c r="E423" s="14" t="s">
        <v>70</v>
      </c>
      <c r="F423" s="15" t="s">
        <v>51</v>
      </c>
      <c r="G423" s="14" t="s">
        <v>115</v>
      </c>
      <c r="H423" s="14" t="s">
        <v>72</v>
      </c>
      <c r="I423" s="14" t="s">
        <v>54</v>
      </c>
      <c r="J423" s="14" t="s">
        <v>200</v>
      </c>
      <c r="K423" s="14" t="s">
        <v>224</v>
      </c>
      <c r="L423" s="14">
        <v>57.0</v>
      </c>
      <c r="M423" s="17" t="str">
        <f>"-5"</f>
        <v>-5</v>
      </c>
      <c r="N423" s="18" t="str">
        <f>"+2"</f>
        <v>+2</v>
      </c>
    </row>
    <row r="424">
      <c r="A424" s="13">
        <v>45901.0</v>
      </c>
      <c r="B424" s="14" t="s">
        <v>47</v>
      </c>
      <c r="C424" s="14" t="s">
        <v>48</v>
      </c>
      <c r="D424" s="14" t="s">
        <v>85</v>
      </c>
      <c r="E424" s="14" t="s">
        <v>86</v>
      </c>
      <c r="F424" s="14" t="s">
        <v>71</v>
      </c>
      <c r="G424" s="14">
        <v>88285.0</v>
      </c>
      <c r="H424" s="14" t="s">
        <v>85</v>
      </c>
      <c r="I424" s="14" t="s">
        <v>59</v>
      </c>
      <c r="J424" s="14" t="s">
        <v>199</v>
      </c>
      <c r="K424" s="14" t="s">
        <v>203</v>
      </c>
      <c r="L424" s="14">
        <v>0.0</v>
      </c>
      <c r="M424" s="17" t="str">
        <f t="shared" ref="M424:N424" si="218">"+0"</f>
        <v>+0</v>
      </c>
      <c r="N424" s="18" t="str">
        <f t="shared" si="218"/>
        <v>+0</v>
      </c>
    </row>
    <row r="425">
      <c r="A425" s="13">
        <v>45901.0</v>
      </c>
      <c r="B425" s="14" t="s">
        <v>47</v>
      </c>
      <c r="C425" s="14" t="s">
        <v>48</v>
      </c>
      <c r="D425" s="14" t="s">
        <v>69</v>
      </c>
      <c r="E425" s="14" t="s">
        <v>70</v>
      </c>
      <c r="F425" s="15" t="s">
        <v>51</v>
      </c>
      <c r="G425" s="14" t="s">
        <v>115</v>
      </c>
      <c r="H425" s="14" t="s">
        <v>72</v>
      </c>
      <c r="I425" s="14" t="s">
        <v>54</v>
      </c>
      <c r="J425" s="14" t="s">
        <v>198</v>
      </c>
      <c r="K425" s="14" t="s">
        <v>212</v>
      </c>
      <c r="L425" s="14">
        <v>54.0</v>
      </c>
      <c r="M425" s="17" t="str">
        <f t="shared" ref="M425:N425" si="219">"+18"</f>
        <v>+18</v>
      </c>
      <c r="N425" s="18" t="str">
        <f t="shared" si="219"/>
        <v>+18</v>
      </c>
    </row>
    <row r="426">
      <c r="A426" s="13">
        <v>45901.0</v>
      </c>
      <c r="B426" s="14" t="s">
        <v>47</v>
      </c>
      <c r="C426" s="14" t="s">
        <v>48</v>
      </c>
      <c r="D426" s="14" t="s">
        <v>108</v>
      </c>
      <c r="E426" s="14" t="s">
        <v>109</v>
      </c>
      <c r="F426" s="15" t="s">
        <v>51</v>
      </c>
      <c r="G426" s="14" t="s">
        <v>110</v>
      </c>
      <c r="H426" s="14" t="s">
        <v>108</v>
      </c>
      <c r="I426" s="14" t="s">
        <v>59</v>
      </c>
      <c r="J426" s="14" t="s">
        <v>198</v>
      </c>
      <c r="K426" s="14" t="s">
        <v>212</v>
      </c>
      <c r="L426" s="14">
        <v>100.0</v>
      </c>
      <c r="M426" s="17" t="str">
        <f t="shared" ref="M426:M428" si="220">"+0"</f>
        <v>+0</v>
      </c>
      <c r="N426" s="18" t="str">
        <f>"+18"</f>
        <v>+18</v>
      </c>
    </row>
    <row r="427">
      <c r="A427" s="13">
        <v>45901.0</v>
      </c>
      <c r="B427" s="14" t="s">
        <v>47</v>
      </c>
      <c r="C427" s="14" t="s">
        <v>48</v>
      </c>
      <c r="D427" s="14" t="s">
        <v>108</v>
      </c>
      <c r="E427" s="14" t="s">
        <v>109</v>
      </c>
      <c r="F427" s="15" t="s">
        <v>51</v>
      </c>
      <c r="G427" s="14" t="s">
        <v>110</v>
      </c>
      <c r="H427" s="14" t="s">
        <v>108</v>
      </c>
      <c r="I427" s="14" t="s">
        <v>59</v>
      </c>
      <c r="J427" s="14" t="s">
        <v>200</v>
      </c>
      <c r="K427" s="14" t="s">
        <v>241</v>
      </c>
      <c r="L427" s="14">
        <v>50.0</v>
      </c>
      <c r="M427" s="17" t="str">
        <f t="shared" si="220"/>
        <v>+0</v>
      </c>
    </row>
    <row r="428">
      <c r="A428" s="13">
        <v>45901.0</v>
      </c>
      <c r="B428" s="14" t="s">
        <v>47</v>
      </c>
      <c r="C428" s="14" t="s">
        <v>48</v>
      </c>
      <c r="D428" s="14" t="s">
        <v>60</v>
      </c>
      <c r="E428" s="14" t="s">
        <v>61</v>
      </c>
      <c r="F428" s="15" t="s">
        <v>51</v>
      </c>
      <c r="G428" s="14" t="s">
        <v>62</v>
      </c>
      <c r="H428" s="14" t="s">
        <v>60</v>
      </c>
      <c r="I428" s="14" t="s">
        <v>59</v>
      </c>
      <c r="J428" s="14" t="s">
        <v>198</v>
      </c>
      <c r="K428" s="14" t="s">
        <v>207</v>
      </c>
      <c r="L428" s="14">
        <v>0.0</v>
      </c>
      <c r="M428" s="17" t="str">
        <f t="shared" si="220"/>
        <v>+0</v>
      </c>
    </row>
    <row r="429">
      <c r="A429" s="13">
        <v>45901.0</v>
      </c>
      <c r="B429" s="14" t="s">
        <v>47</v>
      </c>
      <c r="C429" s="14" t="s">
        <v>48</v>
      </c>
      <c r="D429" s="14" t="s">
        <v>49</v>
      </c>
      <c r="E429" s="14" t="s">
        <v>50</v>
      </c>
      <c r="F429" s="15" t="s">
        <v>51</v>
      </c>
      <c r="G429" s="14" t="s">
        <v>52</v>
      </c>
      <c r="H429" s="14" t="s">
        <v>53</v>
      </c>
      <c r="I429" s="14" t="s">
        <v>54</v>
      </c>
      <c r="J429" s="14" t="s">
        <v>200</v>
      </c>
      <c r="K429" s="14" t="s">
        <v>209</v>
      </c>
      <c r="L429" s="14">
        <v>78.0</v>
      </c>
      <c r="M429" s="17" t="str">
        <f>"-12"</f>
        <v>-12</v>
      </c>
      <c r="N429" s="18" t="str">
        <f>"-13"</f>
        <v>-13</v>
      </c>
    </row>
    <row r="430">
      <c r="A430" s="13">
        <v>45901.0</v>
      </c>
      <c r="B430" s="14" t="s">
        <v>47</v>
      </c>
      <c r="C430" s="14" t="s">
        <v>48</v>
      </c>
      <c r="D430" s="14" t="s">
        <v>99</v>
      </c>
      <c r="E430" s="14" t="s">
        <v>100</v>
      </c>
      <c r="F430" s="15" t="s">
        <v>51</v>
      </c>
      <c r="G430" s="14" t="s">
        <v>101</v>
      </c>
      <c r="H430" s="14" t="s">
        <v>102</v>
      </c>
      <c r="I430" s="14" t="s">
        <v>54</v>
      </c>
      <c r="J430" s="14" t="s">
        <v>200</v>
      </c>
      <c r="K430" s="14" t="s">
        <v>209</v>
      </c>
      <c r="L430" s="14">
        <v>17.0</v>
      </c>
      <c r="M430" s="17" t="str">
        <f t="shared" ref="M430:M436" si="221">"+0"</f>
        <v>+0</v>
      </c>
      <c r="N430" s="18" t="str">
        <f>"+1"</f>
        <v>+1</v>
      </c>
    </row>
    <row r="431">
      <c r="A431" s="13">
        <v>45901.0</v>
      </c>
      <c r="B431" s="14" t="s">
        <v>47</v>
      </c>
      <c r="C431" s="14" t="s">
        <v>48</v>
      </c>
      <c r="D431" s="14" t="s">
        <v>118</v>
      </c>
      <c r="E431" s="14" t="s">
        <v>119</v>
      </c>
      <c r="F431" s="15" t="s">
        <v>51</v>
      </c>
      <c r="G431" s="14" t="s">
        <v>120</v>
      </c>
      <c r="H431" s="14" t="s">
        <v>118</v>
      </c>
      <c r="I431" s="14" t="s">
        <v>59</v>
      </c>
      <c r="J431" s="14" t="s">
        <v>199</v>
      </c>
      <c r="K431" s="14" t="s">
        <v>208</v>
      </c>
      <c r="L431" s="14">
        <v>100.0</v>
      </c>
      <c r="M431" s="17" t="str">
        <f t="shared" si="221"/>
        <v>+0</v>
      </c>
      <c r="N431" s="18" t="str">
        <f>"+0"</f>
        <v>+0</v>
      </c>
    </row>
    <row r="432">
      <c r="A432" s="13">
        <v>45901.0</v>
      </c>
      <c r="B432" s="14" t="s">
        <v>47</v>
      </c>
      <c r="C432" s="14" t="s">
        <v>48</v>
      </c>
      <c r="D432" s="14" t="s">
        <v>184</v>
      </c>
      <c r="E432" s="14" t="s">
        <v>185</v>
      </c>
      <c r="F432" s="15" t="s">
        <v>51</v>
      </c>
      <c r="G432" s="14" t="s">
        <v>186</v>
      </c>
      <c r="H432" s="14" t="s">
        <v>187</v>
      </c>
      <c r="I432" s="14" t="s">
        <v>59</v>
      </c>
      <c r="J432" s="14" t="s">
        <v>198</v>
      </c>
      <c r="K432" s="14" t="s">
        <v>205</v>
      </c>
      <c r="L432" s="14">
        <v>51.0</v>
      </c>
      <c r="M432" s="17" t="str">
        <f t="shared" si="221"/>
        <v>+0</v>
      </c>
    </row>
    <row r="433">
      <c r="A433" s="13">
        <v>45901.0</v>
      </c>
      <c r="B433" s="14" t="s">
        <v>47</v>
      </c>
      <c r="C433" s="14" t="s">
        <v>48</v>
      </c>
      <c r="D433" s="14" t="s">
        <v>66</v>
      </c>
      <c r="E433" s="14" t="s">
        <v>67</v>
      </c>
      <c r="F433" s="15" t="s">
        <v>51</v>
      </c>
      <c r="G433" s="14" t="s">
        <v>68</v>
      </c>
      <c r="H433" s="14" t="s">
        <v>66</v>
      </c>
      <c r="I433" s="14" t="s">
        <v>59</v>
      </c>
      <c r="J433" s="14" t="s">
        <v>199</v>
      </c>
      <c r="K433" s="14" t="s">
        <v>206</v>
      </c>
      <c r="L433" s="14">
        <v>0.0</v>
      </c>
      <c r="M433" s="17" t="str">
        <f t="shared" si="221"/>
        <v>+0</v>
      </c>
      <c r="N433" s="18" t="str">
        <f t="shared" ref="N433:N434" si="222">"+0"</f>
        <v>+0</v>
      </c>
    </row>
    <row r="434">
      <c r="A434" s="13">
        <v>45901.0</v>
      </c>
      <c r="B434" s="14" t="s">
        <v>47</v>
      </c>
      <c r="C434" s="14" t="s">
        <v>48</v>
      </c>
      <c r="D434" s="14" t="s">
        <v>73</v>
      </c>
      <c r="E434" s="14" t="s">
        <v>74</v>
      </c>
      <c r="F434" s="15" t="s">
        <v>51</v>
      </c>
      <c r="G434" s="14" t="s">
        <v>75</v>
      </c>
      <c r="H434" s="14" t="s">
        <v>76</v>
      </c>
      <c r="I434" s="14" t="s">
        <v>59</v>
      </c>
      <c r="J434" s="14" t="s">
        <v>200</v>
      </c>
      <c r="K434" s="14" t="s">
        <v>229</v>
      </c>
      <c r="L434" s="14">
        <v>40.0</v>
      </c>
      <c r="M434" s="17" t="str">
        <f t="shared" si="221"/>
        <v>+0</v>
      </c>
      <c r="N434" s="18" t="str">
        <f t="shared" si="222"/>
        <v>+0</v>
      </c>
    </row>
    <row r="435">
      <c r="A435" s="13">
        <v>45901.0</v>
      </c>
      <c r="B435" s="14" t="s">
        <v>47</v>
      </c>
      <c r="C435" s="14" t="s">
        <v>48</v>
      </c>
      <c r="D435" s="14" t="s">
        <v>112</v>
      </c>
      <c r="E435" s="14" t="s">
        <v>113</v>
      </c>
      <c r="F435" s="15" t="s">
        <v>51</v>
      </c>
      <c r="G435" s="14" t="s">
        <v>114</v>
      </c>
      <c r="H435" s="14" t="s">
        <v>112</v>
      </c>
      <c r="I435" s="14" t="s">
        <v>59</v>
      </c>
      <c r="J435" s="14" t="s">
        <v>198</v>
      </c>
      <c r="K435" s="14" t="s">
        <v>205</v>
      </c>
      <c r="L435" s="14">
        <v>48.0</v>
      </c>
      <c r="M435" s="17" t="str">
        <f t="shared" si="221"/>
        <v>+0</v>
      </c>
    </row>
    <row r="436">
      <c r="A436" s="13">
        <v>45901.0</v>
      </c>
      <c r="B436" s="14" t="s">
        <v>47</v>
      </c>
      <c r="C436" s="14" t="s">
        <v>48</v>
      </c>
      <c r="D436" s="14" t="s">
        <v>158</v>
      </c>
      <c r="E436" s="14" t="s">
        <v>159</v>
      </c>
      <c r="F436" s="15" t="s">
        <v>51</v>
      </c>
      <c r="G436" s="14" t="s">
        <v>160</v>
      </c>
      <c r="H436" s="14" t="s">
        <v>158</v>
      </c>
      <c r="I436" s="14" t="s">
        <v>54</v>
      </c>
      <c r="J436" s="14" t="s">
        <v>199</v>
      </c>
      <c r="K436" s="14" t="s">
        <v>203</v>
      </c>
      <c r="L436" s="14">
        <v>100.0</v>
      </c>
      <c r="M436" s="17" t="str">
        <f t="shared" si="221"/>
        <v>+0</v>
      </c>
      <c r="N436" s="18" t="str">
        <f t="shared" ref="N436:N437" si="223">"+0"</f>
        <v>+0</v>
      </c>
    </row>
    <row r="437">
      <c r="A437" s="13">
        <v>45901.0</v>
      </c>
      <c r="B437" s="14" t="s">
        <v>47</v>
      </c>
      <c r="C437" s="14" t="s">
        <v>48</v>
      </c>
      <c r="D437" s="14" t="s">
        <v>77</v>
      </c>
      <c r="E437" s="14" t="s">
        <v>78</v>
      </c>
      <c r="F437" s="15" t="s">
        <v>51</v>
      </c>
      <c r="G437" s="14" t="s">
        <v>128</v>
      </c>
      <c r="H437" s="14" t="s">
        <v>81</v>
      </c>
      <c r="I437" s="14" t="s">
        <v>59</v>
      </c>
      <c r="J437" s="14" t="s">
        <v>200</v>
      </c>
      <c r="K437" s="14" t="s">
        <v>202</v>
      </c>
      <c r="L437" s="14">
        <v>35.0</v>
      </c>
      <c r="M437" s="17" t="str">
        <f>"+35"</f>
        <v>+35</v>
      </c>
      <c r="N437" s="18" t="str">
        <f t="shared" si="223"/>
        <v>+0</v>
      </c>
    </row>
    <row r="438">
      <c r="A438" s="13">
        <v>45901.0</v>
      </c>
      <c r="B438" s="14" t="s">
        <v>47</v>
      </c>
      <c r="C438" s="14" t="s">
        <v>48</v>
      </c>
      <c r="D438" s="14" t="s">
        <v>77</v>
      </c>
      <c r="E438" s="14" t="s">
        <v>78</v>
      </c>
      <c r="F438" s="14" t="s">
        <v>79</v>
      </c>
      <c r="G438" s="14" t="s">
        <v>80</v>
      </c>
      <c r="H438" s="14" t="s">
        <v>81</v>
      </c>
      <c r="J438" s="14" t="s">
        <v>198</v>
      </c>
      <c r="K438" s="14" t="s">
        <v>205</v>
      </c>
      <c r="L438" s="14">
        <v>0.0</v>
      </c>
      <c r="M438" s="17" t="str">
        <f t="shared" ref="M438:M439" si="224">"+0"</f>
        <v>+0</v>
      </c>
    </row>
    <row r="439">
      <c r="A439" s="13">
        <v>45901.0</v>
      </c>
      <c r="B439" s="14" t="s">
        <v>47</v>
      </c>
      <c r="C439" s="14" t="s">
        <v>48</v>
      </c>
      <c r="D439" s="14" t="s">
        <v>118</v>
      </c>
      <c r="E439" s="14" t="s">
        <v>119</v>
      </c>
      <c r="F439" s="15" t="s">
        <v>51</v>
      </c>
      <c r="G439" s="14" t="s">
        <v>120</v>
      </c>
      <c r="H439" s="14" t="s">
        <v>118</v>
      </c>
      <c r="I439" s="14" t="s">
        <v>59</v>
      </c>
      <c r="J439" s="14" t="s">
        <v>200</v>
      </c>
      <c r="K439" s="14" t="s">
        <v>202</v>
      </c>
      <c r="L439" s="14">
        <v>19.0</v>
      </c>
      <c r="M439" s="17" t="str">
        <f t="shared" si="224"/>
        <v>+0</v>
      </c>
      <c r="N439" s="18" t="str">
        <f>"+0"</f>
        <v>+0</v>
      </c>
    </row>
    <row r="440">
      <c r="A440" s="13">
        <v>45901.0</v>
      </c>
      <c r="B440" s="14" t="s">
        <v>47</v>
      </c>
      <c r="C440" s="14" t="s">
        <v>48</v>
      </c>
      <c r="D440" s="14" t="s">
        <v>91</v>
      </c>
      <c r="E440" s="14" t="s">
        <v>92</v>
      </c>
      <c r="F440" s="15" t="s">
        <v>51</v>
      </c>
      <c r="G440" s="14" t="s">
        <v>163</v>
      </c>
      <c r="H440" s="14" t="s">
        <v>91</v>
      </c>
      <c r="I440" s="14" t="s">
        <v>59</v>
      </c>
      <c r="J440" s="14" t="s">
        <v>198</v>
      </c>
      <c r="K440" s="14" t="s">
        <v>210</v>
      </c>
      <c r="L440" s="14">
        <v>76.0</v>
      </c>
      <c r="M440" s="17" t="str">
        <f>"-1"</f>
        <v>-1</v>
      </c>
      <c r="N440" s="18" t="str">
        <f>"-5"</f>
        <v>-5</v>
      </c>
    </row>
    <row r="441">
      <c r="A441" s="13">
        <v>45901.0</v>
      </c>
      <c r="B441" s="14" t="s">
        <v>47</v>
      </c>
      <c r="C441" s="14" t="s">
        <v>48</v>
      </c>
      <c r="D441" s="14" t="s">
        <v>99</v>
      </c>
      <c r="E441" s="14" t="s">
        <v>100</v>
      </c>
      <c r="F441" s="15" t="s">
        <v>51</v>
      </c>
      <c r="G441" s="14" t="s">
        <v>101</v>
      </c>
      <c r="H441" s="14" t="s">
        <v>102</v>
      </c>
      <c r="I441" s="14" t="s">
        <v>54</v>
      </c>
      <c r="J441" s="14" t="s">
        <v>199</v>
      </c>
      <c r="K441" s="14" t="s">
        <v>206</v>
      </c>
      <c r="L441" s="14">
        <v>33.0</v>
      </c>
      <c r="M441" s="17" t="str">
        <f t="shared" ref="M441:N441" si="225">"+25"</f>
        <v>+25</v>
      </c>
      <c r="N441" s="18" t="str">
        <f t="shared" si="225"/>
        <v>+25</v>
      </c>
    </row>
    <row r="442">
      <c r="A442" s="13">
        <v>45901.0</v>
      </c>
      <c r="B442" s="14" t="s">
        <v>47</v>
      </c>
      <c r="C442" s="14" t="s">
        <v>48</v>
      </c>
      <c r="D442" s="14" t="s">
        <v>132</v>
      </c>
      <c r="E442" s="14" t="s">
        <v>133</v>
      </c>
      <c r="F442" s="15" t="s">
        <v>51</v>
      </c>
      <c r="G442" s="14" t="s">
        <v>134</v>
      </c>
      <c r="H442" s="14" t="s">
        <v>135</v>
      </c>
      <c r="I442" s="14" t="s">
        <v>59</v>
      </c>
      <c r="J442" s="14" t="s">
        <v>199</v>
      </c>
      <c r="K442" s="14" t="s">
        <v>203</v>
      </c>
      <c r="L442" s="14">
        <v>0.0</v>
      </c>
      <c r="M442" s="17" t="str">
        <f t="shared" ref="M442:N442" si="226">"+0"</f>
        <v>+0</v>
      </c>
      <c r="N442" s="18" t="str">
        <f t="shared" si="226"/>
        <v>+0</v>
      </c>
    </row>
    <row r="443">
      <c r="A443" s="13">
        <v>45901.0</v>
      </c>
      <c r="B443" s="14" t="s">
        <v>47</v>
      </c>
      <c r="C443" s="14" t="s">
        <v>48</v>
      </c>
      <c r="D443" s="14" t="s">
        <v>63</v>
      </c>
      <c r="E443" s="14" t="s">
        <v>64</v>
      </c>
      <c r="F443" s="15" t="s">
        <v>51</v>
      </c>
      <c r="G443" s="14" t="s">
        <v>65</v>
      </c>
      <c r="H443" s="14" t="s">
        <v>63</v>
      </c>
      <c r="I443" s="14" t="s">
        <v>54</v>
      </c>
      <c r="J443" s="14" t="s">
        <v>200</v>
      </c>
      <c r="K443" s="14" t="s">
        <v>204</v>
      </c>
      <c r="L443" s="14">
        <v>1.0</v>
      </c>
      <c r="M443" s="17" t="str">
        <f t="shared" ref="M443:N443" si="227">"+0"</f>
        <v>+0</v>
      </c>
      <c r="N443" s="18" t="str">
        <f t="shared" si="227"/>
        <v>+0</v>
      </c>
    </row>
    <row r="444">
      <c r="A444" s="13">
        <v>45901.0</v>
      </c>
      <c r="B444" s="14" t="s">
        <v>47</v>
      </c>
      <c r="C444" s="14" t="s">
        <v>48</v>
      </c>
      <c r="D444" s="14" t="s">
        <v>87</v>
      </c>
      <c r="E444" s="14" t="s">
        <v>88</v>
      </c>
      <c r="F444" s="14" t="s">
        <v>71</v>
      </c>
      <c r="G444" s="14">
        <v>5.46000941E8</v>
      </c>
      <c r="H444" s="14" t="s">
        <v>90</v>
      </c>
      <c r="I444" s="14" t="s">
        <v>107</v>
      </c>
      <c r="J444" s="14" t="s">
        <v>199</v>
      </c>
      <c r="K444" s="14" t="s">
        <v>208</v>
      </c>
      <c r="L444" s="14">
        <v>85.0</v>
      </c>
      <c r="M444" s="17" t="str">
        <f t="shared" ref="M444:M446" si="228">"+0"</f>
        <v>+0</v>
      </c>
      <c r="N444" s="18" t="str">
        <f>"+5"</f>
        <v>+5</v>
      </c>
    </row>
    <row r="445">
      <c r="A445" s="13">
        <v>45901.0</v>
      </c>
      <c r="B445" s="14" t="s">
        <v>47</v>
      </c>
      <c r="C445" s="14" t="s">
        <v>48</v>
      </c>
      <c r="D445" s="14" t="s">
        <v>192</v>
      </c>
      <c r="E445" s="14" t="s">
        <v>193</v>
      </c>
      <c r="F445" s="15" t="s">
        <v>51</v>
      </c>
      <c r="G445" s="14" t="s">
        <v>194</v>
      </c>
      <c r="H445" s="14" t="s">
        <v>192</v>
      </c>
      <c r="I445" s="14" t="s">
        <v>54</v>
      </c>
      <c r="J445" s="14" t="s">
        <v>198</v>
      </c>
      <c r="K445" s="14" t="s">
        <v>205</v>
      </c>
      <c r="L445" s="14">
        <v>70.0</v>
      </c>
      <c r="M445" s="17" t="str">
        <f t="shared" si="228"/>
        <v>+0</v>
      </c>
    </row>
    <row r="446">
      <c r="A446" s="13">
        <v>45901.0</v>
      </c>
      <c r="B446" s="14" t="s">
        <v>47</v>
      </c>
      <c r="C446" s="14" t="s">
        <v>48</v>
      </c>
      <c r="D446" s="14" t="s">
        <v>171</v>
      </c>
      <c r="E446" s="14" t="s">
        <v>172</v>
      </c>
      <c r="F446" s="15" t="s">
        <v>51</v>
      </c>
      <c r="G446" s="14" t="s">
        <v>173</v>
      </c>
      <c r="H446" s="14" t="s">
        <v>171</v>
      </c>
      <c r="I446" s="14" t="s">
        <v>59</v>
      </c>
      <c r="J446" s="14" t="s">
        <v>200</v>
      </c>
      <c r="K446" s="14" t="s">
        <v>204</v>
      </c>
      <c r="L446" s="14">
        <v>0.0</v>
      </c>
      <c r="M446" s="17" t="str">
        <f t="shared" si="228"/>
        <v>+0</v>
      </c>
      <c r="N446" s="18" t="str">
        <f>"+0"</f>
        <v>+0</v>
      </c>
    </row>
    <row r="447">
      <c r="A447" s="13">
        <v>45901.0</v>
      </c>
      <c r="B447" s="14" t="s">
        <v>47</v>
      </c>
      <c r="C447" s="14" t="s">
        <v>48</v>
      </c>
      <c r="D447" s="14" t="s">
        <v>143</v>
      </c>
      <c r="E447" s="14" t="s">
        <v>144</v>
      </c>
      <c r="F447" s="15" t="s">
        <v>51</v>
      </c>
      <c r="G447" s="14" t="s">
        <v>145</v>
      </c>
      <c r="H447" s="14" t="s">
        <v>143</v>
      </c>
      <c r="I447" s="14" t="s">
        <v>59</v>
      </c>
      <c r="J447" s="14" t="s">
        <v>200</v>
      </c>
      <c r="K447" s="14" t="s">
        <v>227</v>
      </c>
      <c r="L447" s="14">
        <v>36.0</v>
      </c>
      <c r="M447" s="17" t="str">
        <f>"+1"</f>
        <v>+1</v>
      </c>
      <c r="N447" s="18" t="str">
        <f>"-6"</f>
        <v>-6</v>
      </c>
    </row>
    <row r="448">
      <c r="A448" s="13">
        <v>45901.0</v>
      </c>
      <c r="B448" s="14" t="s">
        <v>47</v>
      </c>
      <c r="C448" s="14" t="s">
        <v>48</v>
      </c>
      <c r="D448" s="14" t="s">
        <v>171</v>
      </c>
      <c r="E448" s="14" t="s">
        <v>172</v>
      </c>
      <c r="F448" s="15" t="s">
        <v>51</v>
      </c>
      <c r="G448" s="14" t="s">
        <v>173</v>
      </c>
      <c r="H448" s="14" t="s">
        <v>171</v>
      </c>
      <c r="I448" s="14" t="s">
        <v>59</v>
      </c>
      <c r="J448" s="14" t="s">
        <v>200</v>
      </c>
      <c r="K448" s="14" t="s">
        <v>214</v>
      </c>
      <c r="L448" s="14">
        <v>11.0</v>
      </c>
      <c r="M448" s="17" t="str">
        <f t="shared" ref="M448:N448" si="229">"+0"</f>
        <v>+0</v>
      </c>
      <c r="N448" s="18" t="str">
        <f t="shared" si="229"/>
        <v>+0</v>
      </c>
    </row>
    <row r="449">
      <c r="A449" s="13">
        <v>45901.0</v>
      </c>
      <c r="B449" s="14" t="s">
        <v>47</v>
      </c>
      <c r="C449" s="14" t="s">
        <v>48</v>
      </c>
      <c r="D449" s="14" t="s">
        <v>184</v>
      </c>
      <c r="E449" s="14" t="s">
        <v>185</v>
      </c>
      <c r="F449" s="15" t="s">
        <v>51</v>
      </c>
      <c r="G449" s="14" t="s">
        <v>186</v>
      </c>
      <c r="H449" s="14" t="s">
        <v>187</v>
      </c>
      <c r="I449" s="14" t="s">
        <v>59</v>
      </c>
      <c r="J449" s="14" t="s">
        <v>200</v>
      </c>
      <c r="K449" s="14" t="s">
        <v>219</v>
      </c>
      <c r="L449" s="14">
        <v>0.0</v>
      </c>
      <c r="M449" s="17" t="str">
        <f t="shared" ref="M449:N449" si="230">"+0"</f>
        <v>+0</v>
      </c>
      <c r="N449" s="18" t="str">
        <f t="shared" si="230"/>
        <v>+0</v>
      </c>
    </row>
    <row r="450">
      <c r="A450" s="13">
        <v>45901.0</v>
      </c>
      <c r="B450" s="14" t="s">
        <v>47</v>
      </c>
      <c r="C450" s="14" t="s">
        <v>48</v>
      </c>
      <c r="D450" s="14" t="s">
        <v>136</v>
      </c>
      <c r="E450" s="14" t="s">
        <v>137</v>
      </c>
      <c r="F450" s="15" t="s">
        <v>51</v>
      </c>
      <c r="G450" s="14" t="s">
        <v>138</v>
      </c>
      <c r="H450" s="14" t="s">
        <v>139</v>
      </c>
      <c r="I450" s="14" t="s">
        <v>59</v>
      </c>
      <c r="J450" s="14" t="s">
        <v>200</v>
      </c>
      <c r="K450" s="14" t="s">
        <v>227</v>
      </c>
      <c r="L450" s="14">
        <v>43.0</v>
      </c>
      <c r="M450" s="17" t="str">
        <f>"+1"</f>
        <v>+1</v>
      </c>
      <c r="N450" s="18" t="str">
        <f>"-1"</f>
        <v>-1</v>
      </c>
    </row>
    <row r="451">
      <c r="A451" s="13">
        <v>45901.0</v>
      </c>
      <c r="B451" s="14" t="s">
        <v>47</v>
      </c>
      <c r="C451" s="14" t="s">
        <v>48</v>
      </c>
      <c r="D451" s="14" t="s">
        <v>85</v>
      </c>
      <c r="E451" s="14" t="s">
        <v>86</v>
      </c>
      <c r="F451" s="15" t="s">
        <v>51</v>
      </c>
      <c r="G451" s="14" t="s">
        <v>148</v>
      </c>
      <c r="H451" s="14" t="s">
        <v>85</v>
      </c>
      <c r="I451" s="14" t="s">
        <v>59</v>
      </c>
      <c r="J451" s="14" t="s">
        <v>199</v>
      </c>
      <c r="K451" s="14" t="s">
        <v>208</v>
      </c>
      <c r="L451" s="14">
        <v>75.0</v>
      </c>
      <c r="M451" s="17" t="str">
        <f t="shared" ref="M451:N451" si="231">"+0"</f>
        <v>+0</v>
      </c>
      <c r="N451" s="18" t="str">
        <f t="shared" si="231"/>
        <v>+0</v>
      </c>
    </row>
    <row r="452">
      <c r="A452" s="13">
        <v>45901.0</v>
      </c>
      <c r="B452" s="14" t="s">
        <v>47</v>
      </c>
      <c r="C452" s="14" t="s">
        <v>48</v>
      </c>
      <c r="D452" s="14" t="s">
        <v>60</v>
      </c>
      <c r="E452" s="14" t="s">
        <v>61</v>
      </c>
      <c r="F452" s="15" t="s">
        <v>51</v>
      </c>
      <c r="G452" s="14" t="s">
        <v>62</v>
      </c>
      <c r="H452" s="14" t="s">
        <v>60</v>
      </c>
      <c r="I452" s="14" t="s">
        <v>59</v>
      </c>
      <c r="J452" s="14" t="s">
        <v>199</v>
      </c>
      <c r="K452" s="14" t="s">
        <v>208</v>
      </c>
      <c r="L452" s="14">
        <v>85.0</v>
      </c>
      <c r="M452" s="17" t="str">
        <f t="shared" ref="M452:N452" si="232">"+0"</f>
        <v>+0</v>
      </c>
      <c r="N452" s="18" t="str">
        <f t="shared" si="232"/>
        <v>+0</v>
      </c>
    </row>
    <row r="453">
      <c r="A453" s="13">
        <v>45901.0</v>
      </c>
      <c r="B453" s="14" t="s">
        <v>47</v>
      </c>
      <c r="C453" s="14" t="s">
        <v>48</v>
      </c>
      <c r="D453" s="14" t="s">
        <v>56</v>
      </c>
      <c r="E453" s="14" t="s">
        <v>57</v>
      </c>
      <c r="F453" s="15" t="s">
        <v>51</v>
      </c>
      <c r="G453" s="14" t="s">
        <v>58</v>
      </c>
      <c r="H453" s="14" t="s">
        <v>56</v>
      </c>
      <c r="I453" s="14" t="s">
        <v>59</v>
      </c>
      <c r="J453" s="14" t="s">
        <v>198</v>
      </c>
      <c r="K453" s="14" t="s">
        <v>210</v>
      </c>
      <c r="L453" s="14">
        <v>92.0</v>
      </c>
      <c r="M453" s="17" t="str">
        <f t="shared" ref="M453:M454" si="233">"+0"</f>
        <v>+0</v>
      </c>
      <c r="N453" s="18" t="str">
        <f>"-1"</f>
        <v>-1</v>
      </c>
    </row>
    <row r="454">
      <c r="A454" s="13">
        <v>45901.0</v>
      </c>
      <c r="B454" s="14" t="s">
        <v>47</v>
      </c>
      <c r="C454" s="14" t="s">
        <v>48</v>
      </c>
      <c r="D454" s="14" t="s">
        <v>121</v>
      </c>
      <c r="E454" s="14" t="s">
        <v>122</v>
      </c>
      <c r="F454" s="15" t="s">
        <v>51</v>
      </c>
      <c r="G454" s="14" t="s">
        <v>123</v>
      </c>
      <c r="H454" s="14" t="s">
        <v>124</v>
      </c>
      <c r="I454" s="14" t="s">
        <v>59</v>
      </c>
      <c r="J454" s="14" t="s">
        <v>200</v>
      </c>
      <c r="K454" s="14" t="s">
        <v>222</v>
      </c>
      <c r="L454" s="14">
        <v>25.0</v>
      </c>
      <c r="M454" s="17" t="str">
        <f t="shared" si="233"/>
        <v>+0</v>
      </c>
      <c r="N454" s="18" t="str">
        <f>"+0"</f>
        <v>+0</v>
      </c>
    </row>
    <row r="455">
      <c r="A455" s="13">
        <v>45901.0</v>
      </c>
      <c r="B455" s="14" t="s">
        <v>47</v>
      </c>
      <c r="C455" s="14" t="s">
        <v>48</v>
      </c>
      <c r="D455" s="14" t="s">
        <v>118</v>
      </c>
      <c r="E455" s="14" t="s">
        <v>119</v>
      </c>
      <c r="F455" s="15" t="s">
        <v>51</v>
      </c>
      <c r="G455" s="14" t="s">
        <v>120</v>
      </c>
      <c r="H455" s="14" t="s">
        <v>118</v>
      </c>
      <c r="I455" s="14" t="s">
        <v>59</v>
      </c>
      <c r="J455" s="14" t="s">
        <v>200</v>
      </c>
      <c r="K455" s="14" t="s">
        <v>213</v>
      </c>
      <c r="L455" s="14">
        <v>30.0</v>
      </c>
      <c r="M455" s="17" t="str">
        <f>"+4"</f>
        <v>+4</v>
      </c>
      <c r="N455" s="18" t="str">
        <f>"+3"</f>
        <v>+3</v>
      </c>
    </row>
    <row r="456">
      <c r="A456" s="13">
        <v>45901.0</v>
      </c>
      <c r="B456" s="14" t="s">
        <v>47</v>
      </c>
      <c r="C456" s="14" t="s">
        <v>48</v>
      </c>
      <c r="D456" s="14" t="s">
        <v>91</v>
      </c>
      <c r="E456" s="14" t="s">
        <v>92</v>
      </c>
      <c r="F456" s="14" t="s">
        <v>71</v>
      </c>
      <c r="G456" s="14">
        <v>5.00008613E8</v>
      </c>
      <c r="H456" s="14" t="s">
        <v>91</v>
      </c>
      <c r="I456" s="14" t="s">
        <v>59</v>
      </c>
      <c r="J456" s="14" t="s">
        <v>199</v>
      </c>
      <c r="K456" s="14" t="s">
        <v>208</v>
      </c>
      <c r="L456" s="14">
        <v>100.0</v>
      </c>
      <c r="M456" s="17" t="str">
        <f t="shared" ref="M456:N456" si="234">"+0"</f>
        <v>+0</v>
      </c>
      <c r="N456" s="18" t="str">
        <f t="shared" si="234"/>
        <v>+0</v>
      </c>
    </row>
    <row r="457">
      <c r="A457" s="13">
        <v>45901.0</v>
      </c>
      <c r="B457" s="14" t="s">
        <v>47</v>
      </c>
      <c r="C457" s="14" t="s">
        <v>48</v>
      </c>
      <c r="D457" s="14" t="s">
        <v>93</v>
      </c>
      <c r="E457" s="14" t="s">
        <v>94</v>
      </c>
      <c r="F457" s="14" t="s">
        <v>71</v>
      </c>
      <c r="G457" s="14">
        <v>5.36001438E8</v>
      </c>
      <c r="H457" s="14" t="s">
        <v>95</v>
      </c>
      <c r="I457" s="14" t="s">
        <v>59</v>
      </c>
      <c r="J457" s="14" t="s">
        <v>199</v>
      </c>
      <c r="K457" s="14" t="s">
        <v>206</v>
      </c>
      <c r="L457" s="14">
        <v>33.0</v>
      </c>
      <c r="M457" s="17" t="str">
        <f t="shared" ref="M457:M459" si="235">"+0"</f>
        <v>+0</v>
      </c>
      <c r="N457" s="18" t="str">
        <f>"+9"</f>
        <v>+9</v>
      </c>
    </row>
    <row r="458">
      <c r="A458" s="13">
        <v>45901.0</v>
      </c>
      <c r="B458" s="14" t="s">
        <v>47</v>
      </c>
      <c r="C458" s="14" t="s">
        <v>48</v>
      </c>
      <c r="D458" s="14" t="s">
        <v>143</v>
      </c>
      <c r="E458" s="14" t="s">
        <v>144</v>
      </c>
      <c r="F458" s="15" t="s">
        <v>51</v>
      </c>
      <c r="G458" s="14" t="s">
        <v>145</v>
      </c>
      <c r="H458" s="14" t="s">
        <v>143</v>
      </c>
      <c r="I458" s="14" t="s">
        <v>59</v>
      </c>
      <c r="J458" s="14" t="s">
        <v>200</v>
      </c>
      <c r="K458" s="14" t="s">
        <v>202</v>
      </c>
      <c r="L458" s="14">
        <v>37.0</v>
      </c>
      <c r="M458" s="17" t="str">
        <f t="shared" si="235"/>
        <v>+0</v>
      </c>
      <c r="N458" s="18" t="str">
        <f>"+1"</f>
        <v>+1</v>
      </c>
    </row>
    <row r="459">
      <c r="A459" s="13">
        <v>45901.0</v>
      </c>
      <c r="B459" s="14" t="s">
        <v>47</v>
      </c>
      <c r="C459" s="14" t="s">
        <v>48</v>
      </c>
      <c r="D459" s="14" t="s">
        <v>73</v>
      </c>
      <c r="E459" s="14" t="s">
        <v>74</v>
      </c>
      <c r="F459" s="15" t="s">
        <v>51</v>
      </c>
      <c r="G459" s="14" t="s">
        <v>75</v>
      </c>
      <c r="H459" s="14" t="s">
        <v>76</v>
      </c>
      <c r="I459" s="14" t="s">
        <v>59</v>
      </c>
      <c r="J459" s="14" t="s">
        <v>200</v>
      </c>
      <c r="K459" s="14" t="s">
        <v>209</v>
      </c>
      <c r="L459" s="14">
        <v>6.0</v>
      </c>
      <c r="M459" s="17" t="str">
        <f t="shared" si="235"/>
        <v>+0</v>
      </c>
      <c r="N459" s="18" t="str">
        <f t="shared" ref="N459:N460" si="236">"+0"</f>
        <v>+0</v>
      </c>
    </row>
    <row r="460">
      <c r="A460" s="13">
        <v>45901.0</v>
      </c>
      <c r="B460" s="14" t="s">
        <v>47</v>
      </c>
      <c r="C460" s="14" t="s">
        <v>48</v>
      </c>
      <c r="D460" s="14" t="s">
        <v>132</v>
      </c>
      <c r="E460" s="14" t="s">
        <v>133</v>
      </c>
      <c r="F460" s="15" t="s">
        <v>51</v>
      </c>
      <c r="G460" s="14" t="s">
        <v>134</v>
      </c>
      <c r="H460" s="14" t="s">
        <v>135</v>
      </c>
      <c r="I460" s="14" t="s">
        <v>59</v>
      </c>
      <c r="J460" s="14" t="s">
        <v>200</v>
      </c>
      <c r="K460" s="14" t="s">
        <v>227</v>
      </c>
      <c r="L460" s="14">
        <v>35.0</v>
      </c>
      <c r="M460" s="17" t="str">
        <f>"+2"</f>
        <v>+2</v>
      </c>
      <c r="N460" s="18" t="str">
        <f t="shared" si="236"/>
        <v>+0</v>
      </c>
    </row>
    <row r="461">
      <c r="A461" s="13">
        <v>45901.0</v>
      </c>
      <c r="B461" s="14" t="s">
        <v>47</v>
      </c>
      <c r="C461" s="14" t="s">
        <v>48</v>
      </c>
      <c r="D461" s="14" t="s">
        <v>87</v>
      </c>
      <c r="E461" s="14" t="s">
        <v>88</v>
      </c>
      <c r="F461" s="15" t="s">
        <v>51</v>
      </c>
      <c r="G461" s="14" t="s">
        <v>89</v>
      </c>
      <c r="H461" s="14" t="s">
        <v>90</v>
      </c>
      <c r="I461" s="14" t="s">
        <v>59</v>
      </c>
      <c r="J461" s="14" t="s">
        <v>199</v>
      </c>
      <c r="K461" s="14" t="s">
        <v>208</v>
      </c>
      <c r="L461" s="14">
        <v>100.0</v>
      </c>
      <c r="M461" s="17" t="str">
        <f t="shared" ref="M461:N461" si="237">"+0"</f>
        <v>+0</v>
      </c>
      <c r="N461" s="18" t="str">
        <f t="shared" si="237"/>
        <v>+0</v>
      </c>
    </row>
    <row r="462">
      <c r="A462" s="13">
        <v>45901.0</v>
      </c>
      <c r="B462" s="14" t="s">
        <v>47</v>
      </c>
      <c r="C462" s="14" t="s">
        <v>48</v>
      </c>
      <c r="D462" s="14" t="s">
        <v>149</v>
      </c>
      <c r="E462" s="14" t="s">
        <v>150</v>
      </c>
      <c r="F462" s="15" t="s">
        <v>51</v>
      </c>
      <c r="G462" s="14" t="s">
        <v>151</v>
      </c>
      <c r="H462" s="14" t="s">
        <v>152</v>
      </c>
      <c r="I462" s="14" t="s">
        <v>54</v>
      </c>
      <c r="J462" s="14" t="s">
        <v>200</v>
      </c>
      <c r="K462" s="14" t="s">
        <v>224</v>
      </c>
      <c r="L462" s="14">
        <v>31.0</v>
      </c>
      <c r="M462" s="17" t="str">
        <f>"-3"</f>
        <v>-3</v>
      </c>
      <c r="N462" s="18" t="str">
        <f>"-7"</f>
        <v>-7</v>
      </c>
    </row>
    <row r="463">
      <c r="A463" s="13">
        <v>45901.0</v>
      </c>
      <c r="B463" s="14" t="s">
        <v>47</v>
      </c>
      <c r="C463" s="14" t="s">
        <v>48</v>
      </c>
      <c r="D463" s="14" t="s">
        <v>108</v>
      </c>
      <c r="E463" s="14" t="s">
        <v>109</v>
      </c>
      <c r="F463" s="14" t="s">
        <v>79</v>
      </c>
      <c r="G463" s="14" t="s">
        <v>153</v>
      </c>
      <c r="H463" s="14" t="s">
        <v>108</v>
      </c>
      <c r="I463" s="14" t="s">
        <v>154</v>
      </c>
      <c r="J463" s="14" t="s">
        <v>198</v>
      </c>
      <c r="K463" s="14" t="s">
        <v>212</v>
      </c>
      <c r="L463" s="14">
        <v>99.0</v>
      </c>
      <c r="M463" s="17" t="str">
        <f t="shared" ref="M463:M466" si="238">"+0"</f>
        <v>+0</v>
      </c>
    </row>
    <row r="464">
      <c r="A464" s="13">
        <v>45901.0</v>
      </c>
      <c r="B464" s="14" t="s">
        <v>47</v>
      </c>
      <c r="C464" s="14" t="s">
        <v>48</v>
      </c>
      <c r="D464" s="14" t="s">
        <v>108</v>
      </c>
      <c r="E464" s="14" t="s">
        <v>109</v>
      </c>
      <c r="F464" s="15" t="s">
        <v>51</v>
      </c>
      <c r="G464" s="14" t="s">
        <v>110</v>
      </c>
      <c r="H464" s="14" t="s">
        <v>108</v>
      </c>
      <c r="I464" s="14" t="s">
        <v>59</v>
      </c>
      <c r="J464" s="14" t="s">
        <v>200</v>
      </c>
      <c r="K464" s="14" t="s">
        <v>204</v>
      </c>
      <c r="L464" s="14">
        <v>0.0</v>
      </c>
      <c r="M464" s="17" t="str">
        <f t="shared" si="238"/>
        <v>+0</v>
      </c>
      <c r="N464" s="18" t="str">
        <f t="shared" ref="N464:N465" si="239">"+0"</f>
        <v>+0</v>
      </c>
    </row>
    <row r="465">
      <c r="A465" s="13">
        <v>45901.0</v>
      </c>
      <c r="B465" s="14" t="s">
        <v>47</v>
      </c>
      <c r="C465" s="14" t="s">
        <v>48</v>
      </c>
      <c r="D465" s="14" t="s">
        <v>155</v>
      </c>
      <c r="E465" s="14" t="s">
        <v>156</v>
      </c>
      <c r="F465" s="15" t="s">
        <v>51</v>
      </c>
      <c r="G465" s="14" t="s">
        <v>157</v>
      </c>
      <c r="H465" s="14" t="s">
        <v>155</v>
      </c>
      <c r="I465" s="14" t="s">
        <v>59</v>
      </c>
      <c r="J465" s="14" t="s">
        <v>200</v>
      </c>
      <c r="K465" s="14" t="s">
        <v>204</v>
      </c>
      <c r="L465" s="14">
        <v>0.0</v>
      </c>
      <c r="M465" s="17" t="str">
        <f t="shared" si="238"/>
        <v>+0</v>
      </c>
      <c r="N465" s="18" t="str">
        <f t="shared" si="239"/>
        <v>+0</v>
      </c>
    </row>
    <row r="466">
      <c r="A466" s="13">
        <v>45901.0</v>
      </c>
      <c r="B466" s="14" t="s">
        <v>47</v>
      </c>
      <c r="C466" s="14" t="s">
        <v>48</v>
      </c>
      <c r="D466" s="14" t="s">
        <v>121</v>
      </c>
      <c r="E466" s="14" t="s">
        <v>122</v>
      </c>
      <c r="F466" s="15" t="s">
        <v>51</v>
      </c>
      <c r="G466" s="14" t="s">
        <v>123</v>
      </c>
      <c r="H466" s="14" t="s">
        <v>124</v>
      </c>
      <c r="I466" s="14" t="s">
        <v>59</v>
      </c>
      <c r="J466" s="14" t="s">
        <v>199</v>
      </c>
      <c r="K466" s="14" t="s">
        <v>206</v>
      </c>
      <c r="L466" s="14">
        <v>33.0</v>
      </c>
      <c r="M466" s="17" t="str">
        <f t="shared" si="238"/>
        <v>+0</v>
      </c>
      <c r="N466" s="18" t="str">
        <f>"+33"</f>
        <v>+33</v>
      </c>
    </row>
    <row r="467">
      <c r="A467" s="13">
        <v>45901.0</v>
      </c>
      <c r="B467" s="14" t="s">
        <v>47</v>
      </c>
      <c r="C467" s="14" t="s">
        <v>48</v>
      </c>
      <c r="D467" s="14" t="s">
        <v>49</v>
      </c>
      <c r="E467" s="14" t="s">
        <v>50</v>
      </c>
      <c r="F467" s="15" t="s">
        <v>51</v>
      </c>
      <c r="G467" s="14" t="s">
        <v>52</v>
      </c>
      <c r="H467" s="14" t="s">
        <v>53</v>
      </c>
      <c r="I467" s="14" t="s">
        <v>54</v>
      </c>
      <c r="J467" s="14" t="s">
        <v>200</v>
      </c>
      <c r="K467" s="14" t="s">
        <v>213</v>
      </c>
      <c r="L467" s="14">
        <v>58.0</v>
      </c>
      <c r="M467" s="17" t="str">
        <f>"+2"</f>
        <v>+2</v>
      </c>
      <c r="N467" s="18" t="str">
        <f>"+3"</f>
        <v>+3</v>
      </c>
    </row>
    <row r="468">
      <c r="A468" s="13">
        <v>45901.0</v>
      </c>
      <c r="B468" s="14" t="s">
        <v>47</v>
      </c>
      <c r="C468" s="14" t="s">
        <v>48</v>
      </c>
      <c r="D468" s="14" t="s">
        <v>49</v>
      </c>
      <c r="E468" s="14" t="s">
        <v>50</v>
      </c>
      <c r="F468" s="15" t="s">
        <v>51</v>
      </c>
      <c r="G468" s="14" t="s">
        <v>52</v>
      </c>
      <c r="H468" s="14" t="s">
        <v>53</v>
      </c>
      <c r="I468" s="14" t="s">
        <v>54</v>
      </c>
      <c r="J468" s="14" t="s">
        <v>199</v>
      </c>
      <c r="K468" s="14" t="s">
        <v>206</v>
      </c>
      <c r="L468" s="14">
        <v>100.0</v>
      </c>
      <c r="M468" s="17" t="str">
        <f t="shared" ref="M468:N468" si="240">"+0"</f>
        <v>+0</v>
      </c>
      <c r="N468" s="18" t="str">
        <f t="shared" si="240"/>
        <v>+0</v>
      </c>
    </row>
    <row r="469">
      <c r="A469" s="13">
        <v>45901.0</v>
      </c>
      <c r="B469" s="14" t="s">
        <v>47</v>
      </c>
      <c r="C469" s="14" t="s">
        <v>48</v>
      </c>
      <c r="D469" s="14" t="s">
        <v>165</v>
      </c>
      <c r="E469" s="14" t="s">
        <v>166</v>
      </c>
      <c r="F469" s="15" t="s">
        <v>51</v>
      </c>
      <c r="G469" s="14" t="s">
        <v>167</v>
      </c>
      <c r="H469" s="14" t="s">
        <v>165</v>
      </c>
      <c r="I469" s="14" t="s">
        <v>54</v>
      </c>
      <c r="J469" s="14" t="s">
        <v>200</v>
      </c>
      <c r="K469" s="14" t="s">
        <v>202</v>
      </c>
      <c r="L469" s="14">
        <v>30.0</v>
      </c>
      <c r="M469" s="17" t="str">
        <f>"+11"</f>
        <v>+11</v>
      </c>
      <c r="N469" s="18" t="str">
        <f>"+10"</f>
        <v>+10</v>
      </c>
    </row>
    <row r="470">
      <c r="A470" s="13">
        <v>45901.0</v>
      </c>
      <c r="B470" s="14" t="s">
        <v>47</v>
      </c>
      <c r="C470" s="14" t="s">
        <v>48</v>
      </c>
      <c r="D470" s="14" t="s">
        <v>49</v>
      </c>
      <c r="E470" s="14" t="s">
        <v>50</v>
      </c>
      <c r="F470" s="15" t="s">
        <v>51</v>
      </c>
      <c r="G470" s="14" t="s">
        <v>52</v>
      </c>
      <c r="H470" s="14" t="s">
        <v>53</v>
      </c>
      <c r="I470" s="14" t="s">
        <v>54</v>
      </c>
      <c r="J470" s="14" t="s">
        <v>200</v>
      </c>
      <c r="K470" s="14" t="s">
        <v>228</v>
      </c>
      <c r="L470" s="14">
        <v>40.0</v>
      </c>
      <c r="M470" s="17" t="str">
        <f>"+0"</f>
        <v>+0</v>
      </c>
      <c r="N470" s="18" t="str">
        <f>"-1"</f>
        <v>-1</v>
      </c>
    </row>
    <row r="471">
      <c r="A471" s="13">
        <v>45901.0</v>
      </c>
      <c r="B471" s="14" t="s">
        <v>47</v>
      </c>
      <c r="C471" s="14" t="s">
        <v>48</v>
      </c>
      <c r="D471" s="14" t="s">
        <v>63</v>
      </c>
      <c r="E471" s="14" t="s">
        <v>64</v>
      </c>
      <c r="F471" s="15" t="s">
        <v>51</v>
      </c>
      <c r="G471" s="14" t="s">
        <v>65</v>
      </c>
      <c r="H471" s="14" t="s">
        <v>63</v>
      </c>
      <c r="I471" s="14" t="s">
        <v>54</v>
      </c>
      <c r="J471" s="14" t="s">
        <v>200</v>
      </c>
      <c r="K471" s="14" t="s">
        <v>224</v>
      </c>
      <c r="L471" s="14">
        <v>57.0</v>
      </c>
      <c r="M471" s="17" t="str">
        <f>"+3"</f>
        <v>+3</v>
      </c>
      <c r="N471" s="18" t="str">
        <f>"+2"</f>
        <v>+2</v>
      </c>
    </row>
    <row r="472">
      <c r="A472" s="13">
        <v>45901.0</v>
      </c>
      <c r="B472" s="14" t="s">
        <v>47</v>
      </c>
      <c r="C472" s="14" t="s">
        <v>48</v>
      </c>
      <c r="D472" s="14" t="s">
        <v>91</v>
      </c>
      <c r="E472" s="14" t="s">
        <v>92</v>
      </c>
      <c r="F472" s="15" t="s">
        <v>51</v>
      </c>
      <c r="G472" s="14" t="s">
        <v>163</v>
      </c>
      <c r="H472" s="14" t="s">
        <v>91</v>
      </c>
      <c r="I472" s="14" t="s">
        <v>59</v>
      </c>
      <c r="J472" s="14" t="s">
        <v>199</v>
      </c>
      <c r="K472" s="14" t="s">
        <v>203</v>
      </c>
      <c r="L472" s="14">
        <v>67.0</v>
      </c>
      <c r="M472" s="17" t="str">
        <f t="shared" ref="M472:N472" si="241">"-33"</f>
        <v>-33</v>
      </c>
      <c r="N472" s="18" t="str">
        <f t="shared" si="241"/>
        <v>-33</v>
      </c>
    </row>
    <row r="473">
      <c r="A473" s="13">
        <v>45901.0</v>
      </c>
      <c r="B473" s="14" t="s">
        <v>47</v>
      </c>
      <c r="C473" s="14" t="s">
        <v>48</v>
      </c>
      <c r="D473" s="14" t="s">
        <v>66</v>
      </c>
      <c r="E473" s="14" t="s">
        <v>67</v>
      </c>
      <c r="F473" s="15" t="s">
        <v>51</v>
      </c>
      <c r="G473" s="14" t="s">
        <v>68</v>
      </c>
      <c r="H473" s="14" t="s">
        <v>66</v>
      </c>
      <c r="I473" s="14" t="s">
        <v>59</v>
      </c>
      <c r="J473" s="14" t="s">
        <v>198</v>
      </c>
      <c r="K473" s="14" t="s">
        <v>205</v>
      </c>
      <c r="L473" s="14">
        <v>48.0</v>
      </c>
      <c r="M473" s="17" t="str">
        <f t="shared" ref="M473:M474" si="242">"+0"</f>
        <v>+0</v>
      </c>
    </row>
    <row r="474">
      <c r="A474" s="13">
        <v>45901.0</v>
      </c>
      <c r="B474" s="14" t="s">
        <v>47</v>
      </c>
      <c r="C474" s="14" t="s">
        <v>48</v>
      </c>
      <c r="D474" s="14" t="s">
        <v>91</v>
      </c>
      <c r="E474" s="14" t="s">
        <v>92</v>
      </c>
      <c r="F474" s="14" t="s">
        <v>71</v>
      </c>
      <c r="G474" s="14">
        <v>5.10000484E8</v>
      </c>
      <c r="H474" s="14" t="s">
        <v>91</v>
      </c>
      <c r="I474" s="14" t="s">
        <v>54</v>
      </c>
      <c r="J474" s="14" t="s">
        <v>199</v>
      </c>
      <c r="K474" s="14" t="s">
        <v>203</v>
      </c>
      <c r="L474" s="14">
        <v>100.0</v>
      </c>
      <c r="M474" s="17" t="str">
        <f t="shared" si="242"/>
        <v>+0</v>
      </c>
      <c r="N474" s="18" t="str">
        <f>"+0"</f>
        <v>+0</v>
      </c>
    </row>
    <row r="475">
      <c r="A475" s="13">
        <v>45901.0</v>
      </c>
      <c r="B475" s="14" t="s">
        <v>47</v>
      </c>
      <c r="C475" s="14" t="s">
        <v>48</v>
      </c>
      <c r="D475" s="14" t="s">
        <v>63</v>
      </c>
      <c r="E475" s="14" t="s">
        <v>64</v>
      </c>
      <c r="F475" s="15" t="s">
        <v>51</v>
      </c>
      <c r="G475" s="14" t="s">
        <v>65</v>
      </c>
      <c r="H475" s="14" t="s">
        <v>63</v>
      </c>
      <c r="I475" s="14" t="s">
        <v>54</v>
      </c>
      <c r="J475" s="14" t="s">
        <v>200</v>
      </c>
      <c r="K475" s="14" t="s">
        <v>211</v>
      </c>
      <c r="L475" s="14">
        <v>46.0</v>
      </c>
      <c r="M475" s="17" t="str">
        <f>"+1"</f>
        <v>+1</v>
      </c>
      <c r="N475" s="18" t="str">
        <f>"-12"</f>
        <v>-12</v>
      </c>
    </row>
    <row r="476">
      <c r="A476" s="13">
        <v>45901.0</v>
      </c>
      <c r="B476" s="14" t="s">
        <v>47</v>
      </c>
      <c r="C476" s="14" t="s">
        <v>48</v>
      </c>
      <c r="D476" s="14" t="s">
        <v>85</v>
      </c>
      <c r="E476" s="14" t="s">
        <v>86</v>
      </c>
      <c r="F476" s="14" t="s">
        <v>71</v>
      </c>
      <c r="G476" s="14">
        <v>88285.0</v>
      </c>
      <c r="H476" s="14" t="s">
        <v>85</v>
      </c>
      <c r="I476" s="14" t="s">
        <v>59</v>
      </c>
      <c r="J476" s="14" t="s">
        <v>199</v>
      </c>
      <c r="K476" s="14" t="s">
        <v>208</v>
      </c>
      <c r="L476" s="14">
        <v>75.0</v>
      </c>
      <c r="M476" s="17" t="str">
        <f t="shared" ref="M476:N476" si="243">"+0"</f>
        <v>+0</v>
      </c>
      <c r="N476" s="18" t="str">
        <f t="shared" si="243"/>
        <v>+0</v>
      </c>
    </row>
    <row r="477">
      <c r="A477" s="13">
        <v>45901.0</v>
      </c>
      <c r="B477" s="14" t="s">
        <v>47</v>
      </c>
      <c r="C477" s="14" t="s">
        <v>48</v>
      </c>
      <c r="D477" s="14" t="s">
        <v>103</v>
      </c>
      <c r="E477" s="14" t="s">
        <v>104</v>
      </c>
      <c r="F477" s="15" t="s">
        <v>51</v>
      </c>
      <c r="G477" s="14" t="s">
        <v>105</v>
      </c>
      <c r="H477" s="14" t="s">
        <v>106</v>
      </c>
      <c r="I477" s="14" t="s">
        <v>59</v>
      </c>
      <c r="J477" s="14" t="s">
        <v>198</v>
      </c>
      <c r="K477" s="14" t="s">
        <v>205</v>
      </c>
      <c r="L477" s="14">
        <v>60.0</v>
      </c>
      <c r="M477" s="17" t="str">
        <f t="shared" ref="M477:M482" si="244">"+0"</f>
        <v>+0</v>
      </c>
    </row>
    <row r="478">
      <c r="A478" s="13">
        <v>45901.0</v>
      </c>
      <c r="B478" s="14" t="s">
        <v>47</v>
      </c>
      <c r="C478" s="14" t="s">
        <v>48</v>
      </c>
      <c r="D478" s="14" t="s">
        <v>85</v>
      </c>
      <c r="E478" s="14" t="s">
        <v>86</v>
      </c>
      <c r="F478" s="15" t="s">
        <v>51</v>
      </c>
      <c r="G478" s="14" t="s">
        <v>148</v>
      </c>
      <c r="H478" s="14" t="s">
        <v>85</v>
      </c>
      <c r="I478" s="14" t="s">
        <v>59</v>
      </c>
      <c r="J478" s="14" t="s">
        <v>200</v>
      </c>
      <c r="K478" s="14" t="s">
        <v>242</v>
      </c>
      <c r="L478" s="14">
        <v>1.0</v>
      </c>
      <c r="M478" s="17" t="str">
        <f t="shared" si="244"/>
        <v>+0</v>
      </c>
      <c r="N478" s="18" t="str">
        <f t="shared" ref="N478:N480" si="245">"+0"</f>
        <v>+0</v>
      </c>
    </row>
    <row r="479">
      <c r="A479" s="13">
        <v>45901.0</v>
      </c>
      <c r="B479" s="14" t="s">
        <v>47</v>
      </c>
      <c r="C479" s="14" t="s">
        <v>48</v>
      </c>
      <c r="D479" s="14" t="s">
        <v>132</v>
      </c>
      <c r="E479" s="14" t="s">
        <v>133</v>
      </c>
      <c r="F479" s="15" t="s">
        <v>51</v>
      </c>
      <c r="G479" s="14" t="s">
        <v>134</v>
      </c>
      <c r="H479" s="14" t="s">
        <v>135</v>
      </c>
      <c r="I479" s="14" t="s">
        <v>59</v>
      </c>
      <c r="J479" s="14" t="s">
        <v>200</v>
      </c>
      <c r="K479" s="14" t="s">
        <v>222</v>
      </c>
      <c r="L479" s="14">
        <v>25.0</v>
      </c>
      <c r="M479" s="17" t="str">
        <f t="shared" si="244"/>
        <v>+0</v>
      </c>
      <c r="N479" s="18" t="str">
        <f t="shared" si="245"/>
        <v>+0</v>
      </c>
    </row>
    <row r="480">
      <c r="A480" s="13">
        <v>45901.0</v>
      </c>
      <c r="B480" s="14" t="s">
        <v>47</v>
      </c>
      <c r="C480" s="14" t="s">
        <v>48</v>
      </c>
      <c r="D480" s="14" t="s">
        <v>149</v>
      </c>
      <c r="E480" s="14" t="s">
        <v>150</v>
      </c>
      <c r="F480" s="15" t="s">
        <v>51</v>
      </c>
      <c r="G480" s="14" t="s">
        <v>151</v>
      </c>
      <c r="H480" s="14" t="s">
        <v>152</v>
      </c>
      <c r="I480" s="14" t="s">
        <v>54</v>
      </c>
      <c r="J480" s="14" t="s">
        <v>200</v>
      </c>
      <c r="K480" s="14" t="s">
        <v>204</v>
      </c>
      <c r="L480" s="14">
        <v>1.0</v>
      </c>
      <c r="M480" s="17" t="str">
        <f t="shared" si="244"/>
        <v>+0</v>
      </c>
      <c r="N480" s="18" t="str">
        <f t="shared" si="245"/>
        <v>+0</v>
      </c>
    </row>
    <row r="481">
      <c r="A481" s="13">
        <v>45901.0</v>
      </c>
      <c r="B481" s="14" t="s">
        <v>47</v>
      </c>
      <c r="C481" s="14" t="s">
        <v>48</v>
      </c>
      <c r="D481" s="14" t="s">
        <v>149</v>
      </c>
      <c r="E481" s="14" t="s">
        <v>150</v>
      </c>
      <c r="F481" s="15" t="s">
        <v>51</v>
      </c>
      <c r="G481" s="14" t="s">
        <v>151</v>
      </c>
      <c r="H481" s="14" t="s">
        <v>152</v>
      </c>
      <c r="I481" s="14" t="s">
        <v>54</v>
      </c>
      <c r="J481" s="14" t="s">
        <v>198</v>
      </c>
      <c r="K481" s="14" t="s">
        <v>207</v>
      </c>
      <c r="L481" s="14">
        <v>100.0</v>
      </c>
      <c r="M481" s="17" t="str">
        <f t="shared" si="244"/>
        <v>+0</v>
      </c>
    </row>
    <row r="482">
      <c r="A482" s="13">
        <v>45901.0</v>
      </c>
      <c r="B482" s="14" t="s">
        <v>47</v>
      </c>
      <c r="C482" s="14" t="s">
        <v>48</v>
      </c>
      <c r="D482" s="14" t="s">
        <v>85</v>
      </c>
      <c r="E482" s="14" t="s">
        <v>86</v>
      </c>
      <c r="F482" s="15" t="s">
        <v>51</v>
      </c>
      <c r="G482" s="14" t="s">
        <v>148</v>
      </c>
      <c r="H482" s="14" t="s">
        <v>85</v>
      </c>
      <c r="I482" s="14" t="s">
        <v>59</v>
      </c>
      <c r="J482" s="14" t="s">
        <v>200</v>
      </c>
      <c r="K482" s="14" t="s">
        <v>209</v>
      </c>
      <c r="L482" s="14">
        <v>80.0</v>
      </c>
      <c r="M482" s="17" t="str">
        <f t="shared" si="244"/>
        <v>+0</v>
      </c>
      <c r="N482" s="18" t="str">
        <f>"+1"</f>
        <v>+1</v>
      </c>
    </row>
    <row r="483">
      <c r="A483" s="13">
        <v>45901.0</v>
      </c>
      <c r="B483" s="14" t="s">
        <v>47</v>
      </c>
      <c r="C483" s="14" t="s">
        <v>48</v>
      </c>
      <c r="D483" s="14" t="s">
        <v>77</v>
      </c>
      <c r="E483" s="14" t="s">
        <v>78</v>
      </c>
      <c r="F483" s="15" t="s">
        <v>51</v>
      </c>
      <c r="G483" s="14" t="s">
        <v>128</v>
      </c>
      <c r="H483" s="14" t="s">
        <v>81</v>
      </c>
      <c r="I483" s="14" t="s">
        <v>59</v>
      </c>
      <c r="J483" s="14" t="s">
        <v>198</v>
      </c>
      <c r="K483" s="14" t="s">
        <v>212</v>
      </c>
      <c r="L483" s="14">
        <v>58.0</v>
      </c>
      <c r="M483" s="17" t="str">
        <f t="shared" ref="M483:N483" si="246">"+17"</f>
        <v>+17</v>
      </c>
      <c r="N483" s="18" t="str">
        <f t="shared" si="246"/>
        <v>+17</v>
      </c>
    </row>
    <row r="484">
      <c r="A484" s="13">
        <v>45901.0</v>
      </c>
      <c r="B484" s="14" t="s">
        <v>47</v>
      </c>
      <c r="C484" s="14" t="s">
        <v>48</v>
      </c>
      <c r="D484" s="14" t="s">
        <v>112</v>
      </c>
      <c r="E484" s="14" t="s">
        <v>113</v>
      </c>
      <c r="F484" s="15" t="s">
        <v>51</v>
      </c>
      <c r="G484" s="14" t="s">
        <v>114</v>
      </c>
      <c r="H484" s="14" t="s">
        <v>112</v>
      </c>
      <c r="I484" s="14" t="s">
        <v>59</v>
      </c>
      <c r="J484" s="14" t="s">
        <v>200</v>
      </c>
      <c r="K484" s="14" t="s">
        <v>222</v>
      </c>
      <c r="L484" s="14">
        <v>25.0</v>
      </c>
      <c r="M484" s="17" t="str">
        <f t="shared" ref="M484:N484" si="247">"+0"</f>
        <v>+0</v>
      </c>
      <c r="N484" s="18" t="str">
        <f t="shared" si="247"/>
        <v>+0</v>
      </c>
    </row>
    <row r="485">
      <c r="A485" s="13">
        <v>45901.0</v>
      </c>
      <c r="B485" s="14" t="s">
        <v>47</v>
      </c>
      <c r="C485" s="14" t="s">
        <v>48</v>
      </c>
      <c r="D485" s="14" t="s">
        <v>140</v>
      </c>
      <c r="E485" s="14" t="s">
        <v>141</v>
      </c>
      <c r="F485" s="15" t="s">
        <v>51</v>
      </c>
      <c r="G485" s="14" t="s">
        <v>142</v>
      </c>
      <c r="H485" s="14" t="s">
        <v>140</v>
      </c>
      <c r="I485" s="14" t="s">
        <v>59</v>
      </c>
      <c r="J485" s="14" t="s">
        <v>198</v>
      </c>
      <c r="K485" s="14" t="s">
        <v>205</v>
      </c>
      <c r="L485" s="14">
        <v>48.0</v>
      </c>
      <c r="M485" s="17" t="str">
        <f>"+0"</f>
        <v>+0</v>
      </c>
    </row>
    <row r="486">
      <c r="A486" s="13">
        <v>45901.0</v>
      </c>
      <c r="B486" s="14" t="s">
        <v>47</v>
      </c>
      <c r="C486" s="14" t="s">
        <v>48</v>
      </c>
      <c r="D486" s="14" t="s">
        <v>140</v>
      </c>
      <c r="E486" s="14" t="s">
        <v>141</v>
      </c>
      <c r="F486" s="15" t="s">
        <v>51</v>
      </c>
      <c r="G486" s="14" t="s">
        <v>142</v>
      </c>
      <c r="H486" s="14" t="s">
        <v>140</v>
      </c>
      <c r="I486" s="14" t="s">
        <v>59</v>
      </c>
      <c r="J486" s="14" t="s">
        <v>200</v>
      </c>
      <c r="K486" s="14" t="s">
        <v>227</v>
      </c>
      <c r="L486" s="14">
        <v>21.0</v>
      </c>
      <c r="M486" s="17" t="str">
        <f>"+2"</f>
        <v>+2</v>
      </c>
      <c r="N486" s="18" t="str">
        <f>"+1"</f>
        <v>+1</v>
      </c>
    </row>
    <row r="487">
      <c r="A487" s="13">
        <v>45901.0</v>
      </c>
      <c r="B487" s="14" t="s">
        <v>47</v>
      </c>
      <c r="C487" s="14" t="s">
        <v>48</v>
      </c>
      <c r="D487" s="14" t="s">
        <v>91</v>
      </c>
      <c r="E487" s="14" t="s">
        <v>92</v>
      </c>
      <c r="F487" s="14" t="s">
        <v>71</v>
      </c>
      <c r="G487" s="14">
        <v>5.00008613E8</v>
      </c>
      <c r="H487" s="14" t="s">
        <v>91</v>
      </c>
      <c r="I487" s="14" t="s">
        <v>59</v>
      </c>
      <c r="J487" s="14" t="s">
        <v>200</v>
      </c>
      <c r="K487" s="14" t="s">
        <v>230</v>
      </c>
      <c r="L487" s="14">
        <v>7.0</v>
      </c>
      <c r="M487" s="17" t="str">
        <f>"-1"</f>
        <v>-1</v>
      </c>
      <c r="N487" s="18" t="str">
        <f>"-5"</f>
        <v>-5</v>
      </c>
    </row>
    <row r="488">
      <c r="A488" s="13">
        <v>45901.0</v>
      </c>
      <c r="B488" s="14" t="s">
        <v>47</v>
      </c>
      <c r="C488" s="14" t="s">
        <v>48</v>
      </c>
      <c r="D488" s="14" t="s">
        <v>91</v>
      </c>
      <c r="E488" s="14" t="s">
        <v>92</v>
      </c>
      <c r="F488" s="14" t="s">
        <v>71</v>
      </c>
      <c r="G488" s="14">
        <v>5.00008343E8</v>
      </c>
      <c r="H488" s="14" t="s">
        <v>91</v>
      </c>
      <c r="I488" s="14" t="s">
        <v>59</v>
      </c>
      <c r="J488" s="14" t="s">
        <v>200</v>
      </c>
      <c r="K488" s="14" t="s">
        <v>218</v>
      </c>
      <c r="L488" s="14">
        <v>19.0</v>
      </c>
      <c r="M488" s="17" t="str">
        <f t="shared" ref="M488:N488" si="248">"+0"</f>
        <v>+0</v>
      </c>
      <c r="N488" s="18" t="str">
        <f t="shared" si="248"/>
        <v>+0</v>
      </c>
    </row>
    <row r="489">
      <c r="A489" s="13">
        <v>45901.0</v>
      </c>
      <c r="B489" s="14" t="s">
        <v>47</v>
      </c>
      <c r="C489" s="14" t="s">
        <v>48</v>
      </c>
      <c r="D489" s="14" t="s">
        <v>93</v>
      </c>
      <c r="E489" s="14" t="s">
        <v>94</v>
      </c>
      <c r="F489" s="15" t="s">
        <v>51</v>
      </c>
      <c r="G489" s="14" t="s">
        <v>191</v>
      </c>
      <c r="H489" s="14" t="s">
        <v>95</v>
      </c>
      <c r="I489" s="14" t="s">
        <v>59</v>
      </c>
      <c r="J489" s="14" t="s">
        <v>200</v>
      </c>
      <c r="K489" s="14" t="s">
        <v>215</v>
      </c>
      <c r="L489" s="14">
        <v>22.0</v>
      </c>
      <c r="M489" s="17" t="str">
        <f>"+6"</f>
        <v>+6</v>
      </c>
      <c r="N489" s="18" t="str">
        <f>"-2"</f>
        <v>-2</v>
      </c>
    </row>
    <row r="490">
      <c r="A490" s="13">
        <v>45901.0</v>
      </c>
      <c r="B490" s="14" t="s">
        <v>47</v>
      </c>
      <c r="C490" s="14" t="s">
        <v>48</v>
      </c>
      <c r="D490" s="14" t="s">
        <v>143</v>
      </c>
      <c r="E490" s="14" t="s">
        <v>144</v>
      </c>
      <c r="F490" s="15" t="s">
        <v>51</v>
      </c>
      <c r="G490" s="14" t="s">
        <v>145</v>
      </c>
      <c r="H490" s="14" t="s">
        <v>143</v>
      </c>
      <c r="I490" s="14" t="s">
        <v>59</v>
      </c>
      <c r="J490" s="14" t="s">
        <v>200</v>
      </c>
      <c r="K490" s="14" t="s">
        <v>219</v>
      </c>
      <c r="L490" s="14">
        <v>100.0</v>
      </c>
      <c r="M490" s="17" t="str">
        <f t="shared" ref="M490:N490" si="249">"+0"</f>
        <v>+0</v>
      </c>
      <c r="N490" s="18" t="str">
        <f t="shared" si="249"/>
        <v>+0</v>
      </c>
    </row>
    <row r="491">
      <c r="A491" s="13">
        <v>45901.0</v>
      </c>
      <c r="B491" s="14" t="s">
        <v>47</v>
      </c>
      <c r="C491" s="14" t="s">
        <v>48</v>
      </c>
      <c r="D491" s="14" t="s">
        <v>73</v>
      </c>
      <c r="E491" s="14" t="s">
        <v>74</v>
      </c>
      <c r="F491" s="15" t="s">
        <v>51</v>
      </c>
      <c r="G491" s="14" t="s">
        <v>75</v>
      </c>
      <c r="H491" s="14" t="s">
        <v>76</v>
      </c>
      <c r="I491" s="14" t="s">
        <v>59</v>
      </c>
      <c r="J491" s="14" t="s">
        <v>200</v>
      </c>
      <c r="K491" s="14" t="s">
        <v>204</v>
      </c>
      <c r="L491" s="14">
        <v>0.0</v>
      </c>
      <c r="M491" s="17" t="str">
        <f t="shared" ref="M491:N491" si="250">"+0"</f>
        <v>+0</v>
      </c>
      <c r="N491" s="18" t="str">
        <f t="shared" si="250"/>
        <v>+0</v>
      </c>
    </row>
    <row r="492">
      <c r="A492" s="13">
        <v>45901.0</v>
      </c>
      <c r="B492" s="14" t="s">
        <v>47</v>
      </c>
      <c r="C492" s="14" t="s">
        <v>48</v>
      </c>
      <c r="D492" s="14" t="s">
        <v>69</v>
      </c>
      <c r="E492" s="14" t="s">
        <v>70</v>
      </c>
      <c r="F492" s="14" t="s">
        <v>71</v>
      </c>
      <c r="G492" s="14">
        <v>1.00002092E8</v>
      </c>
      <c r="H492" s="14" t="s">
        <v>72</v>
      </c>
      <c r="I492" s="14" t="s">
        <v>54</v>
      </c>
      <c r="J492" s="14" t="s">
        <v>200</v>
      </c>
      <c r="K492" s="14" t="s">
        <v>218</v>
      </c>
      <c r="L492" s="14">
        <v>69.0</v>
      </c>
      <c r="M492" s="17" t="str">
        <f>"-2"</f>
        <v>-2</v>
      </c>
      <c r="N492" s="18" t="str">
        <f>"-10"</f>
        <v>-10</v>
      </c>
    </row>
    <row r="493">
      <c r="A493" s="13">
        <v>45901.0</v>
      </c>
      <c r="B493" s="14" t="s">
        <v>47</v>
      </c>
      <c r="C493" s="14" t="s">
        <v>48</v>
      </c>
      <c r="D493" s="14" t="s">
        <v>85</v>
      </c>
      <c r="E493" s="14" t="s">
        <v>86</v>
      </c>
      <c r="F493" s="15" t="s">
        <v>51</v>
      </c>
      <c r="G493" s="14" t="s">
        <v>148</v>
      </c>
      <c r="H493" s="14" t="s">
        <v>85</v>
      </c>
      <c r="I493" s="14" t="s">
        <v>59</v>
      </c>
      <c r="J493" s="14" t="s">
        <v>200</v>
      </c>
      <c r="K493" s="14" t="s">
        <v>202</v>
      </c>
      <c r="L493" s="14">
        <v>40.0</v>
      </c>
      <c r="M493" s="17" t="str">
        <f>"+2"</f>
        <v>+2</v>
      </c>
      <c r="N493" s="18" t="str">
        <f>"+1"</f>
        <v>+1</v>
      </c>
    </row>
    <row r="494">
      <c r="A494" s="13">
        <v>45901.0</v>
      </c>
      <c r="B494" s="14" t="s">
        <v>47</v>
      </c>
      <c r="C494" s="14" t="s">
        <v>48</v>
      </c>
      <c r="D494" s="14" t="s">
        <v>96</v>
      </c>
      <c r="E494" s="14" t="s">
        <v>97</v>
      </c>
      <c r="F494" s="15" t="s">
        <v>51</v>
      </c>
      <c r="G494" s="14" t="s">
        <v>98</v>
      </c>
      <c r="H494" s="14" t="s">
        <v>96</v>
      </c>
      <c r="I494" s="14" t="s">
        <v>59</v>
      </c>
      <c r="J494" s="14" t="s">
        <v>200</v>
      </c>
      <c r="K494" s="14" t="s">
        <v>204</v>
      </c>
      <c r="L494" s="14">
        <v>0.0</v>
      </c>
      <c r="M494" s="17" t="str">
        <f t="shared" ref="M494:N494" si="251">"+0"</f>
        <v>+0</v>
      </c>
      <c r="N494" s="18" t="str">
        <f t="shared" si="251"/>
        <v>+0</v>
      </c>
    </row>
    <row r="495">
      <c r="A495" s="13">
        <v>45901.0</v>
      </c>
      <c r="B495" s="14" t="s">
        <v>47</v>
      </c>
      <c r="C495" s="14" t="s">
        <v>48</v>
      </c>
      <c r="D495" s="14" t="s">
        <v>108</v>
      </c>
      <c r="E495" s="14" t="s">
        <v>109</v>
      </c>
      <c r="F495" s="14" t="s">
        <v>146</v>
      </c>
      <c r="G495" s="14" t="s">
        <v>180</v>
      </c>
      <c r="H495" s="14" t="s">
        <v>108</v>
      </c>
      <c r="I495" s="14" t="s">
        <v>59</v>
      </c>
      <c r="J495" s="14" t="s">
        <v>199</v>
      </c>
      <c r="K495" s="14" t="s">
        <v>203</v>
      </c>
      <c r="L495" s="14">
        <v>0.0</v>
      </c>
      <c r="M495" s="17" t="str">
        <f>"+0"</f>
        <v>+0</v>
      </c>
    </row>
    <row r="496">
      <c r="A496" s="13">
        <v>45901.0</v>
      </c>
      <c r="B496" s="14" t="s">
        <v>47</v>
      </c>
      <c r="C496" s="14" t="s">
        <v>48</v>
      </c>
      <c r="D496" s="14" t="s">
        <v>116</v>
      </c>
      <c r="E496" s="14" t="s">
        <v>117</v>
      </c>
      <c r="F496" s="15" t="s">
        <v>51</v>
      </c>
      <c r="G496" s="14" t="s">
        <v>161</v>
      </c>
      <c r="H496" s="14" t="s">
        <v>116</v>
      </c>
      <c r="I496" s="14" t="s">
        <v>54</v>
      </c>
      <c r="J496" s="14" t="s">
        <v>200</v>
      </c>
      <c r="K496" s="14" t="s">
        <v>227</v>
      </c>
      <c r="L496" s="14">
        <v>50.0</v>
      </c>
      <c r="M496" s="17" t="str">
        <f>"+4"</f>
        <v>+4</v>
      </c>
      <c r="N496" s="18" t="str">
        <f>"+6"</f>
        <v>+6</v>
      </c>
    </row>
    <row r="497">
      <c r="A497" s="13">
        <v>45901.0</v>
      </c>
      <c r="B497" s="14" t="s">
        <v>47</v>
      </c>
      <c r="C497" s="14" t="s">
        <v>48</v>
      </c>
      <c r="D497" s="14" t="s">
        <v>108</v>
      </c>
      <c r="E497" s="14" t="s">
        <v>109</v>
      </c>
      <c r="F497" s="14" t="s">
        <v>79</v>
      </c>
      <c r="G497" s="14" t="s">
        <v>153</v>
      </c>
      <c r="H497" s="14" t="s">
        <v>108</v>
      </c>
      <c r="I497" s="14" t="s">
        <v>154</v>
      </c>
      <c r="J497" s="14" t="s">
        <v>199</v>
      </c>
      <c r="K497" s="14" t="s">
        <v>203</v>
      </c>
      <c r="L497" s="14">
        <v>0.0</v>
      </c>
      <c r="M497" s="17" t="str">
        <f t="shared" ref="M497:M500" si="252">"+0"</f>
        <v>+0</v>
      </c>
    </row>
    <row r="498">
      <c r="A498" s="13">
        <v>45901.0</v>
      </c>
      <c r="B498" s="14" t="s">
        <v>47</v>
      </c>
      <c r="C498" s="14" t="s">
        <v>48</v>
      </c>
      <c r="D498" s="14" t="s">
        <v>108</v>
      </c>
      <c r="E498" s="14" t="s">
        <v>109</v>
      </c>
      <c r="F498" s="15" t="s">
        <v>51</v>
      </c>
      <c r="G498" s="14" t="s">
        <v>110</v>
      </c>
      <c r="H498" s="14" t="s">
        <v>108</v>
      </c>
      <c r="I498" s="14" t="s">
        <v>59</v>
      </c>
      <c r="J498" s="14" t="s">
        <v>199</v>
      </c>
      <c r="K498" s="14" t="s">
        <v>208</v>
      </c>
      <c r="L498" s="14">
        <v>80.0</v>
      </c>
      <c r="M498" s="17" t="str">
        <f t="shared" si="252"/>
        <v>+0</v>
      </c>
      <c r="N498" s="18" t="str">
        <f>"+5"</f>
        <v>+5</v>
      </c>
    </row>
    <row r="499">
      <c r="A499" s="13">
        <v>45901.0</v>
      </c>
      <c r="B499" s="14" t="s">
        <v>47</v>
      </c>
      <c r="C499" s="14" t="s">
        <v>48</v>
      </c>
      <c r="D499" s="14" t="s">
        <v>108</v>
      </c>
      <c r="E499" s="14" t="s">
        <v>109</v>
      </c>
      <c r="F499" s="14" t="s">
        <v>79</v>
      </c>
      <c r="G499" s="14" t="s">
        <v>153</v>
      </c>
      <c r="H499" s="14" t="s">
        <v>108</v>
      </c>
      <c r="I499" s="14" t="s">
        <v>154</v>
      </c>
      <c r="J499" s="14" t="s">
        <v>198</v>
      </c>
      <c r="K499" s="14" t="s">
        <v>205</v>
      </c>
      <c r="L499" s="14">
        <v>0.0</v>
      </c>
      <c r="M499" s="17" t="str">
        <f t="shared" si="252"/>
        <v>+0</v>
      </c>
    </row>
    <row r="500">
      <c r="A500" s="13">
        <v>45901.0</v>
      </c>
      <c r="B500" s="14" t="s">
        <v>47</v>
      </c>
      <c r="C500" s="14" t="s">
        <v>48</v>
      </c>
      <c r="D500" s="14" t="s">
        <v>77</v>
      </c>
      <c r="E500" s="14" t="s">
        <v>78</v>
      </c>
      <c r="F500" s="15" t="s">
        <v>51</v>
      </c>
      <c r="G500" s="14" t="s">
        <v>128</v>
      </c>
      <c r="H500" s="14" t="s">
        <v>81</v>
      </c>
      <c r="I500" s="14" t="s">
        <v>59</v>
      </c>
      <c r="J500" s="14" t="s">
        <v>200</v>
      </c>
      <c r="K500" s="14" t="s">
        <v>201</v>
      </c>
      <c r="L500" s="14">
        <v>1.0</v>
      </c>
      <c r="M500" s="17" t="str">
        <f t="shared" si="252"/>
        <v>+0</v>
      </c>
      <c r="N500" s="18" t="str">
        <f>"+0"</f>
        <v>+0</v>
      </c>
    </row>
    <row r="501">
      <c r="A501" s="13">
        <v>45901.0</v>
      </c>
      <c r="B501" s="14" t="s">
        <v>47</v>
      </c>
      <c r="C501" s="14" t="s">
        <v>48</v>
      </c>
      <c r="D501" s="14" t="s">
        <v>158</v>
      </c>
      <c r="E501" s="14" t="s">
        <v>159</v>
      </c>
      <c r="F501" s="15" t="s">
        <v>51</v>
      </c>
      <c r="G501" s="14" t="s">
        <v>160</v>
      </c>
      <c r="H501" s="14" t="s">
        <v>158</v>
      </c>
      <c r="I501" s="14" t="s">
        <v>54</v>
      </c>
      <c r="J501" s="14" t="s">
        <v>200</v>
      </c>
      <c r="K501" s="14" t="s">
        <v>229</v>
      </c>
      <c r="L501" s="14">
        <v>43.0</v>
      </c>
      <c r="M501" s="17" t="str">
        <f>"+3"</f>
        <v>+3</v>
      </c>
      <c r="N501" s="18" t="str">
        <f t="shared" ref="N501:N502" si="253">"-1"</f>
        <v>-1</v>
      </c>
    </row>
    <row r="502">
      <c r="A502" s="13">
        <v>45901.0</v>
      </c>
      <c r="B502" s="14" t="s">
        <v>47</v>
      </c>
      <c r="C502" s="14" t="s">
        <v>48</v>
      </c>
      <c r="D502" s="14" t="s">
        <v>112</v>
      </c>
      <c r="E502" s="14" t="s">
        <v>113</v>
      </c>
      <c r="F502" s="15" t="s">
        <v>51</v>
      </c>
      <c r="G502" s="14" t="s">
        <v>114</v>
      </c>
      <c r="H502" s="14" t="s">
        <v>112</v>
      </c>
      <c r="I502" s="14" t="s">
        <v>59</v>
      </c>
      <c r="J502" s="14" t="s">
        <v>200</v>
      </c>
      <c r="K502" s="14" t="s">
        <v>213</v>
      </c>
      <c r="L502" s="14">
        <v>23.0</v>
      </c>
      <c r="M502" s="17" t="str">
        <f>"+0"</f>
        <v>+0</v>
      </c>
      <c r="N502" s="18" t="str">
        <f t="shared" si="253"/>
        <v>-1</v>
      </c>
    </row>
    <row r="503">
      <c r="A503" s="13">
        <v>45901.0</v>
      </c>
      <c r="B503" s="14" t="s">
        <v>47</v>
      </c>
      <c r="C503" s="14" t="s">
        <v>48</v>
      </c>
      <c r="D503" s="14" t="s">
        <v>181</v>
      </c>
      <c r="E503" s="14" t="s">
        <v>182</v>
      </c>
      <c r="F503" s="15" t="s">
        <v>51</v>
      </c>
      <c r="G503" s="14" t="s">
        <v>183</v>
      </c>
      <c r="H503" s="14" t="s">
        <v>181</v>
      </c>
      <c r="I503" s="14" t="s">
        <v>59</v>
      </c>
      <c r="J503" s="14" t="s">
        <v>198</v>
      </c>
      <c r="K503" s="14" t="s">
        <v>212</v>
      </c>
      <c r="L503" s="14">
        <v>100.0</v>
      </c>
      <c r="M503" s="17" t="str">
        <f t="shared" ref="M503:N503" si="254">"+18"</f>
        <v>+18</v>
      </c>
      <c r="N503" s="18" t="str">
        <f t="shared" si="254"/>
        <v>+18</v>
      </c>
    </row>
    <row r="504">
      <c r="A504" s="13">
        <v>45901.0</v>
      </c>
      <c r="B504" s="14" t="s">
        <v>47</v>
      </c>
      <c r="C504" s="14" t="s">
        <v>48</v>
      </c>
      <c r="D504" s="14" t="s">
        <v>121</v>
      </c>
      <c r="E504" s="14" t="s">
        <v>122</v>
      </c>
      <c r="F504" s="15" t="s">
        <v>51</v>
      </c>
      <c r="G504" s="14" t="s">
        <v>123</v>
      </c>
      <c r="H504" s="14" t="s">
        <v>124</v>
      </c>
      <c r="I504" s="14" t="s">
        <v>59</v>
      </c>
      <c r="J504" s="14" t="s">
        <v>199</v>
      </c>
      <c r="K504" s="14" t="s">
        <v>203</v>
      </c>
      <c r="L504" s="14">
        <v>0.0</v>
      </c>
      <c r="M504" s="17" t="str">
        <f t="shared" ref="M504:N504" si="255">"+0"</f>
        <v>+0</v>
      </c>
      <c r="N504" s="18" t="str">
        <f t="shared" si="255"/>
        <v>+0</v>
      </c>
    </row>
    <row r="505">
      <c r="A505" s="13">
        <v>45901.0</v>
      </c>
      <c r="B505" s="14" t="s">
        <v>47</v>
      </c>
      <c r="C505" s="14" t="s">
        <v>48</v>
      </c>
      <c r="D505" s="14" t="s">
        <v>168</v>
      </c>
      <c r="E505" s="14" t="s">
        <v>169</v>
      </c>
      <c r="F505" s="15" t="s">
        <v>51</v>
      </c>
      <c r="G505" s="14" t="s">
        <v>170</v>
      </c>
      <c r="H505" s="14" t="s">
        <v>168</v>
      </c>
      <c r="I505" s="14" t="s">
        <v>59</v>
      </c>
      <c r="J505" s="14" t="s">
        <v>199</v>
      </c>
      <c r="K505" s="14" t="s">
        <v>203</v>
      </c>
      <c r="L505" s="14">
        <v>34.0</v>
      </c>
      <c r="M505" s="17" t="str">
        <f t="shared" ref="M505:N505" si="256">"+0"</f>
        <v>+0</v>
      </c>
      <c r="N505" s="18" t="str">
        <f t="shared" si="256"/>
        <v>+0</v>
      </c>
    </row>
    <row r="506">
      <c r="A506" s="13">
        <v>45901.0</v>
      </c>
      <c r="B506" s="14" t="s">
        <v>47</v>
      </c>
      <c r="C506" s="14" t="s">
        <v>48</v>
      </c>
      <c r="D506" s="14" t="s">
        <v>165</v>
      </c>
      <c r="E506" s="14" t="s">
        <v>166</v>
      </c>
      <c r="F506" s="15" t="s">
        <v>51</v>
      </c>
      <c r="G506" s="14" t="s">
        <v>167</v>
      </c>
      <c r="H506" s="14" t="s">
        <v>165</v>
      </c>
      <c r="I506" s="14" t="s">
        <v>54</v>
      </c>
      <c r="J506" s="14" t="s">
        <v>200</v>
      </c>
      <c r="K506" s="14" t="s">
        <v>209</v>
      </c>
      <c r="L506" s="14">
        <v>76.0</v>
      </c>
      <c r="M506" s="17" t="str">
        <f>"+1"</f>
        <v>+1</v>
      </c>
      <c r="N506" s="18" t="str">
        <f>"+3"</f>
        <v>+3</v>
      </c>
    </row>
    <row r="507">
      <c r="A507" s="13">
        <v>45901.0</v>
      </c>
      <c r="B507" s="14" t="s">
        <v>47</v>
      </c>
      <c r="C507" s="14" t="s">
        <v>48</v>
      </c>
      <c r="D507" s="14" t="s">
        <v>49</v>
      </c>
      <c r="E507" s="14" t="s">
        <v>50</v>
      </c>
      <c r="F507" s="15" t="s">
        <v>51</v>
      </c>
      <c r="G507" s="14" t="s">
        <v>52</v>
      </c>
      <c r="H507" s="14" t="s">
        <v>53</v>
      </c>
      <c r="I507" s="14" t="s">
        <v>54</v>
      </c>
      <c r="J507" s="14" t="s">
        <v>198</v>
      </c>
      <c r="K507" s="14" t="s">
        <v>212</v>
      </c>
      <c r="L507" s="14">
        <v>54.0</v>
      </c>
      <c r="M507" s="17" t="str">
        <f t="shared" ref="M507:N507" si="257">"+18"</f>
        <v>+18</v>
      </c>
      <c r="N507" s="18" t="str">
        <f t="shared" si="257"/>
        <v>+18</v>
      </c>
    </row>
    <row r="508">
      <c r="A508" s="13">
        <v>45901.0</v>
      </c>
      <c r="B508" s="14" t="s">
        <v>47</v>
      </c>
      <c r="C508" s="14" t="s">
        <v>48</v>
      </c>
      <c r="D508" s="14" t="s">
        <v>49</v>
      </c>
      <c r="E508" s="14" t="s">
        <v>50</v>
      </c>
      <c r="F508" s="15" t="s">
        <v>51</v>
      </c>
      <c r="G508" s="14" t="s">
        <v>52</v>
      </c>
      <c r="H508" s="14" t="s">
        <v>53</v>
      </c>
      <c r="I508" s="14" t="s">
        <v>54</v>
      </c>
      <c r="J508" s="14" t="s">
        <v>199</v>
      </c>
      <c r="K508" s="14" t="s">
        <v>203</v>
      </c>
      <c r="L508" s="14">
        <v>100.0</v>
      </c>
      <c r="M508" s="17" t="str">
        <f t="shared" ref="M508:N508" si="258">"+0"</f>
        <v>+0</v>
      </c>
      <c r="N508" s="18" t="str">
        <f t="shared" si="258"/>
        <v>+0</v>
      </c>
    </row>
    <row r="509">
      <c r="A509" s="13">
        <v>45901.0</v>
      </c>
      <c r="B509" s="14" t="s">
        <v>47</v>
      </c>
      <c r="C509" s="14" t="s">
        <v>48</v>
      </c>
      <c r="D509" s="14" t="s">
        <v>118</v>
      </c>
      <c r="E509" s="14" t="s">
        <v>119</v>
      </c>
      <c r="F509" s="15" t="s">
        <v>51</v>
      </c>
      <c r="G509" s="14" t="s">
        <v>120</v>
      </c>
      <c r="H509" s="14" t="s">
        <v>118</v>
      </c>
      <c r="I509" s="14" t="s">
        <v>59</v>
      </c>
      <c r="J509" s="14" t="s">
        <v>200</v>
      </c>
      <c r="K509" s="14" t="s">
        <v>228</v>
      </c>
      <c r="L509" s="14">
        <v>85.0</v>
      </c>
      <c r="M509" s="17" t="str">
        <f>"-2"</f>
        <v>-2</v>
      </c>
      <c r="N509" s="18" t="str">
        <f>"-4"</f>
        <v>-4</v>
      </c>
    </row>
    <row r="510">
      <c r="A510" s="13">
        <v>45901.0</v>
      </c>
      <c r="B510" s="14" t="s">
        <v>47</v>
      </c>
      <c r="C510" s="14" t="s">
        <v>48</v>
      </c>
      <c r="D510" s="14" t="s">
        <v>63</v>
      </c>
      <c r="E510" s="14" t="s">
        <v>64</v>
      </c>
      <c r="F510" s="15" t="s">
        <v>51</v>
      </c>
      <c r="G510" s="14" t="s">
        <v>65</v>
      </c>
      <c r="H510" s="14" t="s">
        <v>63</v>
      </c>
      <c r="I510" s="14" t="s">
        <v>54</v>
      </c>
      <c r="J510" s="14" t="s">
        <v>198</v>
      </c>
      <c r="K510" s="14" t="s">
        <v>212</v>
      </c>
      <c r="L510" s="14">
        <v>54.0</v>
      </c>
      <c r="M510" s="17" t="str">
        <f t="shared" ref="M510:M512" si="259">"+0"</f>
        <v>+0</v>
      </c>
      <c r="N510" s="18" t="str">
        <f>"+18"</f>
        <v>+18</v>
      </c>
    </row>
    <row r="511">
      <c r="A511" s="13">
        <v>45901.0</v>
      </c>
      <c r="B511" s="14" t="s">
        <v>47</v>
      </c>
      <c r="C511" s="14" t="s">
        <v>48</v>
      </c>
      <c r="D511" s="14" t="s">
        <v>91</v>
      </c>
      <c r="E511" s="14" t="s">
        <v>92</v>
      </c>
      <c r="F511" s="14" t="s">
        <v>71</v>
      </c>
      <c r="G511" s="14">
        <v>5.10011769E8</v>
      </c>
      <c r="H511" s="14" t="s">
        <v>91</v>
      </c>
      <c r="I511" s="14" t="s">
        <v>59</v>
      </c>
      <c r="J511" s="14" t="s">
        <v>200</v>
      </c>
      <c r="K511" s="14" t="s">
        <v>218</v>
      </c>
      <c r="L511" s="14">
        <v>1.0</v>
      </c>
      <c r="M511" s="17" t="str">
        <f t="shared" si="259"/>
        <v>+0</v>
      </c>
      <c r="N511" s="18" t="str">
        <f>"+1"</f>
        <v>+1</v>
      </c>
    </row>
    <row r="512">
      <c r="A512" s="13">
        <v>45901.0</v>
      </c>
      <c r="B512" s="14" t="s">
        <v>47</v>
      </c>
      <c r="C512" s="14" t="s">
        <v>48</v>
      </c>
      <c r="D512" s="14" t="s">
        <v>91</v>
      </c>
      <c r="E512" s="14" t="s">
        <v>92</v>
      </c>
      <c r="F512" s="14" t="s">
        <v>71</v>
      </c>
      <c r="G512" s="14">
        <v>1.00004432E8</v>
      </c>
      <c r="H512" s="14" t="s">
        <v>91</v>
      </c>
      <c r="I512" s="14" t="s">
        <v>59</v>
      </c>
      <c r="J512" s="14" t="s">
        <v>199</v>
      </c>
      <c r="K512" s="14" t="s">
        <v>206</v>
      </c>
      <c r="L512" s="14">
        <v>100.0</v>
      </c>
      <c r="M512" s="17" t="str">
        <f t="shared" si="259"/>
        <v>+0</v>
      </c>
      <c r="N512" s="18" t="str">
        <f>"+0"</f>
        <v>+0</v>
      </c>
    </row>
    <row r="513">
      <c r="A513" s="13">
        <v>45901.0</v>
      </c>
      <c r="B513" s="14" t="s">
        <v>47</v>
      </c>
      <c r="C513" s="14" t="s">
        <v>48</v>
      </c>
      <c r="D513" s="14" t="s">
        <v>184</v>
      </c>
      <c r="E513" s="14" t="s">
        <v>185</v>
      </c>
      <c r="F513" s="15" t="s">
        <v>51</v>
      </c>
      <c r="G513" s="14" t="s">
        <v>186</v>
      </c>
      <c r="H513" s="14" t="s">
        <v>187</v>
      </c>
      <c r="I513" s="14" t="s">
        <v>59</v>
      </c>
      <c r="J513" s="14" t="s">
        <v>198</v>
      </c>
      <c r="K513" s="14" t="s">
        <v>210</v>
      </c>
      <c r="L513" s="14">
        <v>85.0</v>
      </c>
      <c r="M513" s="17" t="str">
        <f>"+1"</f>
        <v>+1</v>
      </c>
      <c r="N513" s="18" t="str">
        <f>"-2"</f>
        <v>-2</v>
      </c>
    </row>
    <row r="514">
      <c r="A514" s="13">
        <v>45901.0</v>
      </c>
      <c r="B514" s="14" t="s">
        <v>47</v>
      </c>
      <c r="C514" s="14" t="s">
        <v>48</v>
      </c>
      <c r="D514" s="14" t="s">
        <v>181</v>
      </c>
      <c r="E514" s="14" t="s">
        <v>182</v>
      </c>
      <c r="F514" s="15" t="s">
        <v>51</v>
      </c>
      <c r="G514" s="14" t="s">
        <v>183</v>
      </c>
      <c r="H514" s="14" t="s">
        <v>181</v>
      </c>
      <c r="I514" s="14" t="s">
        <v>59</v>
      </c>
      <c r="J514" s="14" t="s">
        <v>198</v>
      </c>
      <c r="K514" s="14" t="s">
        <v>205</v>
      </c>
      <c r="L514" s="14">
        <v>48.0</v>
      </c>
      <c r="M514" s="17" t="str">
        <f>"+0"</f>
        <v>+0</v>
      </c>
    </row>
    <row r="515">
      <c r="A515" s="13">
        <v>45901.0</v>
      </c>
      <c r="B515" s="14" t="s">
        <v>47</v>
      </c>
      <c r="C515" s="14" t="s">
        <v>48</v>
      </c>
      <c r="D515" s="14" t="s">
        <v>116</v>
      </c>
      <c r="E515" s="14" t="s">
        <v>117</v>
      </c>
      <c r="F515" s="15" t="s">
        <v>51</v>
      </c>
      <c r="G515" s="14" t="s">
        <v>161</v>
      </c>
      <c r="H515" s="14" t="s">
        <v>116</v>
      </c>
      <c r="I515" s="14" t="s">
        <v>54</v>
      </c>
      <c r="J515" s="14" t="s">
        <v>200</v>
      </c>
      <c r="K515" s="14" t="s">
        <v>222</v>
      </c>
      <c r="L515" s="14">
        <v>60.0</v>
      </c>
      <c r="M515" s="17" t="str">
        <f>"+12"</f>
        <v>+12</v>
      </c>
      <c r="N515" s="18" t="str">
        <f>"+30"</f>
        <v>+30</v>
      </c>
    </row>
    <row r="516">
      <c r="A516" s="13">
        <v>45901.0</v>
      </c>
      <c r="B516" s="14" t="s">
        <v>47</v>
      </c>
      <c r="C516" s="14" t="s">
        <v>48</v>
      </c>
      <c r="D516" s="14" t="s">
        <v>192</v>
      </c>
      <c r="E516" s="14" t="s">
        <v>193</v>
      </c>
      <c r="F516" s="15" t="s">
        <v>51</v>
      </c>
      <c r="G516" s="14" t="s">
        <v>194</v>
      </c>
      <c r="H516" s="14" t="s">
        <v>192</v>
      </c>
      <c r="I516" s="14" t="s">
        <v>54</v>
      </c>
      <c r="J516" s="14" t="s">
        <v>199</v>
      </c>
      <c r="K516" s="14" t="s">
        <v>203</v>
      </c>
      <c r="L516" s="14">
        <v>100.0</v>
      </c>
      <c r="M516" s="17" t="str">
        <f t="shared" ref="M516:N516" si="260">"+0"</f>
        <v>+0</v>
      </c>
      <c r="N516" s="18" t="str">
        <f t="shared" si="260"/>
        <v>+0</v>
      </c>
    </row>
    <row r="517">
      <c r="A517" s="13">
        <v>45901.0</v>
      </c>
      <c r="B517" s="14" t="s">
        <v>47</v>
      </c>
      <c r="C517" s="14" t="s">
        <v>48</v>
      </c>
      <c r="D517" s="14" t="s">
        <v>136</v>
      </c>
      <c r="E517" s="14" t="s">
        <v>137</v>
      </c>
      <c r="F517" s="15" t="s">
        <v>51</v>
      </c>
      <c r="G517" s="14" t="s">
        <v>138</v>
      </c>
      <c r="H517" s="14" t="s">
        <v>139</v>
      </c>
      <c r="I517" s="14" t="s">
        <v>59</v>
      </c>
      <c r="J517" s="14" t="s">
        <v>200</v>
      </c>
      <c r="K517" s="14" t="s">
        <v>202</v>
      </c>
      <c r="L517" s="14">
        <v>27.0</v>
      </c>
      <c r="M517" s="17" t="str">
        <f t="shared" ref="M517:N517" si="261">"+0"</f>
        <v>+0</v>
      </c>
      <c r="N517" s="18" t="str">
        <f t="shared" si="261"/>
        <v>+0</v>
      </c>
    </row>
    <row r="518">
      <c r="A518" s="13">
        <v>45901.0</v>
      </c>
      <c r="B518" s="14" t="s">
        <v>47</v>
      </c>
      <c r="C518" s="14" t="s">
        <v>48</v>
      </c>
      <c r="D518" s="14" t="s">
        <v>82</v>
      </c>
      <c r="E518" s="14" t="s">
        <v>83</v>
      </c>
      <c r="F518" s="15" t="s">
        <v>51</v>
      </c>
      <c r="G518" s="14" t="s">
        <v>84</v>
      </c>
      <c r="H518" s="14" t="s">
        <v>82</v>
      </c>
      <c r="I518" s="14" t="s">
        <v>59</v>
      </c>
      <c r="J518" s="14" t="s">
        <v>200</v>
      </c>
      <c r="K518" s="14" t="s">
        <v>204</v>
      </c>
      <c r="L518" s="14">
        <v>0.0</v>
      </c>
      <c r="M518" s="17" t="str">
        <f t="shared" ref="M518:N518" si="262">"+0"</f>
        <v>+0</v>
      </c>
      <c r="N518" s="18" t="str">
        <f t="shared" si="262"/>
        <v>+0</v>
      </c>
    </row>
    <row r="519">
      <c r="A519" s="13">
        <v>45901.0</v>
      </c>
      <c r="B519" s="14" t="s">
        <v>47</v>
      </c>
      <c r="C519" s="14" t="s">
        <v>48</v>
      </c>
      <c r="D519" s="14" t="s">
        <v>82</v>
      </c>
      <c r="E519" s="14" t="s">
        <v>83</v>
      </c>
      <c r="F519" s="15" t="s">
        <v>51</v>
      </c>
      <c r="G519" s="14" t="s">
        <v>84</v>
      </c>
      <c r="H519" s="14" t="s">
        <v>82</v>
      </c>
      <c r="I519" s="14" t="s">
        <v>59</v>
      </c>
      <c r="J519" s="14" t="s">
        <v>200</v>
      </c>
      <c r="K519" s="14" t="s">
        <v>201</v>
      </c>
      <c r="L519" s="14">
        <v>1.0</v>
      </c>
      <c r="M519" s="17" t="str">
        <f t="shared" ref="M519:N519" si="263">"+0"</f>
        <v>+0</v>
      </c>
      <c r="N519" s="18" t="str">
        <f t="shared" si="263"/>
        <v>+0</v>
      </c>
    </row>
    <row r="520">
      <c r="A520" s="13">
        <v>45901.0</v>
      </c>
      <c r="B520" s="14" t="s">
        <v>47</v>
      </c>
      <c r="C520" s="14" t="s">
        <v>48</v>
      </c>
      <c r="D520" s="14" t="s">
        <v>82</v>
      </c>
      <c r="E520" s="14" t="s">
        <v>83</v>
      </c>
      <c r="F520" s="15" t="s">
        <v>51</v>
      </c>
      <c r="G520" s="14" t="s">
        <v>84</v>
      </c>
      <c r="H520" s="14" t="s">
        <v>82</v>
      </c>
      <c r="I520" s="14" t="s">
        <v>59</v>
      </c>
      <c r="J520" s="14" t="s">
        <v>199</v>
      </c>
      <c r="K520" s="14" t="s">
        <v>203</v>
      </c>
      <c r="L520" s="14">
        <v>34.0</v>
      </c>
      <c r="M520" s="17" t="str">
        <f t="shared" ref="M520:N520" si="264">"+0"</f>
        <v>+0</v>
      </c>
      <c r="N520" s="18" t="str">
        <f t="shared" si="264"/>
        <v>+0</v>
      </c>
    </row>
    <row r="521">
      <c r="A521" s="13">
        <v>45901.0</v>
      </c>
      <c r="B521" s="14" t="s">
        <v>47</v>
      </c>
      <c r="C521" s="14" t="s">
        <v>48</v>
      </c>
      <c r="D521" s="14" t="s">
        <v>87</v>
      </c>
      <c r="E521" s="14" t="s">
        <v>88</v>
      </c>
      <c r="F521" s="15" t="s">
        <v>51</v>
      </c>
      <c r="G521" s="14" t="s">
        <v>89</v>
      </c>
      <c r="H521" s="14" t="s">
        <v>90</v>
      </c>
      <c r="I521" s="14" t="s">
        <v>59</v>
      </c>
      <c r="J521" s="14" t="s">
        <v>200</v>
      </c>
      <c r="K521" s="14" t="s">
        <v>227</v>
      </c>
      <c r="L521" s="14">
        <v>54.0</v>
      </c>
      <c r="M521" s="17" t="str">
        <f t="shared" ref="M521:M526" si="265">"+0"</f>
        <v>+0</v>
      </c>
      <c r="N521" s="18" t="str">
        <f>"+2"</f>
        <v>+2</v>
      </c>
    </row>
    <row r="522">
      <c r="A522" s="13">
        <v>45901.0</v>
      </c>
      <c r="B522" s="14" t="s">
        <v>47</v>
      </c>
      <c r="C522" s="14" t="s">
        <v>48</v>
      </c>
      <c r="D522" s="14" t="s">
        <v>69</v>
      </c>
      <c r="E522" s="14" t="s">
        <v>70</v>
      </c>
      <c r="F522" s="15" t="s">
        <v>51</v>
      </c>
      <c r="G522" s="14" t="s">
        <v>115</v>
      </c>
      <c r="H522" s="14" t="s">
        <v>72</v>
      </c>
      <c r="I522" s="14" t="s">
        <v>54</v>
      </c>
      <c r="J522" s="14" t="s">
        <v>199</v>
      </c>
      <c r="K522" s="14" t="s">
        <v>206</v>
      </c>
      <c r="L522" s="14">
        <v>100.0</v>
      </c>
      <c r="M522" s="17" t="str">
        <f t="shared" si="265"/>
        <v>+0</v>
      </c>
      <c r="N522" s="18" t="str">
        <f>"+0"</f>
        <v>+0</v>
      </c>
    </row>
    <row r="523">
      <c r="A523" s="13">
        <v>45901.0</v>
      </c>
      <c r="B523" s="14" t="s">
        <v>47</v>
      </c>
      <c r="C523" s="14" t="s">
        <v>48</v>
      </c>
      <c r="D523" s="14" t="s">
        <v>158</v>
      </c>
      <c r="E523" s="14" t="s">
        <v>159</v>
      </c>
      <c r="F523" s="15" t="s">
        <v>51</v>
      </c>
      <c r="G523" s="14" t="s">
        <v>160</v>
      </c>
      <c r="H523" s="14" t="s">
        <v>158</v>
      </c>
      <c r="I523" s="14" t="s">
        <v>54</v>
      </c>
      <c r="J523" s="14" t="s">
        <v>198</v>
      </c>
      <c r="K523" s="14" t="s">
        <v>205</v>
      </c>
      <c r="L523" s="14">
        <v>51.0</v>
      </c>
      <c r="M523" s="17" t="str">
        <f t="shared" si="265"/>
        <v>+0</v>
      </c>
    </row>
    <row r="524">
      <c r="A524" s="13">
        <v>45901.0</v>
      </c>
      <c r="B524" s="14" t="s">
        <v>47</v>
      </c>
      <c r="C524" s="14" t="s">
        <v>48</v>
      </c>
      <c r="D524" s="14" t="s">
        <v>174</v>
      </c>
      <c r="E524" s="14" t="s">
        <v>175</v>
      </c>
      <c r="F524" s="15" t="s">
        <v>51</v>
      </c>
      <c r="G524" s="14" t="s">
        <v>176</v>
      </c>
      <c r="H524" s="14" t="s">
        <v>174</v>
      </c>
      <c r="I524" s="14" t="s">
        <v>59</v>
      </c>
      <c r="J524" s="14" t="s">
        <v>200</v>
      </c>
      <c r="K524" s="14" t="s">
        <v>222</v>
      </c>
      <c r="L524" s="14">
        <v>25.0</v>
      </c>
      <c r="M524" s="17" t="str">
        <f t="shared" si="265"/>
        <v>+0</v>
      </c>
      <c r="N524" s="18" t="str">
        <f t="shared" ref="N524:N526" si="266">"+0"</f>
        <v>+0</v>
      </c>
    </row>
    <row r="525">
      <c r="A525" s="13">
        <v>45901.0</v>
      </c>
      <c r="B525" s="14" t="s">
        <v>47</v>
      </c>
      <c r="C525" s="14" t="s">
        <v>48</v>
      </c>
      <c r="D525" s="14" t="s">
        <v>112</v>
      </c>
      <c r="E525" s="14" t="s">
        <v>113</v>
      </c>
      <c r="F525" s="15" t="s">
        <v>51</v>
      </c>
      <c r="G525" s="14" t="s">
        <v>114</v>
      </c>
      <c r="H525" s="14" t="s">
        <v>112</v>
      </c>
      <c r="I525" s="14" t="s">
        <v>59</v>
      </c>
      <c r="J525" s="14" t="s">
        <v>199</v>
      </c>
      <c r="K525" s="14" t="s">
        <v>206</v>
      </c>
      <c r="L525" s="14">
        <v>0.0</v>
      </c>
      <c r="M525" s="17" t="str">
        <f t="shared" si="265"/>
        <v>+0</v>
      </c>
      <c r="N525" s="18" t="str">
        <f t="shared" si="266"/>
        <v>+0</v>
      </c>
    </row>
    <row r="526">
      <c r="A526" s="13">
        <v>45901.0</v>
      </c>
      <c r="B526" s="14" t="s">
        <v>47</v>
      </c>
      <c r="C526" s="14" t="s">
        <v>48</v>
      </c>
      <c r="D526" s="14" t="s">
        <v>140</v>
      </c>
      <c r="E526" s="14" t="s">
        <v>141</v>
      </c>
      <c r="F526" s="15" t="s">
        <v>51</v>
      </c>
      <c r="G526" s="14" t="s">
        <v>142</v>
      </c>
      <c r="H526" s="14" t="s">
        <v>140</v>
      </c>
      <c r="I526" s="14" t="s">
        <v>59</v>
      </c>
      <c r="J526" s="14" t="s">
        <v>199</v>
      </c>
      <c r="K526" s="14" t="s">
        <v>206</v>
      </c>
      <c r="L526" s="14">
        <v>0.0</v>
      </c>
      <c r="M526" s="17" t="str">
        <f t="shared" si="265"/>
        <v>+0</v>
      </c>
      <c r="N526" s="18" t="str">
        <f t="shared" si="266"/>
        <v>+0</v>
      </c>
    </row>
    <row r="527">
      <c r="A527" s="13">
        <v>45901.0</v>
      </c>
      <c r="B527" s="14" t="s">
        <v>47</v>
      </c>
      <c r="C527" s="14" t="s">
        <v>48</v>
      </c>
      <c r="D527" s="14" t="s">
        <v>165</v>
      </c>
      <c r="E527" s="14" t="s">
        <v>166</v>
      </c>
      <c r="F527" s="15" t="s">
        <v>51</v>
      </c>
      <c r="G527" s="14" t="s">
        <v>167</v>
      </c>
      <c r="H527" s="14" t="s">
        <v>165</v>
      </c>
      <c r="I527" s="14" t="s">
        <v>54</v>
      </c>
      <c r="J527" s="14" t="s">
        <v>200</v>
      </c>
      <c r="K527" s="14" t="s">
        <v>213</v>
      </c>
      <c r="L527" s="14">
        <v>53.0</v>
      </c>
      <c r="M527" s="17" t="str">
        <f>"+3"</f>
        <v>+3</v>
      </c>
      <c r="N527" s="18" t="str">
        <f>"+1"</f>
        <v>+1</v>
      </c>
    </row>
    <row r="528">
      <c r="A528" s="13">
        <v>45901.0</v>
      </c>
      <c r="B528" s="14" t="s">
        <v>47</v>
      </c>
      <c r="C528" s="14" t="s">
        <v>48</v>
      </c>
      <c r="D528" s="14" t="s">
        <v>91</v>
      </c>
      <c r="E528" s="14" t="s">
        <v>92</v>
      </c>
      <c r="F528" s="15" t="s">
        <v>51</v>
      </c>
      <c r="G528" s="14" t="s">
        <v>163</v>
      </c>
      <c r="H528" s="14" t="s">
        <v>91</v>
      </c>
      <c r="I528" s="14" t="s">
        <v>59</v>
      </c>
      <c r="J528" s="14" t="s">
        <v>198</v>
      </c>
      <c r="K528" s="14" t="s">
        <v>207</v>
      </c>
      <c r="L528" s="14">
        <v>0.0</v>
      </c>
      <c r="M528" s="17" t="str">
        <f t="shared" ref="M528:M532" si="267">"+0"</f>
        <v>+0</v>
      </c>
    </row>
    <row r="529">
      <c r="A529" s="13">
        <v>45901.0</v>
      </c>
      <c r="B529" s="14" t="s">
        <v>47</v>
      </c>
      <c r="C529" s="14" t="s">
        <v>48</v>
      </c>
      <c r="D529" s="14" t="s">
        <v>132</v>
      </c>
      <c r="E529" s="14" t="s">
        <v>133</v>
      </c>
      <c r="F529" s="15" t="s">
        <v>51</v>
      </c>
      <c r="G529" s="14" t="s">
        <v>134</v>
      </c>
      <c r="H529" s="14" t="s">
        <v>135</v>
      </c>
      <c r="I529" s="14" t="s">
        <v>59</v>
      </c>
      <c r="J529" s="14" t="s">
        <v>199</v>
      </c>
      <c r="K529" s="14" t="s">
        <v>206</v>
      </c>
      <c r="L529" s="14">
        <v>0.0</v>
      </c>
      <c r="M529" s="17" t="str">
        <f t="shared" si="267"/>
        <v>+0</v>
      </c>
      <c r="N529" s="18" t="str">
        <f t="shared" ref="N529:N533" si="268">"+0"</f>
        <v>+0</v>
      </c>
    </row>
    <row r="530">
      <c r="A530" s="13">
        <v>45901.0</v>
      </c>
      <c r="B530" s="14" t="s">
        <v>47</v>
      </c>
      <c r="C530" s="14" t="s">
        <v>48</v>
      </c>
      <c r="D530" s="14" t="s">
        <v>85</v>
      </c>
      <c r="E530" s="14" t="s">
        <v>86</v>
      </c>
      <c r="F530" s="14" t="s">
        <v>146</v>
      </c>
      <c r="G530" s="14" t="s">
        <v>162</v>
      </c>
      <c r="H530" s="14" t="s">
        <v>85</v>
      </c>
      <c r="I530" s="14" t="s">
        <v>107</v>
      </c>
      <c r="J530" s="14" t="s">
        <v>199</v>
      </c>
      <c r="K530" s="14" t="s">
        <v>206</v>
      </c>
      <c r="L530" s="14">
        <v>100.0</v>
      </c>
      <c r="M530" s="17" t="str">
        <f t="shared" si="267"/>
        <v>+0</v>
      </c>
      <c r="N530" s="18" t="str">
        <f t="shared" si="268"/>
        <v>+0</v>
      </c>
    </row>
    <row r="531">
      <c r="A531" s="13">
        <v>45901.0</v>
      </c>
      <c r="B531" s="14" t="s">
        <v>47</v>
      </c>
      <c r="C531" s="14" t="s">
        <v>48</v>
      </c>
      <c r="D531" s="14" t="s">
        <v>168</v>
      </c>
      <c r="E531" s="14" t="s">
        <v>169</v>
      </c>
      <c r="F531" s="15" t="s">
        <v>51</v>
      </c>
      <c r="G531" s="14" t="s">
        <v>170</v>
      </c>
      <c r="H531" s="14" t="s">
        <v>168</v>
      </c>
      <c r="I531" s="14" t="s">
        <v>59</v>
      </c>
      <c r="J531" s="14" t="s">
        <v>200</v>
      </c>
      <c r="K531" s="14" t="s">
        <v>209</v>
      </c>
      <c r="L531" s="14">
        <v>80.0</v>
      </c>
      <c r="M531" s="17" t="str">
        <f t="shared" si="267"/>
        <v>+0</v>
      </c>
      <c r="N531" s="18" t="str">
        <f t="shared" si="268"/>
        <v>+0</v>
      </c>
    </row>
    <row r="532">
      <c r="A532" s="13">
        <v>45901.0</v>
      </c>
      <c r="B532" s="14" t="s">
        <v>47</v>
      </c>
      <c r="C532" s="14" t="s">
        <v>48</v>
      </c>
      <c r="D532" s="14" t="s">
        <v>181</v>
      </c>
      <c r="E532" s="14" t="s">
        <v>182</v>
      </c>
      <c r="F532" s="15" t="s">
        <v>51</v>
      </c>
      <c r="G532" s="14" t="s">
        <v>183</v>
      </c>
      <c r="H532" s="14" t="s">
        <v>181</v>
      </c>
      <c r="I532" s="14" t="s">
        <v>59</v>
      </c>
      <c r="J532" s="14" t="s">
        <v>199</v>
      </c>
      <c r="K532" s="14" t="s">
        <v>206</v>
      </c>
      <c r="L532" s="14">
        <v>0.0</v>
      </c>
      <c r="M532" s="17" t="str">
        <f t="shared" si="267"/>
        <v>+0</v>
      </c>
      <c r="N532" s="18" t="str">
        <f t="shared" si="268"/>
        <v>+0</v>
      </c>
    </row>
    <row r="533">
      <c r="A533" s="13">
        <v>45901.0</v>
      </c>
      <c r="B533" s="14" t="s">
        <v>47</v>
      </c>
      <c r="C533" s="14" t="s">
        <v>48</v>
      </c>
      <c r="D533" s="14" t="s">
        <v>140</v>
      </c>
      <c r="E533" s="14" t="s">
        <v>141</v>
      </c>
      <c r="F533" s="15" t="s">
        <v>51</v>
      </c>
      <c r="G533" s="14" t="s">
        <v>142</v>
      </c>
      <c r="H533" s="14" t="s">
        <v>140</v>
      </c>
      <c r="I533" s="14" t="s">
        <v>59</v>
      </c>
      <c r="J533" s="14" t="s">
        <v>198</v>
      </c>
      <c r="K533" s="14" t="s">
        <v>210</v>
      </c>
      <c r="L533" s="14">
        <v>91.0</v>
      </c>
      <c r="M533" s="17" t="str">
        <f>"+4"</f>
        <v>+4</v>
      </c>
      <c r="N533" s="18" t="str">
        <f t="shared" si="268"/>
        <v>+0</v>
      </c>
    </row>
    <row r="534">
      <c r="A534" s="13">
        <v>45901.0</v>
      </c>
      <c r="B534" s="14" t="s">
        <v>47</v>
      </c>
      <c r="C534" s="14" t="s">
        <v>48</v>
      </c>
      <c r="D534" s="14" t="s">
        <v>165</v>
      </c>
      <c r="E534" s="14" t="s">
        <v>166</v>
      </c>
      <c r="F534" s="14" t="s">
        <v>111</v>
      </c>
      <c r="G534" s="14">
        <v>7116371.0</v>
      </c>
      <c r="H534" s="14" t="s">
        <v>165</v>
      </c>
      <c r="I534" s="14" t="s">
        <v>59</v>
      </c>
      <c r="J534" s="14" t="s">
        <v>199</v>
      </c>
      <c r="K534" s="14" t="s">
        <v>208</v>
      </c>
      <c r="L534" s="14">
        <v>100.0</v>
      </c>
      <c r="M534" s="17" t="str">
        <f t="shared" ref="M534:N534" si="269">"+0"</f>
        <v>+0</v>
      </c>
      <c r="N534" s="18" t="str">
        <f t="shared" si="269"/>
        <v>+0</v>
      </c>
    </row>
    <row r="535">
      <c r="A535" s="13">
        <v>45901.0</v>
      </c>
      <c r="B535" s="14" t="s">
        <v>47</v>
      </c>
      <c r="C535" s="14" t="s">
        <v>48</v>
      </c>
      <c r="D535" s="14" t="s">
        <v>165</v>
      </c>
      <c r="E535" s="14" t="s">
        <v>166</v>
      </c>
      <c r="F535" s="15" t="s">
        <v>51</v>
      </c>
      <c r="G535" s="14" t="s">
        <v>167</v>
      </c>
      <c r="H535" s="14" t="s">
        <v>165</v>
      </c>
      <c r="I535" s="14" t="s">
        <v>54</v>
      </c>
      <c r="J535" s="14" t="s">
        <v>200</v>
      </c>
      <c r="K535" s="14" t="s">
        <v>228</v>
      </c>
      <c r="L535" s="14">
        <v>91.0</v>
      </c>
      <c r="M535" s="17" t="str">
        <f t="shared" ref="M535:N535" si="270">"+1"</f>
        <v>+1</v>
      </c>
      <c r="N535" s="18" t="str">
        <f t="shared" si="270"/>
        <v>+1</v>
      </c>
    </row>
    <row r="536">
      <c r="A536" s="13">
        <v>45901.0</v>
      </c>
      <c r="B536" s="14" t="s">
        <v>47</v>
      </c>
      <c r="C536" s="14" t="s">
        <v>48</v>
      </c>
      <c r="D536" s="14" t="s">
        <v>91</v>
      </c>
      <c r="E536" s="14" t="s">
        <v>92</v>
      </c>
      <c r="F536" s="14" t="s">
        <v>71</v>
      </c>
      <c r="G536" s="14">
        <v>5.00008612E8</v>
      </c>
      <c r="H536" s="14" t="s">
        <v>91</v>
      </c>
      <c r="I536" s="14" t="s">
        <v>59</v>
      </c>
      <c r="J536" s="14" t="s">
        <v>199</v>
      </c>
      <c r="K536" s="14" t="s">
        <v>208</v>
      </c>
      <c r="L536" s="14">
        <v>100.0</v>
      </c>
      <c r="M536" s="17" t="str">
        <f t="shared" ref="M536:N536" si="271">"+0"</f>
        <v>+0</v>
      </c>
      <c r="N536" s="18" t="str">
        <f t="shared" si="271"/>
        <v>+0</v>
      </c>
    </row>
    <row r="537">
      <c r="A537" s="13">
        <v>45901.0</v>
      </c>
      <c r="B537" s="14" t="s">
        <v>47</v>
      </c>
      <c r="C537" s="14" t="s">
        <v>48</v>
      </c>
      <c r="D537" s="14" t="s">
        <v>108</v>
      </c>
      <c r="E537" s="14" t="s">
        <v>109</v>
      </c>
      <c r="F537" s="15" t="s">
        <v>51</v>
      </c>
      <c r="G537" s="14" t="s">
        <v>110</v>
      </c>
      <c r="H537" s="14" t="s">
        <v>108</v>
      </c>
      <c r="I537" s="14" t="s">
        <v>59</v>
      </c>
      <c r="J537" s="14" t="s">
        <v>200</v>
      </c>
      <c r="K537" s="14" t="s">
        <v>243</v>
      </c>
      <c r="L537" s="14">
        <v>0.0</v>
      </c>
      <c r="M537" s="17" t="str">
        <f t="shared" ref="M537:N537" si="272">"+0"</f>
        <v>+0</v>
      </c>
      <c r="N537" s="18" t="str">
        <f t="shared" si="272"/>
        <v>+0</v>
      </c>
    </row>
    <row r="538">
      <c r="A538" s="13">
        <v>45901.0</v>
      </c>
      <c r="B538" s="14" t="s">
        <v>47</v>
      </c>
      <c r="C538" s="14" t="s">
        <v>48</v>
      </c>
      <c r="D538" s="14" t="s">
        <v>73</v>
      </c>
      <c r="E538" s="14" t="s">
        <v>74</v>
      </c>
      <c r="F538" s="15" t="s">
        <v>51</v>
      </c>
      <c r="G538" s="14" t="s">
        <v>75</v>
      </c>
      <c r="H538" s="14" t="s">
        <v>76</v>
      </c>
      <c r="I538" s="14" t="s">
        <v>59</v>
      </c>
      <c r="J538" s="14" t="s">
        <v>200</v>
      </c>
      <c r="K538" s="14" t="s">
        <v>227</v>
      </c>
      <c r="L538" s="14">
        <v>34.0</v>
      </c>
      <c r="M538" s="17" t="str">
        <f t="shared" ref="M538:N538" si="273">"+0"</f>
        <v>+0</v>
      </c>
      <c r="N538" s="18" t="str">
        <f t="shared" si="273"/>
        <v>+0</v>
      </c>
    </row>
    <row r="539">
      <c r="A539" s="13">
        <v>45901.0</v>
      </c>
      <c r="B539" s="14" t="s">
        <v>47</v>
      </c>
      <c r="C539" s="14" t="s">
        <v>48</v>
      </c>
      <c r="D539" s="14" t="s">
        <v>149</v>
      </c>
      <c r="E539" s="14" t="s">
        <v>150</v>
      </c>
      <c r="F539" s="15" t="s">
        <v>51</v>
      </c>
      <c r="G539" s="14" t="s">
        <v>151</v>
      </c>
      <c r="H539" s="14" t="s">
        <v>152</v>
      </c>
      <c r="I539" s="14" t="s">
        <v>54</v>
      </c>
      <c r="J539" s="14" t="s">
        <v>200</v>
      </c>
      <c r="K539" s="14" t="s">
        <v>211</v>
      </c>
      <c r="L539" s="14">
        <v>44.0</v>
      </c>
      <c r="M539" s="17" t="str">
        <f>"-6"</f>
        <v>-6</v>
      </c>
      <c r="N539" s="18" t="str">
        <f>"-27"</f>
        <v>-27</v>
      </c>
    </row>
    <row r="540">
      <c r="A540" s="13">
        <v>45901.0</v>
      </c>
      <c r="B540" s="14" t="s">
        <v>47</v>
      </c>
      <c r="C540" s="14" t="s">
        <v>48</v>
      </c>
      <c r="D540" s="14" t="s">
        <v>165</v>
      </c>
      <c r="E540" s="14" t="s">
        <v>166</v>
      </c>
      <c r="F540" s="15" t="s">
        <v>51</v>
      </c>
      <c r="G540" s="14" t="s">
        <v>167</v>
      </c>
      <c r="H540" s="14" t="s">
        <v>165</v>
      </c>
      <c r="I540" s="14" t="s">
        <v>54</v>
      </c>
      <c r="J540" s="14" t="s">
        <v>200</v>
      </c>
      <c r="K540" s="14" t="s">
        <v>227</v>
      </c>
      <c r="L540" s="14">
        <v>73.0</v>
      </c>
      <c r="M540" s="17" t="str">
        <f>"+14"</f>
        <v>+14</v>
      </c>
      <c r="N540" s="18" t="str">
        <f>"+6"</f>
        <v>+6</v>
      </c>
    </row>
    <row r="541">
      <c r="A541" s="13">
        <v>45901.0</v>
      </c>
      <c r="B541" s="14" t="s">
        <v>47</v>
      </c>
      <c r="C541" s="14" t="s">
        <v>48</v>
      </c>
      <c r="D541" s="14" t="s">
        <v>136</v>
      </c>
      <c r="E541" s="14" t="s">
        <v>137</v>
      </c>
      <c r="F541" s="15" t="s">
        <v>51</v>
      </c>
      <c r="G541" s="14" t="s">
        <v>138</v>
      </c>
      <c r="H541" s="14" t="s">
        <v>139</v>
      </c>
      <c r="I541" s="14" t="s">
        <v>59</v>
      </c>
      <c r="J541" s="14" t="s">
        <v>200</v>
      </c>
      <c r="K541" s="14" t="s">
        <v>201</v>
      </c>
      <c r="L541" s="14">
        <v>4.0</v>
      </c>
      <c r="M541" s="17" t="str">
        <f>"+0"</f>
        <v>+0</v>
      </c>
      <c r="N541" s="18" t="str">
        <f>"-6"</f>
        <v>-6</v>
      </c>
    </row>
    <row r="542">
      <c r="A542" s="13">
        <v>45901.0</v>
      </c>
      <c r="B542" s="14" t="s">
        <v>47</v>
      </c>
      <c r="C542" s="14" t="s">
        <v>48</v>
      </c>
      <c r="D542" s="14" t="s">
        <v>184</v>
      </c>
      <c r="E542" s="14" t="s">
        <v>185</v>
      </c>
      <c r="F542" s="15" t="s">
        <v>51</v>
      </c>
      <c r="G542" s="14" t="s">
        <v>186</v>
      </c>
      <c r="H542" s="14" t="s">
        <v>187</v>
      </c>
      <c r="I542" s="14" t="s">
        <v>59</v>
      </c>
      <c r="J542" s="14" t="s">
        <v>200</v>
      </c>
      <c r="K542" s="14" t="s">
        <v>214</v>
      </c>
      <c r="L542" s="14">
        <v>42.0</v>
      </c>
      <c r="M542" s="17" t="str">
        <f>"-1"</f>
        <v>-1</v>
      </c>
      <c r="N542" s="18" t="str">
        <f>"-12"</f>
        <v>-12</v>
      </c>
    </row>
    <row r="543">
      <c r="A543" s="13">
        <v>45901.0</v>
      </c>
      <c r="B543" s="14" t="s">
        <v>47</v>
      </c>
      <c r="C543" s="14" t="s">
        <v>48</v>
      </c>
      <c r="D543" s="14" t="s">
        <v>87</v>
      </c>
      <c r="E543" s="14" t="s">
        <v>88</v>
      </c>
      <c r="F543" s="15" t="s">
        <v>51</v>
      </c>
      <c r="G543" s="14" t="s">
        <v>89</v>
      </c>
      <c r="H543" s="14" t="s">
        <v>90</v>
      </c>
      <c r="I543" s="14" t="s">
        <v>59</v>
      </c>
      <c r="J543" s="14" t="s">
        <v>200</v>
      </c>
      <c r="K543" s="14" t="s">
        <v>222</v>
      </c>
      <c r="L543" s="14">
        <v>25.0</v>
      </c>
      <c r="M543" s="17" t="str">
        <f t="shared" ref="M543:N543" si="274">"+0"</f>
        <v>+0</v>
      </c>
      <c r="N543" s="18" t="str">
        <f t="shared" si="274"/>
        <v>+0</v>
      </c>
    </row>
    <row r="544">
      <c r="A544" s="13">
        <v>45901.0</v>
      </c>
      <c r="B544" s="14" t="s">
        <v>47</v>
      </c>
      <c r="C544" s="14" t="s">
        <v>48</v>
      </c>
      <c r="D544" s="14" t="s">
        <v>192</v>
      </c>
      <c r="E544" s="14" t="s">
        <v>193</v>
      </c>
      <c r="F544" s="15" t="s">
        <v>51</v>
      </c>
      <c r="G544" s="14" t="s">
        <v>194</v>
      </c>
      <c r="H544" s="14" t="s">
        <v>192</v>
      </c>
      <c r="I544" s="14" t="s">
        <v>54</v>
      </c>
      <c r="J544" s="14" t="s">
        <v>200</v>
      </c>
      <c r="K544" s="14" t="s">
        <v>214</v>
      </c>
      <c r="L544" s="14">
        <v>57.0</v>
      </c>
      <c r="M544" s="17" t="str">
        <f>"+2"</f>
        <v>+2</v>
      </c>
      <c r="N544" s="18" t="str">
        <f>"-4"</f>
        <v>-4</v>
      </c>
    </row>
    <row r="545">
      <c r="A545" s="13">
        <v>45901.0</v>
      </c>
      <c r="B545" s="14" t="s">
        <v>47</v>
      </c>
      <c r="C545" s="14" t="s">
        <v>48</v>
      </c>
      <c r="D545" s="14" t="s">
        <v>184</v>
      </c>
      <c r="E545" s="14" t="s">
        <v>185</v>
      </c>
      <c r="F545" s="15" t="s">
        <v>51</v>
      </c>
      <c r="G545" s="14" t="s">
        <v>186</v>
      </c>
      <c r="H545" s="14" t="s">
        <v>187</v>
      </c>
      <c r="I545" s="14" t="s">
        <v>59</v>
      </c>
      <c r="J545" s="14" t="s">
        <v>200</v>
      </c>
      <c r="K545" s="14" t="s">
        <v>204</v>
      </c>
      <c r="L545" s="14">
        <v>0.0</v>
      </c>
      <c r="M545" s="17" t="str">
        <f t="shared" ref="M545:N545" si="275">"+0"</f>
        <v>+0</v>
      </c>
      <c r="N545" s="18" t="str">
        <f t="shared" si="275"/>
        <v>+0</v>
      </c>
    </row>
    <row r="546">
      <c r="A546" s="13">
        <v>45901.0</v>
      </c>
      <c r="B546" s="14" t="s">
        <v>47</v>
      </c>
      <c r="C546" s="14" t="s">
        <v>48</v>
      </c>
      <c r="D546" s="14" t="s">
        <v>149</v>
      </c>
      <c r="E546" s="14" t="s">
        <v>150</v>
      </c>
      <c r="F546" s="15" t="s">
        <v>51</v>
      </c>
      <c r="G546" s="14" t="s">
        <v>151</v>
      </c>
      <c r="H546" s="14" t="s">
        <v>152</v>
      </c>
      <c r="I546" s="14" t="s">
        <v>54</v>
      </c>
      <c r="J546" s="14" t="s">
        <v>200</v>
      </c>
      <c r="K546" s="14" t="s">
        <v>231</v>
      </c>
      <c r="L546" s="14">
        <v>66.0</v>
      </c>
      <c r="M546" s="17" t="str">
        <f>"-2"</f>
        <v>-2</v>
      </c>
      <c r="N546" s="18" t="str">
        <f>"-8"</f>
        <v>-8</v>
      </c>
    </row>
    <row r="547">
      <c r="A547" s="13">
        <v>45901.0</v>
      </c>
      <c r="B547" s="14" t="s">
        <v>47</v>
      </c>
      <c r="C547" s="14" t="s">
        <v>48</v>
      </c>
      <c r="D547" s="14" t="s">
        <v>85</v>
      </c>
      <c r="E547" s="14" t="s">
        <v>86</v>
      </c>
      <c r="F547" s="14" t="s">
        <v>71</v>
      </c>
      <c r="G547" s="14">
        <v>88285.0</v>
      </c>
      <c r="H547" s="14" t="s">
        <v>85</v>
      </c>
      <c r="I547" s="14" t="s">
        <v>59</v>
      </c>
      <c r="J547" s="14" t="s">
        <v>200</v>
      </c>
      <c r="K547" s="14" t="s">
        <v>218</v>
      </c>
      <c r="L547" s="14">
        <v>13.0</v>
      </c>
      <c r="M547" s="17" t="str">
        <f>"-6"</f>
        <v>-6</v>
      </c>
      <c r="N547" s="18" t="str">
        <f>"-5"</f>
        <v>-5</v>
      </c>
    </row>
    <row r="548">
      <c r="A548" s="13">
        <v>45901.0</v>
      </c>
      <c r="B548" s="14" t="s">
        <v>47</v>
      </c>
      <c r="C548" s="14" t="s">
        <v>48</v>
      </c>
      <c r="D548" s="14" t="s">
        <v>96</v>
      </c>
      <c r="E548" s="14" t="s">
        <v>97</v>
      </c>
      <c r="F548" s="15" t="s">
        <v>51</v>
      </c>
      <c r="G548" s="14" t="s">
        <v>98</v>
      </c>
      <c r="H548" s="14" t="s">
        <v>96</v>
      </c>
      <c r="I548" s="14" t="s">
        <v>59</v>
      </c>
      <c r="J548" s="14" t="s">
        <v>200</v>
      </c>
      <c r="K548" s="14" t="s">
        <v>209</v>
      </c>
      <c r="L548" s="14">
        <v>1.0</v>
      </c>
      <c r="M548" s="17" t="str">
        <f t="shared" ref="M548:N548" si="276">"+0"</f>
        <v>+0</v>
      </c>
      <c r="N548" s="18" t="str">
        <f t="shared" si="276"/>
        <v>+0</v>
      </c>
    </row>
    <row r="549">
      <c r="A549" s="13">
        <v>45901.0</v>
      </c>
      <c r="B549" s="14" t="s">
        <v>47</v>
      </c>
      <c r="C549" s="14" t="s">
        <v>48</v>
      </c>
      <c r="D549" s="14" t="s">
        <v>108</v>
      </c>
      <c r="E549" s="14" t="s">
        <v>109</v>
      </c>
      <c r="F549" s="15" t="s">
        <v>51</v>
      </c>
      <c r="G549" s="14" t="s">
        <v>110</v>
      </c>
      <c r="H549" s="14" t="s">
        <v>108</v>
      </c>
      <c r="I549" s="14" t="s">
        <v>59</v>
      </c>
      <c r="J549" s="14" t="s">
        <v>200</v>
      </c>
      <c r="K549" s="14" t="s">
        <v>244</v>
      </c>
      <c r="L549" s="14">
        <v>0.0</v>
      </c>
      <c r="M549" s="17" t="str">
        <f t="shared" ref="M549:N549" si="277">"+0"</f>
        <v>+0</v>
      </c>
      <c r="N549" s="18" t="str">
        <f t="shared" si="277"/>
        <v>+0</v>
      </c>
    </row>
    <row r="550">
      <c r="A550" s="13">
        <v>45901.0</v>
      </c>
      <c r="B550" s="14" t="s">
        <v>47</v>
      </c>
      <c r="C550" s="14" t="s">
        <v>48</v>
      </c>
      <c r="D550" s="14" t="s">
        <v>174</v>
      </c>
      <c r="E550" s="14" t="s">
        <v>175</v>
      </c>
      <c r="F550" s="15" t="s">
        <v>51</v>
      </c>
      <c r="G550" s="14" t="s">
        <v>176</v>
      </c>
      <c r="H550" s="14" t="s">
        <v>174</v>
      </c>
      <c r="I550" s="14" t="s">
        <v>59</v>
      </c>
      <c r="J550" s="14" t="s">
        <v>199</v>
      </c>
      <c r="K550" s="14" t="s">
        <v>203</v>
      </c>
      <c r="L550" s="14">
        <v>34.0</v>
      </c>
      <c r="M550" s="17" t="str">
        <f t="shared" ref="M550:N550" si="278">"+0"</f>
        <v>+0</v>
      </c>
      <c r="N550" s="18" t="str">
        <f t="shared" si="278"/>
        <v>+0</v>
      </c>
    </row>
    <row r="551">
      <c r="A551" s="13">
        <v>45901.0</v>
      </c>
      <c r="B551" s="14" t="s">
        <v>47</v>
      </c>
      <c r="C551" s="14" t="s">
        <v>48</v>
      </c>
      <c r="D551" s="14" t="s">
        <v>77</v>
      </c>
      <c r="E551" s="14" t="s">
        <v>78</v>
      </c>
      <c r="F551" s="15" t="s">
        <v>51</v>
      </c>
      <c r="G551" s="14" t="s">
        <v>128</v>
      </c>
      <c r="H551" s="14" t="s">
        <v>81</v>
      </c>
      <c r="I551" s="14" t="s">
        <v>59</v>
      </c>
      <c r="J551" s="14" t="s">
        <v>199</v>
      </c>
      <c r="K551" s="14" t="s">
        <v>206</v>
      </c>
      <c r="L551" s="14">
        <v>33.0</v>
      </c>
      <c r="M551" s="17" t="str">
        <f t="shared" ref="M551:N551" si="279">"+0"</f>
        <v>+0</v>
      </c>
      <c r="N551" s="18" t="str">
        <f t="shared" si="279"/>
        <v>+0</v>
      </c>
    </row>
    <row r="552">
      <c r="A552" s="13">
        <v>45901.0</v>
      </c>
      <c r="B552" s="14" t="s">
        <v>47</v>
      </c>
      <c r="C552" s="14" t="s">
        <v>48</v>
      </c>
      <c r="D552" s="14" t="s">
        <v>108</v>
      </c>
      <c r="E552" s="14" t="s">
        <v>109</v>
      </c>
      <c r="F552" s="15" t="s">
        <v>51</v>
      </c>
      <c r="G552" s="14" t="s">
        <v>110</v>
      </c>
      <c r="H552" s="14" t="s">
        <v>108</v>
      </c>
      <c r="I552" s="14" t="s">
        <v>59</v>
      </c>
      <c r="J552" s="14" t="s">
        <v>200</v>
      </c>
      <c r="K552" s="14" t="s">
        <v>228</v>
      </c>
      <c r="L552" s="14">
        <v>0.0</v>
      </c>
      <c r="M552" s="17" t="str">
        <f t="shared" ref="M552:N552" si="280">"+0"</f>
        <v>+0</v>
      </c>
      <c r="N552" s="18" t="str">
        <f t="shared" si="280"/>
        <v>+0</v>
      </c>
    </row>
    <row r="553">
      <c r="A553" s="13">
        <v>45901.0</v>
      </c>
      <c r="B553" s="14" t="s">
        <v>47</v>
      </c>
      <c r="C553" s="14" t="s">
        <v>48</v>
      </c>
      <c r="D553" s="14" t="s">
        <v>140</v>
      </c>
      <c r="E553" s="14" t="s">
        <v>141</v>
      </c>
      <c r="F553" s="15" t="s">
        <v>51</v>
      </c>
      <c r="G553" s="14" t="s">
        <v>142</v>
      </c>
      <c r="H553" s="14" t="s">
        <v>140</v>
      </c>
      <c r="I553" s="14" t="s">
        <v>59</v>
      </c>
      <c r="J553" s="14" t="s">
        <v>200</v>
      </c>
      <c r="K553" s="14" t="s">
        <v>213</v>
      </c>
      <c r="L553" s="14">
        <v>32.0</v>
      </c>
      <c r="M553" s="17" t="str">
        <f>"+2"</f>
        <v>+2</v>
      </c>
      <c r="N553" s="18" t="str">
        <f>"+0"</f>
        <v>+0</v>
      </c>
    </row>
    <row r="554">
      <c r="A554" s="13">
        <v>45901.0</v>
      </c>
      <c r="B554" s="14" t="s">
        <v>47</v>
      </c>
      <c r="C554" s="14" t="s">
        <v>48</v>
      </c>
      <c r="D554" s="14" t="s">
        <v>73</v>
      </c>
      <c r="E554" s="14" t="s">
        <v>74</v>
      </c>
      <c r="F554" s="15" t="s">
        <v>51</v>
      </c>
      <c r="G554" s="14" t="s">
        <v>75</v>
      </c>
      <c r="H554" s="14" t="s">
        <v>76</v>
      </c>
      <c r="I554" s="14" t="s">
        <v>59</v>
      </c>
      <c r="J554" s="14" t="s">
        <v>199</v>
      </c>
      <c r="K554" s="14" t="s">
        <v>208</v>
      </c>
      <c r="L554" s="14">
        <v>80.0</v>
      </c>
      <c r="M554" s="17" t="str">
        <f t="shared" ref="M554:N554" si="281">"+0"</f>
        <v>+0</v>
      </c>
      <c r="N554" s="18" t="str">
        <f t="shared" si="281"/>
        <v>+0</v>
      </c>
    </row>
    <row r="555">
      <c r="A555" s="13">
        <v>45901.0</v>
      </c>
      <c r="B555" s="14" t="s">
        <v>47</v>
      </c>
      <c r="C555" s="14" t="s">
        <v>48</v>
      </c>
      <c r="D555" s="14" t="s">
        <v>87</v>
      </c>
      <c r="E555" s="14" t="s">
        <v>88</v>
      </c>
      <c r="F555" s="15" t="s">
        <v>51</v>
      </c>
      <c r="G555" s="14" t="s">
        <v>89</v>
      </c>
      <c r="H555" s="14" t="s">
        <v>90</v>
      </c>
      <c r="I555" s="14" t="s">
        <v>59</v>
      </c>
      <c r="J555" s="14" t="s">
        <v>200</v>
      </c>
      <c r="K555" s="14" t="s">
        <v>219</v>
      </c>
      <c r="L555" s="14">
        <v>100.0</v>
      </c>
      <c r="M555" s="17" t="str">
        <f t="shared" ref="M555:N555" si="282">"+0"</f>
        <v>+0</v>
      </c>
      <c r="N555" s="18" t="str">
        <f t="shared" si="282"/>
        <v>+0</v>
      </c>
    </row>
    <row r="556">
      <c r="A556" s="13">
        <v>45901.0</v>
      </c>
      <c r="B556" s="14" t="s">
        <v>47</v>
      </c>
      <c r="C556" s="14" t="s">
        <v>48</v>
      </c>
      <c r="D556" s="14" t="s">
        <v>99</v>
      </c>
      <c r="E556" s="14" t="s">
        <v>100</v>
      </c>
      <c r="F556" s="15" t="s">
        <v>51</v>
      </c>
      <c r="G556" s="14" t="s">
        <v>101</v>
      </c>
      <c r="H556" s="14" t="s">
        <v>102</v>
      </c>
      <c r="I556" s="14" t="s">
        <v>54</v>
      </c>
      <c r="J556" s="14" t="s">
        <v>200</v>
      </c>
      <c r="K556" s="14" t="s">
        <v>229</v>
      </c>
      <c r="L556" s="14">
        <v>1.0</v>
      </c>
      <c r="M556" s="17" t="str">
        <f>"-39"</f>
        <v>-39</v>
      </c>
      <c r="N556" s="18" t="str">
        <f>"+1"</f>
        <v>+1</v>
      </c>
    </row>
    <row r="557">
      <c r="A557" s="13">
        <v>45901.0</v>
      </c>
      <c r="B557" s="14" t="s">
        <v>47</v>
      </c>
      <c r="C557" s="14" t="s">
        <v>48</v>
      </c>
      <c r="D557" s="14" t="s">
        <v>125</v>
      </c>
      <c r="E557" s="14" t="s">
        <v>126</v>
      </c>
      <c r="F557" s="15" t="s">
        <v>51</v>
      </c>
      <c r="G557" s="14" t="s">
        <v>127</v>
      </c>
      <c r="H557" s="14" t="s">
        <v>125</v>
      </c>
      <c r="I557" s="14" t="s">
        <v>59</v>
      </c>
      <c r="J557" s="14" t="s">
        <v>198</v>
      </c>
      <c r="K557" s="14" t="s">
        <v>205</v>
      </c>
      <c r="L557" s="14">
        <v>41.0</v>
      </c>
      <c r="M557" s="17" t="str">
        <f t="shared" ref="M557:M560" si="283">"+0"</f>
        <v>+0</v>
      </c>
    </row>
    <row r="558">
      <c r="A558" s="13">
        <v>45901.0</v>
      </c>
      <c r="B558" s="14" t="s">
        <v>47</v>
      </c>
      <c r="C558" s="14" t="s">
        <v>48</v>
      </c>
      <c r="D558" s="14" t="s">
        <v>129</v>
      </c>
      <c r="E558" s="14" t="s">
        <v>130</v>
      </c>
      <c r="F558" s="15" t="s">
        <v>51</v>
      </c>
      <c r="G558" s="14" t="s">
        <v>131</v>
      </c>
      <c r="H558" s="14" t="s">
        <v>129</v>
      </c>
      <c r="I558" s="14" t="s">
        <v>59</v>
      </c>
      <c r="J558" s="14" t="s">
        <v>200</v>
      </c>
      <c r="K558" s="14" t="s">
        <v>209</v>
      </c>
      <c r="L558" s="14">
        <v>45.0</v>
      </c>
      <c r="M558" s="17" t="str">
        <f t="shared" si="283"/>
        <v>+0</v>
      </c>
      <c r="N558" s="18" t="str">
        <f>"+5"</f>
        <v>+5</v>
      </c>
    </row>
    <row r="559">
      <c r="A559" s="13">
        <v>45901.0</v>
      </c>
      <c r="B559" s="14" t="s">
        <v>47</v>
      </c>
      <c r="C559" s="14" t="s">
        <v>48</v>
      </c>
      <c r="D559" s="14" t="s">
        <v>116</v>
      </c>
      <c r="E559" s="14" t="s">
        <v>117</v>
      </c>
      <c r="F559" s="15" t="s">
        <v>51</v>
      </c>
      <c r="G559" s="14" t="s">
        <v>161</v>
      </c>
      <c r="H559" s="14" t="s">
        <v>116</v>
      </c>
      <c r="I559" s="14" t="s">
        <v>54</v>
      </c>
      <c r="J559" s="14" t="s">
        <v>200</v>
      </c>
      <c r="K559" s="14" t="s">
        <v>219</v>
      </c>
      <c r="L559" s="14">
        <v>100.0</v>
      </c>
      <c r="M559" s="17" t="str">
        <f t="shared" si="283"/>
        <v>+0</v>
      </c>
      <c r="N559" s="18" t="str">
        <f t="shared" ref="N559:N560" si="284">"+0"</f>
        <v>+0</v>
      </c>
    </row>
    <row r="560">
      <c r="A560" s="13">
        <v>45901.0</v>
      </c>
      <c r="B560" s="14" t="s">
        <v>47</v>
      </c>
      <c r="C560" s="14" t="s">
        <v>48</v>
      </c>
      <c r="D560" s="14" t="s">
        <v>165</v>
      </c>
      <c r="E560" s="14" t="s">
        <v>166</v>
      </c>
      <c r="F560" s="15" t="s">
        <v>51</v>
      </c>
      <c r="G560" s="14" t="s">
        <v>167</v>
      </c>
      <c r="H560" s="14" t="s">
        <v>165</v>
      </c>
      <c r="I560" s="14" t="s">
        <v>54</v>
      </c>
      <c r="J560" s="14" t="s">
        <v>200</v>
      </c>
      <c r="K560" s="14" t="s">
        <v>214</v>
      </c>
      <c r="L560" s="14">
        <v>46.0</v>
      </c>
      <c r="M560" s="17" t="str">
        <f t="shared" si="283"/>
        <v>+0</v>
      </c>
      <c r="N560" s="18" t="str">
        <f t="shared" si="284"/>
        <v>+0</v>
      </c>
    </row>
    <row r="561">
      <c r="A561" s="13">
        <v>45901.0</v>
      </c>
      <c r="B561" s="14" t="s">
        <v>47</v>
      </c>
      <c r="C561" s="14" t="s">
        <v>48</v>
      </c>
      <c r="D561" s="14" t="s">
        <v>129</v>
      </c>
      <c r="E561" s="14" t="s">
        <v>130</v>
      </c>
      <c r="F561" s="15" t="s">
        <v>51</v>
      </c>
      <c r="G561" s="14" t="s">
        <v>131</v>
      </c>
      <c r="H561" s="14" t="s">
        <v>129</v>
      </c>
      <c r="I561" s="14" t="s">
        <v>59</v>
      </c>
      <c r="J561" s="14" t="s">
        <v>200</v>
      </c>
      <c r="K561" s="14" t="s">
        <v>214</v>
      </c>
      <c r="L561" s="14">
        <v>47.0</v>
      </c>
      <c r="M561" s="17" t="str">
        <f>"+2"</f>
        <v>+2</v>
      </c>
      <c r="N561" s="18" t="str">
        <f>"-2"</f>
        <v>-2</v>
      </c>
    </row>
    <row r="562">
      <c r="A562" s="13">
        <v>45901.0</v>
      </c>
      <c r="B562" s="14" t="s">
        <v>47</v>
      </c>
      <c r="C562" s="14" t="s">
        <v>48</v>
      </c>
      <c r="D562" s="14" t="s">
        <v>136</v>
      </c>
      <c r="E562" s="14" t="s">
        <v>137</v>
      </c>
      <c r="F562" s="15" t="s">
        <v>51</v>
      </c>
      <c r="G562" s="14" t="s">
        <v>138</v>
      </c>
      <c r="H562" s="14" t="s">
        <v>139</v>
      </c>
      <c r="I562" s="14" t="s">
        <v>59</v>
      </c>
      <c r="J562" s="14" t="s">
        <v>199</v>
      </c>
      <c r="K562" s="14" t="s">
        <v>203</v>
      </c>
      <c r="L562" s="14">
        <v>0.0</v>
      </c>
      <c r="M562" s="17" t="str">
        <f t="shared" ref="M562:N562" si="285">"+0"</f>
        <v>+0</v>
      </c>
      <c r="N562" s="18" t="str">
        <f t="shared" si="285"/>
        <v>+0</v>
      </c>
    </row>
    <row r="563">
      <c r="A563" s="13">
        <v>45901.0</v>
      </c>
      <c r="B563" s="14" t="s">
        <v>47</v>
      </c>
      <c r="C563" s="14" t="s">
        <v>48</v>
      </c>
      <c r="D563" s="14" t="s">
        <v>129</v>
      </c>
      <c r="E563" s="14" t="s">
        <v>130</v>
      </c>
      <c r="F563" s="15" t="s">
        <v>51</v>
      </c>
      <c r="G563" s="14" t="s">
        <v>131</v>
      </c>
      <c r="H563" s="14" t="s">
        <v>129</v>
      </c>
      <c r="I563" s="14" t="s">
        <v>59</v>
      </c>
      <c r="J563" s="14" t="s">
        <v>200</v>
      </c>
      <c r="K563" s="14" t="s">
        <v>202</v>
      </c>
      <c r="L563" s="14">
        <v>48.0</v>
      </c>
      <c r="M563" s="17" t="str">
        <f t="shared" ref="M563:N563" si="286">"+0"</f>
        <v>+0</v>
      </c>
      <c r="N563" s="18" t="str">
        <f t="shared" si="286"/>
        <v>+0</v>
      </c>
    </row>
    <row r="564">
      <c r="A564" s="13">
        <v>45901.0</v>
      </c>
      <c r="B564" s="14" t="s">
        <v>47</v>
      </c>
      <c r="C564" s="14" t="s">
        <v>48</v>
      </c>
      <c r="D564" s="14" t="s">
        <v>77</v>
      </c>
      <c r="E564" s="14" t="s">
        <v>78</v>
      </c>
      <c r="F564" s="14" t="s">
        <v>71</v>
      </c>
      <c r="G564" s="14">
        <v>5.36009043E8</v>
      </c>
      <c r="H564" s="14" t="s">
        <v>81</v>
      </c>
      <c r="J564" s="14" t="s">
        <v>199</v>
      </c>
      <c r="K564" s="14" t="s">
        <v>206</v>
      </c>
      <c r="L564" s="14">
        <v>33.0</v>
      </c>
      <c r="M564" s="17" t="str">
        <f t="shared" ref="M564:M569" si="287">"+0"</f>
        <v>+0</v>
      </c>
    </row>
    <row r="565">
      <c r="A565" s="13">
        <v>45901.0</v>
      </c>
      <c r="B565" s="14" t="s">
        <v>47</v>
      </c>
      <c r="C565" s="14" t="s">
        <v>48</v>
      </c>
      <c r="D565" s="14" t="s">
        <v>155</v>
      </c>
      <c r="E565" s="14" t="s">
        <v>156</v>
      </c>
      <c r="F565" s="15" t="s">
        <v>51</v>
      </c>
      <c r="G565" s="14" t="s">
        <v>157</v>
      </c>
      <c r="H565" s="14" t="s">
        <v>155</v>
      </c>
      <c r="I565" s="14" t="s">
        <v>59</v>
      </c>
      <c r="J565" s="14" t="s">
        <v>200</v>
      </c>
      <c r="K565" s="14" t="s">
        <v>209</v>
      </c>
      <c r="L565" s="14">
        <v>1.0</v>
      </c>
      <c r="M565" s="17" t="str">
        <f t="shared" si="287"/>
        <v>+0</v>
      </c>
      <c r="N565" s="18" t="str">
        <f>"+0"</f>
        <v>+0</v>
      </c>
    </row>
    <row r="566">
      <c r="A566" s="13">
        <v>45901.0</v>
      </c>
      <c r="B566" s="14" t="s">
        <v>47</v>
      </c>
      <c r="C566" s="14" t="s">
        <v>48</v>
      </c>
      <c r="D566" s="14" t="s">
        <v>77</v>
      </c>
      <c r="E566" s="14" t="s">
        <v>78</v>
      </c>
      <c r="F566" s="14" t="s">
        <v>79</v>
      </c>
      <c r="G566" s="14" t="s">
        <v>80</v>
      </c>
      <c r="H566" s="14" t="s">
        <v>81</v>
      </c>
      <c r="J566" s="14" t="s">
        <v>198</v>
      </c>
      <c r="K566" s="14" t="s">
        <v>210</v>
      </c>
      <c r="L566" s="14">
        <v>100.0</v>
      </c>
      <c r="M566" s="17" t="str">
        <f t="shared" si="287"/>
        <v>+0</v>
      </c>
    </row>
    <row r="567">
      <c r="A567" s="13">
        <v>45901.0</v>
      </c>
      <c r="B567" s="14" t="s">
        <v>47</v>
      </c>
      <c r="C567" s="14" t="s">
        <v>48</v>
      </c>
      <c r="D567" s="14" t="s">
        <v>49</v>
      </c>
      <c r="E567" s="14" t="s">
        <v>50</v>
      </c>
      <c r="F567" s="15" t="s">
        <v>51</v>
      </c>
      <c r="G567" s="14" t="s">
        <v>52</v>
      </c>
      <c r="H567" s="14" t="s">
        <v>53</v>
      </c>
      <c r="I567" s="14" t="s">
        <v>54</v>
      </c>
      <c r="J567" s="14" t="s">
        <v>198</v>
      </c>
      <c r="K567" s="14" t="s">
        <v>207</v>
      </c>
      <c r="L567" s="14">
        <v>100.0</v>
      </c>
      <c r="M567" s="17" t="str">
        <f t="shared" si="287"/>
        <v>+0</v>
      </c>
    </row>
    <row r="568">
      <c r="A568" s="13">
        <v>45901.0</v>
      </c>
      <c r="B568" s="14" t="s">
        <v>47</v>
      </c>
      <c r="C568" s="14" t="s">
        <v>48</v>
      </c>
      <c r="D568" s="14" t="s">
        <v>63</v>
      </c>
      <c r="E568" s="14" t="s">
        <v>64</v>
      </c>
      <c r="F568" s="15" t="s">
        <v>51</v>
      </c>
      <c r="G568" s="14" t="s">
        <v>65</v>
      </c>
      <c r="H568" s="14" t="s">
        <v>63</v>
      </c>
      <c r="I568" s="14" t="s">
        <v>54</v>
      </c>
      <c r="J568" s="14" t="s">
        <v>200</v>
      </c>
      <c r="K568" s="14" t="s">
        <v>245</v>
      </c>
      <c r="L568" s="14">
        <v>1.0</v>
      </c>
      <c r="M568" s="17" t="str">
        <f t="shared" si="287"/>
        <v>+0</v>
      </c>
      <c r="N568" s="18" t="str">
        <f>"+0"</f>
        <v>+0</v>
      </c>
    </row>
    <row r="569">
      <c r="A569" s="13">
        <v>45901.0</v>
      </c>
      <c r="B569" s="14" t="s">
        <v>47</v>
      </c>
      <c r="C569" s="14" t="s">
        <v>48</v>
      </c>
      <c r="D569" s="14" t="s">
        <v>82</v>
      </c>
      <c r="E569" s="14" t="s">
        <v>83</v>
      </c>
      <c r="F569" s="15" t="s">
        <v>51</v>
      </c>
      <c r="G569" s="14" t="s">
        <v>84</v>
      </c>
      <c r="H569" s="14" t="s">
        <v>82</v>
      </c>
      <c r="I569" s="14" t="s">
        <v>59</v>
      </c>
      <c r="J569" s="14" t="s">
        <v>198</v>
      </c>
      <c r="K569" s="14" t="s">
        <v>207</v>
      </c>
      <c r="L569" s="14">
        <v>25.0</v>
      </c>
      <c r="M569" s="17" t="str">
        <f t="shared" si="287"/>
        <v>+0</v>
      </c>
    </row>
    <row r="570">
      <c r="A570" s="13">
        <v>45901.0</v>
      </c>
      <c r="B570" s="14" t="s">
        <v>47</v>
      </c>
      <c r="C570" s="14" t="s">
        <v>48</v>
      </c>
      <c r="D570" s="14" t="s">
        <v>60</v>
      </c>
      <c r="E570" s="14" t="s">
        <v>61</v>
      </c>
      <c r="F570" s="15" t="s">
        <v>51</v>
      </c>
      <c r="G570" s="14" t="s">
        <v>62</v>
      </c>
      <c r="H570" s="14" t="s">
        <v>60</v>
      </c>
      <c r="I570" s="14" t="s">
        <v>59</v>
      </c>
      <c r="J570" s="14" t="s">
        <v>200</v>
      </c>
      <c r="K570" s="14" t="s">
        <v>227</v>
      </c>
      <c r="L570" s="14">
        <v>57.0</v>
      </c>
      <c r="M570" s="17" t="str">
        <f>"+9"</f>
        <v>+9</v>
      </c>
      <c r="N570" s="18" t="str">
        <f>"+1"</f>
        <v>+1</v>
      </c>
    </row>
    <row r="571">
      <c r="A571" s="13">
        <v>45901.0</v>
      </c>
      <c r="B571" s="14" t="s">
        <v>47</v>
      </c>
      <c r="C571" s="14" t="s">
        <v>48</v>
      </c>
      <c r="D571" s="14" t="s">
        <v>165</v>
      </c>
      <c r="E571" s="14" t="s">
        <v>166</v>
      </c>
      <c r="F571" s="15" t="s">
        <v>51</v>
      </c>
      <c r="G571" s="14" t="s">
        <v>167</v>
      </c>
      <c r="H571" s="14" t="s">
        <v>165</v>
      </c>
      <c r="I571" s="14" t="s">
        <v>54</v>
      </c>
      <c r="J571" s="14" t="s">
        <v>198</v>
      </c>
      <c r="K571" s="14" t="s">
        <v>212</v>
      </c>
      <c r="L571" s="14">
        <v>54.0</v>
      </c>
      <c r="M571" s="17" t="str">
        <f t="shared" ref="M571:N571" si="288">"+18"</f>
        <v>+18</v>
      </c>
      <c r="N571" s="18" t="str">
        <f t="shared" si="288"/>
        <v>+18</v>
      </c>
    </row>
    <row r="572">
      <c r="A572" s="13">
        <v>45901.0</v>
      </c>
      <c r="B572" s="14" t="s">
        <v>47</v>
      </c>
      <c r="C572" s="14" t="s">
        <v>48</v>
      </c>
      <c r="D572" s="14" t="s">
        <v>82</v>
      </c>
      <c r="E572" s="14" t="s">
        <v>83</v>
      </c>
      <c r="F572" s="15" t="s">
        <v>51</v>
      </c>
      <c r="G572" s="14" t="s">
        <v>84</v>
      </c>
      <c r="H572" s="14" t="s">
        <v>82</v>
      </c>
      <c r="I572" s="14" t="s">
        <v>59</v>
      </c>
      <c r="J572" s="14" t="s">
        <v>198</v>
      </c>
      <c r="K572" s="14" t="s">
        <v>212</v>
      </c>
      <c r="L572" s="14">
        <v>100.0</v>
      </c>
      <c r="M572" s="17" t="str">
        <f t="shared" ref="M572:N572" si="289">"+18"</f>
        <v>+18</v>
      </c>
      <c r="N572" s="18" t="str">
        <f t="shared" si="289"/>
        <v>+18</v>
      </c>
    </row>
    <row r="573">
      <c r="A573" s="13">
        <v>45901.0</v>
      </c>
      <c r="B573" s="14" t="s">
        <v>47</v>
      </c>
      <c r="C573" s="14" t="s">
        <v>48</v>
      </c>
      <c r="D573" s="14" t="s">
        <v>143</v>
      </c>
      <c r="E573" s="14" t="s">
        <v>144</v>
      </c>
      <c r="F573" s="15" t="s">
        <v>51</v>
      </c>
      <c r="G573" s="14" t="s">
        <v>145</v>
      </c>
      <c r="H573" s="14" t="s">
        <v>143</v>
      </c>
      <c r="I573" s="14" t="s">
        <v>59</v>
      </c>
      <c r="J573" s="14" t="s">
        <v>200</v>
      </c>
      <c r="K573" s="14" t="s">
        <v>201</v>
      </c>
      <c r="L573" s="14">
        <v>1.0</v>
      </c>
      <c r="M573" s="17" t="str">
        <f t="shared" ref="M573:N573" si="290">"+0"</f>
        <v>+0</v>
      </c>
      <c r="N573" s="18" t="str">
        <f t="shared" si="290"/>
        <v>+0</v>
      </c>
    </row>
    <row r="574">
      <c r="A574" s="13">
        <v>45901.0</v>
      </c>
      <c r="B574" s="14" t="s">
        <v>47</v>
      </c>
      <c r="C574" s="14" t="s">
        <v>48</v>
      </c>
      <c r="D574" s="14" t="s">
        <v>143</v>
      </c>
      <c r="E574" s="14" t="s">
        <v>144</v>
      </c>
      <c r="F574" s="15" t="s">
        <v>51</v>
      </c>
      <c r="G574" s="14" t="s">
        <v>145</v>
      </c>
      <c r="H574" s="14" t="s">
        <v>143</v>
      </c>
      <c r="I574" s="14" t="s">
        <v>59</v>
      </c>
      <c r="J574" s="14" t="s">
        <v>200</v>
      </c>
      <c r="K574" s="14" t="s">
        <v>224</v>
      </c>
      <c r="L574" s="14">
        <v>56.0</v>
      </c>
      <c r="M574" s="17" t="str">
        <f>"+0"</f>
        <v>+0</v>
      </c>
      <c r="N574" s="18" t="str">
        <f>"+26"</f>
        <v>+26</v>
      </c>
    </row>
    <row r="575">
      <c r="A575" s="13">
        <v>45901.0</v>
      </c>
      <c r="B575" s="14" t="s">
        <v>47</v>
      </c>
      <c r="C575" s="14" t="s">
        <v>48</v>
      </c>
      <c r="D575" s="14" t="s">
        <v>132</v>
      </c>
      <c r="E575" s="14" t="s">
        <v>133</v>
      </c>
      <c r="F575" s="15" t="s">
        <v>51</v>
      </c>
      <c r="G575" s="14" t="s">
        <v>134</v>
      </c>
      <c r="H575" s="14" t="s">
        <v>135</v>
      </c>
      <c r="I575" s="14" t="s">
        <v>59</v>
      </c>
      <c r="J575" s="14" t="s">
        <v>198</v>
      </c>
      <c r="K575" s="14" t="s">
        <v>210</v>
      </c>
      <c r="L575" s="14">
        <v>93.0</v>
      </c>
      <c r="M575" s="17" t="str">
        <f>"+6"</f>
        <v>+6</v>
      </c>
      <c r="N575" s="18" t="str">
        <f>"+3"</f>
        <v>+3</v>
      </c>
    </row>
    <row r="576">
      <c r="A576" s="13">
        <v>45901.0</v>
      </c>
      <c r="B576" s="14" t="s">
        <v>47</v>
      </c>
      <c r="C576" s="14" t="s">
        <v>48</v>
      </c>
      <c r="D576" s="14" t="s">
        <v>69</v>
      </c>
      <c r="E576" s="14" t="s">
        <v>70</v>
      </c>
      <c r="F576" s="15" t="s">
        <v>51</v>
      </c>
      <c r="G576" s="14" t="s">
        <v>115</v>
      </c>
      <c r="H576" s="14" t="s">
        <v>72</v>
      </c>
      <c r="I576" s="14" t="s">
        <v>54</v>
      </c>
      <c r="J576" s="14" t="s">
        <v>199</v>
      </c>
      <c r="K576" s="14" t="s">
        <v>203</v>
      </c>
      <c r="L576" s="14">
        <v>100.0</v>
      </c>
      <c r="M576" s="17" t="str">
        <f t="shared" ref="M576:N576" si="291">"+0"</f>
        <v>+0</v>
      </c>
      <c r="N576" s="18" t="str">
        <f t="shared" si="291"/>
        <v>+0</v>
      </c>
    </row>
    <row r="577">
      <c r="A577" s="13">
        <v>45901.0</v>
      </c>
      <c r="B577" s="14" t="s">
        <v>47</v>
      </c>
      <c r="C577" s="14" t="s">
        <v>48</v>
      </c>
      <c r="D577" s="14" t="s">
        <v>96</v>
      </c>
      <c r="E577" s="14" t="s">
        <v>97</v>
      </c>
      <c r="F577" s="15" t="s">
        <v>51</v>
      </c>
      <c r="G577" s="14" t="s">
        <v>98</v>
      </c>
      <c r="H577" s="14" t="s">
        <v>96</v>
      </c>
      <c r="I577" s="14" t="s">
        <v>59</v>
      </c>
      <c r="J577" s="14" t="s">
        <v>199</v>
      </c>
      <c r="K577" s="14" t="s">
        <v>206</v>
      </c>
      <c r="L577" s="14">
        <v>24.0</v>
      </c>
      <c r="M577" s="17" t="str">
        <f t="shared" ref="M577:M583" si="292">"+0"</f>
        <v>+0</v>
      </c>
      <c r="N577" s="18" t="str">
        <f>"-9"</f>
        <v>-9</v>
      </c>
    </row>
    <row r="578">
      <c r="A578" s="13">
        <v>45901.0</v>
      </c>
      <c r="B578" s="14" t="s">
        <v>47</v>
      </c>
      <c r="C578" s="14" t="s">
        <v>48</v>
      </c>
      <c r="D578" s="14" t="s">
        <v>77</v>
      </c>
      <c r="E578" s="14" t="s">
        <v>78</v>
      </c>
      <c r="F578" s="14" t="s">
        <v>71</v>
      </c>
      <c r="G578" s="14">
        <v>5.36009043E8</v>
      </c>
      <c r="H578" s="14" t="s">
        <v>81</v>
      </c>
      <c r="J578" s="14" t="s">
        <v>200</v>
      </c>
      <c r="K578" s="14" t="s">
        <v>218</v>
      </c>
      <c r="L578" s="14">
        <v>1.0</v>
      </c>
      <c r="M578" s="17" t="str">
        <f t="shared" si="292"/>
        <v>+0</v>
      </c>
    </row>
    <row r="579">
      <c r="A579" s="13">
        <v>45901.0</v>
      </c>
      <c r="B579" s="14" t="s">
        <v>47</v>
      </c>
      <c r="C579" s="14" t="s">
        <v>48</v>
      </c>
      <c r="D579" s="14" t="s">
        <v>77</v>
      </c>
      <c r="E579" s="14" t="s">
        <v>78</v>
      </c>
      <c r="F579" s="15" t="s">
        <v>51</v>
      </c>
      <c r="G579" s="14" t="s">
        <v>128</v>
      </c>
      <c r="H579" s="14" t="s">
        <v>81</v>
      </c>
      <c r="I579" s="14" t="s">
        <v>59</v>
      </c>
      <c r="J579" s="14" t="s">
        <v>199</v>
      </c>
      <c r="K579" s="14" t="s">
        <v>203</v>
      </c>
      <c r="L579" s="14">
        <v>67.0</v>
      </c>
      <c r="M579" s="17" t="str">
        <f t="shared" si="292"/>
        <v>+0</v>
      </c>
      <c r="N579" s="18" t="str">
        <f t="shared" ref="N579:N580" si="293">"+0"</f>
        <v>+0</v>
      </c>
    </row>
    <row r="580">
      <c r="A580" s="13">
        <v>45901.0</v>
      </c>
      <c r="B580" s="14" t="s">
        <v>47</v>
      </c>
      <c r="C580" s="14" t="s">
        <v>48</v>
      </c>
      <c r="D580" s="14" t="s">
        <v>121</v>
      </c>
      <c r="E580" s="14" t="s">
        <v>122</v>
      </c>
      <c r="F580" s="15" t="s">
        <v>51</v>
      </c>
      <c r="G580" s="14" t="s">
        <v>123</v>
      </c>
      <c r="H580" s="14" t="s">
        <v>124</v>
      </c>
      <c r="I580" s="14" t="s">
        <v>59</v>
      </c>
      <c r="J580" s="14" t="s">
        <v>199</v>
      </c>
      <c r="K580" s="14" t="s">
        <v>208</v>
      </c>
      <c r="L580" s="14">
        <v>0.0</v>
      </c>
      <c r="M580" s="17" t="str">
        <f t="shared" si="292"/>
        <v>+0</v>
      </c>
      <c r="N580" s="18" t="str">
        <f t="shared" si="293"/>
        <v>+0</v>
      </c>
    </row>
    <row r="581">
      <c r="A581" s="13">
        <v>45901.0</v>
      </c>
      <c r="B581" s="14" t="s">
        <v>47</v>
      </c>
      <c r="C581" s="14" t="s">
        <v>48</v>
      </c>
      <c r="D581" s="14" t="s">
        <v>91</v>
      </c>
      <c r="E581" s="14" t="s">
        <v>92</v>
      </c>
      <c r="F581" s="15" t="s">
        <v>51</v>
      </c>
      <c r="G581" s="14" t="s">
        <v>163</v>
      </c>
      <c r="H581" s="14" t="s">
        <v>91</v>
      </c>
      <c r="I581" s="14" t="s">
        <v>59</v>
      </c>
      <c r="J581" s="14" t="s">
        <v>198</v>
      </c>
      <c r="K581" s="14" t="s">
        <v>205</v>
      </c>
      <c r="L581" s="14">
        <v>56.0</v>
      </c>
      <c r="M581" s="17" t="str">
        <f t="shared" si="292"/>
        <v>+0</v>
      </c>
    </row>
    <row r="582">
      <c r="A582" s="13">
        <v>45901.0</v>
      </c>
      <c r="B582" s="14" t="s">
        <v>47</v>
      </c>
      <c r="C582" s="14" t="s">
        <v>48</v>
      </c>
      <c r="D582" s="14" t="s">
        <v>93</v>
      </c>
      <c r="E582" s="14" t="s">
        <v>94</v>
      </c>
      <c r="F582" s="14" t="s">
        <v>71</v>
      </c>
      <c r="G582" s="14">
        <v>5.36001438E8</v>
      </c>
      <c r="H582" s="14" t="s">
        <v>95</v>
      </c>
      <c r="I582" s="14" t="s">
        <v>59</v>
      </c>
      <c r="J582" s="14" t="s">
        <v>200</v>
      </c>
      <c r="K582" s="14" t="s">
        <v>220</v>
      </c>
      <c r="L582" s="14">
        <v>1.0</v>
      </c>
      <c r="M582" s="17" t="str">
        <f t="shared" si="292"/>
        <v>+0</v>
      </c>
      <c r="N582" s="18" t="str">
        <f t="shared" ref="N582:N583" si="294">"+0"</f>
        <v>+0</v>
      </c>
    </row>
    <row r="583">
      <c r="A583" s="13">
        <v>45901.0</v>
      </c>
      <c r="B583" s="14" t="s">
        <v>47</v>
      </c>
      <c r="C583" s="14" t="s">
        <v>48</v>
      </c>
      <c r="D583" s="14" t="s">
        <v>96</v>
      </c>
      <c r="E583" s="14" t="s">
        <v>97</v>
      </c>
      <c r="F583" s="15" t="s">
        <v>51</v>
      </c>
      <c r="G583" s="14" t="s">
        <v>98</v>
      </c>
      <c r="H583" s="14" t="s">
        <v>96</v>
      </c>
      <c r="I583" s="14" t="s">
        <v>59</v>
      </c>
      <c r="J583" s="14" t="s">
        <v>200</v>
      </c>
      <c r="K583" s="14" t="s">
        <v>219</v>
      </c>
      <c r="L583" s="14">
        <v>100.0</v>
      </c>
      <c r="M583" s="17" t="str">
        <f t="shared" si="292"/>
        <v>+0</v>
      </c>
      <c r="N583" s="18" t="str">
        <f t="shared" si="294"/>
        <v>+0</v>
      </c>
    </row>
    <row r="584">
      <c r="A584" s="13">
        <v>45901.0</v>
      </c>
      <c r="B584" s="14" t="s">
        <v>47</v>
      </c>
      <c r="C584" s="14" t="s">
        <v>48</v>
      </c>
      <c r="D584" s="14" t="s">
        <v>69</v>
      </c>
      <c r="E584" s="14" t="s">
        <v>70</v>
      </c>
      <c r="F584" s="15" t="s">
        <v>51</v>
      </c>
      <c r="G584" s="14" t="s">
        <v>115</v>
      </c>
      <c r="H584" s="14" t="s">
        <v>72</v>
      </c>
      <c r="I584" s="14" t="s">
        <v>54</v>
      </c>
      <c r="J584" s="14" t="s">
        <v>200</v>
      </c>
      <c r="K584" s="14" t="s">
        <v>209</v>
      </c>
      <c r="L584" s="14">
        <v>87.0</v>
      </c>
      <c r="M584" s="17" t="str">
        <f>"+2"</f>
        <v>+2</v>
      </c>
      <c r="N584" s="18" t="str">
        <f>"-1"</f>
        <v>-1</v>
      </c>
    </row>
    <row r="585">
      <c r="A585" s="13">
        <v>45901.0</v>
      </c>
      <c r="B585" s="14" t="s">
        <v>47</v>
      </c>
      <c r="C585" s="14" t="s">
        <v>48</v>
      </c>
      <c r="D585" s="14" t="s">
        <v>69</v>
      </c>
      <c r="E585" s="14" t="s">
        <v>70</v>
      </c>
      <c r="F585" s="14" t="s">
        <v>71</v>
      </c>
      <c r="G585" s="14">
        <v>1.00002092E8</v>
      </c>
      <c r="H585" s="14" t="s">
        <v>72</v>
      </c>
      <c r="I585" s="14" t="s">
        <v>54</v>
      </c>
      <c r="J585" s="14" t="s">
        <v>199</v>
      </c>
      <c r="K585" s="14" t="s">
        <v>208</v>
      </c>
      <c r="L585" s="14">
        <v>75.0</v>
      </c>
      <c r="M585" s="17" t="str">
        <f t="shared" ref="M585:N585" si="295">"+0"</f>
        <v>+0</v>
      </c>
      <c r="N585" s="18" t="str">
        <f t="shared" si="295"/>
        <v>+0</v>
      </c>
    </row>
    <row r="586">
      <c r="A586" s="13">
        <v>45901.0</v>
      </c>
      <c r="B586" s="14" t="s">
        <v>47</v>
      </c>
      <c r="C586" s="14" t="s">
        <v>48</v>
      </c>
      <c r="D586" s="14" t="s">
        <v>121</v>
      </c>
      <c r="E586" s="14" t="s">
        <v>122</v>
      </c>
      <c r="F586" s="15" t="s">
        <v>51</v>
      </c>
      <c r="G586" s="14" t="s">
        <v>123</v>
      </c>
      <c r="H586" s="14" t="s">
        <v>124</v>
      </c>
      <c r="I586" s="14" t="s">
        <v>59</v>
      </c>
      <c r="J586" s="14" t="s">
        <v>200</v>
      </c>
      <c r="K586" s="14" t="s">
        <v>201</v>
      </c>
      <c r="L586" s="14">
        <v>9.0</v>
      </c>
      <c r="M586" s="17" t="str">
        <f t="shared" ref="M586:M587" si="296">"+0"</f>
        <v>+0</v>
      </c>
      <c r="N586" s="18" t="str">
        <f>"+1"</f>
        <v>+1</v>
      </c>
    </row>
    <row r="587">
      <c r="A587" s="13">
        <v>45901.0</v>
      </c>
      <c r="B587" s="14" t="s">
        <v>47</v>
      </c>
      <c r="C587" s="14" t="s">
        <v>48</v>
      </c>
      <c r="D587" s="14" t="s">
        <v>66</v>
      </c>
      <c r="E587" s="14" t="s">
        <v>67</v>
      </c>
      <c r="F587" s="15" t="s">
        <v>51</v>
      </c>
      <c r="G587" s="14" t="s">
        <v>68</v>
      </c>
      <c r="H587" s="14" t="s">
        <v>66</v>
      </c>
      <c r="I587" s="14" t="s">
        <v>59</v>
      </c>
      <c r="J587" s="14" t="s">
        <v>200</v>
      </c>
      <c r="K587" s="14" t="s">
        <v>231</v>
      </c>
      <c r="L587" s="14">
        <v>0.0</v>
      </c>
      <c r="M587" s="17" t="str">
        <f t="shared" si="296"/>
        <v>+0</v>
      </c>
      <c r="N587" s="18" t="str">
        <f>"-16"</f>
        <v>-16</v>
      </c>
    </row>
    <row r="588">
      <c r="A588" s="13">
        <v>45901.0</v>
      </c>
      <c r="B588" s="14" t="s">
        <v>47</v>
      </c>
      <c r="C588" s="14" t="s">
        <v>48</v>
      </c>
      <c r="D588" s="14" t="s">
        <v>87</v>
      </c>
      <c r="E588" s="14" t="s">
        <v>88</v>
      </c>
      <c r="F588" s="15" t="s">
        <v>51</v>
      </c>
      <c r="G588" s="14" t="s">
        <v>89</v>
      </c>
      <c r="H588" s="14" t="s">
        <v>90</v>
      </c>
      <c r="I588" s="14" t="s">
        <v>59</v>
      </c>
      <c r="J588" s="14" t="s">
        <v>198</v>
      </c>
      <c r="K588" s="14" t="s">
        <v>210</v>
      </c>
      <c r="L588" s="14">
        <v>90.0</v>
      </c>
      <c r="M588" s="17" t="str">
        <f>"+14"</f>
        <v>+14</v>
      </c>
      <c r="N588" s="18" t="str">
        <f>"+5"</f>
        <v>+5</v>
      </c>
    </row>
    <row r="589">
      <c r="A589" s="13">
        <v>45901.0</v>
      </c>
      <c r="B589" s="14" t="s">
        <v>47</v>
      </c>
      <c r="C589" s="14" t="s">
        <v>48</v>
      </c>
      <c r="D589" s="14" t="s">
        <v>149</v>
      </c>
      <c r="E589" s="14" t="s">
        <v>150</v>
      </c>
      <c r="F589" s="15" t="s">
        <v>51</v>
      </c>
      <c r="G589" s="14" t="s">
        <v>151</v>
      </c>
      <c r="H589" s="14" t="s">
        <v>152</v>
      </c>
      <c r="I589" s="14" t="s">
        <v>54</v>
      </c>
      <c r="J589" s="14" t="s">
        <v>200</v>
      </c>
      <c r="K589" s="14" t="s">
        <v>227</v>
      </c>
      <c r="L589" s="14">
        <v>52.0</v>
      </c>
      <c r="M589" s="17" t="str">
        <f>"+3"</f>
        <v>+3</v>
      </c>
      <c r="N589" s="18" t="str">
        <f>"+2"</f>
        <v>+2</v>
      </c>
    </row>
    <row r="590">
      <c r="A590" s="13">
        <v>45901.0</v>
      </c>
      <c r="B590" s="14" t="s">
        <v>47</v>
      </c>
      <c r="C590" s="14" t="s">
        <v>48</v>
      </c>
      <c r="D590" s="14" t="s">
        <v>143</v>
      </c>
      <c r="E590" s="14" t="s">
        <v>144</v>
      </c>
      <c r="F590" s="15" t="s">
        <v>51</v>
      </c>
      <c r="G590" s="14" t="s">
        <v>145</v>
      </c>
      <c r="H590" s="14" t="s">
        <v>143</v>
      </c>
      <c r="I590" s="14" t="s">
        <v>59</v>
      </c>
      <c r="J590" s="14" t="s">
        <v>198</v>
      </c>
      <c r="K590" s="14" t="s">
        <v>205</v>
      </c>
      <c r="L590" s="14">
        <v>66.0</v>
      </c>
      <c r="M590" s="17" t="str">
        <f>"+0"</f>
        <v>+0</v>
      </c>
    </row>
    <row r="591">
      <c r="A591" s="13">
        <v>45901.0</v>
      </c>
      <c r="B591" s="14" t="s">
        <v>47</v>
      </c>
      <c r="C591" s="14" t="s">
        <v>48</v>
      </c>
      <c r="D591" s="14" t="s">
        <v>69</v>
      </c>
      <c r="E591" s="14" t="s">
        <v>70</v>
      </c>
      <c r="F591" s="15" t="s">
        <v>51</v>
      </c>
      <c r="G591" s="14" t="s">
        <v>115</v>
      </c>
      <c r="H591" s="14" t="s">
        <v>72</v>
      </c>
      <c r="I591" s="14" t="s">
        <v>54</v>
      </c>
      <c r="J591" s="14" t="s">
        <v>200</v>
      </c>
      <c r="K591" s="14" t="s">
        <v>245</v>
      </c>
      <c r="L591" s="14">
        <v>32.0</v>
      </c>
      <c r="M591" s="17" t="str">
        <f>"+3"</f>
        <v>+3</v>
      </c>
      <c r="N591" s="18" t="str">
        <f>"+7"</f>
        <v>+7</v>
      </c>
    </row>
    <row r="592">
      <c r="A592" s="13">
        <v>45901.0</v>
      </c>
      <c r="B592" s="14" t="s">
        <v>47</v>
      </c>
      <c r="C592" s="14" t="s">
        <v>48</v>
      </c>
      <c r="D592" s="14" t="s">
        <v>85</v>
      </c>
      <c r="E592" s="14" t="s">
        <v>86</v>
      </c>
      <c r="F592" s="15" t="s">
        <v>51</v>
      </c>
      <c r="G592" s="14" t="s">
        <v>148</v>
      </c>
      <c r="H592" s="14" t="s">
        <v>85</v>
      </c>
      <c r="I592" s="14" t="s">
        <v>59</v>
      </c>
      <c r="J592" s="14" t="s">
        <v>198</v>
      </c>
      <c r="K592" s="14" t="s">
        <v>207</v>
      </c>
      <c r="L592" s="14">
        <v>0.0</v>
      </c>
      <c r="M592" s="17" t="str">
        <f t="shared" ref="M592:M597" si="297">"+0"</f>
        <v>+0</v>
      </c>
    </row>
    <row r="593">
      <c r="A593" s="13">
        <v>45901.0</v>
      </c>
      <c r="B593" s="14" t="s">
        <v>47</v>
      </c>
      <c r="C593" s="14" t="s">
        <v>48</v>
      </c>
      <c r="D593" s="14" t="s">
        <v>69</v>
      </c>
      <c r="E593" s="14" t="s">
        <v>70</v>
      </c>
      <c r="F593" s="15" t="s">
        <v>51</v>
      </c>
      <c r="G593" s="14" t="s">
        <v>115</v>
      </c>
      <c r="H593" s="14" t="s">
        <v>72</v>
      </c>
      <c r="I593" s="14" t="s">
        <v>54</v>
      </c>
      <c r="J593" s="14" t="s">
        <v>198</v>
      </c>
      <c r="K593" s="14" t="s">
        <v>205</v>
      </c>
      <c r="L593" s="14">
        <v>52.0</v>
      </c>
      <c r="M593" s="17" t="str">
        <f t="shared" si="297"/>
        <v>+0</v>
      </c>
    </row>
    <row r="594">
      <c r="A594" s="13">
        <v>45901.0</v>
      </c>
      <c r="B594" s="14" t="s">
        <v>47</v>
      </c>
      <c r="C594" s="14" t="s">
        <v>48</v>
      </c>
      <c r="D594" s="14" t="s">
        <v>155</v>
      </c>
      <c r="E594" s="14" t="s">
        <v>156</v>
      </c>
      <c r="F594" s="15" t="s">
        <v>51</v>
      </c>
      <c r="G594" s="14" t="s">
        <v>157</v>
      </c>
      <c r="H594" s="14" t="s">
        <v>155</v>
      </c>
      <c r="I594" s="14" t="s">
        <v>59</v>
      </c>
      <c r="J594" s="14" t="s">
        <v>200</v>
      </c>
      <c r="K594" s="14" t="s">
        <v>202</v>
      </c>
      <c r="L594" s="14">
        <v>0.0</v>
      </c>
      <c r="M594" s="17" t="str">
        <f t="shared" si="297"/>
        <v>+0</v>
      </c>
      <c r="N594" s="18" t="str">
        <f t="shared" ref="N594:N597" si="298">"+0"</f>
        <v>+0</v>
      </c>
    </row>
    <row r="595">
      <c r="A595" s="13">
        <v>45901.0</v>
      </c>
      <c r="B595" s="14" t="s">
        <v>47</v>
      </c>
      <c r="C595" s="14" t="s">
        <v>48</v>
      </c>
      <c r="D595" s="14" t="s">
        <v>121</v>
      </c>
      <c r="E595" s="14" t="s">
        <v>122</v>
      </c>
      <c r="F595" s="15" t="s">
        <v>51</v>
      </c>
      <c r="G595" s="14" t="s">
        <v>123</v>
      </c>
      <c r="H595" s="14" t="s">
        <v>124</v>
      </c>
      <c r="I595" s="14" t="s">
        <v>59</v>
      </c>
      <c r="J595" s="14" t="s">
        <v>200</v>
      </c>
      <c r="K595" s="14" t="s">
        <v>204</v>
      </c>
      <c r="L595" s="14">
        <v>0.0</v>
      </c>
      <c r="M595" s="17" t="str">
        <f t="shared" si="297"/>
        <v>+0</v>
      </c>
      <c r="N595" s="18" t="str">
        <f t="shared" si="298"/>
        <v>+0</v>
      </c>
    </row>
    <row r="596">
      <c r="A596" s="13">
        <v>45901.0</v>
      </c>
      <c r="B596" s="14" t="s">
        <v>47</v>
      </c>
      <c r="C596" s="14" t="s">
        <v>48</v>
      </c>
      <c r="D596" s="14" t="s">
        <v>118</v>
      </c>
      <c r="E596" s="14" t="s">
        <v>119</v>
      </c>
      <c r="F596" s="15" t="s">
        <v>51</v>
      </c>
      <c r="G596" s="14" t="s">
        <v>120</v>
      </c>
      <c r="H596" s="14" t="s">
        <v>118</v>
      </c>
      <c r="I596" s="14" t="s">
        <v>59</v>
      </c>
      <c r="J596" s="14" t="s">
        <v>200</v>
      </c>
      <c r="K596" s="14" t="s">
        <v>201</v>
      </c>
      <c r="L596" s="14">
        <v>2.0</v>
      </c>
      <c r="M596" s="17" t="str">
        <f t="shared" si="297"/>
        <v>+0</v>
      </c>
      <c r="N596" s="18" t="str">
        <f t="shared" si="298"/>
        <v>+0</v>
      </c>
    </row>
    <row r="597">
      <c r="A597" s="13">
        <v>45901.0</v>
      </c>
      <c r="B597" s="14" t="s">
        <v>47</v>
      </c>
      <c r="C597" s="14" t="s">
        <v>48</v>
      </c>
      <c r="D597" s="14" t="s">
        <v>91</v>
      </c>
      <c r="E597" s="14" t="s">
        <v>92</v>
      </c>
      <c r="F597" s="14" t="s">
        <v>79</v>
      </c>
      <c r="G597" s="14" t="s">
        <v>164</v>
      </c>
      <c r="H597" s="14" t="s">
        <v>91</v>
      </c>
      <c r="I597" s="14" t="s">
        <v>154</v>
      </c>
      <c r="J597" s="14" t="s">
        <v>199</v>
      </c>
      <c r="K597" s="14" t="s">
        <v>208</v>
      </c>
      <c r="L597" s="14">
        <v>100.0</v>
      </c>
      <c r="M597" s="17" t="str">
        <f t="shared" si="297"/>
        <v>+0</v>
      </c>
      <c r="N597" s="18" t="str">
        <f t="shared" si="298"/>
        <v>+0</v>
      </c>
    </row>
    <row r="598">
      <c r="A598" s="13">
        <v>45901.0</v>
      </c>
      <c r="B598" s="14" t="s">
        <v>47</v>
      </c>
      <c r="C598" s="14" t="s">
        <v>48</v>
      </c>
      <c r="D598" s="14" t="s">
        <v>87</v>
      </c>
      <c r="E598" s="14" t="s">
        <v>88</v>
      </c>
      <c r="F598" s="15" t="s">
        <v>51</v>
      </c>
      <c r="G598" s="14" t="s">
        <v>89</v>
      </c>
      <c r="H598" s="14" t="s">
        <v>90</v>
      </c>
      <c r="I598" s="14" t="s">
        <v>59</v>
      </c>
      <c r="J598" s="14" t="s">
        <v>200</v>
      </c>
      <c r="K598" s="14" t="s">
        <v>209</v>
      </c>
      <c r="L598" s="14">
        <v>25.0</v>
      </c>
      <c r="M598" s="17" t="str">
        <f>"+1"</f>
        <v>+1</v>
      </c>
      <c r="N598" s="18" t="str">
        <f>"+3"</f>
        <v>+3</v>
      </c>
    </row>
    <row r="599">
      <c r="A599" s="13">
        <v>45901.0</v>
      </c>
      <c r="B599" s="14" t="s">
        <v>47</v>
      </c>
      <c r="C599" s="14" t="s">
        <v>48</v>
      </c>
      <c r="D599" s="14" t="s">
        <v>171</v>
      </c>
      <c r="E599" s="14" t="s">
        <v>172</v>
      </c>
      <c r="F599" s="15" t="s">
        <v>51</v>
      </c>
      <c r="G599" s="14" t="s">
        <v>173</v>
      </c>
      <c r="H599" s="14" t="s">
        <v>171</v>
      </c>
      <c r="I599" s="14" t="s">
        <v>59</v>
      </c>
      <c r="J599" s="14" t="s">
        <v>198</v>
      </c>
      <c r="K599" s="14" t="s">
        <v>212</v>
      </c>
      <c r="L599" s="14">
        <v>58.0</v>
      </c>
      <c r="M599" s="17" t="str">
        <f t="shared" ref="M599:N599" si="299">"+17"</f>
        <v>+17</v>
      </c>
      <c r="N599" s="18" t="str">
        <f t="shared" si="299"/>
        <v>+17</v>
      </c>
    </row>
    <row r="600">
      <c r="A600" s="13">
        <v>45901.0</v>
      </c>
      <c r="B600" s="14" t="s">
        <v>47</v>
      </c>
      <c r="C600" s="14" t="s">
        <v>48</v>
      </c>
      <c r="D600" s="14" t="s">
        <v>132</v>
      </c>
      <c r="E600" s="14" t="s">
        <v>133</v>
      </c>
      <c r="F600" s="15" t="s">
        <v>51</v>
      </c>
      <c r="G600" s="14" t="s">
        <v>134</v>
      </c>
      <c r="H600" s="14" t="s">
        <v>135</v>
      </c>
      <c r="I600" s="14" t="s">
        <v>59</v>
      </c>
      <c r="J600" s="14" t="s">
        <v>199</v>
      </c>
      <c r="K600" s="14" t="s">
        <v>208</v>
      </c>
      <c r="L600" s="14">
        <v>75.0</v>
      </c>
      <c r="M600" s="17" t="str">
        <f t="shared" ref="M600:N600" si="300">"+0"</f>
        <v>+0</v>
      </c>
      <c r="N600" s="18" t="str">
        <f t="shared" si="300"/>
        <v>+0</v>
      </c>
    </row>
    <row r="601">
      <c r="A601" s="13">
        <v>45901.0</v>
      </c>
      <c r="B601" s="14" t="s">
        <v>47</v>
      </c>
      <c r="C601" s="14" t="s">
        <v>48</v>
      </c>
      <c r="D601" s="14" t="s">
        <v>149</v>
      </c>
      <c r="E601" s="14" t="s">
        <v>150</v>
      </c>
      <c r="F601" s="15" t="s">
        <v>51</v>
      </c>
      <c r="G601" s="14" t="s">
        <v>151</v>
      </c>
      <c r="H601" s="14" t="s">
        <v>152</v>
      </c>
      <c r="I601" s="14" t="s">
        <v>54</v>
      </c>
      <c r="J601" s="14" t="s">
        <v>200</v>
      </c>
      <c r="K601" s="14" t="s">
        <v>228</v>
      </c>
      <c r="L601" s="14">
        <v>99.0</v>
      </c>
      <c r="M601" s="17" t="str">
        <f t="shared" ref="M601:N601" si="301">"+0"</f>
        <v>+0</v>
      </c>
      <c r="N601" s="18" t="str">
        <f t="shared" si="301"/>
        <v>+0</v>
      </c>
    </row>
    <row r="602">
      <c r="A602" s="13">
        <v>45901.0</v>
      </c>
      <c r="B602" s="14" t="s">
        <v>47</v>
      </c>
      <c r="C602" s="14" t="s">
        <v>48</v>
      </c>
      <c r="D602" s="14" t="s">
        <v>149</v>
      </c>
      <c r="E602" s="14" t="s">
        <v>150</v>
      </c>
      <c r="F602" s="15" t="s">
        <v>51</v>
      </c>
      <c r="G602" s="14" t="s">
        <v>151</v>
      </c>
      <c r="H602" s="14" t="s">
        <v>152</v>
      </c>
      <c r="I602" s="14" t="s">
        <v>54</v>
      </c>
      <c r="J602" s="14" t="s">
        <v>198</v>
      </c>
      <c r="K602" s="14" t="s">
        <v>212</v>
      </c>
      <c r="L602" s="14">
        <v>54.0</v>
      </c>
      <c r="M602" s="17" t="str">
        <f t="shared" ref="M602:N602" si="302">"+18"</f>
        <v>+18</v>
      </c>
      <c r="N602" s="18" t="str">
        <f t="shared" si="302"/>
        <v>+18</v>
      </c>
    </row>
    <row r="603">
      <c r="A603" s="13">
        <v>45901.0</v>
      </c>
      <c r="B603" s="14" t="s">
        <v>47</v>
      </c>
      <c r="C603" s="14" t="s">
        <v>48</v>
      </c>
      <c r="D603" s="14" t="s">
        <v>158</v>
      </c>
      <c r="E603" s="14" t="s">
        <v>159</v>
      </c>
      <c r="F603" s="15" t="s">
        <v>51</v>
      </c>
      <c r="G603" s="14" t="s">
        <v>160</v>
      </c>
      <c r="H603" s="14" t="s">
        <v>158</v>
      </c>
      <c r="I603" s="14" t="s">
        <v>54</v>
      </c>
      <c r="J603" s="14" t="s">
        <v>198</v>
      </c>
      <c r="K603" s="14" t="s">
        <v>207</v>
      </c>
      <c r="L603" s="14">
        <v>50.0</v>
      </c>
      <c r="M603" s="17" t="str">
        <f t="shared" ref="M603:M605" si="303">"+0"</f>
        <v>+0</v>
      </c>
    </row>
    <row r="604">
      <c r="A604" s="13">
        <v>45901.0</v>
      </c>
      <c r="B604" s="14" t="s">
        <v>47</v>
      </c>
      <c r="C604" s="14" t="s">
        <v>48</v>
      </c>
      <c r="D604" s="14" t="s">
        <v>108</v>
      </c>
      <c r="E604" s="14" t="s">
        <v>109</v>
      </c>
      <c r="F604" s="15" t="s">
        <v>51</v>
      </c>
      <c r="G604" s="14" t="s">
        <v>110</v>
      </c>
      <c r="H604" s="14" t="s">
        <v>108</v>
      </c>
      <c r="I604" s="14" t="s">
        <v>59</v>
      </c>
      <c r="J604" s="14" t="s">
        <v>200</v>
      </c>
      <c r="K604" s="14" t="s">
        <v>214</v>
      </c>
      <c r="L604" s="14">
        <v>0.0</v>
      </c>
      <c r="M604" s="17" t="str">
        <f t="shared" si="303"/>
        <v>+0</v>
      </c>
      <c r="N604" s="18" t="str">
        <f t="shared" ref="N604:N605" si="304">"+0"</f>
        <v>+0</v>
      </c>
    </row>
    <row r="605">
      <c r="A605" s="13">
        <v>45901.0</v>
      </c>
      <c r="B605" s="14" t="s">
        <v>47</v>
      </c>
      <c r="C605" s="14" t="s">
        <v>48</v>
      </c>
      <c r="D605" s="14" t="s">
        <v>158</v>
      </c>
      <c r="E605" s="14" t="s">
        <v>159</v>
      </c>
      <c r="F605" s="15" t="s">
        <v>51</v>
      </c>
      <c r="G605" s="14" t="s">
        <v>160</v>
      </c>
      <c r="H605" s="14" t="s">
        <v>158</v>
      </c>
      <c r="I605" s="14" t="s">
        <v>54</v>
      </c>
      <c r="J605" s="14" t="s">
        <v>200</v>
      </c>
      <c r="K605" s="14" t="s">
        <v>201</v>
      </c>
      <c r="L605" s="14">
        <v>1.0</v>
      </c>
      <c r="M605" s="17" t="str">
        <f t="shared" si="303"/>
        <v>+0</v>
      </c>
      <c r="N605" s="18" t="str">
        <f t="shared" si="304"/>
        <v>+0</v>
      </c>
    </row>
    <row r="606">
      <c r="A606" s="13">
        <v>45901.0</v>
      </c>
      <c r="B606" s="14" t="s">
        <v>47</v>
      </c>
      <c r="C606" s="14" t="s">
        <v>48</v>
      </c>
      <c r="D606" s="14" t="s">
        <v>174</v>
      </c>
      <c r="E606" s="14" t="s">
        <v>175</v>
      </c>
      <c r="F606" s="15" t="s">
        <v>51</v>
      </c>
      <c r="G606" s="14" t="s">
        <v>176</v>
      </c>
      <c r="H606" s="14" t="s">
        <v>174</v>
      </c>
      <c r="I606" s="14" t="s">
        <v>59</v>
      </c>
      <c r="J606" s="14" t="s">
        <v>200</v>
      </c>
      <c r="K606" s="14" t="s">
        <v>204</v>
      </c>
      <c r="L606" s="14">
        <v>0.0</v>
      </c>
      <c r="M606" s="17" t="str">
        <f t="shared" ref="M606:N606" si="305">"-1"</f>
        <v>-1</v>
      </c>
      <c r="N606" s="18" t="str">
        <f t="shared" si="305"/>
        <v>-1</v>
      </c>
    </row>
    <row r="607">
      <c r="A607" s="13">
        <v>45901.0</v>
      </c>
      <c r="B607" s="14" t="s">
        <v>47</v>
      </c>
      <c r="C607" s="14" t="s">
        <v>48</v>
      </c>
      <c r="D607" s="14" t="s">
        <v>56</v>
      </c>
      <c r="E607" s="14" t="s">
        <v>57</v>
      </c>
      <c r="F607" s="14" t="s">
        <v>71</v>
      </c>
      <c r="G607" s="14">
        <v>5.36003976E8</v>
      </c>
      <c r="H607" s="14" t="s">
        <v>56</v>
      </c>
      <c r="I607" s="14" t="s">
        <v>59</v>
      </c>
      <c r="J607" s="14" t="s">
        <v>199</v>
      </c>
      <c r="K607" s="14" t="s">
        <v>208</v>
      </c>
      <c r="L607" s="14">
        <v>85.0</v>
      </c>
      <c r="M607" s="17" t="str">
        <f t="shared" ref="M607:N607" si="306">"+0"</f>
        <v>+0</v>
      </c>
      <c r="N607" s="18" t="str">
        <f t="shared" si="306"/>
        <v>+0</v>
      </c>
    </row>
    <row r="608">
      <c r="A608" s="13">
        <v>45901.0</v>
      </c>
      <c r="B608" s="14" t="s">
        <v>47</v>
      </c>
      <c r="C608" s="14" t="s">
        <v>48</v>
      </c>
      <c r="D608" s="14" t="s">
        <v>165</v>
      </c>
      <c r="E608" s="14" t="s">
        <v>166</v>
      </c>
      <c r="F608" s="15" t="s">
        <v>51</v>
      </c>
      <c r="G608" s="14" t="s">
        <v>167</v>
      </c>
      <c r="H608" s="14" t="s">
        <v>165</v>
      </c>
      <c r="I608" s="14" t="s">
        <v>54</v>
      </c>
      <c r="J608" s="14" t="s">
        <v>200</v>
      </c>
      <c r="K608" s="14" t="s">
        <v>224</v>
      </c>
      <c r="L608" s="14">
        <v>46.0</v>
      </c>
      <c r="M608" s="17" t="str">
        <f>"+2"</f>
        <v>+2</v>
      </c>
      <c r="N608" s="18" t="str">
        <f>"+1"</f>
        <v>+1</v>
      </c>
    </row>
    <row r="609">
      <c r="A609" s="13">
        <v>45901.0</v>
      </c>
      <c r="B609" s="14" t="s">
        <v>47</v>
      </c>
      <c r="C609" s="14" t="s">
        <v>48</v>
      </c>
      <c r="D609" s="14" t="s">
        <v>165</v>
      </c>
      <c r="E609" s="14" t="s">
        <v>166</v>
      </c>
      <c r="F609" s="15" t="s">
        <v>51</v>
      </c>
      <c r="G609" s="14" t="s">
        <v>167</v>
      </c>
      <c r="H609" s="14" t="s">
        <v>165</v>
      </c>
      <c r="I609" s="14" t="s">
        <v>54</v>
      </c>
      <c r="J609" s="14" t="s">
        <v>199</v>
      </c>
      <c r="K609" s="14" t="s">
        <v>208</v>
      </c>
      <c r="L609" s="14">
        <v>100.0</v>
      </c>
      <c r="M609" s="17" t="str">
        <f t="shared" ref="M609:N609" si="307">"+0"</f>
        <v>+0</v>
      </c>
      <c r="N609" s="18" t="str">
        <f t="shared" si="307"/>
        <v>+0</v>
      </c>
    </row>
    <row r="610">
      <c r="A610" s="13">
        <v>45901.0</v>
      </c>
      <c r="B610" s="14" t="s">
        <v>47</v>
      </c>
      <c r="C610" s="14" t="s">
        <v>48</v>
      </c>
      <c r="D610" s="14" t="s">
        <v>118</v>
      </c>
      <c r="E610" s="14" t="s">
        <v>119</v>
      </c>
      <c r="F610" s="15" t="s">
        <v>51</v>
      </c>
      <c r="G610" s="14" t="s">
        <v>120</v>
      </c>
      <c r="H610" s="14" t="s">
        <v>118</v>
      </c>
      <c r="I610" s="14" t="s">
        <v>59</v>
      </c>
      <c r="J610" s="14" t="s">
        <v>200</v>
      </c>
      <c r="K610" s="14" t="s">
        <v>222</v>
      </c>
      <c r="L610" s="14">
        <v>25.0</v>
      </c>
      <c r="M610" s="17" t="str">
        <f t="shared" ref="M610:N610" si="308">"+0"</f>
        <v>+0</v>
      </c>
      <c r="N610" s="18" t="str">
        <f t="shared" si="308"/>
        <v>+0</v>
      </c>
    </row>
    <row r="611">
      <c r="A611" s="13">
        <v>45901.0</v>
      </c>
      <c r="B611" s="14" t="s">
        <v>47</v>
      </c>
      <c r="C611" s="14" t="s">
        <v>48</v>
      </c>
      <c r="D611" s="14" t="s">
        <v>66</v>
      </c>
      <c r="E611" s="14" t="s">
        <v>67</v>
      </c>
      <c r="F611" s="15" t="s">
        <v>51</v>
      </c>
      <c r="G611" s="14" t="s">
        <v>68</v>
      </c>
      <c r="H611" s="14" t="s">
        <v>66</v>
      </c>
      <c r="I611" s="14" t="s">
        <v>59</v>
      </c>
      <c r="J611" s="14" t="s">
        <v>198</v>
      </c>
      <c r="K611" s="14" t="s">
        <v>207</v>
      </c>
      <c r="L611" s="14">
        <v>0.0</v>
      </c>
      <c r="M611" s="17" t="str">
        <f t="shared" ref="M611:M612" si="309">"+0"</f>
        <v>+0</v>
      </c>
    </row>
    <row r="612">
      <c r="A612" s="13">
        <v>45901.0</v>
      </c>
      <c r="B612" s="14" t="s">
        <v>47</v>
      </c>
      <c r="C612" s="14" t="s">
        <v>48</v>
      </c>
      <c r="D612" s="14" t="s">
        <v>93</v>
      </c>
      <c r="E612" s="14" t="s">
        <v>94</v>
      </c>
      <c r="F612" s="15" t="s">
        <v>51</v>
      </c>
      <c r="G612" s="14" t="s">
        <v>191</v>
      </c>
      <c r="H612" s="14" t="s">
        <v>95</v>
      </c>
      <c r="I612" s="14" t="s">
        <v>59</v>
      </c>
      <c r="J612" s="14" t="s">
        <v>199</v>
      </c>
      <c r="K612" s="14" t="s">
        <v>206</v>
      </c>
      <c r="L612" s="14">
        <v>33.0</v>
      </c>
      <c r="M612" s="17" t="str">
        <f t="shared" si="309"/>
        <v>+0</v>
      </c>
      <c r="N612" s="18" t="str">
        <f>"+9"</f>
        <v>+9</v>
      </c>
    </row>
    <row r="613">
      <c r="A613" s="13">
        <v>45901.0</v>
      </c>
      <c r="B613" s="14" t="s">
        <v>47</v>
      </c>
      <c r="C613" s="14" t="s">
        <v>48</v>
      </c>
      <c r="D613" s="14" t="s">
        <v>129</v>
      </c>
      <c r="E613" s="14" t="s">
        <v>130</v>
      </c>
      <c r="F613" s="15" t="s">
        <v>51</v>
      </c>
      <c r="G613" s="14" t="s">
        <v>131</v>
      </c>
      <c r="H613" s="14" t="s">
        <v>129</v>
      </c>
      <c r="I613" s="14" t="s">
        <v>59</v>
      </c>
      <c r="J613" s="14" t="s">
        <v>198</v>
      </c>
      <c r="K613" s="14" t="s">
        <v>210</v>
      </c>
      <c r="L613" s="14">
        <v>68.0</v>
      </c>
      <c r="M613" s="17" t="str">
        <f t="shared" ref="M613:N613" si="310">"-2"</f>
        <v>-2</v>
      </c>
      <c r="N613" s="18" t="str">
        <f t="shared" si="310"/>
        <v>-2</v>
      </c>
    </row>
    <row r="614">
      <c r="A614" s="13">
        <v>45901.0</v>
      </c>
      <c r="B614" s="14" t="s">
        <v>47</v>
      </c>
      <c r="C614" s="14" t="s">
        <v>48</v>
      </c>
      <c r="D614" s="14" t="s">
        <v>168</v>
      </c>
      <c r="E614" s="14" t="s">
        <v>169</v>
      </c>
      <c r="F614" s="15" t="s">
        <v>51</v>
      </c>
      <c r="G614" s="14" t="s">
        <v>170</v>
      </c>
      <c r="H614" s="14" t="s">
        <v>168</v>
      </c>
      <c r="I614" s="14" t="s">
        <v>59</v>
      </c>
      <c r="J614" s="14" t="s">
        <v>199</v>
      </c>
      <c r="K614" s="14" t="s">
        <v>206</v>
      </c>
      <c r="L614" s="14">
        <v>24.0</v>
      </c>
      <c r="M614" s="17" t="str">
        <f t="shared" ref="M614:M619" si="311">"+0"</f>
        <v>+0</v>
      </c>
      <c r="N614" s="18" t="str">
        <f>"-9"</f>
        <v>-9</v>
      </c>
    </row>
    <row r="615">
      <c r="A615" s="13">
        <v>45901.0</v>
      </c>
      <c r="B615" s="14" t="s">
        <v>47</v>
      </c>
      <c r="C615" s="14" t="s">
        <v>48</v>
      </c>
      <c r="D615" s="14" t="s">
        <v>165</v>
      </c>
      <c r="E615" s="14" t="s">
        <v>166</v>
      </c>
      <c r="F615" s="14" t="s">
        <v>111</v>
      </c>
      <c r="G615" s="14">
        <v>7116371.0</v>
      </c>
      <c r="H615" s="14" t="s">
        <v>165</v>
      </c>
      <c r="I615" s="14" t="s">
        <v>59</v>
      </c>
      <c r="J615" s="14" t="s">
        <v>199</v>
      </c>
      <c r="K615" s="14" t="s">
        <v>206</v>
      </c>
      <c r="L615" s="14">
        <v>100.0</v>
      </c>
      <c r="M615" s="17" t="str">
        <f t="shared" si="311"/>
        <v>+0</v>
      </c>
      <c r="N615" s="18" t="str">
        <f t="shared" ref="N615:N619" si="312">"+0"</f>
        <v>+0</v>
      </c>
    </row>
    <row r="616">
      <c r="A616" s="13">
        <v>45901.0</v>
      </c>
      <c r="B616" s="14" t="s">
        <v>47</v>
      </c>
      <c r="C616" s="14" t="s">
        <v>48</v>
      </c>
      <c r="D616" s="14" t="s">
        <v>165</v>
      </c>
      <c r="E616" s="14" t="s">
        <v>166</v>
      </c>
      <c r="F616" s="15" t="s">
        <v>51</v>
      </c>
      <c r="G616" s="14" t="s">
        <v>167</v>
      </c>
      <c r="H616" s="14" t="s">
        <v>165</v>
      </c>
      <c r="I616" s="14" t="s">
        <v>54</v>
      </c>
      <c r="J616" s="14" t="s">
        <v>199</v>
      </c>
      <c r="K616" s="14" t="s">
        <v>203</v>
      </c>
      <c r="L616" s="14">
        <v>100.0</v>
      </c>
      <c r="M616" s="17" t="str">
        <f t="shared" si="311"/>
        <v>+0</v>
      </c>
      <c r="N616" s="18" t="str">
        <f t="shared" si="312"/>
        <v>+0</v>
      </c>
    </row>
    <row r="617">
      <c r="A617" s="13">
        <v>45901.0</v>
      </c>
      <c r="B617" s="14" t="s">
        <v>47</v>
      </c>
      <c r="C617" s="14" t="s">
        <v>48</v>
      </c>
      <c r="D617" s="14" t="s">
        <v>91</v>
      </c>
      <c r="E617" s="14" t="s">
        <v>92</v>
      </c>
      <c r="F617" s="14" t="s">
        <v>79</v>
      </c>
      <c r="G617" s="14" t="s">
        <v>164</v>
      </c>
      <c r="H617" s="14" t="s">
        <v>91</v>
      </c>
      <c r="I617" s="14" t="s">
        <v>154</v>
      </c>
      <c r="J617" s="14" t="s">
        <v>200</v>
      </c>
      <c r="K617" s="14" t="s">
        <v>238</v>
      </c>
      <c r="L617" s="14">
        <v>36.0</v>
      </c>
      <c r="M617" s="17" t="str">
        <f t="shared" si="311"/>
        <v>+0</v>
      </c>
      <c r="N617" s="18" t="str">
        <f t="shared" si="312"/>
        <v>+0</v>
      </c>
    </row>
    <row r="618">
      <c r="A618" s="13">
        <v>45901.0</v>
      </c>
      <c r="B618" s="14" t="s">
        <v>47</v>
      </c>
      <c r="C618" s="14" t="s">
        <v>48</v>
      </c>
      <c r="D618" s="14" t="s">
        <v>63</v>
      </c>
      <c r="E618" s="14" t="s">
        <v>64</v>
      </c>
      <c r="F618" s="14" t="s">
        <v>111</v>
      </c>
      <c r="G618" s="14">
        <v>4916210.0</v>
      </c>
      <c r="H618" s="14" t="s">
        <v>63</v>
      </c>
      <c r="I618" s="14" t="s">
        <v>59</v>
      </c>
      <c r="J618" s="14" t="s">
        <v>199</v>
      </c>
      <c r="K618" s="14" t="s">
        <v>208</v>
      </c>
      <c r="L618" s="14">
        <v>95.0</v>
      </c>
      <c r="M618" s="17" t="str">
        <f t="shared" si="311"/>
        <v>+0</v>
      </c>
      <c r="N618" s="18" t="str">
        <f t="shared" si="312"/>
        <v>+0</v>
      </c>
    </row>
    <row r="619">
      <c r="A619" s="13">
        <v>45901.0</v>
      </c>
      <c r="B619" s="14" t="s">
        <v>47</v>
      </c>
      <c r="C619" s="14" t="s">
        <v>48</v>
      </c>
      <c r="D619" s="14" t="s">
        <v>91</v>
      </c>
      <c r="E619" s="14" t="s">
        <v>92</v>
      </c>
      <c r="F619" s="14" t="s">
        <v>71</v>
      </c>
      <c r="G619" s="14">
        <v>5.10000484E8</v>
      </c>
      <c r="H619" s="14" t="s">
        <v>91</v>
      </c>
      <c r="I619" s="14" t="s">
        <v>54</v>
      </c>
      <c r="J619" s="14" t="s">
        <v>199</v>
      </c>
      <c r="K619" s="14" t="s">
        <v>206</v>
      </c>
      <c r="L619" s="14">
        <v>100.0</v>
      </c>
      <c r="M619" s="17" t="str">
        <f t="shared" si="311"/>
        <v>+0</v>
      </c>
      <c r="N619" s="18" t="str">
        <f t="shared" si="312"/>
        <v>+0</v>
      </c>
    </row>
    <row r="620">
      <c r="A620" s="13">
        <v>45901.0</v>
      </c>
      <c r="B620" s="14" t="s">
        <v>47</v>
      </c>
      <c r="C620" s="14" t="s">
        <v>48</v>
      </c>
      <c r="D620" s="14" t="s">
        <v>63</v>
      </c>
      <c r="E620" s="14" t="s">
        <v>64</v>
      </c>
      <c r="F620" s="15" t="s">
        <v>51</v>
      </c>
      <c r="G620" s="14" t="s">
        <v>65</v>
      </c>
      <c r="H620" s="14" t="s">
        <v>63</v>
      </c>
      <c r="I620" s="14" t="s">
        <v>54</v>
      </c>
      <c r="J620" s="14" t="s">
        <v>200</v>
      </c>
      <c r="K620" s="14" t="s">
        <v>214</v>
      </c>
      <c r="L620" s="14">
        <v>63.0</v>
      </c>
      <c r="M620" s="17" t="str">
        <f>"+5"</f>
        <v>+5</v>
      </c>
      <c r="N620" s="18" t="str">
        <f>"-3"</f>
        <v>-3</v>
      </c>
    </row>
    <row r="621">
      <c r="A621" s="13">
        <v>45901.0</v>
      </c>
      <c r="B621" s="14" t="s">
        <v>47</v>
      </c>
      <c r="C621" s="14" t="s">
        <v>48</v>
      </c>
      <c r="D621" s="14" t="s">
        <v>63</v>
      </c>
      <c r="E621" s="14" t="s">
        <v>64</v>
      </c>
      <c r="F621" s="15" t="s">
        <v>51</v>
      </c>
      <c r="G621" s="14" t="s">
        <v>65</v>
      </c>
      <c r="H621" s="14" t="s">
        <v>63</v>
      </c>
      <c r="I621" s="14" t="s">
        <v>54</v>
      </c>
      <c r="J621" s="14" t="s">
        <v>198</v>
      </c>
      <c r="K621" s="14" t="s">
        <v>207</v>
      </c>
      <c r="L621" s="14">
        <v>66.0</v>
      </c>
      <c r="M621" s="17" t="str">
        <f t="shared" ref="M621:M622" si="313">"+0"</f>
        <v>+0</v>
      </c>
    </row>
    <row r="622">
      <c r="A622" s="13">
        <v>45901.0</v>
      </c>
      <c r="B622" s="14" t="s">
        <v>47</v>
      </c>
      <c r="C622" s="14" t="s">
        <v>48</v>
      </c>
      <c r="D622" s="14" t="s">
        <v>91</v>
      </c>
      <c r="E622" s="14" t="s">
        <v>92</v>
      </c>
      <c r="F622" s="14" t="s">
        <v>71</v>
      </c>
      <c r="G622" s="14">
        <v>5.00008343E8</v>
      </c>
      <c r="H622" s="14" t="s">
        <v>91</v>
      </c>
      <c r="I622" s="14" t="s">
        <v>59</v>
      </c>
      <c r="J622" s="14" t="s">
        <v>199</v>
      </c>
      <c r="K622" s="14" t="s">
        <v>208</v>
      </c>
      <c r="L622" s="14">
        <v>100.0</v>
      </c>
      <c r="M622" s="17" t="str">
        <f t="shared" si="313"/>
        <v>+0</v>
      </c>
      <c r="N622" s="18" t="str">
        <f>"+0"</f>
        <v>+0</v>
      </c>
    </row>
    <row r="623">
      <c r="A623" s="13">
        <v>45901.0</v>
      </c>
      <c r="B623" s="14" t="s">
        <v>47</v>
      </c>
      <c r="C623" s="14" t="s">
        <v>48</v>
      </c>
      <c r="D623" s="14" t="s">
        <v>91</v>
      </c>
      <c r="E623" s="14" t="s">
        <v>92</v>
      </c>
      <c r="F623" s="14" t="s">
        <v>71</v>
      </c>
      <c r="G623" s="14">
        <v>5.00008613E8</v>
      </c>
      <c r="H623" s="14" t="s">
        <v>91</v>
      </c>
      <c r="I623" s="14" t="s">
        <v>59</v>
      </c>
      <c r="J623" s="14" t="s">
        <v>200</v>
      </c>
      <c r="K623" s="14" t="s">
        <v>218</v>
      </c>
      <c r="L623" s="14">
        <v>5.0</v>
      </c>
      <c r="M623" s="17" t="str">
        <f t="shared" ref="M623:N623" si="314">"+1"</f>
        <v>+1</v>
      </c>
      <c r="N623" s="18" t="str">
        <f t="shared" si="314"/>
        <v>+1</v>
      </c>
    </row>
    <row r="624">
      <c r="A624" s="13">
        <v>45901.0</v>
      </c>
      <c r="B624" s="14" t="s">
        <v>47</v>
      </c>
      <c r="C624" s="14" t="s">
        <v>48</v>
      </c>
      <c r="D624" s="14" t="s">
        <v>91</v>
      </c>
      <c r="E624" s="14" t="s">
        <v>92</v>
      </c>
      <c r="F624" s="14" t="s">
        <v>71</v>
      </c>
      <c r="G624" s="14">
        <v>1.00004432E8</v>
      </c>
      <c r="H624" s="14" t="s">
        <v>91</v>
      </c>
      <c r="I624" s="14" t="s">
        <v>59</v>
      </c>
      <c r="J624" s="14" t="s">
        <v>199</v>
      </c>
      <c r="K624" s="14" t="s">
        <v>203</v>
      </c>
      <c r="L624" s="14">
        <v>100.0</v>
      </c>
      <c r="M624" s="17" t="str">
        <f t="shared" ref="M624:N624" si="315">"+0"</f>
        <v>+0</v>
      </c>
      <c r="N624" s="18" t="str">
        <f t="shared" si="315"/>
        <v>+0</v>
      </c>
    </row>
    <row r="625">
      <c r="A625" s="13">
        <v>45901.0</v>
      </c>
      <c r="B625" s="14" t="s">
        <v>47</v>
      </c>
      <c r="C625" s="14" t="s">
        <v>48</v>
      </c>
      <c r="D625" s="14" t="s">
        <v>91</v>
      </c>
      <c r="E625" s="14" t="s">
        <v>92</v>
      </c>
      <c r="F625" s="14" t="s">
        <v>71</v>
      </c>
      <c r="G625" s="14">
        <v>5.00008343E8</v>
      </c>
      <c r="H625" s="14" t="s">
        <v>91</v>
      </c>
      <c r="I625" s="14" t="s">
        <v>59</v>
      </c>
      <c r="J625" s="14" t="s">
        <v>199</v>
      </c>
      <c r="K625" s="14" t="s">
        <v>206</v>
      </c>
      <c r="L625" s="14">
        <v>100.0</v>
      </c>
      <c r="M625" s="17" t="str">
        <f t="shared" ref="M625:N625" si="316">"+0"</f>
        <v>+0</v>
      </c>
      <c r="N625" s="18" t="str">
        <f t="shared" si="316"/>
        <v>+0</v>
      </c>
    </row>
    <row r="626">
      <c r="A626" s="13">
        <v>45901.0</v>
      </c>
      <c r="B626" s="14" t="s">
        <v>47</v>
      </c>
      <c r="C626" s="14" t="s">
        <v>48</v>
      </c>
      <c r="D626" s="14" t="s">
        <v>91</v>
      </c>
      <c r="E626" s="14" t="s">
        <v>92</v>
      </c>
      <c r="F626" s="15" t="s">
        <v>51</v>
      </c>
      <c r="G626" s="14" t="s">
        <v>163</v>
      </c>
      <c r="H626" s="14" t="s">
        <v>91</v>
      </c>
      <c r="I626" s="14" t="s">
        <v>59</v>
      </c>
      <c r="J626" s="14" t="s">
        <v>199</v>
      </c>
      <c r="K626" s="14" t="s">
        <v>208</v>
      </c>
      <c r="L626" s="14">
        <v>100.0</v>
      </c>
      <c r="M626" s="17" t="str">
        <f t="shared" ref="M626:N626" si="317">"+0"</f>
        <v>+0</v>
      </c>
      <c r="N626" s="18" t="str">
        <f t="shared" si="317"/>
        <v>+0</v>
      </c>
    </row>
    <row r="627">
      <c r="A627" s="13">
        <v>45901.0</v>
      </c>
      <c r="B627" s="14" t="s">
        <v>47</v>
      </c>
      <c r="C627" s="14" t="s">
        <v>48</v>
      </c>
      <c r="D627" s="14" t="s">
        <v>168</v>
      </c>
      <c r="E627" s="14" t="s">
        <v>169</v>
      </c>
      <c r="F627" s="15" t="s">
        <v>51</v>
      </c>
      <c r="G627" s="14" t="s">
        <v>170</v>
      </c>
      <c r="H627" s="14" t="s">
        <v>168</v>
      </c>
      <c r="I627" s="14" t="s">
        <v>59</v>
      </c>
      <c r="J627" s="14" t="s">
        <v>200</v>
      </c>
      <c r="K627" s="14" t="s">
        <v>222</v>
      </c>
      <c r="L627" s="14">
        <v>25.0</v>
      </c>
      <c r="M627" s="17" t="str">
        <f>"+0"</f>
        <v>+0</v>
      </c>
    </row>
    <row r="628">
      <c r="A628" s="13">
        <v>45901.0</v>
      </c>
      <c r="B628" s="14" t="s">
        <v>47</v>
      </c>
      <c r="C628" s="14" t="s">
        <v>48</v>
      </c>
      <c r="D628" s="14" t="s">
        <v>168</v>
      </c>
      <c r="E628" s="14" t="s">
        <v>169</v>
      </c>
      <c r="F628" s="15" t="s">
        <v>51</v>
      </c>
      <c r="G628" s="14" t="s">
        <v>170</v>
      </c>
      <c r="H628" s="14" t="s">
        <v>168</v>
      </c>
      <c r="I628" s="14" t="s">
        <v>59</v>
      </c>
      <c r="J628" s="14" t="s">
        <v>200</v>
      </c>
      <c r="K628" s="14" t="s">
        <v>204</v>
      </c>
      <c r="L628" s="14">
        <v>0.0</v>
      </c>
      <c r="M628" s="17" t="str">
        <f t="shared" ref="M628:N628" si="318">"-1"</f>
        <v>-1</v>
      </c>
      <c r="N628" s="18" t="str">
        <f t="shared" si="318"/>
        <v>-1</v>
      </c>
    </row>
    <row r="629">
      <c r="A629" s="13">
        <v>45901.0</v>
      </c>
      <c r="B629" s="14" t="s">
        <v>47</v>
      </c>
      <c r="C629" s="14" t="s">
        <v>48</v>
      </c>
      <c r="D629" s="14" t="s">
        <v>66</v>
      </c>
      <c r="E629" s="14" t="s">
        <v>67</v>
      </c>
      <c r="F629" s="15" t="s">
        <v>51</v>
      </c>
      <c r="G629" s="14" t="s">
        <v>68</v>
      </c>
      <c r="H629" s="14" t="s">
        <v>66</v>
      </c>
      <c r="I629" s="14" t="s">
        <v>59</v>
      </c>
      <c r="J629" s="14" t="s">
        <v>200</v>
      </c>
      <c r="K629" s="14" t="s">
        <v>204</v>
      </c>
      <c r="L629" s="14">
        <v>0.0</v>
      </c>
      <c r="M629" s="17" t="str">
        <f t="shared" ref="M629:N629" si="319">"+0"</f>
        <v>+0</v>
      </c>
      <c r="N629" s="18" t="str">
        <f t="shared" si="319"/>
        <v>+0</v>
      </c>
    </row>
    <row r="630">
      <c r="A630" s="13">
        <v>45901.0</v>
      </c>
      <c r="B630" s="14" t="s">
        <v>47</v>
      </c>
      <c r="C630" s="14" t="s">
        <v>48</v>
      </c>
      <c r="D630" s="14" t="s">
        <v>112</v>
      </c>
      <c r="E630" s="14" t="s">
        <v>113</v>
      </c>
      <c r="F630" s="15" t="s">
        <v>51</v>
      </c>
      <c r="G630" s="14" t="s">
        <v>114</v>
      </c>
      <c r="H630" s="14" t="s">
        <v>112</v>
      </c>
      <c r="I630" s="14" t="s">
        <v>59</v>
      </c>
      <c r="J630" s="14" t="s">
        <v>200</v>
      </c>
      <c r="K630" s="14" t="s">
        <v>227</v>
      </c>
      <c r="L630" s="14">
        <v>26.0</v>
      </c>
      <c r="M630" s="17" t="str">
        <f>"+10"</f>
        <v>+10</v>
      </c>
      <c r="N630" s="18" t="str">
        <f>"+9"</f>
        <v>+9</v>
      </c>
    </row>
    <row r="631">
      <c r="A631" s="13">
        <v>45901.0</v>
      </c>
      <c r="B631" s="14" t="s">
        <v>47</v>
      </c>
      <c r="C631" s="14" t="s">
        <v>48</v>
      </c>
      <c r="D631" s="14" t="s">
        <v>184</v>
      </c>
      <c r="E631" s="14" t="s">
        <v>185</v>
      </c>
      <c r="F631" s="15" t="s">
        <v>51</v>
      </c>
      <c r="G631" s="14" t="s">
        <v>186</v>
      </c>
      <c r="H631" s="14" t="s">
        <v>187</v>
      </c>
      <c r="I631" s="14" t="s">
        <v>59</v>
      </c>
      <c r="J631" s="14" t="s">
        <v>200</v>
      </c>
      <c r="K631" s="14" t="s">
        <v>229</v>
      </c>
      <c r="L631" s="14">
        <v>35.0</v>
      </c>
      <c r="M631" s="17" t="str">
        <f t="shared" ref="M631:N631" si="320">"+0"</f>
        <v>+0</v>
      </c>
      <c r="N631" s="18" t="str">
        <f t="shared" si="320"/>
        <v>+0</v>
      </c>
    </row>
    <row r="632">
      <c r="A632" s="13">
        <v>45901.0</v>
      </c>
      <c r="B632" s="14" t="s">
        <v>47</v>
      </c>
      <c r="C632" s="14" t="s">
        <v>48</v>
      </c>
      <c r="D632" s="14" t="s">
        <v>184</v>
      </c>
      <c r="E632" s="14" t="s">
        <v>185</v>
      </c>
      <c r="F632" s="15" t="s">
        <v>51</v>
      </c>
      <c r="G632" s="14" t="s">
        <v>186</v>
      </c>
      <c r="H632" s="14" t="s">
        <v>187</v>
      </c>
      <c r="I632" s="14" t="s">
        <v>59</v>
      </c>
      <c r="J632" s="14" t="s">
        <v>200</v>
      </c>
      <c r="K632" s="14" t="s">
        <v>227</v>
      </c>
      <c r="L632" s="14">
        <v>51.0</v>
      </c>
      <c r="M632" s="17" t="str">
        <f>"+1"</f>
        <v>+1</v>
      </c>
      <c r="N632" s="18" t="str">
        <f>"+3"</f>
        <v>+3</v>
      </c>
    </row>
    <row r="633">
      <c r="A633" s="13">
        <v>45901.0</v>
      </c>
      <c r="B633" s="14" t="s">
        <v>47</v>
      </c>
      <c r="C633" s="14" t="s">
        <v>48</v>
      </c>
      <c r="D633" s="14" t="s">
        <v>171</v>
      </c>
      <c r="E633" s="14" t="s">
        <v>172</v>
      </c>
      <c r="F633" s="15" t="s">
        <v>51</v>
      </c>
      <c r="G633" s="14" t="s">
        <v>173</v>
      </c>
      <c r="H633" s="14" t="s">
        <v>171</v>
      </c>
      <c r="I633" s="14" t="s">
        <v>59</v>
      </c>
      <c r="J633" s="14" t="s">
        <v>200</v>
      </c>
      <c r="K633" s="14" t="s">
        <v>222</v>
      </c>
      <c r="L633" s="14">
        <v>25.0</v>
      </c>
      <c r="M633" s="17" t="str">
        <f t="shared" ref="M633:N633" si="321">"+0"</f>
        <v>+0</v>
      </c>
      <c r="N633" s="18" t="str">
        <f t="shared" si="321"/>
        <v>+0</v>
      </c>
    </row>
    <row r="634">
      <c r="A634" s="13">
        <v>45901.0</v>
      </c>
      <c r="B634" s="14" t="s">
        <v>47</v>
      </c>
      <c r="C634" s="14" t="s">
        <v>48</v>
      </c>
      <c r="D634" s="14" t="s">
        <v>171</v>
      </c>
      <c r="E634" s="14" t="s">
        <v>172</v>
      </c>
      <c r="F634" s="15" t="s">
        <v>51</v>
      </c>
      <c r="G634" s="14" t="s">
        <v>173</v>
      </c>
      <c r="H634" s="14" t="s">
        <v>171</v>
      </c>
      <c r="I634" s="14" t="s">
        <v>59</v>
      </c>
      <c r="J634" s="14" t="s">
        <v>199</v>
      </c>
      <c r="K634" s="14" t="s">
        <v>206</v>
      </c>
      <c r="L634" s="14">
        <v>33.0</v>
      </c>
      <c r="M634" s="17" t="str">
        <f t="shared" ref="M634:N634" si="322">"+0"</f>
        <v>+0</v>
      </c>
      <c r="N634" s="18" t="str">
        <f t="shared" si="322"/>
        <v>+0</v>
      </c>
    </row>
    <row r="635">
      <c r="A635" s="13">
        <v>45901.0</v>
      </c>
      <c r="B635" s="14" t="s">
        <v>47</v>
      </c>
      <c r="C635" s="14" t="s">
        <v>48</v>
      </c>
      <c r="D635" s="14" t="s">
        <v>129</v>
      </c>
      <c r="E635" s="14" t="s">
        <v>130</v>
      </c>
      <c r="F635" s="15" t="s">
        <v>51</v>
      </c>
      <c r="G635" s="14" t="s">
        <v>131</v>
      </c>
      <c r="H635" s="14" t="s">
        <v>129</v>
      </c>
      <c r="I635" s="14" t="s">
        <v>59</v>
      </c>
      <c r="J635" s="14" t="s">
        <v>200</v>
      </c>
      <c r="K635" s="14" t="s">
        <v>227</v>
      </c>
      <c r="L635" s="14">
        <v>47.0</v>
      </c>
      <c r="M635" s="17" t="str">
        <f t="shared" ref="M635:M637" si="323">"+0"</f>
        <v>+0</v>
      </c>
      <c r="N635" s="18" t="str">
        <f>"-10"</f>
        <v>-10</v>
      </c>
    </row>
    <row r="636">
      <c r="A636" s="13">
        <v>45901.0</v>
      </c>
      <c r="B636" s="14" t="s">
        <v>47</v>
      </c>
      <c r="C636" s="14" t="s">
        <v>48</v>
      </c>
      <c r="D636" s="14" t="s">
        <v>171</v>
      </c>
      <c r="E636" s="14" t="s">
        <v>172</v>
      </c>
      <c r="F636" s="15" t="s">
        <v>51</v>
      </c>
      <c r="G636" s="14" t="s">
        <v>173</v>
      </c>
      <c r="H636" s="14" t="s">
        <v>171</v>
      </c>
      <c r="I636" s="14" t="s">
        <v>59</v>
      </c>
      <c r="J636" s="14" t="s">
        <v>198</v>
      </c>
      <c r="K636" s="14" t="s">
        <v>207</v>
      </c>
      <c r="L636" s="14">
        <v>0.0</v>
      </c>
      <c r="M636" s="17" t="str">
        <f t="shared" si="323"/>
        <v>+0</v>
      </c>
    </row>
    <row r="637">
      <c r="A637" s="13">
        <v>45901.0</v>
      </c>
      <c r="B637" s="14" t="s">
        <v>47</v>
      </c>
      <c r="C637" s="14" t="s">
        <v>48</v>
      </c>
      <c r="D637" s="14" t="s">
        <v>149</v>
      </c>
      <c r="E637" s="14" t="s">
        <v>150</v>
      </c>
      <c r="F637" s="15" t="s">
        <v>51</v>
      </c>
      <c r="G637" s="14" t="s">
        <v>151</v>
      </c>
      <c r="H637" s="14" t="s">
        <v>152</v>
      </c>
      <c r="I637" s="14" t="s">
        <v>54</v>
      </c>
      <c r="J637" s="14" t="s">
        <v>199</v>
      </c>
      <c r="K637" s="14" t="s">
        <v>203</v>
      </c>
      <c r="L637" s="14">
        <v>100.0</v>
      </c>
      <c r="M637" s="17" t="str">
        <f t="shared" si="323"/>
        <v>+0</v>
      </c>
      <c r="N637" s="18" t="str">
        <f>"+0"</f>
        <v>+0</v>
      </c>
    </row>
    <row r="638">
      <c r="A638" s="13">
        <v>45901.0</v>
      </c>
      <c r="B638" s="14" t="s">
        <v>47</v>
      </c>
      <c r="C638" s="14" t="s">
        <v>48</v>
      </c>
      <c r="D638" s="14" t="s">
        <v>69</v>
      </c>
      <c r="E638" s="14" t="s">
        <v>70</v>
      </c>
      <c r="F638" s="15" t="s">
        <v>51</v>
      </c>
      <c r="G638" s="14" t="s">
        <v>115</v>
      </c>
      <c r="H638" s="14" t="s">
        <v>72</v>
      </c>
      <c r="I638" s="14" t="s">
        <v>54</v>
      </c>
      <c r="J638" s="14" t="s">
        <v>200</v>
      </c>
      <c r="K638" s="14" t="s">
        <v>214</v>
      </c>
      <c r="L638" s="14">
        <v>74.0</v>
      </c>
      <c r="M638" s="17" t="str">
        <f>"+4"</f>
        <v>+4</v>
      </c>
      <c r="N638" s="18" t="str">
        <f>"-4"</f>
        <v>-4</v>
      </c>
    </row>
    <row r="639">
      <c r="A639" s="13">
        <v>45901.0</v>
      </c>
      <c r="B639" s="14" t="s">
        <v>47</v>
      </c>
      <c r="C639" s="14" t="s">
        <v>48</v>
      </c>
      <c r="D639" s="14" t="s">
        <v>125</v>
      </c>
      <c r="E639" s="14" t="s">
        <v>126</v>
      </c>
      <c r="F639" s="15" t="s">
        <v>51</v>
      </c>
      <c r="G639" s="14" t="s">
        <v>127</v>
      </c>
      <c r="H639" s="14" t="s">
        <v>125</v>
      </c>
      <c r="I639" s="14" t="s">
        <v>59</v>
      </c>
      <c r="J639" s="14" t="s">
        <v>199</v>
      </c>
      <c r="K639" s="14" t="s">
        <v>203</v>
      </c>
      <c r="L639" s="14">
        <v>0.0</v>
      </c>
      <c r="M639" s="17" t="str">
        <f t="shared" ref="M639:N639" si="324">"+0"</f>
        <v>+0</v>
      </c>
      <c r="N639" s="18" t="str">
        <f t="shared" si="324"/>
        <v>+0</v>
      </c>
    </row>
    <row r="640">
      <c r="A640" s="13">
        <v>45901.0</v>
      </c>
      <c r="B640" s="14" t="s">
        <v>47</v>
      </c>
      <c r="C640" s="14" t="s">
        <v>48</v>
      </c>
      <c r="D640" s="14" t="s">
        <v>116</v>
      </c>
      <c r="E640" s="14" t="s">
        <v>117</v>
      </c>
      <c r="F640" s="14" t="s">
        <v>111</v>
      </c>
      <c r="G640" s="14">
        <v>5298600.0</v>
      </c>
      <c r="H640" s="14" t="s">
        <v>116</v>
      </c>
      <c r="I640" s="14" t="s">
        <v>59</v>
      </c>
      <c r="J640" s="14" t="s">
        <v>199</v>
      </c>
      <c r="K640" s="14" t="s">
        <v>206</v>
      </c>
      <c r="L640" s="14">
        <v>93.0</v>
      </c>
      <c r="M640" s="17" t="str">
        <f t="shared" ref="M640:M641" si="325">"+2"</f>
        <v>+2</v>
      </c>
      <c r="N640" s="18" t="str">
        <f>"-7"</f>
        <v>-7</v>
      </c>
    </row>
    <row r="641">
      <c r="A641" s="13">
        <v>45901.0</v>
      </c>
      <c r="B641" s="14" t="s">
        <v>47</v>
      </c>
      <c r="C641" s="14" t="s">
        <v>48</v>
      </c>
      <c r="D641" s="14" t="s">
        <v>116</v>
      </c>
      <c r="E641" s="14" t="s">
        <v>117</v>
      </c>
      <c r="F641" s="15" t="s">
        <v>51</v>
      </c>
      <c r="G641" s="14" t="s">
        <v>161</v>
      </c>
      <c r="H641" s="14" t="s">
        <v>116</v>
      </c>
      <c r="I641" s="14" t="s">
        <v>54</v>
      </c>
      <c r="J641" s="14" t="s">
        <v>200</v>
      </c>
      <c r="K641" s="14" t="s">
        <v>209</v>
      </c>
      <c r="L641" s="14">
        <v>76.0</v>
      </c>
      <c r="M641" s="17" t="str">
        <f t="shared" si="325"/>
        <v>+2</v>
      </c>
      <c r="N641" s="18" t="str">
        <f>"+5"</f>
        <v>+5</v>
      </c>
    </row>
    <row r="642">
      <c r="A642" s="13">
        <v>45901.0</v>
      </c>
      <c r="B642" s="14" t="s">
        <v>47</v>
      </c>
      <c r="C642" s="14" t="s">
        <v>48</v>
      </c>
      <c r="D642" s="14" t="s">
        <v>56</v>
      </c>
      <c r="E642" s="14" t="s">
        <v>57</v>
      </c>
      <c r="F642" s="15" t="s">
        <v>51</v>
      </c>
      <c r="G642" s="14" t="s">
        <v>58</v>
      </c>
      <c r="H642" s="14" t="s">
        <v>56</v>
      </c>
      <c r="I642" s="14" t="s">
        <v>59</v>
      </c>
      <c r="J642" s="14" t="s">
        <v>198</v>
      </c>
      <c r="K642" s="14" t="s">
        <v>207</v>
      </c>
      <c r="L642" s="14">
        <v>0.0</v>
      </c>
      <c r="M642" s="17" t="str">
        <f t="shared" ref="M642:M646" si="326">"+0"</f>
        <v>+0</v>
      </c>
    </row>
    <row r="643">
      <c r="A643" s="13">
        <v>45901.0</v>
      </c>
      <c r="B643" s="14" t="s">
        <v>47</v>
      </c>
      <c r="C643" s="14" t="s">
        <v>48</v>
      </c>
      <c r="D643" s="14" t="s">
        <v>140</v>
      </c>
      <c r="E643" s="14" t="s">
        <v>141</v>
      </c>
      <c r="F643" s="15" t="s">
        <v>51</v>
      </c>
      <c r="G643" s="14" t="s">
        <v>142</v>
      </c>
      <c r="H643" s="14" t="s">
        <v>140</v>
      </c>
      <c r="I643" s="14" t="s">
        <v>59</v>
      </c>
      <c r="J643" s="14" t="s">
        <v>199</v>
      </c>
      <c r="K643" s="14" t="s">
        <v>208</v>
      </c>
      <c r="L643" s="14">
        <v>90.0</v>
      </c>
      <c r="M643" s="17" t="str">
        <f t="shared" si="326"/>
        <v>+0</v>
      </c>
      <c r="N643" s="18" t="str">
        <f>"+5"</f>
        <v>+5</v>
      </c>
    </row>
    <row r="644">
      <c r="A644" s="13">
        <v>45901.0</v>
      </c>
      <c r="B644" s="14" t="s">
        <v>47</v>
      </c>
      <c r="C644" s="14" t="s">
        <v>48</v>
      </c>
      <c r="D644" s="14" t="s">
        <v>121</v>
      </c>
      <c r="E644" s="14" t="s">
        <v>122</v>
      </c>
      <c r="F644" s="15" t="s">
        <v>51</v>
      </c>
      <c r="G644" s="14" t="s">
        <v>123</v>
      </c>
      <c r="H644" s="14" t="s">
        <v>124</v>
      </c>
      <c r="I644" s="14" t="s">
        <v>59</v>
      </c>
      <c r="J644" s="14" t="s">
        <v>200</v>
      </c>
      <c r="K644" s="14" t="s">
        <v>209</v>
      </c>
      <c r="L644" s="14">
        <v>1.0</v>
      </c>
      <c r="M644" s="17" t="str">
        <f t="shared" si="326"/>
        <v>+0</v>
      </c>
      <c r="N644" s="18" t="str">
        <f>"+0"</f>
        <v>+0</v>
      </c>
    </row>
    <row r="645">
      <c r="A645" s="13">
        <v>45901.0</v>
      </c>
      <c r="B645" s="14" t="s">
        <v>47</v>
      </c>
      <c r="C645" s="14" t="s">
        <v>48</v>
      </c>
      <c r="D645" s="14" t="s">
        <v>165</v>
      </c>
      <c r="E645" s="14" t="s">
        <v>166</v>
      </c>
      <c r="F645" s="15" t="s">
        <v>51</v>
      </c>
      <c r="G645" s="14" t="s">
        <v>167</v>
      </c>
      <c r="H645" s="14" t="s">
        <v>165</v>
      </c>
      <c r="I645" s="14" t="s">
        <v>54</v>
      </c>
      <c r="J645" s="14" t="s">
        <v>198</v>
      </c>
      <c r="K645" s="14" t="s">
        <v>205</v>
      </c>
      <c r="L645" s="14">
        <v>53.0</v>
      </c>
      <c r="M645" s="17" t="str">
        <f t="shared" si="326"/>
        <v>+0</v>
      </c>
    </row>
    <row r="646">
      <c r="A646" s="13">
        <v>45901.0</v>
      </c>
      <c r="B646" s="14" t="s">
        <v>47</v>
      </c>
      <c r="C646" s="14" t="s">
        <v>48</v>
      </c>
      <c r="D646" s="14" t="s">
        <v>99</v>
      </c>
      <c r="E646" s="14" t="s">
        <v>100</v>
      </c>
      <c r="F646" s="15" t="s">
        <v>51</v>
      </c>
      <c r="G646" s="14" t="s">
        <v>101</v>
      </c>
      <c r="H646" s="14" t="s">
        <v>102</v>
      </c>
      <c r="I646" s="14" t="s">
        <v>54</v>
      </c>
      <c r="J646" s="14" t="s">
        <v>198</v>
      </c>
      <c r="K646" s="14" t="s">
        <v>207</v>
      </c>
      <c r="L646" s="14">
        <v>50.0</v>
      </c>
      <c r="M646" s="17" t="str">
        <f t="shared" si="326"/>
        <v>+0</v>
      </c>
    </row>
    <row r="647">
      <c r="A647" s="13">
        <v>45901.0</v>
      </c>
      <c r="B647" s="14" t="s">
        <v>47</v>
      </c>
      <c r="C647" s="14" t="s">
        <v>48</v>
      </c>
      <c r="D647" s="14" t="s">
        <v>118</v>
      </c>
      <c r="E647" s="14" t="s">
        <v>119</v>
      </c>
      <c r="F647" s="15" t="s">
        <v>51</v>
      </c>
      <c r="G647" s="14" t="s">
        <v>120</v>
      </c>
      <c r="H647" s="14" t="s">
        <v>118</v>
      </c>
      <c r="I647" s="14" t="s">
        <v>59</v>
      </c>
      <c r="J647" s="14" t="s">
        <v>200</v>
      </c>
      <c r="K647" s="14" t="s">
        <v>204</v>
      </c>
      <c r="L647" s="14">
        <v>0.0</v>
      </c>
      <c r="M647" s="17" t="str">
        <f>"-1"</f>
        <v>-1</v>
      </c>
      <c r="N647" s="18" t="str">
        <f>"+0"</f>
        <v>+0</v>
      </c>
    </row>
    <row r="648">
      <c r="A648" s="13">
        <v>45901.0</v>
      </c>
      <c r="B648" s="14" t="s">
        <v>47</v>
      </c>
      <c r="C648" s="14" t="s">
        <v>48</v>
      </c>
      <c r="D648" s="14" t="s">
        <v>91</v>
      </c>
      <c r="E648" s="14" t="s">
        <v>92</v>
      </c>
      <c r="F648" s="15" t="s">
        <v>51</v>
      </c>
      <c r="G648" s="14" t="s">
        <v>163</v>
      </c>
      <c r="H648" s="14" t="s">
        <v>91</v>
      </c>
      <c r="I648" s="14" t="s">
        <v>59</v>
      </c>
      <c r="J648" s="14" t="s">
        <v>200</v>
      </c>
      <c r="K648" s="14" t="s">
        <v>211</v>
      </c>
      <c r="L648" s="14">
        <v>0.0</v>
      </c>
      <c r="M648" s="17" t="str">
        <f t="shared" ref="M648:N648" si="327">"+0"</f>
        <v>+0</v>
      </c>
      <c r="N648" s="18" t="str">
        <f t="shared" si="327"/>
        <v>+0</v>
      </c>
    </row>
    <row r="649">
      <c r="A649" s="13">
        <v>45901.0</v>
      </c>
      <c r="B649" s="14" t="s">
        <v>47</v>
      </c>
      <c r="C649" s="14" t="s">
        <v>48</v>
      </c>
      <c r="D649" s="14" t="s">
        <v>181</v>
      </c>
      <c r="E649" s="14" t="s">
        <v>182</v>
      </c>
      <c r="F649" s="15" t="s">
        <v>51</v>
      </c>
      <c r="G649" s="14" t="s">
        <v>183</v>
      </c>
      <c r="H649" s="14" t="s">
        <v>181</v>
      </c>
      <c r="I649" s="14" t="s">
        <v>59</v>
      </c>
      <c r="J649" s="14" t="s">
        <v>200</v>
      </c>
      <c r="K649" s="14" t="s">
        <v>209</v>
      </c>
      <c r="L649" s="14">
        <v>1.0</v>
      </c>
      <c r="M649" s="17" t="str">
        <f t="shared" ref="M649:N649" si="328">"+0"</f>
        <v>+0</v>
      </c>
      <c r="N649" s="18" t="str">
        <f t="shared" si="328"/>
        <v>+0</v>
      </c>
    </row>
    <row r="650">
      <c r="A650" s="13">
        <v>45901.0</v>
      </c>
      <c r="B650" s="14" t="s">
        <v>47</v>
      </c>
      <c r="C650" s="14" t="s">
        <v>48</v>
      </c>
      <c r="D650" s="14" t="s">
        <v>181</v>
      </c>
      <c r="E650" s="14" t="s">
        <v>182</v>
      </c>
      <c r="F650" s="15" t="s">
        <v>51</v>
      </c>
      <c r="G650" s="14" t="s">
        <v>183</v>
      </c>
      <c r="H650" s="14" t="s">
        <v>181</v>
      </c>
      <c r="I650" s="14" t="s">
        <v>59</v>
      </c>
      <c r="J650" s="14" t="s">
        <v>198</v>
      </c>
      <c r="K650" s="14" t="s">
        <v>207</v>
      </c>
      <c r="L650" s="14">
        <v>0.0</v>
      </c>
      <c r="M650" s="17" t="str">
        <f t="shared" ref="M650:M651" si="329">"+0"</f>
        <v>+0</v>
      </c>
    </row>
    <row r="651">
      <c r="A651" s="13">
        <v>45901.0</v>
      </c>
      <c r="B651" s="14" t="s">
        <v>47</v>
      </c>
      <c r="C651" s="14" t="s">
        <v>48</v>
      </c>
      <c r="D651" s="14" t="s">
        <v>87</v>
      </c>
      <c r="E651" s="14" t="s">
        <v>88</v>
      </c>
      <c r="F651" s="15" t="s">
        <v>51</v>
      </c>
      <c r="G651" s="14" t="s">
        <v>89</v>
      </c>
      <c r="H651" s="14" t="s">
        <v>90</v>
      </c>
      <c r="I651" s="14" t="s">
        <v>59</v>
      </c>
      <c r="J651" s="14" t="s">
        <v>200</v>
      </c>
      <c r="K651" s="14" t="s">
        <v>246</v>
      </c>
      <c r="L651" s="14">
        <v>0.0</v>
      </c>
      <c r="M651" s="17" t="str">
        <f t="shared" si="329"/>
        <v>+0</v>
      </c>
      <c r="N651" s="18" t="str">
        <f>"+0"</f>
        <v>+0</v>
      </c>
    </row>
    <row r="652">
      <c r="A652" s="13">
        <v>45901.0</v>
      </c>
      <c r="B652" s="14" t="s">
        <v>47</v>
      </c>
      <c r="C652" s="14" t="s">
        <v>48</v>
      </c>
      <c r="D652" s="14" t="s">
        <v>192</v>
      </c>
      <c r="E652" s="14" t="s">
        <v>193</v>
      </c>
      <c r="F652" s="15" t="s">
        <v>51</v>
      </c>
      <c r="G652" s="14" t="s">
        <v>194</v>
      </c>
      <c r="H652" s="14" t="s">
        <v>192</v>
      </c>
      <c r="I652" s="14" t="s">
        <v>54</v>
      </c>
      <c r="J652" s="14" t="s">
        <v>200</v>
      </c>
      <c r="K652" s="14" t="s">
        <v>209</v>
      </c>
      <c r="L652" s="14">
        <v>74.0</v>
      </c>
      <c r="M652" s="17" t="str">
        <f>"+1"</f>
        <v>+1</v>
      </c>
      <c r="N652" s="18" t="str">
        <f>"+7"</f>
        <v>+7</v>
      </c>
    </row>
    <row r="653">
      <c r="A653" s="13">
        <v>45901.0</v>
      </c>
      <c r="B653" s="14" t="s">
        <v>47</v>
      </c>
      <c r="C653" s="14" t="s">
        <v>48</v>
      </c>
      <c r="D653" s="14" t="s">
        <v>103</v>
      </c>
      <c r="E653" s="14" t="s">
        <v>104</v>
      </c>
      <c r="F653" s="15" t="s">
        <v>51</v>
      </c>
      <c r="G653" s="14" t="s">
        <v>105</v>
      </c>
      <c r="H653" s="14" t="s">
        <v>106</v>
      </c>
      <c r="I653" s="14" t="s">
        <v>59</v>
      </c>
      <c r="J653" s="14" t="s">
        <v>199</v>
      </c>
      <c r="K653" s="14" t="s">
        <v>206</v>
      </c>
      <c r="L653" s="14">
        <v>0.0</v>
      </c>
      <c r="M653" s="17" t="str">
        <f t="shared" ref="M653:N653" si="330">"+0"</f>
        <v>+0</v>
      </c>
      <c r="N653" s="18" t="str">
        <f t="shared" si="330"/>
        <v>+0</v>
      </c>
    </row>
    <row r="654">
      <c r="A654" s="13">
        <v>45901.0</v>
      </c>
      <c r="B654" s="14" t="s">
        <v>47</v>
      </c>
      <c r="C654" s="14" t="s">
        <v>48</v>
      </c>
      <c r="D654" s="14" t="s">
        <v>108</v>
      </c>
      <c r="E654" s="14" t="s">
        <v>109</v>
      </c>
      <c r="F654" s="14" t="s">
        <v>79</v>
      </c>
      <c r="G654" s="14" t="s">
        <v>153</v>
      </c>
      <c r="H654" s="14" t="s">
        <v>108</v>
      </c>
      <c r="I654" s="14" t="s">
        <v>154</v>
      </c>
      <c r="J654" s="14" t="s">
        <v>200</v>
      </c>
      <c r="K654" s="14" t="s">
        <v>238</v>
      </c>
      <c r="L654" s="14">
        <v>20.0</v>
      </c>
      <c r="M654" s="17" t="str">
        <f>"+4"</f>
        <v>+4</v>
      </c>
    </row>
    <row r="655">
      <c r="A655" s="13">
        <v>45901.0</v>
      </c>
      <c r="B655" s="14" t="s">
        <v>47</v>
      </c>
      <c r="C655" s="14" t="s">
        <v>48</v>
      </c>
      <c r="D655" s="14" t="s">
        <v>140</v>
      </c>
      <c r="E655" s="14" t="s">
        <v>141</v>
      </c>
      <c r="F655" s="15" t="s">
        <v>51</v>
      </c>
      <c r="G655" s="14" t="s">
        <v>142</v>
      </c>
      <c r="H655" s="14" t="s">
        <v>140</v>
      </c>
      <c r="I655" s="14" t="s">
        <v>59</v>
      </c>
      <c r="J655" s="14" t="s">
        <v>200</v>
      </c>
      <c r="K655" s="14" t="s">
        <v>222</v>
      </c>
      <c r="L655" s="14">
        <v>25.0</v>
      </c>
      <c r="M655" s="17" t="str">
        <f t="shared" ref="M655:N655" si="331">"+0"</f>
        <v>+0</v>
      </c>
      <c r="N655" s="18" t="str">
        <f t="shared" si="331"/>
        <v>+0</v>
      </c>
    </row>
    <row r="656">
      <c r="A656" s="13">
        <v>45901.0</v>
      </c>
      <c r="B656" s="14" t="s">
        <v>47</v>
      </c>
      <c r="C656" s="14" t="s">
        <v>48</v>
      </c>
      <c r="D656" s="14" t="s">
        <v>91</v>
      </c>
      <c r="E656" s="14" t="s">
        <v>92</v>
      </c>
      <c r="F656" s="14" t="s">
        <v>71</v>
      </c>
      <c r="G656" s="14">
        <v>5.00008612E8</v>
      </c>
      <c r="H656" s="14" t="s">
        <v>91</v>
      </c>
      <c r="I656" s="14" t="s">
        <v>59</v>
      </c>
      <c r="J656" s="14" t="s">
        <v>199</v>
      </c>
      <c r="K656" s="14" t="s">
        <v>203</v>
      </c>
      <c r="L656" s="14">
        <v>100.0</v>
      </c>
      <c r="M656" s="17" t="str">
        <f t="shared" ref="M656:N656" si="332">"+0"</f>
        <v>+0</v>
      </c>
      <c r="N656" s="18" t="str">
        <f t="shared" si="332"/>
        <v>+0</v>
      </c>
    </row>
    <row r="657">
      <c r="A657" s="13">
        <v>45901.0</v>
      </c>
      <c r="B657" s="14" t="s">
        <v>47</v>
      </c>
      <c r="C657" s="14" t="s">
        <v>48</v>
      </c>
      <c r="D657" s="14" t="s">
        <v>82</v>
      </c>
      <c r="E657" s="14" t="s">
        <v>83</v>
      </c>
      <c r="F657" s="15" t="s">
        <v>51</v>
      </c>
      <c r="G657" s="14" t="s">
        <v>84</v>
      </c>
      <c r="H657" s="14" t="s">
        <v>82</v>
      </c>
      <c r="I657" s="14" t="s">
        <v>59</v>
      </c>
      <c r="J657" s="14" t="s">
        <v>200</v>
      </c>
      <c r="K657" s="14" t="s">
        <v>214</v>
      </c>
      <c r="L657" s="14">
        <v>43.0</v>
      </c>
      <c r="M657" s="17" t="str">
        <f t="shared" ref="M657:N657" si="333">"-1"</f>
        <v>-1</v>
      </c>
      <c r="N657" s="18" t="str">
        <f t="shared" si="333"/>
        <v>-1</v>
      </c>
    </row>
    <row r="658">
      <c r="A658" s="13">
        <v>45901.0</v>
      </c>
      <c r="B658" s="14" t="s">
        <v>47</v>
      </c>
      <c r="C658" s="14" t="s">
        <v>48</v>
      </c>
      <c r="D658" s="14" t="s">
        <v>87</v>
      </c>
      <c r="E658" s="14" t="s">
        <v>88</v>
      </c>
      <c r="F658" s="15" t="s">
        <v>51</v>
      </c>
      <c r="G658" s="14" t="s">
        <v>89</v>
      </c>
      <c r="H658" s="14" t="s">
        <v>90</v>
      </c>
      <c r="I658" s="14" t="s">
        <v>59</v>
      </c>
      <c r="J658" s="14" t="s">
        <v>199</v>
      </c>
      <c r="K658" s="14" t="s">
        <v>203</v>
      </c>
      <c r="L658" s="14">
        <v>34.0</v>
      </c>
      <c r="M658" s="17" t="str">
        <f t="shared" ref="M658:N658" si="334">"+0"</f>
        <v>+0</v>
      </c>
      <c r="N658" s="18" t="str">
        <f t="shared" si="334"/>
        <v>+0</v>
      </c>
    </row>
    <row r="659">
      <c r="A659" s="13">
        <v>45901.0</v>
      </c>
      <c r="B659" s="14" t="s">
        <v>47</v>
      </c>
      <c r="C659" s="14" t="s">
        <v>48</v>
      </c>
      <c r="D659" s="14" t="s">
        <v>125</v>
      </c>
      <c r="E659" s="14" t="s">
        <v>126</v>
      </c>
      <c r="F659" s="15" t="s">
        <v>51</v>
      </c>
      <c r="G659" s="14" t="s">
        <v>127</v>
      </c>
      <c r="H659" s="14" t="s">
        <v>125</v>
      </c>
      <c r="I659" s="14" t="s">
        <v>59</v>
      </c>
      <c r="J659" s="14" t="s">
        <v>198</v>
      </c>
      <c r="K659" s="14" t="s">
        <v>212</v>
      </c>
      <c r="L659" s="14">
        <v>58.0</v>
      </c>
      <c r="M659" s="17" t="str">
        <f t="shared" ref="M659:N659" si="335">"+17"</f>
        <v>+17</v>
      </c>
      <c r="N659" s="18" t="str">
        <f t="shared" si="335"/>
        <v>+17</v>
      </c>
    </row>
    <row r="660">
      <c r="A660" s="13">
        <v>45901.0</v>
      </c>
      <c r="B660" s="14" t="s">
        <v>47</v>
      </c>
      <c r="C660" s="14" t="s">
        <v>48</v>
      </c>
      <c r="D660" s="14" t="s">
        <v>69</v>
      </c>
      <c r="E660" s="14" t="s">
        <v>70</v>
      </c>
      <c r="F660" s="15" t="s">
        <v>51</v>
      </c>
      <c r="G660" s="14" t="s">
        <v>115</v>
      </c>
      <c r="H660" s="14" t="s">
        <v>72</v>
      </c>
      <c r="I660" s="14" t="s">
        <v>54</v>
      </c>
      <c r="J660" s="14" t="s">
        <v>200</v>
      </c>
      <c r="K660" s="14" t="s">
        <v>213</v>
      </c>
      <c r="L660" s="14">
        <v>67.0</v>
      </c>
      <c r="M660" s="17" t="str">
        <f>"+2"</f>
        <v>+2</v>
      </c>
      <c r="N660" s="18" t="str">
        <f>"+1"</f>
        <v>+1</v>
      </c>
    </row>
    <row r="661">
      <c r="A661" s="13">
        <v>45901.0</v>
      </c>
      <c r="B661" s="14" t="s">
        <v>47</v>
      </c>
      <c r="C661" s="14" t="s">
        <v>48</v>
      </c>
      <c r="D661" s="14" t="s">
        <v>77</v>
      </c>
      <c r="E661" s="14" t="s">
        <v>78</v>
      </c>
      <c r="F661" s="15" t="s">
        <v>51</v>
      </c>
      <c r="G661" s="14" t="s">
        <v>128</v>
      </c>
      <c r="H661" s="14" t="s">
        <v>81</v>
      </c>
      <c r="I661" s="14" t="s">
        <v>59</v>
      </c>
      <c r="J661" s="14" t="s">
        <v>198</v>
      </c>
      <c r="K661" s="14" t="s">
        <v>205</v>
      </c>
      <c r="L661" s="14">
        <v>41.0</v>
      </c>
      <c r="M661" s="17" t="str">
        <f t="shared" ref="M661:M665" si="336">"+0"</f>
        <v>+0</v>
      </c>
    </row>
    <row r="662">
      <c r="A662" s="13">
        <v>45901.0</v>
      </c>
      <c r="B662" s="14" t="s">
        <v>47</v>
      </c>
      <c r="C662" s="14" t="s">
        <v>48</v>
      </c>
      <c r="D662" s="14" t="s">
        <v>140</v>
      </c>
      <c r="E662" s="14" t="s">
        <v>141</v>
      </c>
      <c r="F662" s="15" t="s">
        <v>51</v>
      </c>
      <c r="G662" s="14" t="s">
        <v>142</v>
      </c>
      <c r="H662" s="14" t="s">
        <v>140</v>
      </c>
      <c r="I662" s="14" t="s">
        <v>59</v>
      </c>
      <c r="J662" s="14" t="s">
        <v>198</v>
      </c>
      <c r="K662" s="14" t="s">
        <v>207</v>
      </c>
      <c r="L662" s="14">
        <v>0.0</v>
      </c>
      <c r="M662" s="17" t="str">
        <f t="shared" si="336"/>
        <v>+0</v>
      </c>
    </row>
    <row r="663">
      <c r="A663" s="13">
        <v>45901.0</v>
      </c>
      <c r="B663" s="14" t="s">
        <v>47</v>
      </c>
      <c r="C663" s="14" t="s">
        <v>48</v>
      </c>
      <c r="D663" s="14" t="s">
        <v>91</v>
      </c>
      <c r="E663" s="14" t="s">
        <v>92</v>
      </c>
      <c r="F663" s="14" t="s">
        <v>71</v>
      </c>
      <c r="G663" s="14">
        <v>5.00008612E8</v>
      </c>
      <c r="H663" s="14" t="s">
        <v>91</v>
      </c>
      <c r="I663" s="14" t="s">
        <v>59</v>
      </c>
      <c r="J663" s="14" t="s">
        <v>200</v>
      </c>
      <c r="K663" s="14" t="s">
        <v>218</v>
      </c>
      <c r="L663" s="14">
        <v>67.0</v>
      </c>
      <c r="M663" s="17" t="str">
        <f t="shared" si="336"/>
        <v>+0</v>
      </c>
      <c r="N663" s="18" t="str">
        <f>"-1"</f>
        <v>-1</v>
      </c>
    </row>
    <row r="664">
      <c r="A664" s="13">
        <v>45901.0</v>
      </c>
      <c r="B664" s="14" t="s">
        <v>47</v>
      </c>
      <c r="C664" s="14" t="s">
        <v>48</v>
      </c>
      <c r="D664" s="14" t="s">
        <v>118</v>
      </c>
      <c r="E664" s="14" t="s">
        <v>119</v>
      </c>
      <c r="F664" s="15" t="s">
        <v>51</v>
      </c>
      <c r="G664" s="14" t="s">
        <v>120</v>
      </c>
      <c r="H664" s="14" t="s">
        <v>118</v>
      </c>
      <c r="I664" s="14" t="s">
        <v>59</v>
      </c>
      <c r="J664" s="14" t="s">
        <v>199</v>
      </c>
      <c r="K664" s="14" t="s">
        <v>203</v>
      </c>
      <c r="L664" s="14">
        <v>0.0</v>
      </c>
      <c r="M664" s="17" t="str">
        <f t="shared" si="336"/>
        <v>+0</v>
      </c>
      <c r="N664" s="18" t="str">
        <f t="shared" ref="N664:N665" si="337">"+0"</f>
        <v>+0</v>
      </c>
    </row>
    <row r="665">
      <c r="A665" s="13">
        <v>45901.0</v>
      </c>
      <c r="B665" s="14" t="s">
        <v>47</v>
      </c>
      <c r="C665" s="14" t="s">
        <v>48</v>
      </c>
      <c r="D665" s="14" t="s">
        <v>181</v>
      </c>
      <c r="E665" s="14" t="s">
        <v>182</v>
      </c>
      <c r="F665" s="15" t="s">
        <v>51</v>
      </c>
      <c r="G665" s="14" t="s">
        <v>183</v>
      </c>
      <c r="H665" s="14" t="s">
        <v>181</v>
      </c>
      <c r="I665" s="14" t="s">
        <v>59</v>
      </c>
      <c r="J665" s="14" t="s">
        <v>200</v>
      </c>
      <c r="K665" s="14" t="s">
        <v>201</v>
      </c>
      <c r="L665" s="14">
        <v>1.0</v>
      </c>
      <c r="M665" s="17" t="str">
        <f t="shared" si="336"/>
        <v>+0</v>
      </c>
      <c r="N665" s="18" t="str">
        <f t="shared" si="337"/>
        <v>+0</v>
      </c>
    </row>
    <row r="666">
      <c r="A666" s="13">
        <v>45901.0</v>
      </c>
      <c r="B666" s="14" t="s">
        <v>47</v>
      </c>
      <c r="C666" s="14" t="s">
        <v>48</v>
      </c>
      <c r="D666" s="14" t="s">
        <v>168</v>
      </c>
      <c r="E666" s="14" t="s">
        <v>169</v>
      </c>
      <c r="F666" s="15" t="s">
        <v>51</v>
      </c>
      <c r="G666" s="14" t="s">
        <v>170</v>
      </c>
      <c r="H666" s="14" t="s">
        <v>168</v>
      </c>
      <c r="I666" s="14" t="s">
        <v>59</v>
      </c>
      <c r="J666" s="14" t="s">
        <v>200</v>
      </c>
      <c r="K666" s="14" t="s">
        <v>202</v>
      </c>
      <c r="L666" s="14">
        <v>27.0</v>
      </c>
      <c r="M666" s="17" t="str">
        <f t="shared" ref="M666:N666" si="338">"+1"</f>
        <v>+1</v>
      </c>
      <c r="N666" s="18" t="str">
        <f t="shared" si="338"/>
        <v>+1</v>
      </c>
    </row>
    <row r="667">
      <c r="A667" s="13">
        <v>45901.0</v>
      </c>
      <c r="B667" s="14" t="s">
        <v>47</v>
      </c>
      <c r="C667" s="14" t="s">
        <v>48</v>
      </c>
      <c r="D667" s="14" t="s">
        <v>118</v>
      </c>
      <c r="E667" s="14" t="s">
        <v>119</v>
      </c>
      <c r="F667" s="15" t="s">
        <v>51</v>
      </c>
      <c r="G667" s="14" t="s">
        <v>120</v>
      </c>
      <c r="H667" s="14" t="s">
        <v>118</v>
      </c>
      <c r="I667" s="14" t="s">
        <v>59</v>
      </c>
      <c r="J667" s="14" t="s">
        <v>199</v>
      </c>
      <c r="K667" s="14" t="s">
        <v>206</v>
      </c>
      <c r="L667" s="14">
        <v>42.0</v>
      </c>
      <c r="M667" s="17" t="str">
        <f t="shared" ref="M667:M668" si="339">"+0"</f>
        <v>+0</v>
      </c>
      <c r="N667" s="18" t="str">
        <f>"-8"</f>
        <v>-8</v>
      </c>
    </row>
    <row r="668">
      <c r="A668" s="13">
        <v>45901.0</v>
      </c>
      <c r="B668" s="14" t="s">
        <v>47</v>
      </c>
      <c r="C668" s="14" t="s">
        <v>48</v>
      </c>
      <c r="D668" s="14" t="s">
        <v>108</v>
      </c>
      <c r="E668" s="14" t="s">
        <v>109</v>
      </c>
      <c r="F668" s="15" t="s">
        <v>51</v>
      </c>
      <c r="G668" s="14" t="s">
        <v>110</v>
      </c>
      <c r="H668" s="14" t="s">
        <v>108</v>
      </c>
      <c r="I668" s="14" t="s">
        <v>59</v>
      </c>
      <c r="J668" s="14" t="s">
        <v>200</v>
      </c>
      <c r="K668" s="14" t="s">
        <v>201</v>
      </c>
      <c r="L668" s="14">
        <v>1.0</v>
      </c>
      <c r="M668" s="17" t="str">
        <f t="shared" si="339"/>
        <v>+0</v>
      </c>
    </row>
    <row r="669">
      <c r="A669" s="13">
        <v>45901.0</v>
      </c>
      <c r="B669" s="14" t="s">
        <v>47</v>
      </c>
      <c r="C669" s="14" t="s">
        <v>48</v>
      </c>
      <c r="D669" s="14" t="s">
        <v>112</v>
      </c>
      <c r="E669" s="14" t="s">
        <v>113</v>
      </c>
      <c r="F669" s="15" t="s">
        <v>51</v>
      </c>
      <c r="G669" s="14" t="s">
        <v>114</v>
      </c>
      <c r="H669" s="14" t="s">
        <v>112</v>
      </c>
      <c r="I669" s="14" t="s">
        <v>59</v>
      </c>
      <c r="J669" s="14" t="s">
        <v>198</v>
      </c>
      <c r="K669" s="14" t="s">
        <v>212</v>
      </c>
      <c r="L669" s="14">
        <v>50.0</v>
      </c>
      <c r="M669" s="17" t="str">
        <f t="shared" ref="M669:N669" si="340">"+18"</f>
        <v>+18</v>
      </c>
      <c r="N669" s="18" t="str">
        <f t="shared" si="340"/>
        <v>+18</v>
      </c>
    </row>
    <row r="670">
      <c r="A670" s="13">
        <v>45901.0</v>
      </c>
      <c r="B670" s="14" t="s">
        <v>47</v>
      </c>
      <c r="C670" s="14" t="s">
        <v>48</v>
      </c>
      <c r="D670" s="14" t="s">
        <v>174</v>
      </c>
      <c r="E670" s="14" t="s">
        <v>175</v>
      </c>
      <c r="F670" s="15" t="s">
        <v>51</v>
      </c>
      <c r="G670" s="14" t="s">
        <v>176</v>
      </c>
      <c r="H670" s="14" t="s">
        <v>174</v>
      </c>
      <c r="I670" s="14" t="s">
        <v>59</v>
      </c>
      <c r="J670" s="14" t="s">
        <v>200</v>
      </c>
      <c r="K670" s="14" t="s">
        <v>227</v>
      </c>
      <c r="L670" s="14">
        <v>57.0</v>
      </c>
      <c r="M670" s="17" t="str">
        <f t="shared" ref="M670:N670" si="341">"-1"</f>
        <v>-1</v>
      </c>
      <c r="N670" s="18" t="str">
        <f t="shared" si="341"/>
        <v>-1</v>
      </c>
    </row>
    <row r="671">
      <c r="A671" s="13">
        <v>45901.0</v>
      </c>
      <c r="B671" s="14" t="s">
        <v>47</v>
      </c>
      <c r="C671" s="14" t="s">
        <v>48</v>
      </c>
      <c r="D671" s="14" t="s">
        <v>129</v>
      </c>
      <c r="E671" s="14" t="s">
        <v>130</v>
      </c>
      <c r="F671" s="15" t="s">
        <v>51</v>
      </c>
      <c r="G671" s="14" t="s">
        <v>131</v>
      </c>
      <c r="H671" s="14" t="s">
        <v>129</v>
      </c>
      <c r="I671" s="14" t="s">
        <v>59</v>
      </c>
      <c r="J671" s="14" t="s">
        <v>198</v>
      </c>
      <c r="K671" s="14" t="s">
        <v>212</v>
      </c>
      <c r="L671" s="14">
        <v>58.0</v>
      </c>
      <c r="M671" s="17" t="str">
        <f t="shared" ref="M671:N671" si="342">"+17"</f>
        <v>+17</v>
      </c>
      <c r="N671" s="18" t="str">
        <f t="shared" si="342"/>
        <v>+17</v>
      </c>
    </row>
    <row r="672">
      <c r="A672" s="13">
        <v>45901.0</v>
      </c>
      <c r="B672" s="14" t="s">
        <v>47</v>
      </c>
      <c r="C672" s="14" t="s">
        <v>48</v>
      </c>
      <c r="D672" s="14" t="s">
        <v>195</v>
      </c>
      <c r="E672" s="14" t="s">
        <v>196</v>
      </c>
      <c r="F672" s="14" t="s">
        <v>111</v>
      </c>
      <c r="G672" s="14">
        <v>5252823.0</v>
      </c>
      <c r="H672" s="14" t="s">
        <v>197</v>
      </c>
      <c r="I672" s="14" t="s">
        <v>59</v>
      </c>
      <c r="J672" s="14" t="s">
        <v>200</v>
      </c>
      <c r="K672" s="14" t="s">
        <v>221</v>
      </c>
      <c r="L672" s="14">
        <v>88.0</v>
      </c>
      <c r="M672" s="17" t="str">
        <f>"+0"</f>
        <v>+0</v>
      </c>
      <c r="N672" s="18" t="str">
        <f>"-2"</f>
        <v>-2</v>
      </c>
    </row>
    <row r="673">
      <c r="A673" s="13">
        <v>45901.0</v>
      </c>
      <c r="B673" s="14" t="s">
        <v>47</v>
      </c>
      <c r="C673" s="14" t="s">
        <v>48</v>
      </c>
      <c r="D673" s="14" t="s">
        <v>116</v>
      </c>
      <c r="E673" s="14" t="s">
        <v>117</v>
      </c>
      <c r="F673" s="15" t="s">
        <v>51</v>
      </c>
      <c r="G673" s="14" t="s">
        <v>161</v>
      </c>
      <c r="H673" s="14" t="s">
        <v>116</v>
      </c>
      <c r="I673" s="14" t="s">
        <v>54</v>
      </c>
      <c r="J673" s="14" t="s">
        <v>198</v>
      </c>
      <c r="K673" s="14" t="s">
        <v>210</v>
      </c>
      <c r="L673" s="14">
        <v>32.0</v>
      </c>
      <c r="M673" s="17" t="str">
        <f>"-2"</f>
        <v>-2</v>
      </c>
      <c r="N673" s="18" t="str">
        <f>"+2"</f>
        <v>+2</v>
      </c>
    </row>
    <row r="674">
      <c r="A674" s="13">
        <v>45901.0</v>
      </c>
      <c r="B674" s="14" t="s">
        <v>47</v>
      </c>
      <c r="C674" s="14" t="s">
        <v>48</v>
      </c>
      <c r="D674" s="14" t="s">
        <v>116</v>
      </c>
      <c r="E674" s="14" t="s">
        <v>117</v>
      </c>
      <c r="F674" s="15" t="s">
        <v>51</v>
      </c>
      <c r="G674" s="14" t="s">
        <v>161</v>
      </c>
      <c r="H674" s="14" t="s">
        <v>116</v>
      </c>
      <c r="I674" s="14" t="s">
        <v>54</v>
      </c>
      <c r="J674" s="14" t="s">
        <v>199</v>
      </c>
      <c r="K674" s="14" t="s">
        <v>208</v>
      </c>
      <c r="L674" s="14">
        <v>100.0</v>
      </c>
      <c r="M674" s="17" t="str">
        <f t="shared" ref="M674:N674" si="343">"+0"</f>
        <v>+0</v>
      </c>
      <c r="N674" s="18" t="str">
        <f t="shared" si="343"/>
        <v>+0</v>
      </c>
    </row>
    <row r="675">
      <c r="A675" s="13">
        <v>45901.0</v>
      </c>
      <c r="B675" s="14" t="s">
        <v>47</v>
      </c>
      <c r="C675" s="14" t="s">
        <v>48</v>
      </c>
      <c r="D675" s="14" t="s">
        <v>60</v>
      </c>
      <c r="E675" s="14" t="s">
        <v>61</v>
      </c>
      <c r="F675" s="15" t="s">
        <v>51</v>
      </c>
      <c r="G675" s="14" t="s">
        <v>62</v>
      </c>
      <c r="H675" s="14" t="s">
        <v>60</v>
      </c>
      <c r="I675" s="14" t="s">
        <v>59</v>
      </c>
      <c r="J675" s="14" t="s">
        <v>200</v>
      </c>
      <c r="K675" s="14" t="s">
        <v>201</v>
      </c>
      <c r="L675" s="14">
        <v>1.0</v>
      </c>
      <c r="M675" s="17" t="str">
        <f t="shared" ref="M675:N675" si="344">"+0"</f>
        <v>+0</v>
      </c>
      <c r="N675" s="18" t="str">
        <f t="shared" si="344"/>
        <v>+0</v>
      </c>
    </row>
    <row r="676">
      <c r="A676" s="13">
        <v>45901.0</v>
      </c>
      <c r="B676" s="14" t="s">
        <v>47</v>
      </c>
      <c r="C676" s="14" t="s">
        <v>48</v>
      </c>
      <c r="D676" s="14" t="s">
        <v>155</v>
      </c>
      <c r="E676" s="14" t="s">
        <v>156</v>
      </c>
      <c r="F676" s="15" t="s">
        <v>51</v>
      </c>
      <c r="G676" s="14" t="s">
        <v>157</v>
      </c>
      <c r="H676" s="14" t="s">
        <v>155</v>
      </c>
      <c r="I676" s="14" t="s">
        <v>59</v>
      </c>
      <c r="J676" s="14" t="s">
        <v>198</v>
      </c>
      <c r="K676" s="14" t="s">
        <v>207</v>
      </c>
      <c r="L676" s="14">
        <v>0.0</v>
      </c>
      <c r="M676" s="17" t="str">
        <f t="shared" ref="M676:M677" si="345">"+0"</f>
        <v>+0</v>
      </c>
    </row>
    <row r="677">
      <c r="A677" s="13">
        <v>45901.0</v>
      </c>
      <c r="B677" s="14" t="s">
        <v>47</v>
      </c>
      <c r="C677" s="14" t="s">
        <v>48</v>
      </c>
      <c r="D677" s="14" t="s">
        <v>155</v>
      </c>
      <c r="E677" s="14" t="s">
        <v>156</v>
      </c>
      <c r="F677" s="15" t="s">
        <v>51</v>
      </c>
      <c r="G677" s="14" t="s">
        <v>157</v>
      </c>
      <c r="H677" s="14" t="s">
        <v>155</v>
      </c>
      <c r="I677" s="14" t="s">
        <v>59</v>
      </c>
      <c r="J677" s="14" t="s">
        <v>198</v>
      </c>
      <c r="K677" s="14" t="s">
        <v>210</v>
      </c>
      <c r="L677" s="14">
        <v>99.0</v>
      </c>
      <c r="M677" s="17" t="str">
        <f t="shared" si="345"/>
        <v>+0</v>
      </c>
      <c r="N677" s="18" t="str">
        <f>"+0"</f>
        <v>+0</v>
      </c>
    </row>
    <row r="678">
      <c r="A678" s="13">
        <v>45901.0</v>
      </c>
      <c r="B678" s="14" t="s">
        <v>47</v>
      </c>
      <c r="C678" s="14" t="s">
        <v>48</v>
      </c>
      <c r="D678" s="14" t="s">
        <v>118</v>
      </c>
      <c r="E678" s="14" t="s">
        <v>119</v>
      </c>
      <c r="F678" s="15" t="s">
        <v>51</v>
      </c>
      <c r="G678" s="14" t="s">
        <v>120</v>
      </c>
      <c r="H678" s="14" t="s">
        <v>118</v>
      </c>
      <c r="I678" s="14" t="s">
        <v>59</v>
      </c>
      <c r="J678" s="14" t="s">
        <v>200</v>
      </c>
      <c r="K678" s="14" t="s">
        <v>227</v>
      </c>
      <c r="L678" s="14">
        <v>21.0</v>
      </c>
      <c r="M678" s="17" t="str">
        <f>"+2"</f>
        <v>+2</v>
      </c>
      <c r="N678" s="18" t="str">
        <f>"-4"</f>
        <v>-4</v>
      </c>
    </row>
    <row r="679">
      <c r="A679" s="13">
        <v>45901.0</v>
      </c>
      <c r="B679" s="14" t="s">
        <v>47</v>
      </c>
      <c r="C679" s="14" t="s">
        <v>48</v>
      </c>
      <c r="D679" s="14" t="s">
        <v>82</v>
      </c>
      <c r="E679" s="14" t="s">
        <v>83</v>
      </c>
      <c r="F679" s="15" t="s">
        <v>51</v>
      </c>
      <c r="G679" s="14" t="s">
        <v>84</v>
      </c>
      <c r="H679" s="14" t="s">
        <v>82</v>
      </c>
      <c r="I679" s="14" t="s">
        <v>59</v>
      </c>
      <c r="J679" s="14" t="s">
        <v>198</v>
      </c>
      <c r="K679" s="14" t="s">
        <v>205</v>
      </c>
      <c r="L679" s="14">
        <v>51.0</v>
      </c>
      <c r="M679" s="17" t="str">
        <f t="shared" ref="M679:M682" si="346">"+0"</f>
        <v>+0</v>
      </c>
    </row>
    <row r="680">
      <c r="A680" s="13">
        <v>45901.0</v>
      </c>
      <c r="B680" s="14" t="s">
        <v>47</v>
      </c>
      <c r="C680" s="14" t="s">
        <v>48</v>
      </c>
      <c r="D680" s="14" t="s">
        <v>85</v>
      </c>
      <c r="E680" s="14" t="s">
        <v>86</v>
      </c>
      <c r="F680" s="14" t="s">
        <v>71</v>
      </c>
      <c r="G680" s="14">
        <v>88285.0</v>
      </c>
      <c r="H680" s="14" t="s">
        <v>85</v>
      </c>
      <c r="I680" s="14" t="s">
        <v>59</v>
      </c>
      <c r="J680" s="14" t="s">
        <v>199</v>
      </c>
      <c r="K680" s="14" t="s">
        <v>206</v>
      </c>
      <c r="L680" s="14">
        <v>100.0</v>
      </c>
      <c r="M680" s="17" t="str">
        <f t="shared" si="346"/>
        <v>+0</v>
      </c>
      <c r="N680" s="18" t="str">
        <f t="shared" ref="N680:N682" si="347">"+0"</f>
        <v>+0</v>
      </c>
    </row>
    <row r="681">
      <c r="A681" s="13">
        <v>45901.0</v>
      </c>
      <c r="B681" s="14" t="s">
        <v>47</v>
      </c>
      <c r="C681" s="14" t="s">
        <v>48</v>
      </c>
      <c r="D681" s="14" t="s">
        <v>69</v>
      </c>
      <c r="E681" s="14" t="s">
        <v>70</v>
      </c>
      <c r="F681" s="15" t="s">
        <v>51</v>
      </c>
      <c r="G681" s="14" t="s">
        <v>115</v>
      </c>
      <c r="H681" s="14" t="s">
        <v>72</v>
      </c>
      <c r="I681" s="14" t="s">
        <v>54</v>
      </c>
      <c r="J681" s="14" t="s">
        <v>199</v>
      </c>
      <c r="K681" s="14" t="s">
        <v>208</v>
      </c>
      <c r="L681" s="14">
        <v>100.0</v>
      </c>
      <c r="M681" s="17" t="str">
        <f t="shared" si="346"/>
        <v>+0</v>
      </c>
      <c r="N681" s="18" t="str">
        <f t="shared" si="347"/>
        <v>+0</v>
      </c>
    </row>
    <row r="682">
      <c r="A682" s="13">
        <v>45901.0</v>
      </c>
      <c r="B682" s="14" t="s">
        <v>47</v>
      </c>
      <c r="C682" s="14" t="s">
        <v>48</v>
      </c>
      <c r="D682" s="14" t="s">
        <v>112</v>
      </c>
      <c r="E682" s="14" t="s">
        <v>113</v>
      </c>
      <c r="F682" s="15" t="s">
        <v>51</v>
      </c>
      <c r="G682" s="14" t="s">
        <v>114</v>
      </c>
      <c r="H682" s="14" t="s">
        <v>112</v>
      </c>
      <c r="I682" s="14" t="s">
        <v>59</v>
      </c>
      <c r="J682" s="14" t="s">
        <v>199</v>
      </c>
      <c r="K682" s="14" t="s">
        <v>208</v>
      </c>
      <c r="L682" s="14">
        <v>75.0</v>
      </c>
      <c r="M682" s="17" t="str">
        <f t="shared" si="346"/>
        <v>+0</v>
      </c>
      <c r="N682" s="18" t="str">
        <f t="shared" si="347"/>
        <v>+0</v>
      </c>
    </row>
    <row r="683">
      <c r="A683" s="13">
        <v>45901.0</v>
      </c>
      <c r="B683" s="14" t="s">
        <v>47</v>
      </c>
      <c r="C683" s="14" t="s">
        <v>48</v>
      </c>
      <c r="D683" s="14" t="s">
        <v>174</v>
      </c>
      <c r="E683" s="14" t="s">
        <v>175</v>
      </c>
      <c r="F683" s="15" t="s">
        <v>51</v>
      </c>
      <c r="G683" s="14" t="s">
        <v>176</v>
      </c>
      <c r="H683" s="14" t="s">
        <v>174</v>
      </c>
      <c r="I683" s="14" t="s">
        <v>59</v>
      </c>
      <c r="J683" s="14" t="s">
        <v>200</v>
      </c>
      <c r="K683" s="14" t="s">
        <v>209</v>
      </c>
      <c r="L683" s="14">
        <v>40.0</v>
      </c>
      <c r="M683" s="17" t="str">
        <f>"+1"</f>
        <v>+1</v>
      </c>
      <c r="N683" s="18" t="str">
        <f>"+3"</f>
        <v>+3</v>
      </c>
    </row>
    <row r="684">
      <c r="A684" s="13">
        <v>45901.0</v>
      </c>
      <c r="B684" s="14" t="s">
        <v>47</v>
      </c>
      <c r="C684" s="14" t="s">
        <v>48</v>
      </c>
      <c r="D684" s="14" t="s">
        <v>158</v>
      </c>
      <c r="E684" s="14" t="s">
        <v>159</v>
      </c>
      <c r="F684" s="15" t="s">
        <v>51</v>
      </c>
      <c r="G684" s="14" t="s">
        <v>160</v>
      </c>
      <c r="H684" s="14" t="s">
        <v>158</v>
      </c>
      <c r="I684" s="14" t="s">
        <v>54</v>
      </c>
      <c r="J684" s="14" t="s">
        <v>200</v>
      </c>
      <c r="K684" s="14" t="s">
        <v>209</v>
      </c>
      <c r="L684" s="14">
        <v>3.0</v>
      </c>
      <c r="M684" s="17" t="str">
        <f t="shared" ref="M684:N684" si="348">"+0"</f>
        <v>+0</v>
      </c>
      <c r="N684" s="18" t="str">
        <f t="shared" si="348"/>
        <v>+0</v>
      </c>
    </row>
    <row r="685">
      <c r="A685" s="13">
        <v>45901.0</v>
      </c>
      <c r="B685" s="14" t="s">
        <v>47</v>
      </c>
      <c r="C685" s="14" t="s">
        <v>48</v>
      </c>
      <c r="D685" s="14" t="s">
        <v>116</v>
      </c>
      <c r="E685" s="14" t="s">
        <v>117</v>
      </c>
      <c r="F685" s="15" t="s">
        <v>51</v>
      </c>
      <c r="G685" s="14" t="s">
        <v>161</v>
      </c>
      <c r="H685" s="14" t="s">
        <v>116</v>
      </c>
      <c r="I685" s="14" t="s">
        <v>54</v>
      </c>
      <c r="J685" s="14" t="s">
        <v>200</v>
      </c>
      <c r="K685" s="14" t="s">
        <v>202</v>
      </c>
      <c r="L685" s="14">
        <v>55.0</v>
      </c>
      <c r="M685" s="17" t="str">
        <f t="shared" ref="M685:N685" si="349">"+0"</f>
        <v>+0</v>
      </c>
      <c r="N685" s="18" t="str">
        <f t="shared" si="349"/>
        <v>+0</v>
      </c>
    </row>
    <row r="686">
      <c r="A686" s="13">
        <v>45901.0</v>
      </c>
      <c r="B686" s="14" t="s">
        <v>47</v>
      </c>
      <c r="C686" s="14" t="s">
        <v>48</v>
      </c>
      <c r="D686" s="14" t="s">
        <v>56</v>
      </c>
      <c r="E686" s="14" t="s">
        <v>57</v>
      </c>
      <c r="F686" s="15" t="s">
        <v>51</v>
      </c>
      <c r="G686" s="14" t="s">
        <v>58</v>
      </c>
      <c r="H686" s="14" t="s">
        <v>56</v>
      </c>
      <c r="I686" s="14" t="s">
        <v>59</v>
      </c>
      <c r="J686" s="14" t="s">
        <v>198</v>
      </c>
      <c r="K686" s="14" t="s">
        <v>212</v>
      </c>
      <c r="L686" s="14">
        <v>100.0</v>
      </c>
      <c r="M686" s="17" t="str">
        <f t="shared" ref="M686:N686" si="350">"+18"</f>
        <v>+18</v>
      </c>
      <c r="N686" s="18" t="str">
        <f t="shared" si="350"/>
        <v>+18</v>
      </c>
    </row>
    <row r="687">
      <c r="A687" s="13">
        <v>45901.0</v>
      </c>
      <c r="B687" s="14" t="s">
        <v>47</v>
      </c>
      <c r="C687" s="14" t="s">
        <v>48</v>
      </c>
      <c r="D687" s="14" t="s">
        <v>60</v>
      </c>
      <c r="E687" s="14" t="s">
        <v>61</v>
      </c>
      <c r="F687" s="15" t="s">
        <v>51</v>
      </c>
      <c r="G687" s="14" t="s">
        <v>62</v>
      </c>
      <c r="H687" s="14" t="s">
        <v>60</v>
      </c>
      <c r="I687" s="14" t="s">
        <v>59</v>
      </c>
      <c r="J687" s="14" t="s">
        <v>200</v>
      </c>
      <c r="K687" s="14" t="s">
        <v>247</v>
      </c>
      <c r="L687" s="14">
        <v>9.0</v>
      </c>
      <c r="M687" s="17" t="str">
        <f>"-1"</f>
        <v>-1</v>
      </c>
      <c r="N687" s="18" t="str">
        <f>"+3"</f>
        <v>+3</v>
      </c>
    </row>
    <row r="688">
      <c r="A688" s="13">
        <v>45901.0</v>
      </c>
      <c r="B688" s="14" t="s">
        <v>47</v>
      </c>
      <c r="C688" s="14" t="s">
        <v>48</v>
      </c>
      <c r="D688" s="14" t="s">
        <v>165</v>
      </c>
      <c r="E688" s="14" t="s">
        <v>166</v>
      </c>
      <c r="F688" s="15" t="s">
        <v>51</v>
      </c>
      <c r="G688" s="14" t="s">
        <v>167</v>
      </c>
      <c r="H688" s="14" t="s">
        <v>165</v>
      </c>
      <c r="I688" s="14" t="s">
        <v>54</v>
      </c>
      <c r="J688" s="14" t="s">
        <v>200</v>
      </c>
      <c r="K688" s="14" t="s">
        <v>201</v>
      </c>
      <c r="L688" s="14">
        <v>4.0</v>
      </c>
      <c r="M688" s="17" t="str">
        <f>"+0"</f>
        <v>+0</v>
      </c>
      <c r="N688" s="18" t="str">
        <f>"-1"</f>
        <v>-1</v>
      </c>
    </row>
    <row r="689">
      <c r="A689" s="13">
        <v>45901.0</v>
      </c>
      <c r="B689" s="14" t="s">
        <v>47</v>
      </c>
      <c r="C689" s="14" t="s">
        <v>48</v>
      </c>
      <c r="D689" s="14" t="s">
        <v>63</v>
      </c>
      <c r="E689" s="14" t="s">
        <v>64</v>
      </c>
      <c r="F689" s="15" t="s">
        <v>51</v>
      </c>
      <c r="G689" s="14" t="s">
        <v>65</v>
      </c>
      <c r="H689" s="14" t="s">
        <v>63</v>
      </c>
      <c r="I689" s="14" t="s">
        <v>54</v>
      </c>
      <c r="J689" s="14" t="s">
        <v>200</v>
      </c>
      <c r="K689" s="14" t="s">
        <v>209</v>
      </c>
      <c r="L689" s="14">
        <v>94.0</v>
      </c>
      <c r="M689" s="17" t="str">
        <f t="shared" ref="M689:N689" si="351">"-2"</f>
        <v>-2</v>
      </c>
      <c r="N689" s="18" t="str">
        <f t="shared" si="351"/>
        <v>-2</v>
      </c>
    </row>
    <row r="690">
      <c r="A690" s="13">
        <v>45901.0</v>
      </c>
      <c r="B690" s="14" t="s">
        <v>47</v>
      </c>
      <c r="C690" s="14" t="s">
        <v>48</v>
      </c>
      <c r="D690" s="14" t="s">
        <v>91</v>
      </c>
      <c r="E690" s="14" t="s">
        <v>92</v>
      </c>
      <c r="F690" s="15" t="s">
        <v>51</v>
      </c>
      <c r="G690" s="14" t="s">
        <v>163</v>
      </c>
      <c r="H690" s="14" t="s">
        <v>91</v>
      </c>
      <c r="I690" s="14" t="s">
        <v>59</v>
      </c>
      <c r="J690" s="14" t="s">
        <v>200</v>
      </c>
      <c r="K690" s="14" t="s">
        <v>209</v>
      </c>
      <c r="L690" s="14">
        <v>67.0</v>
      </c>
      <c r="M690" s="17" t="str">
        <f t="shared" ref="M690:N690" si="352">"+0"</f>
        <v>+0</v>
      </c>
      <c r="N690" s="18" t="str">
        <f t="shared" si="352"/>
        <v>+0</v>
      </c>
    </row>
    <row r="691">
      <c r="A691" s="13">
        <v>45901.0</v>
      </c>
      <c r="B691" s="14" t="s">
        <v>47</v>
      </c>
      <c r="C691" s="14" t="s">
        <v>48</v>
      </c>
      <c r="D691" s="14" t="s">
        <v>91</v>
      </c>
      <c r="E691" s="14" t="s">
        <v>92</v>
      </c>
      <c r="F691" s="14" t="s">
        <v>71</v>
      </c>
      <c r="G691" s="14">
        <v>5.10001669E8</v>
      </c>
      <c r="H691" s="14" t="s">
        <v>91</v>
      </c>
      <c r="I691" s="14" t="s">
        <v>107</v>
      </c>
      <c r="J691" s="14" t="s">
        <v>200</v>
      </c>
      <c r="K691" s="14" t="s">
        <v>218</v>
      </c>
      <c r="L691" s="14">
        <v>1.0</v>
      </c>
      <c r="M691" s="17" t="str">
        <f t="shared" ref="M691:N691" si="353">"+0"</f>
        <v>+0</v>
      </c>
      <c r="N691" s="18" t="str">
        <f t="shared" si="353"/>
        <v>+0</v>
      </c>
    </row>
    <row r="692">
      <c r="A692" s="13">
        <v>45901.0</v>
      </c>
      <c r="B692" s="14" t="s">
        <v>47</v>
      </c>
      <c r="C692" s="14" t="s">
        <v>48</v>
      </c>
      <c r="D692" s="14" t="s">
        <v>184</v>
      </c>
      <c r="E692" s="14" t="s">
        <v>185</v>
      </c>
      <c r="F692" s="15" t="s">
        <v>51</v>
      </c>
      <c r="G692" s="14" t="s">
        <v>186</v>
      </c>
      <c r="H692" s="14" t="s">
        <v>187</v>
      </c>
      <c r="I692" s="14" t="s">
        <v>59</v>
      </c>
      <c r="J692" s="14" t="s">
        <v>199</v>
      </c>
      <c r="K692" s="14" t="s">
        <v>208</v>
      </c>
      <c r="L692" s="14">
        <v>95.0</v>
      </c>
      <c r="M692" s="17" t="str">
        <f t="shared" ref="M692:N692" si="354">"+0"</f>
        <v>+0</v>
      </c>
      <c r="N692" s="18" t="str">
        <f t="shared" si="354"/>
        <v>+0</v>
      </c>
    </row>
    <row r="693">
      <c r="A693" s="13">
        <v>45901.0</v>
      </c>
      <c r="B693" s="14" t="s">
        <v>47</v>
      </c>
      <c r="C693" s="14" t="s">
        <v>48</v>
      </c>
      <c r="D693" s="14" t="s">
        <v>168</v>
      </c>
      <c r="E693" s="14" t="s">
        <v>169</v>
      </c>
      <c r="F693" s="15" t="s">
        <v>51</v>
      </c>
      <c r="G693" s="14" t="s">
        <v>170</v>
      </c>
      <c r="H693" s="14" t="s">
        <v>168</v>
      </c>
      <c r="I693" s="14" t="s">
        <v>59</v>
      </c>
      <c r="J693" s="14" t="s">
        <v>198</v>
      </c>
      <c r="K693" s="14" t="s">
        <v>207</v>
      </c>
      <c r="L693" s="14">
        <v>0.0</v>
      </c>
      <c r="M693" s="17" t="str">
        <f>"+0"</f>
        <v>+0</v>
      </c>
    </row>
    <row r="694">
      <c r="A694" s="13">
        <v>45901.0</v>
      </c>
      <c r="B694" s="14" t="s">
        <v>47</v>
      </c>
      <c r="C694" s="14" t="s">
        <v>48</v>
      </c>
      <c r="D694" s="14" t="s">
        <v>49</v>
      </c>
      <c r="E694" s="14" t="s">
        <v>50</v>
      </c>
      <c r="F694" s="15" t="s">
        <v>51</v>
      </c>
      <c r="G694" s="14" t="s">
        <v>52</v>
      </c>
      <c r="H694" s="14" t="s">
        <v>53</v>
      </c>
      <c r="I694" s="14" t="s">
        <v>54</v>
      </c>
      <c r="J694" s="14" t="s">
        <v>200</v>
      </c>
      <c r="K694" s="14" t="s">
        <v>224</v>
      </c>
      <c r="L694" s="14">
        <v>52.0</v>
      </c>
      <c r="M694" s="17" t="str">
        <f>"-3"</f>
        <v>-3</v>
      </c>
      <c r="N694" s="18" t="str">
        <f>"+1"</f>
        <v>+1</v>
      </c>
    </row>
    <row r="695">
      <c r="A695" s="13">
        <v>45901.0</v>
      </c>
      <c r="B695" s="14" t="s">
        <v>47</v>
      </c>
      <c r="C695" s="14" t="s">
        <v>48</v>
      </c>
      <c r="D695" s="14" t="s">
        <v>77</v>
      </c>
      <c r="E695" s="14" t="s">
        <v>78</v>
      </c>
      <c r="F695" s="15" t="s">
        <v>51</v>
      </c>
      <c r="G695" s="14" t="s">
        <v>128</v>
      </c>
      <c r="H695" s="14" t="s">
        <v>81</v>
      </c>
      <c r="I695" s="14" t="s">
        <v>59</v>
      </c>
      <c r="J695" s="14" t="s">
        <v>198</v>
      </c>
      <c r="K695" s="14" t="s">
        <v>210</v>
      </c>
      <c r="L695" s="14">
        <v>85.0</v>
      </c>
      <c r="M695" s="17" t="str">
        <f>"+2"</f>
        <v>+2</v>
      </c>
      <c r="N695" s="18" t="str">
        <f>"+0"</f>
        <v>+0</v>
      </c>
    </row>
    <row r="696">
      <c r="A696" s="13">
        <v>45901.0</v>
      </c>
      <c r="B696" s="14" t="s">
        <v>47</v>
      </c>
      <c r="C696" s="14" t="s">
        <v>48</v>
      </c>
      <c r="D696" s="14" t="s">
        <v>77</v>
      </c>
      <c r="E696" s="14" t="s">
        <v>78</v>
      </c>
      <c r="F696" s="14" t="s">
        <v>71</v>
      </c>
      <c r="G696" s="14">
        <v>5.36009043E8</v>
      </c>
      <c r="H696" s="14" t="s">
        <v>81</v>
      </c>
      <c r="J696" s="14" t="s">
        <v>199</v>
      </c>
      <c r="K696" s="14" t="s">
        <v>208</v>
      </c>
      <c r="L696" s="14">
        <v>75.0</v>
      </c>
      <c r="M696" s="17" t="str">
        <f t="shared" ref="M696:M698" si="355">"+0"</f>
        <v>+0</v>
      </c>
    </row>
    <row r="697">
      <c r="A697" s="13">
        <v>45901.0</v>
      </c>
      <c r="B697" s="14" t="s">
        <v>47</v>
      </c>
      <c r="C697" s="14" t="s">
        <v>48</v>
      </c>
      <c r="D697" s="14" t="s">
        <v>103</v>
      </c>
      <c r="E697" s="14" t="s">
        <v>104</v>
      </c>
      <c r="F697" s="15" t="s">
        <v>51</v>
      </c>
      <c r="G697" s="14" t="s">
        <v>105</v>
      </c>
      <c r="H697" s="14" t="s">
        <v>106</v>
      </c>
      <c r="I697" s="14" t="s">
        <v>59</v>
      </c>
      <c r="J697" s="14" t="s">
        <v>199</v>
      </c>
      <c r="K697" s="14" t="s">
        <v>203</v>
      </c>
      <c r="L697" s="14">
        <v>0.0</v>
      </c>
      <c r="M697" s="17" t="str">
        <f t="shared" si="355"/>
        <v>+0</v>
      </c>
      <c r="N697" s="18" t="str">
        <f>"+0"</f>
        <v>+0</v>
      </c>
    </row>
    <row r="698">
      <c r="A698" s="13">
        <v>45901.0</v>
      </c>
      <c r="B698" s="14" t="s">
        <v>47</v>
      </c>
      <c r="C698" s="14" t="s">
        <v>48</v>
      </c>
      <c r="D698" s="14" t="s">
        <v>108</v>
      </c>
      <c r="E698" s="14" t="s">
        <v>109</v>
      </c>
      <c r="F698" s="14" t="s">
        <v>146</v>
      </c>
      <c r="G698" s="14" t="s">
        <v>180</v>
      </c>
      <c r="H698" s="14" t="s">
        <v>108</v>
      </c>
      <c r="I698" s="14" t="s">
        <v>59</v>
      </c>
      <c r="J698" s="14" t="s">
        <v>199</v>
      </c>
      <c r="K698" s="14" t="s">
        <v>208</v>
      </c>
      <c r="L698" s="14">
        <v>80.0</v>
      </c>
      <c r="M698" s="17" t="str">
        <f t="shared" si="355"/>
        <v>+0</v>
      </c>
    </row>
    <row r="699">
      <c r="A699" s="13">
        <v>45901.0</v>
      </c>
      <c r="B699" s="14" t="s">
        <v>47</v>
      </c>
      <c r="C699" s="14" t="s">
        <v>48</v>
      </c>
      <c r="D699" s="14" t="s">
        <v>158</v>
      </c>
      <c r="E699" s="14" t="s">
        <v>159</v>
      </c>
      <c r="F699" s="15" t="s">
        <v>51</v>
      </c>
      <c r="G699" s="14" t="s">
        <v>160</v>
      </c>
      <c r="H699" s="14" t="s">
        <v>158</v>
      </c>
      <c r="I699" s="14" t="s">
        <v>54</v>
      </c>
      <c r="J699" s="14" t="s">
        <v>198</v>
      </c>
      <c r="K699" s="14" t="s">
        <v>210</v>
      </c>
      <c r="L699" s="14">
        <v>91.0</v>
      </c>
      <c r="M699" s="17" t="str">
        <f t="shared" ref="M699:N699" si="356">"-2"</f>
        <v>-2</v>
      </c>
      <c r="N699" s="18" t="str">
        <f t="shared" si="356"/>
        <v>-2</v>
      </c>
    </row>
    <row r="700">
      <c r="A700" s="13">
        <v>45901.0</v>
      </c>
      <c r="B700" s="14" t="s">
        <v>47</v>
      </c>
      <c r="C700" s="14" t="s">
        <v>48</v>
      </c>
      <c r="D700" s="14" t="s">
        <v>56</v>
      </c>
      <c r="E700" s="14" t="s">
        <v>57</v>
      </c>
      <c r="F700" s="15" t="s">
        <v>51</v>
      </c>
      <c r="G700" s="14" t="s">
        <v>58</v>
      </c>
      <c r="H700" s="14" t="s">
        <v>56</v>
      </c>
      <c r="I700" s="14" t="s">
        <v>59</v>
      </c>
      <c r="J700" s="14" t="s">
        <v>200</v>
      </c>
      <c r="K700" s="14" t="s">
        <v>227</v>
      </c>
      <c r="L700" s="14">
        <v>53.0</v>
      </c>
      <c r="M700" s="17" t="str">
        <f t="shared" ref="M700:N700" si="357">"+7"</f>
        <v>+7</v>
      </c>
      <c r="N700" s="18" t="str">
        <f t="shared" si="357"/>
        <v>+7</v>
      </c>
    </row>
    <row r="701">
      <c r="A701" s="13">
        <v>45901.0</v>
      </c>
      <c r="B701" s="14" t="s">
        <v>47</v>
      </c>
      <c r="C701" s="14" t="s">
        <v>48</v>
      </c>
      <c r="D701" s="14" t="s">
        <v>181</v>
      </c>
      <c r="E701" s="14" t="s">
        <v>182</v>
      </c>
      <c r="F701" s="15" t="s">
        <v>51</v>
      </c>
      <c r="G701" s="14" t="s">
        <v>183</v>
      </c>
      <c r="H701" s="14" t="s">
        <v>181</v>
      </c>
      <c r="I701" s="14" t="s">
        <v>59</v>
      </c>
      <c r="J701" s="14" t="s">
        <v>200</v>
      </c>
      <c r="K701" s="14" t="s">
        <v>202</v>
      </c>
      <c r="L701" s="14">
        <v>0.0</v>
      </c>
      <c r="M701" s="17" t="str">
        <f t="shared" ref="M701:M703" si="358">"+0"</f>
        <v>+0</v>
      </c>
      <c r="N701" s="18" t="str">
        <f>"-25"</f>
        <v>-25</v>
      </c>
    </row>
    <row r="702">
      <c r="A702" s="13">
        <v>45901.0</v>
      </c>
      <c r="B702" s="14" t="s">
        <v>47</v>
      </c>
      <c r="C702" s="14" t="s">
        <v>48</v>
      </c>
      <c r="D702" s="14" t="s">
        <v>99</v>
      </c>
      <c r="E702" s="14" t="s">
        <v>100</v>
      </c>
      <c r="F702" s="15" t="s">
        <v>51</v>
      </c>
      <c r="G702" s="14" t="s">
        <v>101</v>
      </c>
      <c r="H702" s="14" t="s">
        <v>102</v>
      </c>
      <c r="I702" s="14" t="s">
        <v>54</v>
      </c>
      <c r="J702" s="14" t="s">
        <v>198</v>
      </c>
      <c r="K702" s="14" t="s">
        <v>205</v>
      </c>
      <c r="L702" s="14">
        <v>51.0</v>
      </c>
      <c r="M702" s="17" t="str">
        <f t="shared" si="358"/>
        <v>+0</v>
      </c>
    </row>
    <row r="703">
      <c r="A703" s="13">
        <v>45901.0</v>
      </c>
      <c r="B703" s="14" t="s">
        <v>47</v>
      </c>
      <c r="C703" s="14" t="s">
        <v>48</v>
      </c>
      <c r="D703" s="14" t="s">
        <v>82</v>
      </c>
      <c r="E703" s="14" t="s">
        <v>83</v>
      </c>
      <c r="F703" s="15" t="s">
        <v>51</v>
      </c>
      <c r="G703" s="14" t="s">
        <v>84</v>
      </c>
      <c r="H703" s="14" t="s">
        <v>82</v>
      </c>
      <c r="I703" s="14" t="s">
        <v>59</v>
      </c>
      <c r="J703" s="14" t="s">
        <v>200</v>
      </c>
      <c r="K703" s="14" t="s">
        <v>202</v>
      </c>
      <c r="L703" s="14">
        <v>0.0</v>
      </c>
      <c r="M703" s="17" t="str">
        <f t="shared" si="358"/>
        <v>+0</v>
      </c>
      <c r="N703" s="18" t="str">
        <f>"+0"</f>
        <v>+0</v>
      </c>
    </row>
    <row r="704">
      <c r="A704" s="13">
        <v>45901.0</v>
      </c>
      <c r="B704" s="14" t="s">
        <v>47</v>
      </c>
      <c r="C704" s="14" t="s">
        <v>48</v>
      </c>
      <c r="D704" s="14" t="s">
        <v>82</v>
      </c>
      <c r="E704" s="14" t="s">
        <v>83</v>
      </c>
      <c r="F704" s="15" t="s">
        <v>51</v>
      </c>
      <c r="G704" s="14" t="s">
        <v>84</v>
      </c>
      <c r="H704" s="14" t="s">
        <v>82</v>
      </c>
      <c r="I704" s="14" t="s">
        <v>59</v>
      </c>
      <c r="J704" s="14" t="s">
        <v>200</v>
      </c>
      <c r="K704" s="14" t="s">
        <v>227</v>
      </c>
      <c r="L704" s="14">
        <v>37.0</v>
      </c>
      <c r="M704" s="17" t="str">
        <f t="shared" ref="M704:N704" si="359">"-9"</f>
        <v>-9</v>
      </c>
      <c r="N704" s="18" t="str">
        <f t="shared" si="359"/>
        <v>-9</v>
      </c>
    </row>
    <row r="705">
      <c r="A705" s="13">
        <v>45901.0</v>
      </c>
      <c r="B705" s="14" t="s">
        <v>47</v>
      </c>
      <c r="C705" s="14" t="s">
        <v>48</v>
      </c>
      <c r="D705" s="14" t="s">
        <v>132</v>
      </c>
      <c r="E705" s="14" t="s">
        <v>133</v>
      </c>
      <c r="F705" s="15" t="s">
        <v>51</v>
      </c>
      <c r="G705" s="14" t="s">
        <v>134</v>
      </c>
      <c r="H705" s="14" t="s">
        <v>135</v>
      </c>
      <c r="I705" s="14" t="s">
        <v>59</v>
      </c>
      <c r="J705" s="14" t="s">
        <v>200</v>
      </c>
      <c r="K705" s="14" t="s">
        <v>201</v>
      </c>
      <c r="L705" s="14">
        <v>1.0</v>
      </c>
      <c r="M705" s="17" t="str">
        <f t="shared" ref="M705:N705" si="360">"+0"</f>
        <v>+0</v>
      </c>
      <c r="N705" s="18" t="str">
        <f t="shared" si="360"/>
        <v>+0</v>
      </c>
    </row>
    <row r="706">
      <c r="A706" s="13">
        <v>45901.0</v>
      </c>
      <c r="B706" s="14" t="s">
        <v>47</v>
      </c>
      <c r="C706" s="14" t="s">
        <v>48</v>
      </c>
      <c r="D706" s="14" t="s">
        <v>171</v>
      </c>
      <c r="E706" s="14" t="s">
        <v>172</v>
      </c>
      <c r="F706" s="15" t="s">
        <v>51</v>
      </c>
      <c r="G706" s="14" t="s">
        <v>173</v>
      </c>
      <c r="H706" s="14" t="s">
        <v>171</v>
      </c>
      <c r="I706" s="14" t="s">
        <v>59</v>
      </c>
      <c r="J706" s="14" t="s">
        <v>198</v>
      </c>
      <c r="K706" s="14" t="s">
        <v>210</v>
      </c>
      <c r="L706" s="14">
        <v>99.0</v>
      </c>
      <c r="M706" s="17" t="str">
        <f>"+6"</f>
        <v>+6</v>
      </c>
      <c r="N706" s="18" t="str">
        <f>"+0"</f>
        <v>+0</v>
      </c>
    </row>
    <row r="707">
      <c r="A707" s="13">
        <v>45901.0</v>
      </c>
      <c r="B707" s="14" t="s">
        <v>47</v>
      </c>
      <c r="C707" s="14" t="s">
        <v>48</v>
      </c>
      <c r="D707" s="14" t="s">
        <v>136</v>
      </c>
      <c r="E707" s="14" t="s">
        <v>137</v>
      </c>
      <c r="F707" s="15" t="s">
        <v>51</v>
      </c>
      <c r="G707" s="14" t="s">
        <v>138</v>
      </c>
      <c r="H707" s="14" t="s">
        <v>139</v>
      </c>
      <c r="I707" s="14" t="s">
        <v>59</v>
      </c>
      <c r="J707" s="14" t="s">
        <v>200</v>
      </c>
      <c r="K707" s="14" t="s">
        <v>209</v>
      </c>
      <c r="L707" s="14">
        <v>91.0</v>
      </c>
      <c r="M707" s="17" t="str">
        <f>"+1"</f>
        <v>+1</v>
      </c>
      <c r="N707" s="18" t="str">
        <f>"+5"</f>
        <v>+5</v>
      </c>
    </row>
    <row r="708">
      <c r="A708" s="13">
        <v>45901.0</v>
      </c>
      <c r="B708" s="14" t="s">
        <v>47</v>
      </c>
      <c r="C708" s="14" t="s">
        <v>48</v>
      </c>
      <c r="D708" s="14" t="s">
        <v>129</v>
      </c>
      <c r="E708" s="14" t="s">
        <v>130</v>
      </c>
      <c r="F708" s="15" t="s">
        <v>51</v>
      </c>
      <c r="G708" s="14" t="s">
        <v>131</v>
      </c>
      <c r="H708" s="14" t="s">
        <v>129</v>
      </c>
      <c r="I708" s="14" t="s">
        <v>59</v>
      </c>
      <c r="J708" s="14" t="s">
        <v>200</v>
      </c>
      <c r="K708" s="14" t="s">
        <v>201</v>
      </c>
      <c r="L708" s="14">
        <v>1.0</v>
      </c>
      <c r="M708" s="17" t="str">
        <f>"+0"</f>
        <v>+0</v>
      </c>
      <c r="N708" s="18" t="str">
        <f>"-1"</f>
        <v>-1</v>
      </c>
    </row>
    <row r="709">
      <c r="A709" s="13">
        <v>45901.0</v>
      </c>
      <c r="B709" s="14" t="s">
        <v>47</v>
      </c>
      <c r="C709" s="14" t="s">
        <v>48</v>
      </c>
      <c r="D709" s="14" t="s">
        <v>136</v>
      </c>
      <c r="E709" s="14" t="s">
        <v>137</v>
      </c>
      <c r="F709" s="15" t="s">
        <v>51</v>
      </c>
      <c r="G709" s="14" t="s">
        <v>138</v>
      </c>
      <c r="H709" s="14" t="s">
        <v>139</v>
      </c>
      <c r="I709" s="14" t="s">
        <v>59</v>
      </c>
      <c r="J709" s="14" t="s">
        <v>199</v>
      </c>
      <c r="K709" s="14" t="s">
        <v>206</v>
      </c>
      <c r="L709" s="14">
        <v>57.0</v>
      </c>
      <c r="M709" s="17" t="str">
        <f t="shared" ref="M709:N709" si="361">"-9"</f>
        <v>-9</v>
      </c>
      <c r="N709" s="18" t="str">
        <f t="shared" si="361"/>
        <v>-9</v>
      </c>
    </row>
    <row r="710">
      <c r="A710" s="13">
        <v>45901.0</v>
      </c>
      <c r="B710" s="14" t="s">
        <v>47</v>
      </c>
      <c r="C710" s="14" t="s">
        <v>48</v>
      </c>
      <c r="D710" s="14" t="s">
        <v>96</v>
      </c>
      <c r="E710" s="14" t="s">
        <v>97</v>
      </c>
      <c r="F710" s="15" t="s">
        <v>51</v>
      </c>
      <c r="G710" s="14" t="s">
        <v>98</v>
      </c>
      <c r="H710" s="14" t="s">
        <v>96</v>
      </c>
      <c r="I710" s="14" t="s">
        <v>59</v>
      </c>
      <c r="J710" s="14" t="s">
        <v>199</v>
      </c>
      <c r="K710" s="14" t="s">
        <v>203</v>
      </c>
      <c r="L710" s="14">
        <v>34.0</v>
      </c>
      <c r="M710" s="17" t="str">
        <f t="shared" ref="M710:N710" si="362">"+0"</f>
        <v>+0</v>
      </c>
      <c r="N710" s="18" t="str">
        <f t="shared" si="362"/>
        <v>+0</v>
      </c>
    </row>
    <row r="711">
      <c r="A711" s="13">
        <v>45901.0</v>
      </c>
      <c r="B711" s="14" t="s">
        <v>47</v>
      </c>
      <c r="C711" s="14" t="s">
        <v>48</v>
      </c>
      <c r="D711" s="14" t="s">
        <v>96</v>
      </c>
      <c r="E711" s="14" t="s">
        <v>97</v>
      </c>
      <c r="F711" s="15" t="s">
        <v>51</v>
      </c>
      <c r="G711" s="14" t="s">
        <v>98</v>
      </c>
      <c r="H711" s="14" t="s">
        <v>96</v>
      </c>
      <c r="I711" s="14" t="s">
        <v>59</v>
      </c>
      <c r="J711" s="14" t="s">
        <v>200</v>
      </c>
      <c r="K711" s="14" t="s">
        <v>227</v>
      </c>
      <c r="L711" s="14">
        <v>10.0</v>
      </c>
      <c r="M711" s="17" t="str">
        <f>"-2"</f>
        <v>-2</v>
      </c>
      <c r="N711" s="18" t="str">
        <f>"-14"</f>
        <v>-14</v>
      </c>
    </row>
    <row r="712">
      <c r="A712" s="13">
        <v>45901.0</v>
      </c>
      <c r="B712" s="14" t="s">
        <v>47</v>
      </c>
      <c r="C712" s="14" t="s">
        <v>48</v>
      </c>
      <c r="D712" s="14" t="s">
        <v>174</v>
      </c>
      <c r="E712" s="14" t="s">
        <v>175</v>
      </c>
      <c r="F712" s="15" t="s">
        <v>51</v>
      </c>
      <c r="G712" s="14" t="s">
        <v>176</v>
      </c>
      <c r="H712" s="14" t="s">
        <v>174</v>
      </c>
      <c r="I712" s="14" t="s">
        <v>59</v>
      </c>
      <c r="J712" s="14" t="s">
        <v>200</v>
      </c>
      <c r="K712" s="14" t="s">
        <v>213</v>
      </c>
      <c r="L712" s="14">
        <v>48.0</v>
      </c>
      <c r="M712" s="17" t="str">
        <f t="shared" ref="M712:N712" si="363">"-1"</f>
        <v>-1</v>
      </c>
      <c r="N712" s="18" t="str">
        <f t="shared" si="363"/>
        <v>-1</v>
      </c>
    </row>
    <row r="713">
      <c r="A713" s="13">
        <v>45901.0</v>
      </c>
      <c r="B713" s="14" t="s">
        <v>47</v>
      </c>
      <c r="C713" s="14" t="s">
        <v>48</v>
      </c>
      <c r="D713" s="14" t="s">
        <v>116</v>
      </c>
      <c r="E713" s="14" t="s">
        <v>117</v>
      </c>
      <c r="F713" s="15" t="s">
        <v>51</v>
      </c>
      <c r="G713" s="14" t="s">
        <v>161</v>
      </c>
      <c r="H713" s="14" t="s">
        <v>116</v>
      </c>
      <c r="I713" s="14" t="s">
        <v>54</v>
      </c>
      <c r="J713" s="14" t="s">
        <v>198</v>
      </c>
      <c r="K713" s="14" t="s">
        <v>212</v>
      </c>
      <c r="L713" s="14">
        <v>54.0</v>
      </c>
      <c r="M713" s="17" t="str">
        <f t="shared" ref="M713:N713" si="364">"+18"</f>
        <v>+18</v>
      </c>
      <c r="N713" s="18" t="str">
        <f t="shared" si="364"/>
        <v>+18</v>
      </c>
    </row>
    <row r="714">
      <c r="A714" s="13">
        <v>45901.0</v>
      </c>
      <c r="B714" s="14" t="s">
        <v>47</v>
      </c>
      <c r="C714" s="14" t="s">
        <v>48</v>
      </c>
      <c r="D714" s="14" t="s">
        <v>60</v>
      </c>
      <c r="E714" s="14" t="s">
        <v>61</v>
      </c>
      <c r="F714" s="15" t="s">
        <v>51</v>
      </c>
      <c r="G714" s="14" t="s">
        <v>62</v>
      </c>
      <c r="H714" s="14" t="s">
        <v>60</v>
      </c>
      <c r="I714" s="14" t="s">
        <v>59</v>
      </c>
      <c r="J714" s="14" t="s">
        <v>199</v>
      </c>
      <c r="K714" s="14" t="s">
        <v>206</v>
      </c>
      <c r="L714" s="14">
        <v>66.0</v>
      </c>
      <c r="M714" s="17" t="str">
        <f t="shared" ref="M714:N714" si="365">"+0"</f>
        <v>+0</v>
      </c>
      <c r="N714" s="18" t="str">
        <f t="shared" si="365"/>
        <v>+0</v>
      </c>
    </row>
    <row r="715">
      <c r="A715" s="13">
        <v>45901.0</v>
      </c>
      <c r="B715" s="14" t="s">
        <v>47</v>
      </c>
      <c r="C715" s="14" t="s">
        <v>48</v>
      </c>
      <c r="D715" s="14" t="s">
        <v>63</v>
      </c>
      <c r="E715" s="14" t="s">
        <v>64</v>
      </c>
      <c r="F715" s="15" t="s">
        <v>51</v>
      </c>
      <c r="G715" s="14" t="s">
        <v>65</v>
      </c>
      <c r="H715" s="14" t="s">
        <v>63</v>
      </c>
      <c r="I715" s="14" t="s">
        <v>54</v>
      </c>
      <c r="J715" s="14" t="s">
        <v>200</v>
      </c>
      <c r="K715" s="14" t="s">
        <v>213</v>
      </c>
      <c r="L715" s="14">
        <v>57.0</v>
      </c>
      <c r="M715" s="17" t="str">
        <f>"+2"</f>
        <v>+2</v>
      </c>
      <c r="N715" s="18" t="str">
        <f>"-1"</f>
        <v>-1</v>
      </c>
    </row>
    <row r="716">
      <c r="A716" s="13">
        <v>45901.0</v>
      </c>
      <c r="B716" s="14" t="s">
        <v>47</v>
      </c>
      <c r="C716" s="14" t="s">
        <v>48</v>
      </c>
      <c r="D716" s="14" t="s">
        <v>177</v>
      </c>
      <c r="E716" s="14" t="s">
        <v>178</v>
      </c>
      <c r="F716" s="14" t="s">
        <v>146</v>
      </c>
      <c r="G716" s="14" t="s">
        <v>179</v>
      </c>
      <c r="H716" s="14" t="s">
        <v>177</v>
      </c>
      <c r="I716" s="14" t="s">
        <v>107</v>
      </c>
      <c r="J716" s="14" t="s">
        <v>200</v>
      </c>
      <c r="K716" s="14" t="s">
        <v>226</v>
      </c>
      <c r="L716" s="14">
        <v>79.0</v>
      </c>
      <c r="M716" s="17" t="str">
        <f t="shared" ref="M716:N716" si="366">"+0"</f>
        <v>+0</v>
      </c>
      <c r="N716" s="18" t="str">
        <f t="shared" si="366"/>
        <v>+0</v>
      </c>
    </row>
    <row r="717">
      <c r="A717" s="13">
        <v>45901.0</v>
      </c>
      <c r="B717" s="14" t="s">
        <v>47</v>
      </c>
      <c r="C717" s="14" t="s">
        <v>48</v>
      </c>
      <c r="D717" s="14" t="s">
        <v>177</v>
      </c>
      <c r="E717" s="14" t="s">
        <v>178</v>
      </c>
      <c r="F717" s="14" t="s">
        <v>146</v>
      </c>
      <c r="G717" s="14" t="s">
        <v>179</v>
      </c>
      <c r="H717" s="14" t="s">
        <v>177</v>
      </c>
      <c r="I717" s="14" t="s">
        <v>107</v>
      </c>
      <c r="J717" s="14" t="s">
        <v>199</v>
      </c>
      <c r="K717" s="14" t="s">
        <v>206</v>
      </c>
      <c r="L717" s="14">
        <v>0.0</v>
      </c>
      <c r="M717" s="17" t="str">
        <f t="shared" ref="M717:N717" si="367">"+0"</f>
        <v>+0</v>
      </c>
      <c r="N717" s="18" t="str">
        <f t="shared" si="367"/>
        <v>+0</v>
      </c>
    </row>
    <row r="718">
      <c r="A718" s="13">
        <v>45901.0</v>
      </c>
      <c r="B718" s="14" t="s">
        <v>47</v>
      </c>
      <c r="C718" s="14" t="s">
        <v>48</v>
      </c>
      <c r="D718" s="14" t="s">
        <v>118</v>
      </c>
      <c r="E718" s="14" t="s">
        <v>119</v>
      </c>
      <c r="F718" s="15" t="s">
        <v>51</v>
      </c>
      <c r="G718" s="14" t="s">
        <v>120</v>
      </c>
      <c r="H718" s="14" t="s">
        <v>118</v>
      </c>
      <c r="I718" s="14" t="s">
        <v>59</v>
      </c>
      <c r="J718" s="14" t="s">
        <v>198</v>
      </c>
      <c r="K718" s="14" t="s">
        <v>207</v>
      </c>
      <c r="L718" s="14">
        <v>25.0</v>
      </c>
      <c r="M718" s="17" t="str">
        <f>"+0"</f>
        <v>+0</v>
      </c>
    </row>
    <row r="719">
      <c r="L719" s="20"/>
      <c r="M719" s="17"/>
    </row>
    <row r="720">
      <c r="L720" s="20"/>
      <c r="M720" s="17"/>
    </row>
    <row r="721">
      <c r="L721" s="20"/>
      <c r="M721" s="17"/>
    </row>
    <row r="722">
      <c r="L722" s="20"/>
      <c r="M722" s="17"/>
    </row>
    <row r="723">
      <c r="L723" s="20"/>
      <c r="M723" s="17"/>
    </row>
    <row r="724">
      <c r="L724" s="20"/>
      <c r="M724" s="17"/>
    </row>
    <row r="725">
      <c r="L725" s="20"/>
      <c r="M725" s="17"/>
    </row>
    <row r="726">
      <c r="L726" s="20"/>
      <c r="M726" s="17"/>
    </row>
    <row r="727">
      <c r="L727" s="20"/>
      <c r="M727" s="17"/>
    </row>
    <row r="728">
      <c r="L728" s="20"/>
      <c r="M728" s="17"/>
    </row>
    <row r="729">
      <c r="L729" s="20"/>
      <c r="M729" s="17"/>
    </row>
    <row r="730">
      <c r="L730" s="20"/>
      <c r="M730" s="17"/>
    </row>
    <row r="731">
      <c r="L731" s="20"/>
      <c r="M731" s="17"/>
    </row>
    <row r="732">
      <c r="L732" s="20"/>
      <c r="M732" s="17"/>
    </row>
    <row r="733">
      <c r="L733" s="20"/>
      <c r="M733" s="17"/>
    </row>
    <row r="734">
      <c r="L734" s="20"/>
      <c r="M734" s="17"/>
    </row>
    <row r="735">
      <c r="L735" s="20"/>
      <c r="M735" s="17"/>
    </row>
    <row r="736">
      <c r="L736" s="20"/>
      <c r="M736" s="17"/>
    </row>
    <row r="737">
      <c r="L737" s="20"/>
      <c r="M737" s="17"/>
    </row>
    <row r="738">
      <c r="L738" s="20"/>
      <c r="M738" s="17"/>
    </row>
    <row r="739">
      <c r="L739" s="20"/>
      <c r="M739" s="17"/>
    </row>
    <row r="740">
      <c r="L740" s="20"/>
      <c r="M740" s="17"/>
    </row>
    <row r="741">
      <c r="L741" s="20"/>
      <c r="M741" s="17"/>
    </row>
    <row r="742">
      <c r="L742" s="20"/>
      <c r="M742" s="17"/>
    </row>
    <row r="743">
      <c r="L743" s="20"/>
      <c r="M743" s="17"/>
    </row>
    <row r="744">
      <c r="L744" s="20"/>
      <c r="M744" s="17"/>
    </row>
    <row r="745">
      <c r="L745" s="20"/>
      <c r="M745" s="17"/>
    </row>
    <row r="746">
      <c r="L746" s="20"/>
      <c r="M746" s="17"/>
    </row>
    <row r="747">
      <c r="L747" s="20"/>
      <c r="M747" s="17"/>
    </row>
    <row r="748">
      <c r="L748" s="20"/>
      <c r="M748" s="17"/>
    </row>
    <row r="749">
      <c r="L749" s="20"/>
      <c r="M749" s="17"/>
    </row>
    <row r="750">
      <c r="L750" s="20"/>
      <c r="M750" s="17"/>
    </row>
    <row r="751">
      <c r="L751" s="20"/>
      <c r="M751" s="17"/>
    </row>
    <row r="752">
      <c r="L752" s="20"/>
      <c r="M752" s="17"/>
    </row>
    <row r="753">
      <c r="L753" s="20"/>
      <c r="M753" s="17"/>
    </row>
    <row r="754">
      <c r="L754" s="20"/>
      <c r="M754" s="17"/>
    </row>
    <row r="755">
      <c r="L755" s="20"/>
      <c r="M755" s="17"/>
    </row>
    <row r="756">
      <c r="L756" s="20"/>
      <c r="M756" s="17"/>
    </row>
    <row r="757">
      <c r="L757" s="20"/>
      <c r="M757" s="17"/>
    </row>
    <row r="758">
      <c r="L758" s="20"/>
      <c r="M758" s="17"/>
    </row>
    <row r="759">
      <c r="L759" s="20"/>
      <c r="M759" s="17"/>
    </row>
    <row r="760">
      <c r="L760" s="20"/>
      <c r="M760" s="17"/>
    </row>
    <row r="761">
      <c r="L761" s="20"/>
      <c r="M761" s="17"/>
    </row>
    <row r="762">
      <c r="L762" s="20"/>
      <c r="M762" s="17"/>
    </row>
    <row r="763">
      <c r="L763" s="20"/>
      <c r="M763" s="17"/>
    </row>
    <row r="764">
      <c r="L764" s="20"/>
      <c r="M764" s="17"/>
    </row>
    <row r="765">
      <c r="L765" s="20"/>
      <c r="M765" s="17"/>
    </row>
    <row r="766">
      <c r="L766" s="20"/>
      <c r="M766" s="17"/>
    </row>
    <row r="767">
      <c r="L767" s="20"/>
      <c r="M767" s="17"/>
    </row>
    <row r="768">
      <c r="L768" s="20"/>
      <c r="M768" s="17"/>
    </row>
    <row r="769">
      <c r="L769" s="20"/>
      <c r="M769" s="17"/>
    </row>
    <row r="770">
      <c r="L770" s="20"/>
      <c r="M770" s="17"/>
    </row>
    <row r="771">
      <c r="L771" s="20"/>
      <c r="M771" s="17"/>
    </row>
    <row r="772">
      <c r="L772" s="20"/>
      <c r="M772" s="17"/>
    </row>
    <row r="773">
      <c r="L773" s="20"/>
      <c r="M773" s="17"/>
    </row>
    <row r="774">
      <c r="L774" s="20"/>
      <c r="M774" s="17"/>
    </row>
    <row r="775">
      <c r="L775" s="20"/>
      <c r="M775" s="17"/>
    </row>
    <row r="776">
      <c r="L776" s="20"/>
      <c r="M776" s="17"/>
    </row>
    <row r="777">
      <c r="L777" s="20"/>
      <c r="M777" s="17"/>
    </row>
    <row r="778">
      <c r="L778" s="20"/>
      <c r="M778" s="17"/>
    </row>
    <row r="779">
      <c r="L779" s="20"/>
      <c r="M779" s="17"/>
    </row>
    <row r="780">
      <c r="L780" s="20"/>
      <c r="M780" s="17"/>
    </row>
    <row r="781">
      <c r="L781" s="20"/>
      <c r="M781" s="17"/>
    </row>
    <row r="782">
      <c r="L782" s="20"/>
      <c r="M782" s="17"/>
    </row>
    <row r="783">
      <c r="L783" s="20"/>
      <c r="M783" s="17"/>
    </row>
    <row r="784">
      <c r="L784" s="20"/>
      <c r="M784" s="17"/>
    </row>
    <row r="785">
      <c r="L785" s="20"/>
      <c r="M785" s="17"/>
    </row>
    <row r="786">
      <c r="L786" s="20"/>
      <c r="M786" s="17"/>
    </row>
    <row r="787">
      <c r="L787" s="20"/>
      <c r="M787" s="17"/>
    </row>
    <row r="788">
      <c r="L788" s="20"/>
      <c r="M788" s="17"/>
    </row>
    <row r="789">
      <c r="L789" s="20"/>
      <c r="M789" s="17"/>
    </row>
    <row r="790">
      <c r="L790" s="20"/>
      <c r="M790" s="17"/>
    </row>
    <row r="791">
      <c r="L791" s="20"/>
      <c r="M791" s="17"/>
    </row>
    <row r="792">
      <c r="L792" s="20"/>
      <c r="M792" s="17"/>
    </row>
    <row r="793">
      <c r="L793" s="20"/>
      <c r="M793" s="17"/>
    </row>
    <row r="794">
      <c r="L794" s="20"/>
      <c r="M794" s="17"/>
    </row>
    <row r="795">
      <c r="L795" s="20"/>
      <c r="M795" s="17"/>
    </row>
    <row r="796">
      <c r="L796" s="20"/>
      <c r="M796" s="17"/>
    </row>
    <row r="797">
      <c r="L797" s="20"/>
      <c r="M797" s="17"/>
    </row>
    <row r="798">
      <c r="L798" s="20"/>
      <c r="M798" s="17"/>
    </row>
    <row r="799">
      <c r="L799" s="20"/>
      <c r="M799" s="17"/>
    </row>
    <row r="800">
      <c r="L800" s="20"/>
      <c r="M800" s="17"/>
    </row>
    <row r="801">
      <c r="L801" s="20"/>
      <c r="M801" s="17"/>
    </row>
    <row r="802">
      <c r="L802" s="20"/>
      <c r="M802" s="17"/>
    </row>
    <row r="803">
      <c r="L803" s="20"/>
      <c r="M803" s="17"/>
    </row>
    <row r="804">
      <c r="L804" s="20"/>
      <c r="M804" s="17"/>
    </row>
    <row r="805">
      <c r="L805" s="20"/>
      <c r="M805" s="17"/>
    </row>
    <row r="806">
      <c r="L806" s="20"/>
      <c r="M806" s="17"/>
    </row>
    <row r="807">
      <c r="L807" s="20"/>
      <c r="M807" s="17"/>
    </row>
    <row r="808">
      <c r="L808" s="20"/>
      <c r="M808" s="17"/>
    </row>
    <row r="809">
      <c r="L809" s="20"/>
      <c r="M809" s="17"/>
    </row>
    <row r="810">
      <c r="L810" s="20"/>
      <c r="M810" s="17"/>
    </row>
    <row r="811">
      <c r="L811" s="20"/>
      <c r="M811" s="17"/>
    </row>
    <row r="812">
      <c r="L812" s="20"/>
      <c r="M812" s="17"/>
    </row>
    <row r="813">
      <c r="L813" s="20"/>
      <c r="M813" s="17"/>
    </row>
    <row r="814">
      <c r="L814" s="20"/>
      <c r="M814" s="17"/>
    </row>
    <row r="815">
      <c r="L815" s="20"/>
      <c r="M815" s="17"/>
    </row>
    <row r="816">
      <c r="L816" s="20"/>
      <c r="M816" s="17"/>
    </row>
    <row r="817">
      <c r="L817" s="20"/>
      <c r="M817" s="17"/>
    </row>
    <row r="818">
      <c r="L818" s="20"/>
      <c r="M818" s="17"/>
    </row>
    <row r="819">
      <c r="L819" s="20"/>
      <c r="M819" s="17"/>
    </row>
    <row r="820">
      <c r="L820" s="20"/>
      <c r="M820" s="17"/>
    </row>
    <row r="821">
      <c r="L821" s="20"/>
      <c r="M821" s="17"/>
    </row>
    <row r="822">
      <c r="L822" s="20"/>
      <c r="M822" s="17"/>
    </row>
    <row r="823">
      <c r="L823" s="20"/>
      <c r="M823" s="17"/>
    </row>
    <row r="824">
      <c r="L824" s="20"/>
      <c r="M824" s="17"/>
    </row>
    <row r="825">
      <c r="L825" s="20"/>
      <c r="M825" s="17"/>
    </row>
    <row r="826">
      <c r="L826" s="20"/>
      <c r="M826" s="17"/>
    </row>
    <row r="827">
      <c r="L827" s="20"/>
      <c r="M827" s="17"/>
    </row>
    <row r="828">
      <c r="L828" s="20"/>
      <c r="M828" s="17"/>
    </row>
    <row r="829">
      <c r="L829" s="20"/>
      <c r="M829" s="17"/>
    </row>
    <row r="830">
      <c r="L830" s="20"/>
      <c r="M830" s="17"/>
    </row>
    <row r="831">
      <c r="L831" s="20"/>
      <c r="M831" s="17"/>
    </row>
    <row r="832">
      <c r="L832" s="20"/>
      <c r="M832" s="17"/>
    </row>
    <row r="833">
      <c r="L833" s="20"/>
      <c r="M833" s="17"/>
    </row>
    <row r="834">
      <c r="L834" s="20"/>
      <c r="M834" s="17"/>
    </row>
    <row r="835">
      <c r="L835" s="20"/>
      <c r="M835" s="17"/>
    </row>
    <row r="836">
      <c r="L836" s="20"/>
      <c r="M836" s="17"/>
    </row>
    <row r="837">
      <c r="L837" s="20"/>
      <c r="M837" s="17"/>
    </row>
    <row r="838">
      <c r="L838" s="20"/>
      <c r="M838" s="17"/>
    </row>
    <row r="839">
      <c r="L839" s="20"/>
      <c r="M839" s="17"/>
    </row>
    <row r="840">
      <c r="L840" s="20"/>
      <c r="M840" s="17"/>
    </row>
    <row r="841">
      <c r="L841" s="20"/>
      <c r="M841" s="17"/>
    </row>
    <row r="842">
      <c r="L842" s="20"/>
      <c r="M842" s="17"/>
    </row>
    <row r="843">
      <c r="L843" s="20"/>
      <c r="M843" s="17"/>
    </row>
    <row r="844">
      <c r="L844" s="20"/>
      <c r="M844" s="17"/>
    </row>
    <row r="845">
      <c r="L845" s="20"/>
      <c r="M845" s="17"/>
    </row>
    <row r="846">
      <c r="L846" s="20"/>
      <c r="M846" s="17"/>
    </row>
    <row r="847">
      <c r="L847" s="20"/>
      <c r="M847" s="17"/>
    </row>
    <row r="848">
      <c r="L848" s="20"/>
      <c r="M848" s="17"/>
    </row>
    <row r="849">
      <c r="L849" s="20"/>
      <c r="M849" s="17"/>
    </row>
    <row r="850">
      <c r="L850" s="20"/>
      <c r="M850" s="17"/>
    </row>
    <row r="851">
      <c r="L851" s="20"/>
      <c r="M851" s="17"/>
    </row>
    <row r="852">
      <c r="L852" s="20"/>
      <c r="M852" s="17"/>
    </row>
    <row r="853">
      <c r="L853" s="20"/>
      <c r="M853" s="17"/>
    </row>
  </sheetData>
  <hyperlinks>
    <hyperlink r:id="rId1" ref="F3"/>
    <hyperlink r:id="rId2" ref="F4"/>
    <hyperlink r:id="rId3" ref="F6"/>
    <hyperlink r:id="rId4" ref="F7"/>
    <hyperlink r:id="rId5" ref="F9"/>
    <hyperlink r:id="rId6" ref="F10"/>
    <hyperlink r:id="rId7" ref="F11"/>
    <hyperlink r:id="rId8" ref="F12"/>
    <hyperlink r:id="rId9" ref="F13"/>
    <hyperlink r:id="rId10" ref="F14"/>
    <hyperlink r:id="rId11" ref="F15"/>
    <hyperlink r:id="rId12" ref="F16"/>
    <hyperlink r:id="rId13" ref="F17"/>
    <hyperlink r:id="rId14" ref="F18"/>
    <hyperlink r:id="rId15" ref="F20"/>
    <hyperlink r:id="rId16" ref="F21"/>
    <hyperlink r:id="rId17" ref="F22"/>
    <hyperlink r:id="rId18" ref="F23"/>
    <hyperlink r:id="rId19" ref="F24"/>
    <hyperlink r:id="rId20" ref="F25"/>
    <hyperlink r:id="rId21" ref="F26"/>
    <hyperlink r:id="rId22" ref="F28"/>
    <hyperlink r:id="rId23" ref="F29"/>
    <hyperlink r:id="rId24" ref="F30"/>
    <hyperlink r:id="rId25" ref="F31"/>
    <hyperlink r:id="rId26" ref="F32"/>
    <hyperlink r:id="rId27" ref="F33"/>
    <hyperlink r:id="rId28" ref="F35"/>
    <hyperlink r:id="rId29" ref="F36"/>
    <hyperlink r:id="rId30" ref="F37"/>
    <hyperlink r:id="rId31" ref="F38"/>
    <hyperlink r:id="rId32" ref="F40"/>
    <hyperlink r:id="rId33" ref="F41"/>
    <hyperlink r:id="rId34" ref="F42"/>
    <hyperlink r:id="rId35" ref="F43"/>
    <hyperlink r:id="rId36" ref="F44"/>
    <hyperlink r:id="rId37" ref="F46"/>
    <hyperlink r:id="rId38" ref="F47"/>
    <hyperlink r:id="rId39" ref="F48"/>
    <hyperlink r:id="rId40" ref="F49"/>
    <hyperlink r:id="rId41" ref="F50"/>
    <hyperlink r:id="rId42" ref="F54"/>
    <hyperlink r:id="rId43" ref="F55"/>
    <hyperlink r:id="rId44" ref="F56"/>
    <hyperlink r:id="rId45" ref="F57"/>
    <hyperlink r:id="rId46" ref="F58"/>
    <hyperlink r:id="rId47" ref="F59"/>
    <hyperlink r:id="rId48" ref="F60"/>
    <hyperlink r:id="rId49" ref="F61"/>
    <hyperlink r:id="rId50" ref="F62"/>
    <hyperlink r:id="rId51" ref="F63"/>
    <hyperlink r:id="rId52" ref="F65"/>
    <hyperlink r:id="rId53" ref="F67"/>
    <hyperlink r:id="rId54" ref="F68"/>
    <hyperlink r:id="rId55" ref="F69"/>
    <hyperlink r:id="rId56" ref="F71"/>
    <hyperlink r:id="rId57" ref="F72"/>
    <hyperlink r:id="rId58" ref="F74"/>
    <hyperlink r:id="rId59" ref="F75"/>
    <hyperlink r:id="rId60" ref="F76"/>
    <hyperlink r:id="rId61" ref="F77"/>
    <hyperlink r:id="rId62" ref="F78"/>
    <hyperlink r:id="rId63" ref="F80"/>
    <hyperlink r:id="rId64" ref="F81"/>
    <hyperlink r:id="rId65" ref="F82"/>
    <hyperlink r:id="rId66" ref="F84"/>
    <hyperlink r:id="rId67" ref="F86"/>
    <hyperlink r:id="rId68" ref="F87"/>
    <hyperlink r:id="rId69" ref="F88"/>
    <hyperlink r:id="rId70" ref="F89"/>
    <hyperlink r:id="rId71" ref="F91"/>
    <hyperlink r:id="rId72" ref="F92"/>
    <hyperlink r:id="rId73" ref="F93"/>
    <hyperlink r:id="rId74" ref="F94"/>
    <hyperlink r:id="rId75" ref="F95"/>
    <hyperlink r:id="rId76" ref="F96"/>
    <hyperlink r:id="rId77" ref="F97"/>
    <hyperlink r:id="rId78" ref="F98"/>
    <hyperlink r:id="rId79" ref="F99"/>
    <hyperlink r:id="rId80" ref="F100"/>
    <hyperlink r:id="rId81" ref="F101"/>
    <hyperlink r:id="rId82" ref="F103"/>
    <hyperlink r:id="rId83" ref="F104"/>
    <hyperlink r:id="rId84" ref="F105"/>
    <hyperlink r:id="rId85" ref="F106"/>
    <hyperlink r:id="rId86" ref="F107"/>
    <hyperlink r:id="rId87" ref="F108"/>
    <hyperlink r:id="rId88" ref="F109"/>
    <hyperlink r:id="rId89" ref="F110"/>
    <hyperlink r:id="rId90" ref="F112"/>
    <hyperlink r:id="rId91" ref="F114"/>
    <hyperlink r:id="rId92" ref="F115"/>
    <hyperlink r:id="rId93" ref="F116"/>
    <hyperlink r:id="rId94" ref="F117"/>
    <hyperlink r:id="rId95" ref="F118"/>
    <hyperlink r:id="rId96" ref="F119"/>
    <hyperlink r:id="rId97" ref="F120"/>
    <hyperlink r:id="rId98" ref="F121"/>
    <hyperlink r:id="rId99" ref="F122"/>
    <hyperlink r:id="rId100" ref="F123"/>
    <hyperlink r:id="rId101" ref="F124"/>
    <hyperlink r:id="rId102" ref="F125"/>
    <hyperlink r:id="rId103" ref="F126"/>
    <hyperlink r:id="rId104" ref="F127"/>
    <hyperlink r:id="rId105" ref="F128"/>
    <hyperlink r:id="rId106" ref="F129"/>
    <hyperlink r:id="rId107" ref="F130"/>
    <hyperlink r:id="rId108" ref="F131"/>
    <hyperlink r:id="rId109" ref="F133"/>
    <hyperlink r:id="rId110" ref="F134"/>
    <hyperlink r:id="rId111" ref="F135"/>
    <hyperlink r:id="rId112" ref="F136"/>
    <hyperlink r:id="rId113" ref="F137"/>
    <hyperlink r:id="rId114" ref="F138"/>
    <hyperlink r:id="rId115" ref="F141"/>
    <hyperlink r:id="rId116" ref="F142"/>
    <hyperlink r:id="rId117" ref="F143"/>
    <hyperlink r:id="rId118" ref="F144"/>
    <hyperlink r:id="rId119" ref="F145"/>
    <hyperlink r:id="rId120" ref="F146"/>
    <hyperlink r:id="rId121" ref="F147"/>
    <hyperlink r:id="rId122" ref="F148"/>
    <hyperlink r:id="rId123" ref="F149"/>
    <hyperlink r:id="rId124" ref="F152"/>
    <hyperlink r:id="rId125" ref="F154"/>
    <hyperlink r:id="rId126" ref="F155"/>
    <hyperlink r:id="rId127" ref="F156"/>
    <hyperlink r:id="rId128" ref="F157"/>
    <hyperlink r:id="rId129" ref="F158"/>
    <hyperlink r:id="rId130" ref="F159"/>
    <hyperlink r:id="rId131" ref="F160"/>
    <hyperlink r:id="rId132" ref="F161"/>
    <hyperlink r:id="rId133" ref="F162"/>
    <hyperlink r:id="rId134" ref="F163"/>
    <hyperlink r:id="rId135" ref="F164"/>
    <hyperlink r:id="rId136" ref="F165"/>
    <hyperlink r:id="rId137" ref="F166"/>
    <hyperlink r:id="rId138" ref="F167"/>
    <hyperlink r:id="rId139" ref="F168"/>
    <hyperlink r:id="rId140" ref="F169"/>
    <hyperlink r:id="rId141" ref="F170"/>
    <hyperlink r:id="rId142" ref="F171"/>
    <hyperlink r:id="rId143" ref="F172"/>
    <hyperlink r:id="rId144" ref="F173"/>
    <hyperlink r:id="rId145" ref="F174"/>
    <hyperlink r:id="rId146" ref="F175"/>
    <hyperlink r:id="rId147" ref="F176"/>
    <hyperlink r:id="rId148" ref="F178"/>
    <hyperlink r:id="rId149" ref="F179"/>
    <hyperlink r:id="rId150" ref="F180"/>
    <hyperlink r:id="rId151" ref="F181"/>
    <hyperlink r:id="rId152" ref="F183"/>
    <hyperlink r:id="rId153" ref="F185"/>
    <hyperlink r:id="rId154" ref="F186"/>
    <hyperlink r:id="rId155" ref="F187"/>
    <hyperlink r:id="rId156" ref="F188"/>
    <hyperlink r:id="rId157" ref="F189"/>
    <hyperlink r:id="rId158" ref="F190"/>
    <hyperlink r:id="rId159" ref="F192"/>
    <hyperlink r:id="rId160" ref="F193"/>
    <hyperlink r:id="rId161" ref="F194"/>
    <hyperlink r:id="rId162" ref="F195"/>
    <hyperlink r:id="rId163" ref="F196"/>
    <hyperlink r:id="rId164" ref="F197"/>
    <hyperlink r:id="rId165" ref="F199"/>
    <hyperlink r:id="rId166" ref="F200"/>
    <hyperlink r:id="rId167" ref="F201"/>
    <hyperlink r:id="rId168" ref="F202"/>
    <hyperlink r:id="rId169" ref="F203"/>
    <hyperlink r:id="rId170" ref="F204"/>
    <hyperlink r:id="rId171" ref="F206"/>
    <hyperlink r:id="rId172" ref="F208"/>
    <hyperlink r:id="rId173" ref="F209"/>
    <hyperlink r:id="rId174" ref="F210"/>
    <hyperlink r:id="rId175" ref="F211"/>
    <hyperlink r:id="rId176" ref="F212"/>
    <hyperlink r:id="rId177" ref="F214"/>
    <hyperlink r:id="rId178" ref="F215"/>
    <hyperlink r:id="rId179" ref="F216"/>
    <hyperlink r:id="rId180" ref="F217"/>
    <hyperlink r:id="rId181" ref="F218"/>
    <hyperlink r:id="rId182" ref="F219"/>
    <hyperlink r:id="rId183" ref="F221"/>
    <hyperlink r:id="rId184" ref="F226"/>
    <hyperlink r:id="rId185" ref="F227"/>
    <hyperlink r:id="rId186" ref="F228"/>
    <hyperlink r:id="rId187" ref="F229"/>
    <hyperlink r:id="rId188" ref="F230"/>
    <hyperlink r:id="rId189" ref="F232"/>
    <hyperlink r:id="rId190" ref="F233"/>
    <hyperlink r:id="rId191" ref="F234"/>
    <hyperlink r:id="rId192" ref="F235"/>
    <hyperlink r:id="rId193" ref="F236"/>
    <hyperlink r:id="rId194" ref="F237"/>
    <hyperlink r:id="rId195" ref="F238"/>
    <hyperlink r:id="rId196" ref="F240"/>
    <hyperlink r:id="rId197" ref="F244"/>
    <hyperlink r:id="rId198" ref="F245"/>
    <hyperlink r:id="rId199" ref="F247"/>
    <hyperlink r:id="rId200" ref="F248"/>
    <hyperlink r:id="rId201" ref="F249"/>
    <hyperlink r:id="rId202" ref="F251"/>
    <hyperlink r:id="rId203" ref="F253"/>
    <hyperlink r:id="rId204" ref="F254"/>
    <hyperlink r:id="rId205" ref="F255"/>
    <hyperlink r:id="rId206" ref="F257"/>
    <hyperlink r:id="rId207" ref="F259"/>
    <hyperlink r:id="rId208" ref="F260"/>
    <hyperlink r:id="rId209" ref="F261"/>
    <hyperlink r:id="rId210" ref="F262"/>
    <hyperlink r:id="rId211" ref="F263"/>
    <hyperlink r:id="rId212" ref="F264"/>
    <hyperlink r:id="rId213" ref="F265"/>
    <hyperlink r:id="rId214" ref="F266"/>
    <hyperlink r:id="rId215" ref="F267"/>
    <hyperlink r:id="rId216" ref="F268"/>
    <hyperlink r:id="rId217" ref="F269"/>
    <hyperlink r:id="rId218" ref="F270"/>
    <hyperlink r:id="rId219" ref="F271"/>
    <hyperlink r:id="rId220" ref="F272"/>
    <hyperlink r:id="rId221" ref="F273"/>
    <hyperlink r:id="rId222" ref="F274"/>
    <hyperlink r:id="rId223" ref="F275"/>
    <hyperlink r:id="rId224" ref="F276"/>
    <hyperlink r:id="rId225" ref="F277"/>
    <hyperlink r:id="rId226" ref="F278"/>
    <hyperlink r:id="rId227" ref="F279"/>
    <hyperlink r:id="rId228" ref="F281"/>
    <hyperlink r:id="rId229" ref="F282"/>
    <hyperlink r:id="rId230" ref="F283"/>
    <hyperlink r:id="rId231" ref="F284"/>
    <hyperlink r:id="rId232" ref="F285"/>
    <hyperlink r:id="rId233" ref="F286"/>
    <hyperlink r:id="rId234" ref="F287"/>
    <hyperlink r:id="rId235" ref="F289"/>
    <hyperlink r:id="rId236" ref="F290"/>
    <hyperlink r:id="rId237" ref="F291"/>
    <hyperlink r:id="rId238" ref="F292"/>
    <hyperlink r:id="rId239" ref="F294"/>
    <hyperlink r:id="rId240" ref="F295"/>
    <hyperlink r:id="rId241" ref="F296"/>
    <hyperlink r:id="rId242" ref="F297"/>
    <hyperlink r:id="rId243" ref="F298"/>
    <hyperlink r:id="rId244" ref="F299"/>
    <hyperlink r:id="rId245" ref="F300"/>
    <hyperlink r:id="rId246" ref="F301"/>
    <hyperlink r:id="rId247" ref="F302"/>
    <hyperlink r:id="rId248" ref="F305"/>
    <hyperlink r:id="rId249" ref="F306"/>
    <hyperlink r:id="rId250" ref="F307"/>
    <hyperlink r:id="rId251" ref="F308"/>
    <hyperlink r:id="rId252" ref="F309"/>
    <hyperlink r:id="rId253" ref="F310"/>
    <hyperlink r:id="rId254" ref="F313"/>
    <hyperlink r:id="rId255" ref="F314"/>
    <hyperlink r:id="rId256" ref="F315"/>
    <hyperlink r:id="rId257" ref="F316"/>
    <hyperlink r:id="rId258" ref="F317"/>
    <hyperlink r:id="rId259" ref="F319"/>
    <hyperlink r:id="rId260" ref="F320"/>
    <hyperlink r:id="rId261" ref="F323"/>
    <hyperlink r:id="rId262" ref="F324"/>
    <hyperlink r:id="rId263" ref="F325"/>
    <hyperlink r:id="rId264" ref="F326"/>
    <hyperlink r:id="rId265" ref="F327"/>
    <hyperlink r:id="rId266" ref="F328"/>
    <hyperlink r:id="rId267" ref="F329"/>
    <hyperlink r:id="rId268" ref="F330"/>
    <hyperlink r:id="rId269" ref="F332"/>
    <hyperlink r:id="rId270" ref="F333"/>
    <hyperlink r:id="rId271" ref="F334"/>
    <hyperlink r:id="rId272" ref="F335"/>
    <hyperlink r:id="rId273" ref="F336"/>
    <hyperlink r:id="rId274" ref="F337"/>
    <hyperlink r:id="rId275" ref="F340"/>
    <hyperlink r:id="rId276" ref="F341"/>
    <hyperlink r:id="rId277" ref="F342"/>
    <hyperlink r:id="rId278" ref="F344"/>
    <hyperlink r:id="rId279" ref="F347"/>
    <hyperlink r:id="rId280" ref="F348"/>
    <hyperlink r:id="rId281" ref="F349"/>
    <hyperlink r:id="rId282" ref="F350"/>
    <hyperlink r:id="rId283" ref="F351"/>
    <hyperlink r:id="rId284" ref="F352"/>
    <hyperlink r:id="rId285" ref="F354"/>
    <hyperlink r:id="rId286" ref="F355"/>
    <hyperlink r:id="rId287" ref="F357"/>
    <hyperlink r:id="rId288" ref="F358"/>
    <hyperlink r:id="rId289" ref="F359"/>
    <hyperlink r:id="rId290" ref="F360"/>
    <hyperlink r:id="rId291" ref="F361"/>
    <hyperlink r:id="rId292" ref="F362"/>
    <hyperlink r:id="rId293" ref="F363"/>
    <hyperlink r:id="rId294" ref="F365"/>
    <hyperlink r:id="rId295" ref="F366"/>
    <hyperlink r:id="rId296" ref="F367"/>
    <hyperlink r:id="rId297" ref="F368"/>
    <hyperlink r:id="rId298" ref="F369"/>
    <hyperlink r:id="rId299" ref="F370"/>
    <hyperlink r:id="rId300" ref="F371"/>
    <hyperlink r:id="rId301" ref="F372"/>
    <hyperlink r:id="rId302" ref="F373"/>
    <hyperlink r:id="rId303" ref="F374"/>
    <hyperlink r:id="rId304" ref="F375"/>
    <hyperlink r:id="rId305" ref="F376"/>
    <hyperlink r:id="rId306" ref="F377"/>
    <hyperlink r:id="rId307" ref="F378"/>
    <hyperlink r:id="rId308" ref="F379"/>
    <hyperlink r:id="rId309" ref="F380"/>
    <hyperlink r:id="rId310" ref="F381"/>
    <hyperlink r:id="rId311" ref="F382"/>
    <hyperlink r:id="rId312" ref="F384"/>
    <hyperlink r:id="rId313" ref="F385"/>
    <hyperlink r:id="rId314" ref="F386"/>
    <hyperlink r:id="rId315" ref="F387"/>
    <hyperlink r:id="rId316" ref="F388"/>
    <hyperlink r:id="rId317" ref="F389"/>
    <hyperlink r:id="rId318" ref="F390"/>
    <hyperlink r:id="rId319" ref="F391"/>
    <hyperlink r:id="rId320" ref="F392"/>
    <hyperlink r:id="rId321" ref="F393"/>
    <hyperlink r:id="rId322" ref="F394"/>
    <hyperlink r:id="rId323" ref="F395"/>
    <hyperlink r:id="rId324" ref="F396"/>
    <hyperlink r:id="rId325" ref="F398"/>
    <hyperlink r:id="rId326" ref="F399"/>
    <hyperlink r:id="rId327" ref="F400"/>
    <hyperlink r:id="rId328" ref="F401"/>
    <hyperlink r:id="rId329" ref="F402"/>
    <hyperlink r:id="rId330" ref="F403"/>
    <hyperlink r:id="rId331" ref="F404"/>
    <hyperlink r:id="rId332" ref="F406"/>
    <hyperlink r:id="rId333" ref="F407"/>
    <hyperlink r:id="rId334" ref="F408"/>
    <hyperlink r:id="rId335" ref="F409"/>
    <hyperlink r:id="rId336" ref="F410"/>
    <hyperlink r:id="rId337" ref="F411"/>
    <hyperlink r:id="rId338" ref="F412"/>
    <hyperlink r:id="rId339" ref="F413"/>
    <hyperlink r:id="rId340" ref="F416"/>
    <hyperlink r:id="rId341" ref="F417"/>
    <hyperlink r:id="rId342" ref="F418"/>
    <hyperlink r:id="rId343" ref="F419"/>
    <hyperlink r:id="rId344" ref="F420"/>
    <hyperlink r:id="rId345" ref="F422"/>
    <hyperlink r:id="rId346" ref="F423"/>
    <hyperlink r:id="rId347" ref="F425"/>
    <hyperlink r:id="rId348" ref="F426"/>
    <hyperlink r:id="rId349" ref="F427"/>
    <hyperlink r:id="rId350" ref="F428"/>
    <hyperlink r:id="rId351" ref="F429"/>
    <hyperlink r:id="rId352" ref="F430"/>
    <hyperlink r:id="rId353" ref="F431"/>
    <hyperlink r:id="rId354" ref="F432"/>
    <hyperlink r:id="rId355" ref="F433"/>
    <hyperlink r:id="rId356" ref="F434"/>
    <hyperlink r:id="rId357" ref="F435"/>
    <hyperlink r:id="rId358" ref="F436"/>
    <hyperlink r:id="rId359" ref="F437"/>
    <hyperlink r:id="rId360" ref="F439"/>
    <hyperlink r:id="rId361" ref="F440"/>
    <hyperlink r:id="rId362" ref="F441"/>
    <hyperlink r:id="rId363" ref="F442"/>
    <hyperlink r:id="rId364" ref="F443"/>
    <hyperlink r:id="rId365" ref="F445"/>
    <hyperlink r:id="rId366" ref="F446"/>
    <hyperlink r:id="rId367" ref="F447"/>
    <hyperlink r:id="rId368" ref="F448"/>
    <hyperlink r:id="rId369" ref="F449"/>
    <hyperlink r:id="rId370" ref="F450"/>
    <hyperlink r:id="rId371" ref="F451"/>
    <hyperlink r:id="rId372" ref="F452"/>
    <hyperlink r:id="rId373" ref="F453"/>
    <hyperlink r:id="rId374" ref="F454"/>
    <hyperlink r:id="rId375" ref="F455"/>
    <hyperlink r:id="rId376" ref="F458"/>
    <hyperlink r:id="rId377" ref="F459"/>
    <hyperlink r:id="rId378" ref="F460"/>
    <hyperlink r:id="rId379" ref="F461"/>
    <hyperlink r:id="rId380" ref="F462"/>
    <hyperlink r:id="rId381" ref="F464"/>
    <hyperlink r:id="rId382" ref="F465"/>
    <hyperlink r:id="rId383" ref="F466"/>
    <hyperlink r:id="rId384" ref="F467"/>
    <hyperlink r:id="rId385" ref="F468"/>
    <hyperlink r:id="rId386" ref="F469"/>
    <hyperlink r:id="rId387" ref="F470"/>
    <hyperlink r:id="rId388" ref="F471"/>
    <hyperlink r:id="rId389" ref="F472"/>
    <hyperlink r:id="rId390" ref="F473"/>
    <hyperlink r:id="rId391" ref="F475"/>
    <hyperlink r:id="rId392" ref="F477"/>
    <hyperlink r:id="rId393" ref="F478"/>
    <hyperlink r:id="rId394" ref="F479"/>
    <hyperlink r:id="rId395" ref="F480"/>
    <hyperlink r:id="rId396" ref="F481"/>
    <hyperlink r:id="rId397" ref="F482"/>
    <hyperlink r:id="rId398" ref="F483"/>
    <hyperlink r:id="rId399" ref="F484"/>
    <hyperlink r:id="rId400" ref="F485"/>
    <hyperlink r:id="rId401" ref="F486"/>
    <hyperlink r:id="rId402" ref="F489"/>
    <hyperlink r:id="rId403" ref="F490"/>
    <hyperlink r:id="rId404" ref="F491"/>
    <hyperlink r:id="rId405" ref="F493"/>
    <hyperlink r:id="rId406" ref="F494"/>
    <hyperlink r:id="rId407" ref="F496"/>
    <hyperlink r:id="rId408" ref="F498"/>
    <hyperlink r:id="rId409" ref="F500"/>
    <hyperlink r:id="rId410" ref="F501"/>
    <hyperlink r:id="rId411" ref="F502"/>
    <hyperlink r:id="rId412" ref="F503"/>
    <hyperlink r:id="rId413" ref="F504"/>
    <hyperlink r:id="rId414" ref="F505"/>
    <hyperlink r:id="rId415" ref="F506"/>
    <hyperlink r:id="rId416" ref="F507"/>
    <hyperlink r:id="rId417" ref="F508"/>
    <hyperlink r:id="rId418" ref="F509"/>
    <hyperlink r:id="rId419" ref="F510"/>
    <hyperlink r:id="rId420" ref="F513"/>
    <hyperlink r:id="rId421" ref="F514"/>
    <hyperlink r:id="rId422" ref="F515"/>
    <hyperlink r:id="rId423" ref="F516"/>
    <hyperlink r:id="rId424" ref="F517"/>
    <hyperlink r:id="rId425" ref="F518"/>
    <hyperlink r:id="rId426" ref="F519"/>
    <hyperlink r:id="rId427" ref="F520"/>
    <hyperlink r:id="rId428" ref="F521"/>
    <hyperlink r:id="rId429" ref="F522"/>
    <hyperlink r:id="rId430" ref="F523"/>
    <hyperlink r:id="rId431" ref="F524"/>
    <hyperlink r:id="rId432" ref="F525"/>
    <hyperlink r:id="rId433" ref="F526"/>
    <hyperlink r:id="rId434" ref="F527"/>
    <hyperlink r:id="rId435" ref="F528"/>
    <hyperlink r:id="rId436" ref="F529"/>
    <hyperlink r:id="rId437" ref="F531"/>
    <hyperlink r:id="rId438" ref="F532"/>
    <hyperlink r:id="rId439" ref="F533"/>
    <hyperlink r:id="rId440" ref="F535"/>
    <hyperlink r:id="rId441" ref="F537"/>
    <hyperlink r:id="rId442" ref="F538"/>
    <hyperlink r:id="rId443" ref="F539"/>
    <hyperlink r:id="rId444" ref="F540"/>
    <hyperlink r:id="rId445" ref="F541"/>
    <hyperlink r:id="rId446" ref="F542"/>
    <hyperlink r:id="rId447" ref="F543"/>
    <hyperlink r:id="rId448" ref="F544"/>
    <hyperlink r:id="rId449" ref="F545"/>
    <hyperlink r:id="rId450" ref="F546"/>
    <hyperlink r:id="rId451" ref="F548"/>
    <hyperlink r:id="rId452" ref="F549"/>
    <hyperlink r:id="rId453" ref="F550"/>
    <hyperlink r:id="rId454" ref="F551"/>
    <hyperlink r:id="rId455" ref="F552"/>
    <hyperlink r:id="rId456" ref="F553"/>
    <hyperlink r:id="rId457" ref="F554"/>
    <hyperlink r:id="rId458" ref="F555"/>
    <hyperlink r:id="rId459" ref="F556"/>
    <hyperlink r:id="rId460" ref="F557"/>
    <hyperlink r:id="rId461" ref="F558"/>
    <hyperlink r:id="rId462" ref="F559"/>
    <hyperlink r:id="rId463" ref="F560"/>
    <hyperlink r:id="rId464" ref="F561"/>
    <hyperlink r:id="rId465" ref="F562"/>
    <hyperlink r:id="rId466" ref="F563"/>
    <hyperlink r:id="rId467" ref="F565"/>
    <hyperlink r:id="rId468" ref="F567"/>
    <hyperlink r:id="rId469" ref="F568"/>
    <hyperlink r:id="rId470" ref="F569"/>
    <hyperlink r:id="rId471" ref="F570"/>
    <hyperlink r:id="rId472" ref="F571"/>
    <hyperlink r:id="rId473" ref="F572"/>
    <hyperlink r:id="rId474" ref="F573"/>
    <hyperlink r:id="rId475" ref="F574"/>
    <hyperlink r:id="rId476" ref="F575"/>
    <hyperlink r:id="rId477" ref="F576"/>
    <hyperlink r:id="rId478" ref="F577"/>
    <hyperlink r:id="rId479" ref="F579"/>
    <hyperlink r:id="rId480" ref="F580"/>
    <hyperlink r:id="rId481" ref="F581"/>
    <hyperlink r:id="rId482" ref="F583"/>
    <hyperlink r:id="rId483" ref="F584"/>
    <hyperlink r:id="rId484" ref="F586"/>
    <hyperlink r:id="rId485" ref="F587"/>
    <hyperlink r:id="rId486" ref="F588"/>
    <hyperlink r:id="rId487" ref="F589"/>
    <hyperlink r:id="rId488" ref="F590"/>
    <hyperlink r:id="rId489" ref="F591"/>
    <hyperlink r:id="rId490" ref="F592"/>
    <hyperlink r:id="rId491" ref="F593"/>
    <hyperlink r:id="rId492" ref="F594"/>
    <hyperlink r:id="rId493" ref="F595"/>
    <hyperlink r:id="rId494" ref="F596"/>
    <hyperlink r:id="rId495" ref="F598"/>
    <hyperlink r:id="rId496" ref="F599"/>
    <hyperlink r:id="rId497" ref="F600"/>
    <hyperlink r:id="rId498" ref="F601"/>
    <hyperlink r:id="rId499" ref="F602"/>
    <hyperlink r:id="rId500" ref="F603"/>
    <hyperlink r:id="rId501" ref="F604"/>
    <hyperlink r:id="rId502" ref="F605"/>
    <hyperlink r:id="rId503" ref="F606"/>
    <hyperlink r:id="rId504" ref="F608"/>
    <hyperlink r:id="rId505" ref="F609"/>
    <hyperlink r:id="rId506" ref="F610"/>
    <hyperlink r:id="rId507" ref="F611"/>
    <hyperlink r:id="rId508" ref="F612"/>
    <hyperlink r:id="rId509" ref="F613"/>
    <hyperlink r:id="rId510" ref="F614"/>
    <hyperlink r:id="rId511" ref="F616"/>
    <hyperlink r:id="rId512" ref="F620"/>
    <hyperlink r:id="rId513" ref="F621"/>
    <hyperlink r:id="rId514" ref="F626"/>
    <hyperlink r:id="rId515" ref="F627"/>
    <hyperlink r:id="rId516" ref="F628"/>
    <hyperlink r:id="rId517" ref="F629"/>
    <hyperlink r:id="rId518" ref="F630"/>
    <hyperlink r:id="rId519" ref="F631"/>
    <hyperlink r:id="rId520" ref="F632"/>
    <hyperlink r:id="rId521" ref="F633"/>
    <hyperlink r:id="rId522" ref="F634"/>
    <hyperlink r:id="rId523" ref="F635"/>
    <hyperlink r:id="rId524" ref="F636"/>
    <hyperlink r:id="rId525" ref="F637"/>
    <hyperlink r:id="rId526" ref="F638"/>
    <hyperlink r:id="rId527" ref="F639"/>
    <hyperlink r:id="rId528" ref="F641"/>
    <hyperlink r:id="rId529" ref="F642"/>
    <hyperlink r:id="rId530" ref="F643"/>
    <hyperlink r:id="rId531" ref="F644"/>
    <hyperlink r:id="rId532" ref="F645"/>
    <hyperlink r:id="rId533" ref="F646"/>
    <hyperlink r:id="rId534" ref="F647"/>
    <hyperlink r:id="rId535" ref="F648"/>
    <hyperlink r:id="rId536" ref="F649"/>
    <hyperlink r:id="rId537" ref="F650"/>
    <hyperlink r:id="rId538" ref="F651"/>
    <hyperlink r:id="rId539" ref="F652"/>
    <hyperlink r:id="rId540" ref="F653"/>
    <hyperlink r:id="rId541" ref="F655"/>
    <hyperlink r:id="rId542" ref="F657"/>
    <hyperlink r:id="rId543" ref="F658"/>
    <hyperlink r:id="rId544" ref="F659"/>
    <hyperlink r:id="rId545" ref="F660"/>
    <hyperlink r:id="rId546" ref="F661"/>
    <hyperlink r:id="rId547" ref="F662"/>
    <hyperlink r:id="rId548" ref="F664"/>
    <hyperlink r:id="rId549" ref="F665"/>
    <hyperlink r:id="rId550" ref="F666"/>
    <hyperlink r:id="rId551" ref="F667"/>
    <hyperlink r:id="rId552" ref="F668"/>
    <hyperlink r:id="rId553" ref="F669"/>
    <hyperlink r:id="rId554" ref="F670"/>
    <hyperlink r:id="rId555" ref="F671"/>
    <hyperlink r:id="rId556" ref="F673"/>
    <hyperlink r:id="rId557" ref="F674"/>
    <hyperlink r:id="rId558" ref="F675"/>
    <hyperlink r:id="rId559" ref="F676"/>
    <hyperlink r:id="rId560" ref="F677"/>
    <hyperlink r:id="rId561" ref="F678"/>
    <hyperlink r:id="rId562" ref="F679"/>
    <hyperlink r:id="rId563" ref="F681"/>
    <hyperlink r:id="rId564" ref="F682"/>
    <hyperlink r:id="rId565" ref="F683"/>
    <hyperlink r:id="rId566" ref="F684"/>
    <hyperlink r:id="rId567" ref="F685"/>
    <hyperlink r:id="rId568" ref="F686"/>
    <hyperlink r:id="rId569" ref="F687"/>
    <hyperlink r:id="rId570" ref="F688"/>
    <hyperlink r:id="rId571" ref="F689"/>
    <hyperlink r:id="rId572" ref="F690"/>
    <hyperlink r:id="rId573" ref="F692"/>
    <hyperlink r:id="rId574" ref="F693"/>
    <hyperlink r:id="rId575" ref="F694"/>
    <hyperlink r:id="rId576" ref="F695"/>
    <hyperlink r:id="rId577" ref="F697"/>
    <hyperlink r:id="rId578" ref="F699"/>
    <hyperlink r:id="rId579" ref="F700"/>
    <hyperlink r:id="rId580" ref="F701"/>
    <hyperlink r:id="rId581" ref="F702"/>
    <hyperlink r:id="rId582" ref="F703"/>
    <hyperlink r:id="rId583" ref="F704"/>
    <hyperlink r:id="rId584" ref="F705"/>
    <hyperlink r:id="rId585" ref="F706"/>
    <hyperlink r:id="rId586" ref="F707"/>
    <hyperlink r:id="rId587" ref="F708"/>
    <hyperlink r:id="rId588" ref="F709"/>
    <hyperlink r:id="rId589" ref="F710"/>
    <hyperlink r:id="rId590" ref="F711"/>
    <hyperlink r:id="rId591" ref="F712"/>
    <hyperlink r:id="rId592" ref="F713"/>
    <hyperlink r:id="rId593" ref="F714"/>
    <hyperlink r:id="rId594" ref="F715"/>
    <hyperlink r:id="rId595" ref="F718"/>
  </hyperlinks>
  <drawing r:id="rId59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27.0"/>
    <col customWidth="1" min="11" max="11" width="30.25"/>
    <col customWidth="1" min="17" max="17" width="15.13"/>
  </cols>
  <sheetData>
    <row r="1">
      <c r="A1" s="11"/>
      <c r="B1" s="11"/>
      <c r="C1" s="11"/>
      <c r="D1" s="11"/>
      <c r="E1" s="11"/>
      <c r="F1" s="11"/>
      <c r="G1" s="11"/>
      <c r="H1" s="11"/>
      <c r="I1" s="11"/>
      <c r="J1" s="11"/>
      <c r="K1" s="11"/>
      <c r="L1" s="11"/>
      <c r="M1" s="11"/>
      <c r="N1" s="11"/>
      <c r="O1" s="11"/>
      <c r="P1" s="11"/>
      <c r="Q1" s="11"/>
    </row>
    <row r="2">
      <c r="A2" s="2" t="s">
        <v>10</v>
      </c>
      <c r="B2" s="2" t="s">
        <v>12</v>
      </c>
      <c r="C2" s="2" t="s">
        <v>14</v>
      </c>
      <c r="D2" s="2" t="s">
        <v>16</v>
      </c>
      <c r="E2" s="2" t="s">
        <v>18</v>
      </c>
      <c r="F2" s="2" t="s">
        <v>20</v>
      </c>
      <c r="G2" s="2" t="s">
        <v>22</v>
      </c>
      <c r="H2" s="2" t="s">
        <v>46</v>
      </c>
      <c r="I2" s="2" t="s">
        <v>24</v>
      </c>
      <c r="J2" s="2" t="s">
        <v>26</v>
      </c>
      <c r="K2" s="2" t="s">
        <v>28</v>
      </c>
      <c r="L2" s="2" t="s">
        <v>30</v>
      </c>
      <c r="M2" s="2" t="s">
        <v>248</v>
      </c>
      <c r="N2" s="2" t="s">
        <v>34</v>
      </c>
      <c r="O2" s="2" t="s">
        <v>36</v>
      </c>
      <c r="P2" s="2" t="s">
        <v>38</v>
      </c>
      <c r="Q2" s="2" t="s">
        <v>40</v>
      </c>
      <c r="R2" s="9" t="s">
        <v>42</v>
      </c>
      <c r="S2" s="9" t="s">
        <v>44</v>
      </c>
      <c r="T2" s="6"/>
      <c r="U2" s="6"/>
      <c r="V2" s="6"/>
      <c r="W2" s="6"/>
      <c r="X2" s="6"/>
      <c r="Y2" s="6"/>
      <c r="Z2" s="6"/>
      <c r="AA2" s="6"/>
      <c r="AB2" s="6"/>
      <c r="AC2" s="6"/>
      <c r="AD2" s="6"/>
      <c r="AE2" s="6"/>
      <c r="AF2" s="6"/>
      <c r="AG2" s="6"/>
    </row>
    <row r="3">
      <c r="A3" s="13">
        <v>45901.0</v>
      </c>
      <c r="B3" s="14" t="s">
        <v>47</v>
      </c>
      <c r="C3" s="14" t="s">
        <v>48</v>
      </c>
      <c r="D3" s="14" t="s">
        <v>116</v>
      </c>
      <c r="E3" s="14" t="s">
        <v>117</v>
      </c>
      <c r="F3" s="15" t="s">
        <v>51</v>
      </c>
      <c r="G3" s="14" t="s">
        <v>161</v>
      </c>
      <c r="H3" s="14" t="s">
        <v>116</v>
      </c>
      <c r="I3" s="14" t="s">
        <v>54</v>
      </c>
      <c r="J3" s="14" t="s">
        <v>198</v>
      </c>
      <c r="K3" s="14" t="s">
        <v>212</v>
      </c>
      <c r="L3" s="14" t="s">
        <v>249</v>
      </c>
      <c r="M3" s="14" t="s">
        <v>250</v>
      </c>
      <c r="N3" s="14" t="s">
        <v>251</v>
      </c>
      <c r="O3" s="16">
        <v>0.0</v>
      </c>
      <c r="P3" s="21">
        <v>1.70651295E8</v>
      </c>
      <c r="Q3" s="22" t="str">
        <f>"+35,163,718"</f>
        <v>+35,163,718</v>
      </c>
      <c r="R3" s="18" t="str">
        <f>"-166,507,935"</f>
        <v>-166,507,935</v>
      </c>
      <c r="S3" s="14" t="s">
        <v>252</v>
      </c>
    </row>
    <row r="4">
      <c r="A4" s="13">
        <v>45901.0</v>
      </c>
      <c r="B4" s="14" t="s">
        <v>47</v>
      </c>
      <c r="C4" s="14" t="s">
        <v>48</v>
      </c>
      <c r="D4" s="14" t="s">
        <v>99</v>
      </c>
      <c r="E4" s="14" t="s">
        <v>100</v>
      </c>
      <c r="F4" s="15" t="s">
        <v>51</v>
      </c>
      <c r="G4" s="14" t="s">
        <v>101</v>
      </c>
      <c r="H4" s="14" t="s">
        <v>102</v>
      </c>
      <c r="I4" s="14" t="s">
        <v>54</v>
      </c>
      <c r="J4" s="14" t="s">
        <v>200</v>
      </c>
      <c r="K4" s="14" t="s">
        <v>227</v>
      </c>
      <c r="L4" s="14" t="s">
        <v>253</v>
      </c>
      <c r="M4" s="14" t="s">
        <v>254</v>
      </c>
      <c r="N4" s="14" t="s">
        <v>255</v>
      </c>
      <c r="O4" s="16">
        <v>0.0</v>
      </c>
      <c r="P4" s="23">
        <v>0.0</v>
      </c>
      <c r="Q4" s="22" t="str">
        <f t="shared" ref="Q4:R4" si="1">"+0.00%"</f>
        <v>+0.00%</v>
      </c>
      <c r="R4" s="18" t="str">
        <f t="shared" si="1"/>
        <v>+0.00%</v>
      </c>
      <c r="S4" s="14" t="s">
        <v>256</v>
      </c>
    </row>
    <row r="5">
      <c r="A5" s="13">
        <v>45901.0</v>
      </c>
      <c r="B5" s="14" t="s">
        <v>47</v>
      </c>
      <c r="C5" s="14" t="s">
        <v>48</v>
      </c>
      <c r="D5" s="14" t="s">
        <v>171</v>
      </c>
      <c r="E5" s="14" t="s">
        <v>172</v>
      </c>
      <c r="F5" s="15" t="s">
        <v>51</v>
      </c>
      <c r="G5" s="14" t="s">
        <v>173</v>
      </c>
      <c r="H5" s="14" t="s">
        <v>171</v>
      </c>
      <c r="I5" s="14" t="s">
        <v>59</v>
      </c>
      <c r="J5" s="14" t="s">
        <v>200</v>
      </c>
      <c r="K5" s="14" t="s">
        <v>213</v>
      </c>
      <c r="L5" s="14" t="s">
        <v>257</v>
      </c>
      <c r="M5" s="14" t="s">
        <v>258</v>
      </c>
      <c r="N5" s="14" t="s">
        <v>259</v>
      </c>
      <c r="O5" s="16">
        <v>100.0</v>
      </c>
      <c r="P5" s="21">
        <v>16.0</v>
      </c>
      <c r="Q5" s="22" t="str">
        <f t="shared" ref="Q5:R5" si="2">"+0"</f>
        <v>+0</v>
      </c>
      <c r="R5" s="18" t="str">
        <f t="shared" si="2"/>
        <v>+0</v>
      </c>
      <c r="S5" s="14" t="s">
        <v>260</v>
      </c>
    </row>
    <row r="6">
      <c r="A6" s="13">
        <v>45901.0</v>
      </c>
      <c r="B6" s="14" t="s">
        <v>47</v>
      </c>
      <c r="C6" s="14" t="s">
        <v>48</v>
      </c>
      <c r="D6" s="14" t="s">
        <v>192</v>
      </c>
      <c r="E6" s="14" t="s">
        <v>193</v>
      </c>
      <c r="F6" s="15" t="s">
        <v>51</v>
      </c>
      <c r="G6" s="14" t="s">
        <v>194</v>
      </c>
      <c r="H6" s="14" t="s">
        <v>192</v>
      </c>
      <c r="I6" s="14" t="s">
        <v>54</v>
      </c>
      <c r="J6" s="14" t="s">
        <v>200</v>
      </c>
      <c r="K6" s="14" t="s">
        <v>223</v>
      </c>
      <c r="L6" s="14" t="s">
        <v>261</v>
      </c>
      <c r="M6" s="14" t="s">
        <v>262</v>
      </c>
      <c r="N6" s="14" t="s">
        <v>263</v>
      </c>
      <c r="O6" s="16">
        <v>0.0</v>
      </c>
      <c r="P6" s="21">
        <v>0.0</v>
      </c>
      <c r="Q6" s="22" t="str">
        <f t="shared" ref="Q6:R6" si="3">"+0"</f>
        <v>+0</v>
      </c>
      <c r="R6" s="18" t="str">
        <f t="shared" si="3"/>
        <v>+0</v>
      </c>
      <c r="S6" s="14" t="s">
        <v>260</v>
      </c>
    </row>
    <row r="7">
      <c r="A7" s="13">
        <v>45901.0</v>
      </c>
      <c r="B7" s="14" t="s">
        <v>47</v>
      </c>
      <c r="C7" s="14" t="s">
        <v>48</v>
      </c>
      <c r="D7" s="14" t="s">
        <v>192</v>
      </c>
      <c r="E7" s="14" t="s">
        <v>193</v>
      </c>
      <c r="F7" s="15" t="s">
        <v>51</v>
      </c>
      <c r="G7" s="14" t="s">
        <v>194</v>
      </c>
      <c r="H7" s="14" t="s">
        <v>192</v>
      </c>
      <c r="I7" s="14" t="s">
        <v>54</v>
      </c>
      <c r="J7" s="14" t="s">
        <v>198</v>
      </c>
      <c r="K7" s="14" t="s">
        <v>210</v>
      </c>
      <c r="L7" s="14" t="s">
        <v>264</v>
      </c>
      <c r="M7" s="14" t="s">
        <v>265</v>
      </c>
      <c r="N7" s="14" t="s">
        <v>266</v>
      </c>
      <c r="O7" s="16">
        <v>75.0</v>
      </c>
      <c r="P7" s="21">
        <v>54.0</v>
      </c>
      <c r="Q7" s="22" t="str">
        <f>"-11"</f>
        <v>-11</v>
      </c>
      <c r="R7" s="18" t="str">
        <f>"-43"</f>
        <v>-43</v>
      </c>
      <c r="S7" s="14" t="s">
        <v>267</v>
      </c>
    </row>
    <row r="8">
      <c r="A8" s="13">
        <v>45901.0</v>
      </c>
      <c r="B8" s="14" t="s">
        <v>47</v>
      </c>
      <c r="C8" s="14" t="s">
        <v>48</v>
      </c>
      <c r="D8" s="14" t="s">
        <v>184</v>
      </c>
      <c r="E8" s="14" t="s">
        <v>185</v>
      </c>
      <c r="F8" s="15" t="s">
        <v>51</v>
      </c>
      <c r="G8" s="14" t="s">
        <v>186</v>
      </c>
      <c r="H8" s="14" t="s">
        <v>187</v>
      </c>
      <c r="I8" s="14" t="s">
        <v>59</v>
      </c>
      <c r="J8" s="14" t="s">
        <v>199</v>
      </c>
      <c r="K8" s="14" t="s">
        <v>206</v>
      </c>
      <c r="L8" s="14" t="s">
        <v>268</v>
      </c>
      <c r="M8" s="14" t="s">
        <v>268</v>
      </c>
      <c r="N8" s="14" t="s">
        <v>269</v>
      </c>
      <c r="O8" s="16">
        <v>0.0</v>
      </c>
      <c r="P8" s="21">
        <v>0.0</v>
      </c>
      <c r="Q8" s="22" t="str">
        <f t="shared" ref="Q8:R8" si="4">"+0"</f>
        <v>+0</v>
      </c>
      <c r="R8" s="18" t="str">
        <f t="shared" si="4"/>
        <v>+0</v>
      </c>
      <c r="S8" s="14" t="s">
        <v>260</v>
      </c>
    </row>
    <row r="9">
      <c r="A9" s="13">
        <v>45901.0</v>
      </c>
      <c r="B9" s="14" t="s">
        <v>47</v>
      </c>
      <c r="C9" s="14" t="s">
        <v>48</v>
      </c>
      <c r="D9" s="14" t="s">
        <v>184</v>
      </c>
      <c r="E9" s="14" t="s">
        <v>185</v>
      </c>
      <c r="F9" s="15" t="s">
        <v>51</v>
      </c>
      <c r="G9" s="14" t="s">
        <v>186</v>
      </c>
      <c r="H9" s="14" t="s">
        <v>187</v>
      </c>
      <c r="I9" s="14" t="s">
        <v>59</v>
      </c>
      <c r="J9" s="14" t="s">
        <v>200</v>
      </c>
      <c r="K9" s="14" t="s">
        <v>227</v>
      </c>
      <c r="L9" s="14" t="s">
        <v>270</v>
      </c>
      <c r="M9" s="14" t="s">
        <v>271</v>
      </c>
      <c r="N9" s="14" t="s">
        <v>272</v>
      </c>
      <c r="O9" s="16">
        <v>89.0</v>
      </c>
      <c r="P9" s="23">
        <v>0.8</v>
      </c>
      <c r="Q9" s="22" t="str">
        <f t="shared" ref="Q9:R9" si="5">"+180.00%"</f>
        <v>+180.00%</v>
      </c>
      <c r="R9" s="18" t="str">
        <f t="shared" si="5"/>
        <v>+180.00%</v>
      </c>
      <c r="S9" s="14" t="s">
        <v>273</v>
      </c>
    </row>
    <row r="10">
      <c r="A10" s="13">
        <v>45901.0</v>
      </c>
      <c r="B10" s="14" t="s">
        <v>47</v>
      </c>
      <c r="C10" s="14" t="s">
        <v>48</v>
      </c>
      <c r="D10" s="14" t="s">
        <v>82</v>
      </c>
      <c r="E10" s="14" t="s">
        <v>83</v>
      </c>
      <c r="F10" s="15" t="s">
        <v>51</v>
      </c>
      <c r="G10" s="14" t="s">
        <v>84</v>
      </c>
      <c r="H10" s="14" t="s">
        <v>82</v>
      </c>
      <c r="I10" s="14" t="s">
        <v>59</v>
      </c>
      <c r="J10" s="14" t="s">
        <v>198</v>
      </c>
      <c r="K10" s="14" t="s">
        <v>205</v>
      </c>
      <c r="L10" s="14" t="s">
        <v>274</v>
      </c>
      <c r="M10" s="14" t="s">
        <v>275</v>
      </c>
      <c r="N10" s="14" t="s">
        <v>276</v>
      </c>
      <c r="O10" s="16">
        <v>0.0</v>
      </c>
      <c r="P10" s="21">
        <v>1.0</v>
      </c>
      <c r="Q10" s="22" t="str">
        <f t="shared" ref="Q10:Q11" si="6">"+0"</f>
        <v>+0</v>
      </c>
      <c r="S10" s="14" t="s">
        <v>277</v>
      </c>
    </row>
    <row r="11">
      <c r="A11" s="13">
        <v>45901.0</v>
      </c>
      <c r="B11" s="14" t="s">
        <v>47</v>
      </c>
      <c r="C11" s="14" t="s">
        <v>48</v>
      </c>
      <c r="D11" s="14" t="s">
        <v>143</v>
      </c>
      <c r="E11" s="14" t="s">
        <v>144</v>
      </c>
      <c r="F11" s="15" t="s">
        <v>51</v>
      </c>
      <c r="G11" s="14" t="s">
        <v>145</v>
      </c>
      <c r="H11" s="14" t="s">
        <v>143</v>
      </c>
      <c r="I11" s="14" t="s">
        <v>59</v>
      </c>
      <c r="J11" s="14" t="s">
        <v>198</v>
      </c>
      <c r="K11" s="14" t="s">
        <v>210</v>
      </c>
      <c r="L11" s="14" t="s">
        <v>278</v>
      </c>
      <c r="M11" s="14" t="s">
        <v>279</v>
      </c>
      <c r="N11" s="14" t="s">
        <v>280</v>
      </c>
      <c r="O11" s="16">
        <v>100.0</v>
      </c>
      <c r="P11" s="21">
        <v>0.0</v>
      </c>
      <c r="Q11" s="22" t="str">
        <f t="shared" si="6"/>
        <v>+0</v>
      </c>
      <c r="R11" s="18" t="str">
        <f>"+0"</f>
        <v>+0</v>
      </c>
      <c r="S11" s="14" t="s">
        <v>281</v>
      </c>
    </row>
    <row r="12">
      <c r="A12" s="13">
        <v>45901.0</v>
      </c>
      <c r="B12" s="14" t="s">
        <v>47</v>
      </c>
      <c r="C12" s="14" t="s">
        <v>48</v>
      </c>
      <c r="D12" s="14" t="s">
        <v>143</v>
      </c>
      <c r="E12" s="14" t="s">
        <v>144</v>
      </c>
      <c r="F12" s="15" t="s">
        <v>51</v>
      </c>
      <c r="G12" s="14" t="s">
        <v>145</v>
      </c>
      <c r="H12" s="14" t="s">
        <v>143</v>
      </c>
      <c r="I12" s="14" t="s">
        <v>59</v>
      </c>
      <c r="J12" s="14" t="s">
        <v>200</v>
      </c>
      <c r="K12" s="14" t="s">
        <v>232</v>
      </c>
      <c r="L12" s="14" t="s">
        <v>282</v>
      </c>
      <c r="M12" s="14" t="s">
        <v>283</v>
      </c>
      <c r="N12" s="14" t="s">
        <v>284</v>
      </c>
      <c r="O12" s="16">
        <v>0.0</v>
      </c>
      <c r="P12" s="23">
        <v>0.0</v>
      </c>
      <c r="Q12" s="22" t="str">
        <f t="shared" ref="Q12:R12" si="7">"+0.00%"</f>
        <v>+0.00%</v>
      </c>
      <c r="R12" s="18" t="str">
        <f t="shared" si="7"/>
        <v>+0.00%</v>
      </c>
      <c r="S12" s="14" t="s">
        <v>285</v>
      </c>
    </row>
    <row r="13">
      <c r="A13" s="13">
        <v>45901.0</v>
      </c>
      <c r="B13" s="14" t="s">
        <v>47</v>
      </c>
      <c r="C13" s="14" t="s">
        <v>48</v>
      </c>
      <c r="D13" s="14" t="s">
        <v>103</v>
      </c>
      <c r="E13" s="14" t="s">
        <v>104</v>
      </c>
      <c r="F13" s="15" t="s">
        <v>51</v>
      </c>
      <c r="G13" s="14" t="s">
        <v>105</v>
      </c>
      <c r="H13" s="14" t="s">
        <v>106</v>
      </c>
      <c r="I13" s="14" t="s">
        <v>59</v>
      </c>
      <c r="J13" s="14" t="s">
        <v>200</v>
      </c>
      <c r="K13" s="14" t="s">
        <v>232</v>
      </c>
      <c r="L13" s="14" t="s">
        <v>286</v>
      </c>
      <c r="M13" s="14" t="s">
        <v>287</v>
      </c>
      <c r="N13" s="14" t="s">
        <v>288</v>
      </c>
      <c r="O13" s="16">
        <v>0.0</v>
      </c>
      <c r="P13" s="23">
        <v>0.0</v>
      </c>
      <c r="Q13" s="22" t="str">
        <f t="shared" ref="Q13:R13" si="8">"+0.00%"</f>
        <v>+0.00%</v>
      </c>
      <c r="R13" s="18" t="str">
        <f t="shared" si="8"/>
        <v>+0.00%</v>
      </c>
      <c r="S13" s="14" t="s">
        <v>285</v>
      </c>
    </row>
    <row r="14">
      <c r="A14" s="13">
        <v>45901.0</v>
      </c>
      <c r="B14" s="14" t="s">
        <v>47</v>
      </c>
      <c r="C14" s="14" t="s">
        <v>48</v>
      </c>
      <c r="D14" s="14" t="s">
        <v>129</v>
      </c>
      <c r="E14" s="14" t="s">
        <v>130</v>
      </c>
      <c r="F14" s="15" t="s">
        <v>51</v>
      </c>
      <c r="G14" s="14" t="s">
        <v>131</v>
      </c>
      <c r="H14" s="14" t="s">
        <v>129</v>
      </c>
      <c r="I14" s="14" t="s">
        <v>59</v>
      </c>
      <c r="J14" s="14" t="s">
        <v>200</v>
      </c>
      <c r="K14" s="14" t="s">
        <v>213</v>
      </c>
      <c r="L14" s="14" t="s">
        <v>289</v>
      </c>
      <c r="M14" s="14" t="s">
        <v>290</v>
      </c>
      <c r="N14" s="14" t="s">
        <v>291</v>
      </c>
      <c r="O14" s="16">
        <v>0.0</v>
      </c>
      <c r="P14" s="23">
        <v>0.0</v>
      </c>
      <c r="Q14" s="22" t="str">
        <f t="shared" ref="Q14:R14" si="9">"+0.00%"</f>
        <v>+0.00%</v>
      </c>
      <c r="R14" s="18" t="str">
        <f t="shared" si="9"/>
        <v>+0.00%</v>
      </c>
      <c r="S14" s="14" t="s">
        <v>285</v>
      </c>
    </row>
    <row r="15">
      <c r="A15" s="13">
        <v>45901.0</v>
      </c>
      <c r="B15" s="14" t="s">
        <v>47</v>
      </c>
      <c r="C15" s="14" t="s">
        <v>48</v>
      </c>
      <c r="D15" s="14" t="s">
        <v>87</v>
      </c>
      <c r="E15" s="14" t="s">
        <v>88</v>
      </c>
      <c r="F15" s="15" t="s">
        <v>51</v>
      </c>
      <c r="G15" s="14" t="s">
        <v>89</v>
      </c>
      <c r="H15" s="14" t="s">
        <v>90</v>
      </c>
      <c r="I15" s="14" t="s">
        <v>59</v>
      </c>
      <c r="J15" s="14" t="s">
        <v>200</v>
      </c>
      <c r="K15" s="14" t="s">
        <v>246</v>
      </c>
      <c r="L15" s="14" t="s">
        <v>292</v>
      </c>
      <c r="M15" s="14" t="s">
        <v>293</v>
      </c>
      <c r="N15" s="14" t="s">
        <v>294</v>
      </c>
      <c r="O15" s="16">
        <v>0.0</v>
      </c>
      <c r="P15" s="21">
        <v>0.0</v>
      </c>
      <c r="Q15" s="22" t="str">
        <f t="shared" ref="Q15:R15" si="10">"+0"</f>
        <v>+0</v>
      </c>
      <c r="R15" s="18" t="str">
        <f t="shared" si="10"/>
        <v>+0</v>
      </c>
      <c r="S15" s="14" t="s">
        <v>260</v>
      </c>
    </row>
    <row r="16">
      <c r="A16" s="13">
        <v>45901.0</v>
      </c>
      <c r="B16" s="14" t="s">
        <v>47</v>
      </c>
      <c r="C16" s="14" t="s">
        <v>48</v>
      </c>
      <c r="D16" s="14" t="s">
        <v>129</v>
      </c>
      <c r="E16" s="14" t="s">
        <v>130</v>
      </c>
      <c r="F16" s="15" t="s">
        <v>51</v>
      </c>
      <c r="G16" s="14" t="s">
        <v>131</v>
      </c>
      <c r="H16" s="14" t="s">
        <v>129</v>
      </c>
      <c r="I16" s="14" t="s">
        <v>59</v>
      </c>
      <c r="J16" s="14" t="s">
        <v>199</v>
      </c>
      <c r="K16" s="14" t="s">
        <v>206</v>
      </c>
      <c r="L16" s="14" t="s">
        <v>295</v>
      </c>
      <c r="M16" s="14" t="s">
        <v>296</v>
      </c>
      <c r="N16" s="14" t="s">
        <v>297</v>
      </c>
      <c r="O16" s="16">
        <v>0.0</v>
      </c>
      <c r="P16" s="21">
        <v>0.0</v>
      </c>
      <c r="Q16" s="22" t="str">
        <f t="shared" ref="Q16:R16" si="11">"+0"</f>
        <v>+0</v>
      </c>
      <c r="R16" s="18" t="str">
        <f t="shared" si="11"/>
        <v>+0</v>
      </c>
      <c r="S16" s="14" t="s">
        <v>260</v>
      </c>
    </row>
    <row r="17">
      <c r="A17" s="13">
        <v>45901.0</v>
      </c>
      <c r="B17" s="14" t="s">
        <v>47</v>
      </c>
      <c r="C17" s="14" t="s">
        <v>48</v>
      </c>
      <c r="D17" s="14" t="s">
        <v>149</v>
      </c>
      <c r="E17" s="14" t="s">
        <v>150</v>
      </c>
      <c r="F17" s="15" t="s">
        <v>51</v>
      </c>
      <c r="G17" s="14" t="s">
        <v>151</v>
      </c>
      <c r="H17" s="14" t="s">
        <v>152</v>
      </c>
      <c r="I17" s="14" t="s">
        <v>54</v>
      </c>
      <c r="J17" s="14" t="s">
        <v>200</v>
      </c>
      <c r="K17" s="14" t="s">
        <v>223</v>
      </c>
      <c r="L17" s="14" t="s">
        <v>257</v>
      </c>
      <c r="M17" s="14" t="s">
        <v>298</v>
      </c>
      <c r="N17" s="14" t="s">
        <v>299</v>
      </c>
      <c r="O17" s="16">
        <v>11.0</v>
      </c>
      <c r="P17" s="23">
        <v>0.1103</v>
      </c>
      <c r="Q17" s="22" t="str">
        <f>"+1.40%"</f>
        <v>+1.40%</v>
      </c>
      <c r="R17" s="18" t="str">
        <f>"+1.19%"</f>
        <v>+1.19%</v>
      </c>
      <c r="S17" s="14" t="s">
        <v>300</v>
      </c>
    </row>
    <row r="18">
      <c r="A18" s="13">
        <v>45901.0</v>
      </c>
      <c r="B18" s="14" t="s">
        <v>47</v>
      </c>
      <c r="C18" s="14" t="s">
        <v>48</v>
      </c>
      <c r="D18" s="14" t="s">
        <v>129</v>
      </c>
      <c r="E18" s="14" t="s">
        <v>130</v>
      </c>
      <c r="F18" s="15" t="s">
        <v>51</v>
      </c>
      <c r="G18" s="14" t="s">
        <v>131</v>
      </c>
      <c r="H18" s="14" t="s">
        <v>129</v>
      </c>
      <c r="I18" s="14" t="s">
        <v>59</v>
      </c>
      <c r="J18" s="14" t="s">
        <v>200</v>
      </c>
      <c r="K18" s="14" t="s">
        <v>222</v>
      </c>
      <c r="L18" s="14" t="s">
        <v>301</v>
      </c>
      <c r="M18" s="14" t="s">
        <v>302</v>
      </c>
      <c r="N18" s="14" t="s">
        <v>303</v>
      </c>
      <c r="O18" s="16">
        <v>0.0</v>
      </c>
      <c r="P18" s="21">
        <v>0.0</v>
      </c>
      <c r="Q18" s="22" t="str">
        <f t="shared" ref="Q18:R18" si="12">"+0"</f>
        <v>+0</v>
      </c>
      <c r="R18" s="18" t="str">
        <f t="shared" si="12"/>
        <v>+0</v>
      </c>
      <c r="S18" s="14" t="s">
        <v>260</v>
      </c>
    </row>
    <row r="19">
      <c r="A19" s="13">
        <v>45901.0</v>
      </c>
      <c r="B19" s="14" t="s">
        <v>47</v>
      </c>
      <c r="C19" s="14" t="s">
        <v>48</v>
      </c>
      <c r="D19" s="14" t="s">
        <v>149</v>
      </c>
      <c r="E19" s="14" t="s">
        <v>150</v>
      </c>
      <c r="F19" s="15" t="s">
        <v>51</v>
      </c>
      <c r="G19" s="14" t="s">
        <v>151</v>
      </c>
      <c r="H19" s="14" t="s">
        <v>152</v>
      </c>
      <c r="I19" s="14" t="s">
        <v>54</v>
      </c>
      <c r="J19" s="14" t="s">
        <v>200</v>
      </c>
      <c r="K19" s="14" t="s">
        <v>223</v>
      </c>
      <c r="L19" s="14" t="s">
        <v>304</v>
      </c>
      <c r="M19" s="14" t="s">
        <v>305</v>
      </c>
      <c r="N19" s="14" t="s">
        <v>306</v>
      </c>
      <c r="O19" s="16">
        <v>100.0</v>
      </c>
      <c r="P19" s="21">
        <v>33.0</v>
      </c>
      <c r="Q19" s="22" t="str">
        <f t="shared" ref="Q19:R19" si="13">"+0"</f>
        <v>+0</v>
      </c>
      <c r="R19" s="18" t="str">
        <f t="shared" si="13"/>
        <v>+0</v>
      </c>
      <c r="S19" s="14" t="s">
        <v>260</v>
      </c>
    </row>
    <row r="20">
      <c r="A20" s="13">
        <v>45901.0</v>
      </c>
      <c r="B20" s="14" t="s">
        <v>47</v>
      </c>
      <c r="C20" s="14" t="s">
        <v>48</v>
      </c>
      <c r="D20" s="14" t="s">
        <v>136</v>
      </c>
      <c r="E20" s="14" t="s">
        <v>137</v>
      </c>
      <c r="F20" s="15" t="s">
        <v>51</v>
      </c>
      <c r="G20" s="14" t="s">
        <v>138</v>
      </c>
      <c r="H20" s="14" t="s">
        <v>139</v>
      </c>
      <c r="I20" s="14" t="s">
        <v>59</v>
      </c>
      <c r="J20" s="14" t="s">
        <v>200</v>
      </c>
      <c r="K20" s="14" t="s">
        <v>213</v>
      </c>
      <c r="L20" s="14" t="s">
        <v>307</v>
      </c>
      <c r="M20" s="14" t="s">
        <v>308</v>
      </c>
      <c r="N20" s="14" t="s">
        <v>309</v>
      </c>
      <c r="O20" s="16">
        <v>0.0</v>
      </c>
      <c r="P20" s="23">
        <v>0.0</v>
      </c>
      <c r="Q20" s="22" t="str">
        <f t="shared" ref="Q20:R20" si="14">"+0.00%"</f>
        <v>+0.00%</v>
      </c>
      <c r="R20" s="18" t="str">
        <f t="shared" si="14"/>
        <v>+0.00%</v>
      </c>
      <c r="S20" s="14" t="s">
        <v>285</v>
      </c>
    </row>
    <row r="21">
      <c r="A21" s="13">
        <v>45901.0</v>
      </c>
      <c r="B21" s="14" t="s">
        <v>47</v>
      </c>
      <c r="C21" s="14" t="s">
        <v>48</v>
      </c>
      <c r="D21" s="14" t="s">
        <v>87</v>
      </c>
      <c r="E21" s="14" t="s">
        <v>88</v>
      </c>
      <c r="F21" s="15" t="s">
        <v>51</v>
      </c>
      <c r="G21" s="14" t="s">
        <v>89</v>
      </c>
      <c r="H21" s="14" t="s">
        <v>90</v>
      </c>
      <c r="I21" s="14" t="s">
        <v>59</v>
      </c>
      <c r="J21" s="14" t="s">
        <v>200</v>
      </c>
      <c r="K21" s="14" t="s">
        <v>246</v>
      </c>
      <c r="L21" s="14" t="s">
        <v>253</v>
      </c>
      <c r="M21" s="14" t="s">
        <v>310</v>
      </c>
      <c r="N21" s="14" t="s">
        <v>311</v>
      </c>
      <c r="O21" s="16">
        <v>0.0</v>
      </c>
      <c r="P21" s="23">
        <v>0.0</v>
      </c>
      <c r="Q21" s="22" t="str">
        <f t="shared" ref="Q21:R21" si="15">"+0.00%"</f>
        <v>+0.00%</v>
      </c>
      <c r="R21" s="18" t="str">
        <f t="shared" si="15"/>
        <v>+0.00%</v>
      </c>
      <c r="S21" s="14" t="s">
        <v>312</v>
      </c>
    </row>
    <row r="22">
      <c r="A22" s="13">
        <v>45901.0</v>
      </c>
      <c r="B22" s="14" t="s">
        <v>47</v>
      </c>
      <c r="C22" s="14" t="s">
        <v>48</v>
      </c>
      <c r="D22" s="14" t="s">
        <v>69</v>
      </c>
      <c r="E22" s="14" t="s">
        <v>70</v>
      </c>
      <c r="F22" s="15" t="s">
        <v>51</v>
      </c>
      <c r="G22" s="14" t="s">
        <v>115</v>
      </c>
      <c r="H22" s="14" t="s">
        <v>72</v>
      </c>
      <c r="I22" s="14" t="s">
        <v>54</v>
      </c>
      <c r="J22" s="14" t="s">
        <v>198</v>
      </c>
      <c r="K22" s="14" t="s">
        <v>210</v>
      </c>
      <c r="L22" s="14" t="s">
        <v>264</v>
      </c>
      <c r="M22" s="14" t="s">
        <v>313</v>
      </c>
      <c r="N22" s="14" t="s">
        <v>314</v>
      </c>
      <c r="O22" s="16">
        <v>100.0</v>
      </c>
      <c r="P22" s="21">
        <v>1.0</v>
      </c>
      <c r="Q22" s="22" t="str">
        <f>"-1"</f>
        <v>-1</v>
      </c>
      <c r="R22" s="18" t="str">
        <f>"-2"</f>
        <v>-2</v>
      </c>
      <c r="S22" s="14" t="s">
        <v>277</v>
      </c>
    </row>
    <row r="23">
      <c r="A23" s="13">
        <v>45901.0</v>
      </c>
      <c r="B23" s="14" t="s">
        <v>47</v>
      </c>
      <c r="C23" s="14" t="s">
        <v>48</v>
      </c>
      <c r="D23" s="14" t="s">
        <v>85</v>
      </c>
      <c r="E23" s="14" t="s">
        <v>86</v>
      </c>
      <c r="F23" s="15" t="s">
        <v>51</v>
      </c>
      <c r="G23" s="14" t="s">
        <v>148</v>
      </c>
      <c r="H23" s="14" t="s">
        <v>85</v>
      </c>
      <c r="I23" s="14" t="s">
        <v>59</v>
      </c>
      <c r="J23" s="14" t="s">
        <v>200</v>
      </c>
      <c r="K23" s="14" t="s">
        <v>213</v>
      </c>
      <c r="L23" s="14" t="s">
        <v>257</v>
      </c>
      <c r="M23" s="14" t="s">
        <v>315</v>
      </c>
      <c r="N23" s="14" t="s">
        <v>316</v>
      </c>
      <c r="O23" s="16">
        <v>73.0</v>
      </c>
      <c r="P23" s="23">
        <v>0.7362</v>
      </c>
      <c r="Q23" s="22" t="str">
        <f>"+2.24%"</f>
        <v>+2.24%</v>
      </c>
      <c r="R23" s="18" t="str">
        <f>"+0.44%"</f>
        <v>+0.44%</v>
      </c>
      <c r="S23" s="14" t="s">
        <v>317</v>
      </c>
    </row>
    <row r="24">
      <c r="A24" s="13">
        <v>45901.0</v>
      </c>
      <c r="B24" s="14" t="s">
        <v>47</v>
      </c>
      <c r="C24" s="14" t="s">
        <v>48</v>
      </c>
      <c r="D24" s="14" t="s">
        <v>108</v>
      </c>
      <c r="E24" s="14" t="s">
        <v>109</v>
      </c>
      <c r="F24" s="15" t="s">
        <v>51</v>
      </c>
      <c r="G24" s="14" t="s">
        <v>110</v>
      </c>
      <c r="H24" s="14" t="s">
        <v>108</v>
      </c>
      <c r="I24" s="14" t="s">
        <v>59</v>
      </c>
      <c r="J24" s="14" t="s">
        <v>198</v>
      </c>
      <c r="K24" s="14" t="s">
        <v>207</v>
      </c>
      <c r="L24" s="14" t="s">
        <v>318</v>
      </c>
      <c r="M24" s="14" t="s">
        <v>319</v>
      </c>
      <c r="N24" s="14" t="s">
        <v>320</v>
      </c>
      <c r="O24" s="16">
        <v>0.0</v>
      </c>
      <c r="P24" s="21">
        <v>0.0</v>
      </c>
      <c r="Q24" s="22" t="str">
        <f>"+0"</f>
        <v>+0</v>
      </c>
      <c r="S24" s="14" t="s">
        <v>281</v>
      </c>
    </row>
    <row r="25">
      <c r="A25" s="13">
        <v>45901.0</v>
      </c>
      <c r="B25" s="14" t="s">
        <v>47</v>
      </c>
      <c r="C25" s="14" t="s">
        <v>48</v>
      </c>
      <c r="D25" s="14" t="s">
        <v>112</v>
      </c>
      <c r="E25" s="14" t="s">
        <v>113</v>
      </c>
      <c r="F25" s="15" t="s">
        <v>51</v>
      </c>
      <c r="G25" s="14" t="s">
        <v>114</v>
      </c>
      <c r="H25" s="14" t="s">
        <v>112</v>
      </c>
      <c r="I25" s="14" t="s">
        <v>59</v>
      </c>
      <c r="J25" s="14" t="s">
        <v>200</v>
      </c>
      <c r="K25" s="14" t="s">
        <v>227</v>
      </c>
      <c r="L25" s="14" t="s">
        <v>270</v>
      </c>
      <c r="M25" s="14" t="s">
        <v>321</v>
      </c>
      <c r="N25" s="14" t="s">
        <v>322</v>
      </c>
      <c r="O25" s="16">
        <v>36.0</v>
      </c>
      <c r="P25" s="23">
        <v>-0.2653</v>
      </c>
      <c r="Q25" s="22" t="str">
        <f>"+27.32%"</f>
        <v>+27.32%</v>
      </c>
      <c r="R25" s="18" t="str">
        <f>"+18.42%"</f>
        <v>+18.42%</v>
      </c>
      <c r="S25" s="14" t="s">
        <v>323</v>
      </c>
    </row>
    <row r="26">
      <c r="A26" s="13">
        <v>45901.0</v>
      </c>
      <c r="B26" s="14" t="s">
        <v>47</v>
      </c>
      <c r="C26" s="14" t="s">
        <v>48</v>
      </c>
      <c r="D26" s="14" t="s">
        <v>77</v>
      </c>
      <c r="E26" s="14" t="s">
        <v>78</v>
      </c>
      <c r="F26" s="15" t="s">
        <v>51</v>
      </c>
      <c r="G26" s="14" t="s">
        <v>128</v>
      </c>
      <c r="H26" s="14" t="s">
        <v>81</v>
      </c>
      <c r="I26" s="14" t="s">
        <v>59</v>
      </c>
      <c r="J26" s="14" t="s">
        <v>200</v>
      </c>
      <c r="K26" s="14" t="s">
        <v>216</v>
      </c>
      <c r="L26" s="14" t="s">
        <v>324</v>
      </c>
      <c r="M26" s="14" t="s">
        <v>325</v>
      </c>
      <c r="N26" s="14" t="s">
        <v>326</v>
      </c>
      <c r="O26" s="16">
        <v>0.0</v>
      </c>
      <c r="P26" s="21">
        <v>0.0</v>
      </c>
      <c r="Q26" s="22" t="str">
        <f t="shared" ref="Q26:R26" si="16">"+0"</f>
        <v>+0</v>
      </c>
      <c r="R26" s="18" t="str">
        <f t="shared" si="16"/>
        <v>+0</v>
      </c>
      <c r="S26" s="14" t="s">
        <v>327</v>
      </c>
    </row>
    <row r="27">
      <c r="A27" s="13">
        <v>45901.0</v>
      </c>
      <c r="B27" s="14" t="s">
        <v>47</v>
      </c>
      <c r="C27" s="14" t="s">
        <v>48</v>
      </c>
      <c r="D27" s="14" t="s">
        <v>77</v>
      </c>
      <c r="E27" s="14" t="s">
        <v>78</v>
      </c>
      <c r="F27" s="15" t="s">
        <v>51</v>
      </c>
      <c r="G27" s="14" t="s">
        <v>128</v>
      </c>
      <c r="H27" s="14" t="s">
        <v>81</v>
      </c>
      <c r="I27" s="14" t="s">
        <v>59</v>
      </c>
      <c r="J27" s="14" t="s">
        <v>200</v>
      </c>
      <c r="K27" s="14" t="s">
        <v>227</v>
      </c>
      <c r="L27" s="14" t="s">
        <v>328</v>
      </c>
      <c r="M27" s="14" t="s">
        <v>329</v>
      </c>
      <c r="N27" s="14" t="s">
        <v>330</v>
      </c>
      <c r="O27" s="16">
        <v>0.0</v>
      </c>
      <c r="P27" s="21">
        <v>0.0</v>
      </c>
      <c r="Q27" s="22" t="str">
        <f t="shared" ref="Q27:R27" si="17">"+0"</f>
        <v>+0</v>
      </c>
      <c r="R27" s="18" t="str">
        <f t="shared" si="17"/>
        <v>+0</v>
      </c>
      <c r="S27" s="14" t="s">
        <v>260</v>
      </c>
    </row>
    <row r="28">
      <c r="A28" s="13">
        <v>45901.0</v>
      </c>
      <c r="B28" s="14" t="s">
        <v>47</v>
      </c>
      <c r="C28" s="14" t="s">
        <v>48</v>
      </c>
      <c r="D28" s="14" t="s">
        <v>77</v>
      </c>
      <c r="E28" s="14" t="s">
        <v>78</v>
      </c>
      <c r="F28" s="15" t="s">
        <v>51</v>
      </c>
      <c r="G28" s="14" t="s">
        <v>128</v>
      </c>
      <c r="H28" s="14" t="s">
        <v>81</v>
      </c>
      <c r="I28" s="14" t="s">
        <v>59</v>
      </c>
      <c r="J28" s="14" t="s">
        <v>200</v>
      </c>
      <c r="K28" s="14" t="s">
        <v>223</v>
      </c>
      <c r="L28" s="14" t="s">
        <v>289</v>
      </c>
      <c r="M28" s="14" t="s">
        <v>331</v>
      </c>
      <c r="N28" s="14" t="s">
        <v>332</v>
      </c>
      <c r="O28" s="16">
        <v>0.0</v>
      </c>
      <c r="P28" s="23">
        <v>0.0</v>
      </c>
      <c r="Q28" s="22" t="str">
        <f t="shared" ref="Q28:R28" si="18">"+0.00%"</f>
        <v>+0.00%</v>
      </c>
      <c r="R28" s="18" t="str">
        <f t="shared" si="18"/>
        <v>+0.00%</v>
      </c>
      <c r="S28" s="14" t="s">
        <v>285</v>
      </c>
    </row>
    <row r="29">
      <c r="A29" s="13">
        <v>45901.0</v>
      </c>
      <c r="B29" s="14" t="s">
        <v>47</v>
      </c>
      <c r="C29" s="14" t="s">
        <v>48</v>
      </c>
      <c r="D29" s="14" t="s">
        <v>77</v>
      </c>
      <c r="E29" s="14" t="s">
        <v>78</v>
      </c>
      <c r="F29" s="14" t="s">
        <v>79</v>
      </c>
      <c r="G29" s="14" t="s">
        <v>80</v>
      </c>
      <c r="H29" s="14" t="s">
        <v>81</v>
      </c>
      <c r="J29" s="14" t="s">
        <v>200</v>
      </c>
      <c r="K29" s="14" t="s">
        <v>237</v>
      </c>
      <c r="L29" s="14" t="s">
        <v>333</v>
      </c>
      <c r="M29" s="14" t="s">
        <v>334</v>
      </c>
      <c r="N29" s="14" t="s">
        <v>335</v>
      </c>
      <c r="O29" s="16">
        <v>0.0</v>
      </c>
      <c r="P29" s="23">
        <v>-1.0</v>
      </c>
      <c r="Q29" s="22" t="str">
        <f t="shared" ref="Q29:R29" si="19">"+0.00%"</f>
        <v>+0.00%</v>
      </c>
      <c r="R29" s="18" t="str">
        <f t="shared" si="19"/>
        <v>+0.00%</v>
      </c>
      <c r="S29" s="14" t="s">
        <v>336</v>
      </c>
    </row>
    <row r="30">
      <c r="A30" s="13">
        <v>45901.0</v>
      </c>
      <c r="B30" s="14" t="s">
        <v>47</v>
      </c>
      <c r="C30" s="14" t="s">
        <v>48</v>
      </c>
      <c r="D30" s="14" t="s">
        <v>121</v>
      </c>
      <c r="E30" s="14" t="s">
        <v>122</v>
      </c>
      <c r="F30" s="15" t="s">
        <v>51</v>
      </c>
      <c r="G30" s="14" t="s">
        <v>123</v>
      </c>
      <c r="H30" s="14" t="s">
        <v>124</v>
      </c>
      <c r="I30" s="14" t="s">
        <v>59</v>
      </c>
      <c r="J30" s="14" t="s">
        <v>200</v>
      </c>
      <c r="K30" s="14" t="s">
        <v>222</v>
      </c>
      <c r="L30" s="14" t="s">
        <v>337</v>
      </c>
      <c r="M30" s="14" t="s">
        <v>338</v>
      </c>
      <c r="N30" s="14" t="s">
        <v>339</v>
      </c>
      <c r="O30" s="16">
        <v>0.0</v>
      </c>
      <c r="P30" s="21">
        <v>0.0</v>
      </c>
      <c r="Q30" s="22" t="str">
        <f t="shared" ref="Q30:R30" si="20">"+0"</f>
        <v>+0</v>
      </c>
      <c r="R30" s="18" t="str">
        <f t="shared" si="20"/>
        <v>+0</v>
      </c>
      <c r="S30" s="14" t="s">
        <v>260</v>
      </c>
    </row>
    <row r="31">
      <c r="A31" s="13">
        <v>45901.0</v>
      </c>
      <c r="B31" s="14" t="s">
        <v>47</v>
      </c>
      <c r="C31" s="14" t="s">
        <v>48</v>
      </c>
      <c r="D31" s="14" t="s">
        <v>60</v>
      </c>
      <c r="E31" s="14" t="s">
        <v>61</v>
      </c>
      <c r="F31" s="15" t="s">
        <v>51</v>
      </c>
      <c r="G31" s="14" t="s">
        <v>62</v>
      </c>
      <c r="H31" s="14" t="s">
        <v>60</v>
      </c>
      <c r="I31" s="14" t="s">
        <v>59</v>
      </c>
      <c r="J31" s="14" t="s">
        <v>200</v>
      </c>
      <c r="K31" s="14" t="s">
        <v>223</v>
      </c>
      <c r="L31" s="14" t="s">
        <v>257</v>
      </c>
      <c r="M31" s="14" t="s">
        <v>258</v>
      </c>
      <c r="N31" s="14" t="s">
        <v>259</v>
      </c>
      <c r="O31" s="16">
        <v>100.0</v>
      </c>
      <c r="P31" s="21">
        <v>3.0</v>
      </c>
      <c r="Q31" s="22" t="str">
        <f t="shared" ref="Q31:R31" si="21">"+0"</f>
        <v>+0</v>
      </c>
      <c r="R31" s="18" t="str">
        <f t="shared" si="21"/>
        <v>+0</v>
      </c>
      <c r="S31" s="14" t="s">
        <v>260</v>
      </c>
    </row>
    <row r="32">
      <c r="A32" s="13">
        <v>45901.0</v>
      </c>
      <c r="B32" s="14" t="s">
        <v>47</v>
      </c>
      <c r="C32" s="14" t="s">
        <v>48</v>
      </c>
      <c r="D32" s="14" t="s">
        <v>60</v>
      </c>
      <c r="E32" s="14" t="s">
        <v>61</v>
      </c>
      <c r="F32" s="15" t="s">
        <v>51</v>
      </c>
      <c r="G32" s="14" t="s">
        <v>62</v>
      </c>
      <c r="H32" s="14" t="s">
        <v>60</v>
      </c>
      <c r="I32" s="14" t="s">
        <v>59</v>
      </c>
      <c r="J32" s="14" t="s">
        <v>199</v>
      </c>
      <c r="K32" s="14" t="s">
        <v>203</v>
      </c>
      <c r="L32" s="14" t="s">
        <v>340</v>
      </c>
      <c r="M32" s="14" t="s">
        <v>340</v>
      </c>
      <c r="N32" s="14" t="s">
        <v>341</v>
      </c>
      <c r="O32" s="16">
        <v>0.0</v>
      </c>
      <c r="P32" s="21">
        <v>0.0</v>
      </c>
      <c r="Q32" s="22" t="str">
        <f t="shared" ref="Q32:R32" si="22">"+0"</f>
        <v>+0</v>
      </c>
      <c r="R32" s="18" t="str">
        <f t="shared" si="22"/>
        <v>+0</v>
      </c>
      <c r="S32" s="14" t="s">
        <v>260</v>
      </c>
    </row>
    <row r="33">
      <c r="A33" s="13">
        <v>45901.0</v>
      </c>
      <c r="B33" s="14" t="s">
        <v>47</v>
      </c>
      <c r="C33" s="14" t="s">
        <v>48</v>
      </c>
      <c r="D33" s="14" t="s">
        <v>121</v>
      </c>
      <c r="E33" s="14" t="s">
        <v>122</v>
      </c>
      <c r="F33" s="15" t="s">
        <v>51</v>
      </c>
      <c r="G33" s="14" t="s">
        <v>123</v>
      </c>
      <c r="H33" s="14" t="s">
        <v>124</v>
      </c>
      <c r="I33" s="14" t="s">
        <v>59</v>
      </c>
      <c r="J33" s="14" t="s">
        <v>198</v>
      </c>
      <c r="K33" s="14" t="s">
        <v>210</v>
      </c>
      <c r="L33" s="14" t="s">
        <v>278</v>
      </c>
      <c r="M33" s="14" t="s">
        <v>279</v>
      </c>
      <c r="N33" s="14" t="s">
        <v>280</v>
      </c>
      <c r="O33" s="16">
        <v>100.0</v>
      </c>
      <c r="P33" s="21">
        <v>0.0</v>
      </c>
      <c r="Q33" s="22" t="str">
        <f t="shared" ref="Q33:R33" si="23">"+0"</f>
        <v>+0</v>
      </c>
      <c r="R33" s="18" t="str">
        <f t="shared" si="23"/>
        <v>+0</v>
      </c>
      <c r="S33" s="14" t="s">
        <v>281</v>
      </c>
    </row>
    <row r="34">
      <c r="A34" s="13">
        <v>45901.0</v>
      </c>
      <c r="B34" s="14" t="s">
        <v>47</v>
      </c>
      <c r="C34" s="14" t="s">
        <v>48</v>
      </c>
      <c r="D34" s="14" t="s">
        <v>181</v>
      </c>
      <c r="E34" s="14" t="s">
        <v>182</v>
      </c>
      <c r="F34" s="15" t="s">
        <v>51</v>
      </c>
      <c r="G34" s="14" t="s">
        <v>183</v>
      </c>
      <c r="H34" s="14" t="s">
        <v>181</v>
      </c>
      <c r="I34" s="14" t="s">
        <v>59</v>
      </c>
      <c r="J34" s="14" t="s">
        <v>199</v>
      </c>
      <c r="K34" s="14" t="s">
        <v>203</v>
      </c>
      <c r="L34" s="14" t="s">
        <v>342</v>
      </c>
      <c r="M34" s="14" t="s">
        <v>342</v>
      </c>
      <c r="N34" s="14" t="s">
        <v>343</v>
      </c>
      <c r="O34" s="16">
        <v>0.0</v>
      </c>
      <c r="P34" s="21">
        <v>0.0</v>
      </c>
      <c r="Q34" s="22" t="str">
        <f t="shared" ref="Q34:R34" si="24">"+0"</f>
        <v>+0</v>
      </c>
      <c r="R34" s="18" t="str">
        <f t="shared" si="24"/>
        <v>+0</v>
      </c>
      <c r="S34" s="14" t="s">
        <v>260</v>
      </c>
    </row>
    <row r="35">
      <c r="A35" s="13">
        <v>45901.0</v>
      </c>
      <c r="B35" s="14" t="s">
        <v>47</v>
      </c>
      <c r="C35" s="14" t="s">
        <v>48</v>
      </c>
      <c r="D35" s="14" t="s">
        <v>49</v>
      </c>
      <c r="E35" s="14" t="s">
        <v>50</v>
      </c>
      <c r="F35" s="15" t="s">
        <v>51</v>
      </c>
      <c r="G35" s="14" t="s">
        <v>52</v>
      </c>
      <c r="H35" s="14" t="s">
        <v>53</v>
      </c>
      <c r="I35" s="14" t="s">
        <v>54</v>
      </c>
      <c r="J35" s="14" t="s">
        <v>198</v>
      </c>
      <c r="K35" s="14" t="s">
        <v>212</v>
      </c>
      <c r="L35" s="14" t="s">
        <v>344</v>
      </c>
      <c r="M35" s="14" t="s">
        <v>345</v>
      </c>
      <c r="N35" s="14" t="s">
        <v>346</v>
      </c>
      <c r="O35" s="16">
        <v>0.0</v>
      </c>
      <c r="P35" s="21">
        <v>0.0</v>
      </c>
      <c r="Q35" s="22" t="str">
        <f t="shared" ref="Q35:R35" si="25">"+0"</f>
        <v>+0</v>
      </c>
      <c r="R35" s="18" t="str">
        <f t="shared" si="25"/>
        <v>+0</v>
      </c>
      <c r="S35" s="14" t="s">
        <v>277</v>
      </c>
    </row>
    <row r="36">
      <c r="A36" s="13">
        <v>45901.0</v>
      </c>
      <c r="B36" s="14" t="s">
        <v>47</v>
      </c>
      <c r="C36" s="14" t="s">
        <v>48</v>
      </c>
      <c r="D36" s="14" t="s">
        <v>49</v>
      </c>
      <c r="E36" s="14" t="s">
        <v>50</v>
      </c>
      <c r="F36" s="15" t="s">
        <v>51</v>
      </c>
      <c r="G36" s="14" t="s">
        <v>52</v>
      </c>
      <c r="H36" s="14" t="s">
        <v>53</v>
      </c>
      <c r="I36" s="14" t="s">
        <v>54</v>
      </c>
      <c r="J36" s="14" t="s">
        <v>200</v>
      </c>
      <c r="K36" s="14" t="s">
        <v>202</v>
      </c>
      <c r="L36" s="14" t="s">
        <v>253</v>
      </c>
      <c r="M36" s="14" t="s">
        <v>347</v>
      </c>
      <c r="N36" s="14" t="s">
        <v>348</v>
      </c>
      <c r="O36" s="16">
        <v>21.0</v>
      </c>
      <c r="P36" s="23">
        <v>0.2143</v>
      </c>
      <c r="Q36" s="22" t="str">
        <f>"+0.00%"</f>
        <v>+0.00%</v>
      </c>
      <c r="R36" s="18" t="str">
        <f>"-7.14%"</f>
        <v>-7.14%</v>
      </c>
      <c r="S36" s="14" t="s">
        <v>349</v>
      </c>
    </row>
    <row r="37">
      <c r="A37" s="13">
        <v>45901.0</v>
      </c>
      <c r="B37" s="14" t="s">
        <v>47</v>
      </c>
      <c r="C37" s="14" t="s">
        <v>48</v>
      </c>
      <c r="D37" s="14" t="s">
        <v>91</v>
      </c>
      <c r="E37" s="14" t="s">
        <v>92</v>
      </c>
      <c r="F37" s="15" t="s">
        <v>51</v>
      </c>
      <c r="G37" s="14" t="s">
        <v>163</v>
      </c>
      <c r="H37" s="14" t="s">
        <v>91</v>
      </c>
      <c r="I37" s="14" t="s">
        <v>59</v>
      </c>
      <c r="J37" s="14" t="s">
        <v>200</v>
      </c>
      <c r="K37" s="14" t="s">
        <v>222</v>
      </c>
      <c r="L37" s="14" t="s">
        <v>337</v>
      </c>
      <c r="M37" s="14" t="s">
        <v>338</v>
      </c>
      <c r="N37" s="14" t="s">
        <v>339</v>
      </c>
      <c r="O37" s="16">
        <v>0.0</v>
      </c>
      <c r="P37" s="21">
        <v>0.0</v>
      </c>
      <c r="Q37" s="22" t="str">
        <f t="shared" ref="Q37:R37" si="26">"+0"</f>
        <v>+0</v>
      </c>
      <c r="R37" s="18" t="str">
        <f t="shared" si="26"/>
        <v>+0</v>
      </c>
      <c r="S37" s="14" t="s">
        <v>260</v>
      </c>
    </row>
    <row r="38">
      <c r="A38" s="13">
        <v>45901.0</v>
      </c>
      <c r="B38" s="14" t="s">
        <v>47</v>
      </c>
      <c r="C38" s="14" t="s">
        <v>48</v>
      </c>
      <c r="D38" s="14" t="s">
        <v>99</v>
      </c>
      <c r="E38" s="14" t="s">
        <v>100</v>
      </c>
      <c r="F38" s="15" t="s">
        <v>51</v>
      </c>
      <c r="G38" s="14" t="s">
        <v>101</v>
      </c>
      <c r="H38" s="14" t="s">
        <v>102</v>
      </c>
      <c r="I38" s="14" t="s">
        <v>54</v>
      </c>
      <c r="J38" s="14" t="s">
        <v>198</v>
      </c>
      <c r="K38" s="14" t="s">
        <v>210</v>
      </c>
      <c r="L38" s="14" t="s">
        <v>264</v>
      </c>
      <c r="M38" s="14" t="s">
        <v>350</v>
      </c>
      <c r="N38" s="14" t="s">
        <v>351</v>
      </c>
      <c r="O38" s="16">
        <v>0.0</v>
      </c>
      <c r="P38" s="21">
        <v>0.0</v>
      </c>
      <c r="Q38" s="22" t="str">
        <f t="shared" ref="Q38:R38" si="27">"+0"</f>
        <v>+0</v>
      </c>
      <c r="R38" s="18" t="str">
        <f t="shared" si="27"/>
        <v>+0</v>
      </c>
      <c r="S38" s="14" t="s">
        <v>277</v>
      </c>
    </row>
    <row r="39">
      <c r="A39" s="13">
        <v>45901.0</v>
      </c>
      <c r="B39" s="14" t="s">
        <v>47</v>
      </c>
      <c r="C39" s="14" t="s">
        <v>48</v>
      </c>
      <c r="D39" s="14" t="s">
        <v>91</v>
      </c>
      <c r="E39" s="14" t="s">
        <v>92</v>
      </c>
      <c r="F39" s="14" t="s">
        <v>71</v>
      </c>
      <c r="G39" s="14">
        <v>1.00004432E8</v>
      </c>
      <c r="H39" s="14" t="s">
        <v>91</v>
      </c>
      <c r="I39" s="14" t="s">
        <v>59</v>
      </c>
      <c r="J39" s="14" t="s">
        <v>199</v>
      </c>
      <c r="K39" s="14" t="s">
        <v>208</v>
      </c>
      <c r="L39" s="14" t="s">
        <v>352</v>
      </c>
      <c r="M39" s="14" t="s">
        <v>352</v>
      </c>
      <c r="N39" s="14" t="s">
        <v>353</v>
      </c>
      <c r="O39" s="16">
        <v>100.0</v>
      </c>
      <c r="P39" s="21">
        <v>57.0</v>
      </c>
      <c r="Q39" s="22" t="str">
        <f t="shared" ref="Q39:R39" si="28">"+1"</f>
        <v>+1</v>
      </c>
      <c r="R39" s="18" t="str">
        <f t="shared" si="28"/>
        <v>+1</v>
      </c>
      <c r="S39" s="14" t="s">
        <v>260</v>
      </c>
    </row>
    <row r="40">
      <c r="A40" s="13">
        <v>45901.0</v>
      </c>
      <c r="B40" s="14" t="s">
        <v>47</v>
      </c>
      <c r="C40" s="14" t="s">
        <v>48</v>
      </c>
      <c r="D40" s="14" t="s">
        <v>103</v>
      </c>
      <c r="E40" s="14" t="s">
        <v>104</v>
      </c>
      <c r="F40" s="15" t="s">
        <v>51</v>
      </c>
      <c r="G40" s="14" t="s">
        <v>105</v>
      </c>
      <c r="H40" s="14" t="s">
        <v>106</v>
      </c>
      <c r="I40" s="14" t="s">
        <v>59</v>
      </c>
      <c r="J40" s="14" t="s">
        <v>198</v>
      </c>
      <c r="K40" s="14" t="s">
        <v>205</v>
      </c>
      <c r="L40" s="14" t="s">
        <v>274</v>
      </c>
      <c r="M40" s="14" t="s">
        <v>354</v>
      </c>
      <c r="N40" s="14" t="s">
        <v>355</v>
      </c>
      <c r="O40" s="16">
        <v>100.0</v>
      </c>
      <c r="P40" s="21">
        <v>3.0</v>
      </c>
      <c r="Q40" s="22" t="str">
        <f t="shared" ref="Q40:Q41" si="29">"+0"</f>
        <v>+0</v>
      </c>
      <c r="S40" s="14" t="s">
        <v>356</v>
      </c>
    </row>
    <row r="41">
      <c r="A41" s="13">
        <v>45901.0</v>
      </c>
      <c r="B41" s="14" t="s">
        <v>47</v>
      </c>
      <c r="C41" s="14" t="s">
        <v>48</v>
      </c>
      <c r="D41" s="14" t="s">
        <v>171</v>
      </c>
      <c r="E41" s="14" t="s">
        <v>172</v>
      </c>
      <c r="F41" s="15" t="s">
        <v>51</v>
      </c>
      <c r="G41" s="14" t="s">
        <v>173</v>
      </c>
      <c r="H41" s="14" t="s">
        <v>171</v>
      </c>
      <c r="I41" s="14" t="s">
        <v>59</v>
      </c>
      <c r="J41" s="14" t="s">
        <v>198</v>
      </c>
      <c r="K41" s="14" t="s">
        <v>210</v>
      </c>
      <c r="L41" s="14" t="s">
        <v>264</v>
      </c>
      <c r="M41" s="14" t="s">
        <v>357</v>
      </c>
      <c r="N41" s="14" t="s">
        <v>358</v>
      </c>
      <c r="O41" s="14">
        <v>100.0</v>
      </c>
      <c r="P41" s="21">
        <v>0.0</v>
      </c>
      <c r="Q41" s="22" t="str">
        <f t="shared" si="29"/>
        <v>+0</v>
      </c>
      <c r="R41" s="18" t="str">
        <f>"+0"</f>
        <v>+0</v>
      </c>
      <c r="S41" s="14" t="s">
        <v>281</v>
      </c>
    </row>
    <row r="42">
      <c r="A42" s="13">
        <v>45901.0</v>
      </c>
      <c r="B42" s="14" t="s">
        <v>47</v>
      </c>
      <c r="C42" s="14" t="s">
        <v>48</v>
      </c>
      <c r="D42" s="14" t="s">
        <v>149</v>
      </c>
      <c r="E42" s="14" t="s">
        <v>150</v>
      </c>
      <c r="F42" s="15" t="s">
        <v>51</v>
      </c>
      <c r="G42" s="14" t="s">
        <v>151</v>
      </c>
      <c r="H42" s="14" t="s">
        <v>152</v>
      </c>
      <c r="I42" s="14" t="s">
        <v>54</v>
      </c>
      <c r="J42" s="14" t="s">
        <v>200</v>
      </c>
      <c r="K42" s="14" t="s">
        <v>223</v>
      </c>
      <c r="L42" s="14" t="s">
        <v>359</v>
      </c>
      <c r="M42" s="14" t="s">
        <v>360</v>
      </c>
      <c r="N42" s="14" t="s">
        <v>361</v>
      </c>
      <c r="O42" s="14">
        <v>0.0</v>
      </c>
      <c r="P42" s="23">
        <v>0.0</v>
      </c>
      <c r="Q42" s="22" t="str">
        <f>"-0.01%"</f>
        <v>-0.01%</v>
      </c>
      <c r="R42" s="18" t="str">
        <f>"+0.00%"</f>
        <v>+0.00%</v>
      </c>
      <c r="S42" s="14" t="s">
        <v>362</v>
      </c>
    </row>
    <row r="43">
      <c r="A43" s="13">
        <v>45901.0</v>
      </c>
      <c r="B43" s="14" t="s">
        <v>47</v>
      </c>
      <c r="C43" s="14" t="s">
        <v>48</v>
      </c>
      <c r="D43" s="14" t="s">
        <v>87</v>
      </c>
      <c r="E43" s="14" t="s">
        <v>88</v>
      </c>
      <c r="F43" s="15" t="s">
        <v>51</v>
      </c>
      <c r="G43" s="14" t="s">
        <v>89</v>
      </c>
      <c r="H43" s="14" t="s">
        <v>90</v>
      </c>
      <c r="I43" s="14" t="s">
        <v>59</v>
      </c>
      <c r="J43" s="14" t="s">
        <v>200</v>
      </c>
      <c r="K43" s="14" t="s">
        <v>223</v>
      </c>
      <c r="L43" s="14" t="s">
        <v>363</v>
      </c>
      <c r="M43" s="14" t="s">
        <v>364</v>
      </c>
      <c r="N43" s="14" t="s">
        <v>365</v>
      </c>
      <c r="O43" s="14">
        <v>100.0</v>
      </c>
      <c r="P43" s="23">
        <v>0.044</v>
      </c>
      <c r="Q43" s="22" t="str">
        <f>"-0.47%"</f>
        <v>-0.47%</v>
      </c>
      <c r="R43" s="18" t="str">
        <f>"+0.30%"</f>
        <v>+0.30%</v>
      </c>
      <c r="S43" s="14" t="s">
        <v>285</v>
      </c>
    </row>
    <row r="44">
      <c r="A44" s="13">
        <v>45901.0</v>
      </c>
      <c r="B44" s="14" t="s">
        <v>47</v>
      </c>
      <c r="C44" s="14" t="s">
        <v>48</v>
      </c>
      <c r="D44" s="14" t="s">
        <v>149</v>
      </c>
      <c r="E44" s="14" t="s">
        <v>150</v>
      </c>
      <c r="F44" s="15" t="s">
        <v>51</v>
      </c>
      <c r="G44" s="14" t="s">
        <v>151</v>
      </c>
      <c r="H44" s="14" t="s">
        <v>152</v>
      </c>
      <c r="I44" s="14" t="s">
        <v>54</v>
      </c>
      <c r="J44" s="14" t="s">
        <v>200</v>
      </c>
      <c r="K44" s="14" t="s">
        <v>228</v>
      </c>
      <c r="L44" s="14" t="s">
        <v>253</v>
      </c>
      <c r="M44" s="14" t="s">
        <v>366</v>
      </c>
      <c r="N44" s="14" t="s">
        <v>367</v>
      </c>
      <c r="O44" s="14">
        <v>0.0</v>
      </c>
      <c r="P44" s="23">
        <v>0.0</v>
      </c>
      <c r="Q44" s="22" t="str">
        <f t="shared" ref="Q44:R44" si="30">"+0.00%"</f>
        <v>+0.00%</v>
      </c>
      <c r="R44" s="18" t="str">
        <f t="shared" si="30"/>
        <v>+0.00%</v>
      </c>
      <c r="S44" s="14" t="s">
        <v>368</v>
      </c>
    </row>
    <row r="45">
      <c r="A45" s="13">
        <v>45901.0</v>
      </c>
      <c r="B45" s="14" t="s">
        <v>47</v>
      </c>
      <c r="C45" s="14" t="s">
        <v>48</v>
      </c>
      <c r="D45" s="14" t="s">
        <v>149</v>
      </c>
      <c r="E45" s="14" t="s">
        <v>150</v>
      </c>
      <c r="F45" s="15" t="s">
        <v>51</v>
      </c>
      <c r="G45" s="14" t="s">
        <v>151</v>
      </c>
      <c r="H45" s="14" t="s">
        <v>152</v>
      </c>
      <c r="I45" s="14" t="s">
        <v>54</v>
      </c>
      <c r="J45" s="14" t="s">
        <v>200</v>
      </c>
      <c r="K45" s="14" t="s">
        <v>223</v>
      </c>
      <c r="L45" s="14" t="s">
        <v>286</v>
      </c>
      <c r="M45" s="14" t="s">
        <v>369</v>
      </c>
      <c r="N45" s="14" t="s">
        <v>370</v>
      </c>
      <c r="O45" s="14">
        <v>0.0</v>
      </c>
      <c r="P45" s="23">
        <v>0.0</v>
      </c>
      <c r="Q45" s="22" t="str">
        <f t="shared" ref="Q45:R45" si="31">"+0.00%"</f>
        <v>+0.00%</v>
      </c>
      <c r="R45" s="18" t="str">
        <f t="shared" si="31"/>
        <v>+0.00%</v>
      </c>
      <c r="S45" s="14" t="s">
        <v>371</v>
      </c>
    </row>
    <row r="46">
      <c r="A46" s="13">
        <v>45901.0</v>
      </c>
      <c r="B46" s="14" t="s">
        <v>47</v>
      </c>
      <c r="C46" s="14" t="s">
        <v>48</v>
      </c>
      <c r="D46" s="14" t="s">
        <v>129</v>
      </c>
      <c r="E46" s="14" t="s">
        <v>130</v>
      </c>
      <c r="F46" s="15" t="s">
        <v>51</v>
      </c>
      <c r="G46" s="14" t="s">
        <v>131</v>
      </c>
      <c r="H46" s="14" t="s">
        <v>129</v>
      </c>
      <c r="I46" s="14" t="s">
        <v>59</v>
      </c>
      <c r="J46" s="14" t="s">
        <v>200</v>
      </c>
      <c r="K46" s="14" t="s">
        <v>231</v>
      </c>
      <c r="L46" s="14" t="s">
        <v>372</v>
      </c>
      <c r="M46" s="14" t="s">
        <v>373</v>
      </c>
      <c r="N46" s="14" t="s">
        <v>374</v>
      </c>
      <c r="O46" s="14">
        <v>0.0</v>
      </c>
      <c r="P46" s="21">
        <v>0.0</v>
      </c>
      <c r="Q46" s="22" t="str">
        <f t="shared" ref="Q46:R46" si="32">"+0"</f>
        <v>+0</v>
      </c>
      <c r="R46" s="18" t="str">
        <f t="shared" si="32"/>
        <v>+0</v>
      </c>
      <c r="S46" s="14" t="s">
        <v>260</v>
      </c>
    </row>
    <row r="47">
      <c r="A47" s="13">
        <v>45901.0</v>
      </c>
      <c r="B47" s="14" t="s">
        <v>47</v>
      </c>
      <c r="C47" s="14" t="s">
        <v>48</v>
      </c>
      <c r="D47" s="14" t="s">
        <v>149</v>
      </c>
      <c r="E47" s="14" t="s">
        <v>150</v>
      </c>
      <c r="F47" s="15" t="s">
        <v>51</v>
      </c>
      <c r="G47" s="14" t="s">
        <v>151</v>
      </c>
      <c r="H47" s="14" t="s">
        <v>152</v>
      </c>
      <c r="I47" s="14" t="s">
        <v>54</v>
      </c>
      <c r="J47" s="14" t="s">
        <v>200</v>
      </c>
      <c r="K47" s="14" t="s">
        <v>223</v>
      </c>
      <c r="L47" s="14" t="s">
        <v>375</v>
      </c>
      <c r="M47" s="14" t="s">
        <v>376</v>
      </c>
      <c r="N47" s="14" t="s">
        <v>377</v>
      </c>
      <c r="O47" s="14">
        <v>1.0</v>
      </c>
      <c r="P47" s="23">
        <v>0.0014</v>
      </c>
      <c r="Q47" s="22" t="str">
        <f>"+0.01%"</f>
        <v>+0.01%</v>
      </c>
      <c r="R47" s="18" t="str">
        <f>"+0.06%"</f>
        <v>+0.06%</v>
      </c>
      <c r="S47" s="14" t="s">
        <v>378</v>
      </c>
    </row>
    <row r="48">
      <c r="A48" s="13">
        <v>45901.0</v>
      </c>
      <c r="B48" s="14" t="s">
        <v>47</v>
      </c>
      <c r="C48" s="14" t="s">
        <v>48</v>
      </c>
      <c r="D48" s="14" t="s">
        <v>125</v>
      </c>
      <c r="E48" s="14" t="s">
        <v>126</v>
      </c>
      <c r="F48" s="15" t="s">
        <v>51</v>
      </c>
      <c r="G48" s="14" t="s">
        <v>127</v>
      </c>
      <c r="H48" s="14" t="s">
        <v>125</v>
      </c>
      <c r="I48" s="14" t="s">
        <v>59</v>
      </c>
      <c r="J48" s="14" t="s">
        <v>200</v>
      </c>
      <c r="K48" s="14" t="s">
        <v>232</v>
      </c>
      <c r="L48" s="14" t="s">
        <v>363</v>
      </c>
      <c r="M48" s="14" t="s">
        <v>379</v>
      </c>
      <c r="N48" s="14" t="s">
        <v>380</v>
      </c>
      <c r="O48" s="14">
        <v>0.0</v>
      </c>
      <c r="P48" s="21">
        <v>0.0</v>
      </c>
      <c r="Q48" s="22" t="str">
        <f t="shared" ref="Q48:R48" si="33">"+0"</f>
        <v>+0</v>
      </c>
      <c r="R48" s="18" t="str">
        <f t="shared" si="33"/>
        <v>+0</v>
      </c>
      <c r="S48" s="14" t="s">
        <v>260</v>
      </c>
    </row>
    <row r="49">
      <c r="A49" s="13">
        <v>45901.0</v>
      </c>
      <c r="B49" s="14" t="s">
        <v>47</v>
      </c>
      <c r="C49" s="14" t="s">
        <v>48</v>
      </c>
      <c r="D49" s="14" t="s">
        <v>85</v>
      </c>
      <c r="E49" s="14" t="s">
        <v>86</v>
      </c>
      <c r="F49" s="14" t="s">
        <v>71</v>
      </c>
      <c r="G49" s="14">
        <v>88285.0</v>
      </c>
      <c r="H49" s="14" t="s">
        <v>85</v>
      </c>
      <c r="I49" s="14" t="s">
        <v>59</v>
      </c>
      <c r="J49" s="14" t="s">
        <v>199</v>
      </c>
      <c r="K49" s="14" t="s">
        <v>203</v>
      </c>
      <c r="L49" s="14" t="s">
        <v>340</v>
      </c>
      <c r="M49" s="14" t="s">
        <v>340</v>
      </c>
      <c r="N49" s="14" t="s">
        <v>341</v>
      </c>
      <c r="O49" s="14">
        <v>0.0</v>
      </c>
      <c r="P49" s="21">
        <v>0.0</v>
      </c>
      <c r="Q49" s="22" t="str">
        <f t="shared" ref="Q49:R49" si="34">"+0"</f>
        <v>+0</v>
      </c>
      <c r="R49" s="18" t="str">
        <f t="shared" si="34"/>
        <v>+0</v>
      </c>
      <c r="S49" s="14" t="s">
        <v>260</v>
      </c>
    </row>
    <row r="50">
      <c r="A50" s="13">
        <v>45901.0</v>
      </c>
      <c r="B50" s="14" t="s">
        <v>47</v>
      </c>
      <c r="C50" s="14" t="s">
        <v>48</v>
      </c>
      <c r="D50" s="14" t="s">
        <v>158</v>
      </c>
      <c r="E50" s="14" t="s">
        <v>159</v>
      </c>
      <c r="F50" s="15" t="s">
        <v>51</v>
      </c>
      <c r="G50" s="14" t="s">
        <v>160</v>
      </c>
      <c r="H50" s="14" t="s">
        <v>158</v>
      </c>
      <c r="I50" s="14" t="s">
        <v>54</v>
      </c>
      <c r="J50" s="14" t="s">
        <v>199</v>
      </c>
      <c r="K50" s="14" t="s">
        <v>206</v>
      </c>
      <c r="L50" s="14" t="s">
        <v>381</v>
      </c>
      <c r="M50" s="14" t="s">
        <v>381</v>
      </c>
      <c r="N50" s="14" t="s">
        <v>382</v>
      </c>
      <c r="O50" s="14">
        <v>0.0</v>
      </c>
      <c r="P50" s="21">
        <v>0.0</v>
      </c>
      <c r="Q50" s="22" t="str">
        <f t="shared" ref="Q50:R50" si="35">"+0"</f>
        <v>+0</v>
      </c>
      <c r="R50" s="18" t="str">
        <f t="shared" si="35"/>
        <v>+0</v>
      </c>
      <c r="S50" s="14" t="s">
        <v>383</v>
      </c>
    </row>
    <row r="51">
      <c r="A51" s="13">
        <v>45901.0</v>
      </c>
      <c r="B51" s="14" t="s">
        <v>47</v>
      </c>
      <c r="C51" s="14" t="s">
        <v>48</v>
      </c>
      <c r="D51" s="14" t="s">
        <v>116</v>
      </c>
      <c r="E51" s="14" t="s">
        <v>117</v>
      </c>
      <c r="F51" s="15" t="s">
        <v>51</v>
      </c>
      <c r="G51" s="14" t="s">
        <v>161</v>
      </c>
      <c r="H51" s="14" t="s">
        <v>116</v>
      </c>
      <c r="I51" s="14" t="s">
        <v>54</v>
      </c>
      <c r="J51" s="14" t="s">
        <v>200</v>
      </c>
      <c r="K51" s="14" t="s">
        <v>213</v>
      </c>
      <c r="L51" s="14" t="s">
        <v>289</v>
      </c>
      <c r="M51" s="14" t="s">
        <v>384</v>
      </c>
      <c r="N51" s="14" t="s">
        <v>385</v>
      </c>
      <c r="O51" s="14">
        <v>10.0</v>
      </c>
      <c r="P51" s="23">
        <v>0.1033</v>
      </c>
      <c r="Q51" s="22" t="str">
        <f>"-0.29%"</f>
        <v>-0.29%</v>
      </c>
      <c r="R51" s="18" t="str">
        <f>"-0.76%"</f>
        <v>-0.76%</v>
      </c>
      <c r="S51" s="14" t="s">
        <v>386</v>
      </c>
    </row>
    <row r="52">
      <c r="A52" s="13">
        <v>45901.0</v>
      </c>
      <c r="B52" s="14" t="s">
        <v>47</v>
      </c>
      <c r="C52" s="14" t="s">
        <v>48</v>
      </c>
      <c r="D52" s="14" t="s">
        <v>174</v>
      </c>
      <c r="E52" s="14" t="s">
        <v>175</v>
      </c>
      <c r="F52" s="15" t="s">
        <v>51</v>
      </c>
      <c r="G52" s="14" t="s">
        <v>176</v>
      </c>
      <c r="H52" s="14" t="s">
        <v>174</v>
      </c>
      <c r="I52" s="14" t="s">
        <v>59</v>
      </c>
      <c r="J52" s="14" t="s">
        <v>198</v>
      </c>
      <c r="K52" s="14" t="s">
        <v>205</v>
      </c>
      <c r="L52" s="14" t="s">
        <v>274</v>
      </c>
      <c r="M52" s="14" t="s">
        <v>387</v>
      </c>
      <c r="N52" s="14" t="s">
        <v>388</v>
      </c>
      <c r="O52" s="14">
        <v>100.0</v>
      </c>
      <c r="P52" s="21">
        <v>1.0</v>
      </c>
      <c r="Q52" s="22" t="str">
        <f>"+0"</f>
        <v>+0</v>
      </c>
      <c r="S52" s="14" t="s">
        <v>281</v>
      </c>
    </row>
    <row r="53">
      <c r="A53" s="13">
        <v>45901.0</v>
      </c>
      <c r="B53" s="14" t="s">
        <v>47</v>
      </c>
      <c r="C53" s="14" t="s">
        <v>48</v>
      </c>
      <c r="D53" s="14" t="s">
        <v>77</v>
      </c>
      <c r="E53" s="14" t="s">
        <v>78</v>
      </c>
      <c r="F53" s="15" t="s">
        <v>51</v>
      </c>
      <c r="G53" s="14" t="s">
        <v>128</v>
      </c>
      <c r="H53" s="14" t="s">
        <v>81</v>
      </c>
      <c r="I53" s="14" t="s">
        <v>59</v>
      </c>
      <c r="J53" s="14" t="s">
        <v>200</v>
      </c>
      <c r="K53" s="14" t="s">
        <v>223</v>
      </c>
      <c r="L53" s="14" t="s">
        <v>253</v>
      </c>
      <c r="M53" s="14" t="s">
        <v>389</v>
      </c>
      <c r="N53" s="14" t="s">
        <v>390</v>
      </c>
      <c r="O53" s="14">
        <v>25.0</v>
      </c>
      <c r="P53" s="23">
        <v>0.25</v>
      </c>
      <c r="Q53" s="22" t="str">
        <f>"+0.00%"</f>
        <v>+0.00%</v>
      </c>
      <c r="R53" s="18" t="str">
        <f>"-25.00%"</f>
        <v>-25.00%</v>
      </c>
      <c r="S53" s="14" t="s">
        <v>391</v>
      </c>
    </row>
    <row r="54">
      <c r="A54" s="13">
        <v>45901.0</v>
      </c>
      <c r="B54" s="14" t="s">
        <v>47</v>
      </c>
      <c r="C54" s="14" t="s">
        <v>48</v>
      </c>
      <c r="D54" s="14" t="s">
        <v>116</v>
      </c>
      <c r="E54" s="14" t="s">
        <v>117</v>
      </c>
      <c r="F54" s="15" t="s">
        <v>51</v>
      </c>
      <c r="G54" s="14" t="s">
        <v>161</v>
      </c>
      <c r="H54" s="14" t="s">
        <v>116</v>
      </c>
      <c r="I54" s="14" t="s">
        <v>54</v>
      </c>
      <c r="J54" s="14" t="s">
        <v>200</v>
      </c>
      <c r="K54" s="14" t="s">
        <v>224</v>
      </c>
      <c r="L54" s="14" t="s">
        <v>392</v>
      </c>
      <c r="M54" s="14" t="s">
        <v>393</v>
      </c>
      <c r="N54" s="14" t="s">
        <v>394</v>
      </c>
      <c r="O54" s="14">
        <v>0.0</v>
      </c>
      <c r="P54" s="23">
        <v>0.0</v>
      </c>
      <c r="Q54" s="22"/>
      <c r="S54" s="14" t="s">
        <v>395</v>
      </c>
    </row>
    <row r="55">
      <c r="A55" s="13">
        <v>45901.0</v>
      </c>
      <c r="B55" s="14" t="s">
        <v>47</v>
      </c>
      <c r="C55" s="14" t="s">
        <v>48</v>
      </c>
      <c r="D55" s="14" t="s">
        <v>77</v>
      </c>
      <c r="E55" s="14" t="s">
        <v>78</v>
      </c>
      <c r="F55" s="15" t="s">
        <v>51</v>
      </c>
      <c r="G55" s="14" t="s">
        <v>128</v>
      </c>
      <c r="H55" s="14" t="s">
        <v>81</v>
      </c>
      <c r="I55" s="14" t="s">
        <v>59</v>
      </c>
      <c r="J55" s="14" t="s">
        <v>199</v>
      </c>
      <c r="K55" s="14" t="s">
        <v>208</v>
      </c>
      <c r="L55" s="14" t="s">
        <v>352</v>
      </c>
      <c r="M55" s="14" t="s">
        <v>352</v>
      </c>
      <c r="N55" s="14" t="s">
        <v>353</v>
      </c>
      <c r="O55" s="14">
        <v>100.0</v>
      </c>
      <c r="P55" s="21">
        <v>7.0</v>
      </c>
      <c r="Q55" s="22" t="str">
        <f>"+0"</f>
        <v>+0</v>
      </c>
      <c r="R55" s="18" t="str">
        <f>"+1"</f>
        <v>+1</v>
      </c>
      <c r="S55" s="14" t="s">
        <v>260</v>
      </c>
    </row>
    <row r="56">
      <c r="A56" s="13">
        <v>45901.0</v>
      </c>
      <c r="B56" s="14" t="s">
        <v>47</v>
      </c>
      <c r="C56" s="14" t="s">
        <v>48</v>
      </c>
      <c r="D56" s="14" t="s">
        <v>77</v>
      </c>
      <c r="E56" s="14" t="s">
        <v>78</v>
      </c>
      <c r="F56" s="15" t="s">
        <v>51</v>
      </c>
      <c r="G56" s="14" t="s">
        <v>128</v>
      </c>
      <c r="H56" s="14" t="s">
        <v>81</v>
      </c>
      <c r="I56" s="14" t="s">
        <v>59</v>
      </c>
      <c r="J56" s="14" t="s">
        <v>200</v>
      </c>
      <c r="K56" s="14" t="s">
        <v>227</v>
      </c>
      <c r="L56" s="14" t="s">
        <v>253</v>
      </c>
      <c r="M56" s="14" t="s">
        <v>396</v>
      </c>
      <c r="N56" s="14" t="s">
        <v>397</v>
      </c>
      <c r="O56" s="14">
        <v>0.0</v>
      </c>
      <c r="P56" s="23">
        <v>0.0</v>
      </c>
      <c r="Q56" s="22" t="str">
        <f t="shared" ref="Q56:R56" si="36">"+0.00%"</f>
        <v>+0.00%</v>
      </c>
      <c r="R56" s="18" t="str">
        <f t="shared" si="36"/>
        <v>+0.00%</v>
      </c>
      <c r="S56" s="14" t="s">
        <v>398</v>
      </c>
    </row>
    <row r="57">
      <c r="A57" s="13">
        <v>45901.0</v>
      </c>
      <c r="B57" s="14" t="s">
        <v>47</v>
      </c>
      <c r="C57" s="14" t="s">
        <v>48</v>
      </c>
      <c r="D57" s="14" t="s">
        <v>140</v>
      </c>
      <c r="E57" s="14" t="s">
        <v>141</v>
      </c>
      <c r="F57" s="15" t="s">
        <v>51</v>
      </c>
      <c r="G57" s="14" t="s">
        <v>142</v>
      </c>
      <c r="H57" s="14" t="s">
        <v>140</v>
      </c>
      <c r="I57" s="14" t="s">
        <v>59</v>
      </c>
      <c r="J57" s="14" t="s">
        <v>200</v>
      </c>
      <c r="K57" s="14" t="s">
        <v>227</v>
      </c>
      <c r="L57" s="14" t="s">
        <v>253</v>
      </c>
      <c r="M57" s="14" t="s">
        <v>254</v>
      </c>
      <c r="N57" s="14" t="s">
        <v>255</v>
      </c>
      <c r="O57" s="14">
        <v>0.0</v>
      </c>
      <c r="P57" s="23">
        <v>0.0</v>
      </c>
      <c r="Q57" s="22" t="str">
        <f t="shared" ref="Q57:R57" si="37">"+0.00%"</f>
        <v>+0.00%</v>
      </c>
      <c r="R57" s="18" t="str">
        <f t="shared" si="37"/>
        <v>+0.00%</v>
      </c>
      <c r="S57" s="14" t="s">
        <v>399</v>
      </c>
    </row>
    <row r="58">
      <c r="A58" s="13">
        <v>45901.0</v>
      </c>
      <c r="B58" s="14" t="s">
        <v>47</v>
      </c>
      <c r="C58" s="14" t="s">
        <v>48</v>
      </c>
      <c r="D58" s="14" t="s">
        <v>168</v>
      </c>
      <c r="E58" s="14" t="s">
        <v>169</v>
      </c>
      <c r="F58" s="15" t="s">
        <v>51</v>
      </c>
      <c r="G58" s="14" t="s">
        <v>170</v>
      </c>
      <c r="H58" s="14" t="s">
        <v>168</v>
      </c>
      <c r="I58" s="14" t="s">
        <v>59</v>
      </c>
      <c r="J58" s="14" t="s">
        <v>200</v>
      </c>
      <c r="K58" s="14" t="s">
        <v>227</v>
      </c>
      <c r="L58" s="14" t="s">
        <v>270</v>
      </c>
      <c r="M58" s="14" t="s">
        <v>400</v>
      </c>
      <c r="N58" s="14" t="s">
        <v>401</v>
      </c>
      <c r="O58" s="14">
        <v>0.0</v>
      </c>
      <c r="P58" s="21">
        <v>0.0</v>
      </c>
      <c r="Q58" s="22" t="str">
        <f t="shared" ref="Q58:Q59" si="38">"+0"</f>
        <v>+0</v>
      </c>
      <c r="R58" s="18" t="str">
        <f>"-2"</f>
        <v>-2</v>
      </c>
      <c r="S58" s="14" t="s">
        <v>260</v>
      </c>
    </row>
    <row r="59">
      <c r="A59" s="13">
        <v>45901.0</v>
      </c>
      <c r="B59" s="14" t="s">
        <v>47</v>
      </c>
      <c r="C59" s="14" t="s">
        <v>48</v>
      </c>
      <c r="D59" s="14" t="s">
        <v>60</v>
      </c>
      <c r="E59" s="14" t="s">
        <v>61</v>
      </c>
      <c r="F59" s="15" t="s">
        <v>51</v>
      </c>
      <c r="G59" s="14" t="s">
        <v>62</v>
      </c>
      <c r="H59" s="14" t="s">
        <v>60</v>
      </c>
      <c r="I59" s="14" t="s">
        <v>59</v>
      </c>
      <c r="J59" s="14" t="s">
        <v>199</v>
      </c>
      <c r="K59" s="14" t="s">
        <v>203</v>
      </c>
      <c r="L59" s="14" t="s">
        <v>342</v>
      </c>
      <c r="M59" s="14" t="s">
        <v>342</v>
      </c>
      <c r="N59" s="14" t="s">
        <v>343</v>
      </c>
      <c r="O59" s="14">
        <v>0.0</v>
      </c>
      <c r="P59" s="21">
        <v>0.0</v>
      </c>
      <c r="Q59" s="22" t="str">
        <f t="shared" si="38"/>
        <v>+0</v>
      </c>
      <c r="R59" s="18" t="str">
        <f>"+0"</f>
        <v>+0</v>
      </c>
      <c r="S59" s="14" t="s">
        <v>260</v>
      </c>
    </row>
    <row r="60">
      <c r="A60" s="13">
        <v>45901.0</v>
      </c>
      <c r="B60" s="14" t="s">
        <v>47</v>
      </c>
      <c r="C60" s="14" t="s">
        <v>48</v>
      </c>
      <c r="D60" s="14" t="s">
        <v>155</v>
      </c>
      <c r="E60" s="14" t="s">
        <v>156</v>
      </c>
      <c r="F60" s="15" t="s">
        <v>51</v>
      </c>
      <c r="G60" s="14" t="s">
        <v>157</v>
      </c>
      <c r="H60" s="14" t="s">
        <v>155</v>
      </c>
      <c r="I60" s="14" t="s">
        <v>59</v>
      </c>
      <c r="J60" s="14" t="s">
        <v>200</v>
      </c>
      <c r="K60" s="14" t="s">
        <v>209</v>
      </c>
      <c r="L60" s="14" t="s">
        <v>253</v>
      </c>
      <c r="M60" s="14" t="s">
        <v>402</v>
      </c>
      <c r="N60" s="14" t="s">
        <v>403</v>
      </c>
      <c r="O60" s="14">
        <v>1.0</v>
      </c>
      <c r="P60" s="23">
        <v>4.0E-4</v>
      </c>
      <c r="Q60" s="22" t="str">
        <f t="shared" ref="Q60:R60" si="39">"+0.00%"</f>
        <v>+0.00%</v>
      </c>
      <c r="R60" s="18" t="str">
        <f t="shared" si="39"/>
        <v>+0.00%</v>
      </c>
      <c r="S60" s="14" t="s">
        <v>404</v>
      </c>
    </row>
    <row r="61">
      <c r="A61" s="13">
        <v>45901.0</v>
      </c>
      <c r="B61" s="14" t="s">
        <v>47</v>
      </c>
      <c r="C61" s="14" t="s">
        <v>48</v>
      </c>
      <c r="D61" s="14" t="s">
        <v>60</v>
      </c>
      <c r="E61" s="14" t="s">
        <v>61</v>
      </c>
      <c r="F61" s="15" t="s">
        <v>51</v>
      </c>
      <c r="G61" s="14" t="s">
        <v>62</v>
      </c>
      <c r="H61" s="14" t="s">
        <v>60</v>
      </c>
      <c r="I61" s="14" t="s">
        <v>59</v>
      </c>
      <c r="J61" s="14" t="s">
        <v>198</v>
      </c>
      <c r="K61" s="14" t="s">
        <v>210</v>
      </c>
      <c r="L61" s="14" t="s">
        <v>278</v>
      </c>
      <c r="M61" s="14" t="s">
        <v>279</v>
      </c>
      <c r="N61" s="14" t="s">
        <v>280</v>
      </c>
      <c r="O61" s="14">
        <v>100.0</v>
      </c>
      <c r="P61" s="21">
        <v>0.0</v>
      </c>
      <c r="Q61" s="22" t="str">
        <f t="shared" ref="Q61:R61" si="40">"+0"</f>
        <v>+0</v>
      </c>
      <c r="R61" s="18" t="str">
        <f t="shared" si="40"/>
        <v>+0</v>
      </c>
      <c r="S61" s="14" t="s">
        <v>281</v>
      </c>
    </row>
    <row r="62">
      <c r="A62" s="13">
        <v>45901.0</v>
      </c>
      <c r="B62" s="14" t="s">
        <v>47</v>
      </c>
      <c r="C62" s="14" t="s">
        <v>48</v>
      </c>
      <c r="D62" s="14" t="s">
        <v>168</v>
      </c>
      <c r="E62" s="14" t="s">
        <v>169</v>
      </c>
      <c r="F62" s="15" t="s">
        <v>51</v>
      </c>
      <c r="G62" s="14" t="s">
        <v>170</v>
      </c>
      <c r="H62" s="14" t="s">
        <v>168</v>
      </c>
      <c r="I62" s="14" t="s">
        <v>59</v>
      </c>
      <c r="J62" s="14" t="s">
        <v>199</v>
      </c>
      <c r="K62" s="14" t="s">
        <v>206</v>
      </c>
      <c r="L62" s="14" t="s">
        <v>381</v>
      </c>
      <c r="M62" s="14" t="s">
        <v>381</v>
      </c>
      <c r="N62" s="14" t="s">
        <v>382</v>
      </c>
      <c r="O62" s="14">
        <v>0.0</v>
      </c>
      <c r="P62" s="21">
        <v>0.0</v>
      </c>
      <c r="Q62" s="22" t="str">
        <f t="shared" ref="Q62:R62" si="41">"+0"</f>
        <v>+0</v>
      </c>
      <c r="R62" s="18" t="str">
        <f t="shared" si="41"/>
        <v>+0</v>
      </c>
      <c r="S62" s="14" t="s">
        <v>383</v>
      </c>
    </row>
    <row r="63">
      <c r="A63" s="13">
        <v>45901.0</v>
      </c>
      <c r="B63" s="14" t="s">
        <v>47</v>
      </c>
      <c r="C63" s="14" t="s">
        <v>48</v>
      </c>
      <c r="D63" s="14" t="s">
        <v>63</v>
      </c>
      <c r="E63" s="14" t="s">
        <v>64</v>
      </c>
      <c r="F63" s="15" t="s">
        <v>51</v>
      </c>
      <c r="G63" s="14" t="s">
        <v>65</v>
      </c>
      <c r="H63" s="14" t="s">
        <v>63</v>
      </c>
      <c r="I63" s="14" t="s">
        <v>54</v>
      </c>
      <c r="J63" s="14" t="s">
        <v>198</v>
      </c>
      <c r="K63" s="14" t="s">
        <v>210</v>
      </c>
      <c r="L63" s="14" t="s">
        <v>264</v>
      </c>
      <c r="M63" s="14" t="s">
        <v>405</v>
      </c>
      <c r="N63" s="14" t="s">
        <v>406</v>
      </c>
      <c r="O63" s="14">
        <v>0.0</v>
      </c>
      <c r="P63" s="21">
        <v>0.0</v>
      </c>
      <c r="Q63" s="22" t="str">
        <f t="shared" ref="Q63:R63" si="42">"+0"</f>
        <v>+0</v>
      </c>
      <c r="R63" s="18" t="str">
        <f t="shared" si="42"/>
        <v>+0</v>
      </c>
      <c r="S63" s="14" t="s">
        <v>277</v>
      </c>
    </row>
    <row r="64">
      <c r="A64" s="13">
        <v>45901.0</v>
      </c>
      <c r="B64" s="14" t="s">
        <v>47</v>
      </c>
      <c r="C64" s="14" t="s">
        <v>48</v>
      </c>
      <c r="D64" s="14" t="s">
        <v>66</v>
      </c>
      <c r="E64" s="14" t="s">
        <v>67</v>
      </c>
      <c r="F64" s="15" t="s">
        <v>51</v>
      </c>
      <c r="G64" s="14" t="s">
        <v>68</v>
      </c>
      <c r="H64" s="14" t="s">
        <v>66</v>
      </c>
      <c r="I64" s="14" t="s">
        <v>59</v>
      </c>
      <c r="J64" s="14" t="s">
        <v>198</v>
      </c>
      <c r="K64" s="14" t="s">
        <v>210</v>
      </c>
      <c r="L64" s="14" t="s">
        <v>264</v>
      </c>
      <c r="M64" s="14" t="s">
        <v>407</v>
      </c>
      <c r="N64" s="14" t="s">
        <v>408</v>
      </c>
      <c r="O64" s="14">
        <v>100.0</v>
      </c>
      <c r="P64" s="21">
        <v>0.0</v>
      </c>
      <c r="Q64" s="22" t="str">
        <f t="shared" ref="Q64:Q65" si="43">"+0"</f>
        <v>+0</v>
      </c>
      <c r="R64" s="18" t="str">
        <f>"-2"</f>
        <v>-2</v>
      </c>
      <c r="S64" s="14" t="s">
        <v>281</v>
      </c>
    </row>
    <row r="65">
      <c r="A65" s="13">
        <v>45901.0</v>
      </c>
      <c r="B65" s="14" t="s">
        <v>47</v>
      </c>
      <c r="C65" s="14" t="s">
        <v>48</v>
      </c>
      <c r="D65" s="14" t="s">
        <v>184</v>
      </c>
      <c r="E65" s="14" t="s">
        <v>185</v>
      </c>
      <c r="F65" s="15" t="s">
        <v>51</v>
      </c>
      <c r="G65" s="14" t="s">
        <v>186</v>
      </c>
      <c r="H65" s="14" t="s">
        <v>187</v>
      </c>
      <c r="I65" s="14" t="s">
        <v>59</v>
      </c>
      <c r="J65" s="14" t="s">
        <v>198</v>
      </c>
      <c r="K65" s="14" t="s">
        <v>205</v>
      </c>
      <c r="L65" s="14" t="s">
        <v>274</v>
      </c>
      <c r="M65" s="14" t="s">
        <v>387</v>
      </c>
      <c r="N65" s="14" t="s">
        <v>388</v>
      </c>
      <c r="O65" s="14">
        <v>0.0</v>
      </c>
      <c r="P65" s="21">
        <v>0.0</v>
      </c>
      <c r="Q65" s="22" t="str">
        <f t="shared" si="43"/>
        <v>+0</v>
      </c>
      <c r="S65" s="14" t="s">
        <v>281</v>
      </c>
    </row>
    <row r="66">
      <c r="A66" s="13">
        <v>45901.0</v>
      </c>
      <c r="B66" s="14" t="s">
        <v>47</v>
      </c>
      <c r="C66" s="14" t="s">
        <v>48</v>
      </c>
      <c r="D66" s="14" t="s">
        <v>192</v>
      </c>
      <c r="E66" s="14" t="s">
        <v>193</v>
      </c>
      <c r="F66" s="15" t="s">
        <v>51</v>
      </c>
      <c r="G66" s="14" t="s">
        <v>194</v>
      </c>
      <c r="H66" s="14" t="s">
        <v>192</v>
      </c>
      <c r="I66" s="14" t="s">
        <v>54</v>
      </c>
      <c r="J66" s="14" t="s">
        <v>200</v>
      </c>
      <c r="K66" s="14" t="s">
        <v>201</v>
      </c>
      <c r="L66" s="14" t="s">
        <v>253</v>
      </c>
      <c r="M66" s="14" t="s">
        <v>409</v>
      </c>
      <c r="N66" s="14" t="s">
        <v>410</v>
      </c>
      <c r="O66" s="14">
        <v>69.0</v>
      </c>
      <c r="P66" s="23">
        <v>0.6966</v>
      </c>
      <c r="Q66" s="22" t="str">
        <f>"-5.11%"</f>
        <v>-5.11%</v>
      </c>
      <c r="R66" s="18" t="str">
        <f>"-11.80%"</f>
        <v>-11.80%</v>
      </c>
      <c r="S66" s="14" t="s">
        <v>411</v>
      </c>
    </row>
    <row r="67">
      <c r="A67" s="13">
        <v>45901.0</v>
      </c>
      <c r="B67" s="14" t="s">
        <v>47</v>
      </c>
      <c r="C67" s="14" t="s">
        <v>48</v>
      </c>
      <c r="D67" s="14" t="s">
        <v>93</v>
      </c>
      <c r="E67" s="14" t="s">
        <v>94</v>
      </c>
      <c r="F67" s="15" t="s">
        <v>51</v>
      </c>
      <c r="G67" s="14" t="s">
        <v>191</v>
      </c>
      <c r="H67" s="14" t="s">
        <v>95</v>
      </c>
      <c r="I67" s="14" t="s">
        <v>59</v>
      </c>
      <c r="J67" s="14" t="s">
        <v>199</v>
      </c>
      <c r="K67" s="14" t="s">
        <v>208</v>
      </c>
      <c r="L67" s="14" t="s">
        <v>412</v>
      </c>
      <c r="M67" s="14" t="s">
        <v>412</v>
      </c>
      <c r="N67" s="14" t="s">
        <v>413</v>
      </c>
      <c r="O67" s="14">
        <v>0.0</v>
      </c>
      <c r="P67" s="21">
        <v>0.0</v>
      </c>
      <c r="Q67" s="22" t="str">
        <f t="shared" ref="Q67:R67" si="44">"+0"</f>
        <v>+0</v>
      </c>
      <c r="R67" s="18" t="str">
        <f t="shared" si="44"/>
        <v>+0</v>
      </c>
      <c r="S67" s="14" t="s">
        <v>260</v>
      </c>
    </row>
    <row r="68">
      <c r="A68" s="13">
        <v>45901.0</v>
      </c>
      <c r="B68" s="14" t="s">
        <v>47</v>
      </c>
      <c r="C68" s="14" t="s">
        <v>48</v>
      </c>
      <c r="D68" s="14" t="s">
        <v>73</v>
      </c>
      <c r="E68" s="14" t="s">
        <v>74</v>
      </c>
      <c r="F68" s="15" t="s">
        <v>51</v>
      </c>
      <c r="G68" s="14" t="s">
        <v>75</v>
      </c>
      <c r="H68" s="14" t="s">
        <v>76</v>
      </c>
      <c r="I68" s="14" t="s">
        <v>59</v>
      </c>
      <c r="J68" s="14" t="s">
        <v>200</v>
      </c>
      <c r="K68" s="14" t="s">
        <v>232</v>
      </c>
      <c r="L68" s="14" t="s">
        <v>261</v>
      </c>
      <c r="M68" s="14" t="s">
        <v>414</v>
      </c>
      <c r="N68" s="14" t="s">
        <v>415</v>
      </c>
      <c r="O68" s="14">
        <v>0.0</v>
      </c>
      <c r="P68" s="23">
        <v>-1.0</v>
      </c>
      <c r="Q68" s="22" t="str">
        <f t="shared" ref="Q68:R68" si="45">"+0.00%"</f>
        <v>+0.00%</v>
      </c>
      <c r="R68" s="18" t="str">
        <f t="shared" si="45"/>
        <v>+0.00%</v>
      </c>
      <c r="S68" s="14" t="s">
        <v>416</v>
      </c>
    </row>
    <row r="69">
      <c r="A69" s="13">
        <v>45901.0</v>
      </c>
      <c r="B69" s="14" t="s">
        <v>47</v>
      </c>
      <c r="C69" s="14" t="s">
        <v>48</v>
      </c>
      <c r="D69" s="14" t="s">
        <v>143</v>
      </c>
      <c r="E69" s="14" t="s">
        <v>144</v>
      </c>
      <c r="F69" s="15" t="s">
        <v>51</v>
      </c>
      <c r="G69" s="14" t="s">
        <v>145</v>
      </c>
      <c r="H69" s="14" t="s">
        <v>143</v>
      </c>
      <c r="I69" s="14" t="s">
        <v>59</v>
      </c>
      <c r="J69" s="14" t="s">
        <v>200</v>
      </c>
      <c r="K69" s="14" t="s">
        <v>227</v>
      </c>
      <c r="L69" s="14" t="s">
        <v>270</v>
      </c>
      <c r="M69" s="14" t="s">
        <v>417</v>
      </c>
      <c r="N69" s="14" t="s">
        <v>418</v>
      </c>
      <c r="O69" s="14">
        <v>0.0</v>
      </c>
      <c r="P69" s="21">
        <v>0.0</v>
      </c>
      <c r="Q69" s="22" t="str">
        <f>"+0"</f>
        <v>+0</v>
      </c>
      <c r="R69" s="18" t="str">
        <f>"-1"</f>
        <v>-1</v>
      </c>
      <c r="S69" s="14" t="s">
        <v>260</v>
      </c>
    </row>
    <row r="70">
      <c r="A70" s="13">
        <v>45901.0</v>
      </c>
      <c r="B70" s="14" t="s">
        <v>47</v>
      </c>
      <c r="C70" s="14" t="s">
        <v>48</v>
      </c>
      <c r="D70" s="14" t="s">
        <v>103</v>
      </c>
      <c r="E70" s="14" t="s">
        <v>104</v>
      </c>
      <c r="F70" s="15" t="s">
        <v>51</v>
      </c>
      <c r="G70" s="14" t="s">
        <v>105</v>
      </c>
      <c r="H70" s="14" t="s">
        <v>106</v>
      </c>
      <c r="I70" s="14" t="s">
        <v>59</v>
      </c>
      <c r="J70" s="14" t="s">
        <v>200</v>
      </c>
      <c r="K70" s="14" t="s">
        <v>232</v>
      </c>
      <c r="L70" s="14" t="s">
        <v>286</v>
      </c>
      <c r="M70" s="14" t="s">
        <v>419</v>
      </c>
      <c r="N70" s="14" t="s">
        <v>420</v>
      </c>
      <c r="O70" s="14">
        <v>0.0</v>
      </c>
      <c r="P70" s="23">
        <v>0.0</v>
      </c>
      <c r="Q70" s="22" t="str">
        <f>"+0.00%"</f>
        <v>+0.00%</v>
      </c>
      <c r="R70" s="18" t="str">
        <f>"-12.50%"</f>
        <v>-12.50%</v>
      </c>
      <c r="S70" s="14" t="s">
        <v>421</v>
      </c>
    </row>
    <row r="71">
      <c r="A71" s="13">
        <v>45901.0</v>
      </c>
      <c r="B71" s="14" t="s">
        <v>47</v>
      </c>
      <c r="C71" s="14" t="s">
        <v>48</v>
      </c>
      <c r="D71" s="14" t="s">
        <v>103</v>
      </c>
      <c r="E71" s="14" t="s">
        <v>104</v>
      </c>
      <c r="F71" s="15" t="s">
        <v>51</v>
      </c>
      <c r="G71" s="14" t="s">
        <v>105</v>
      </c>
      <c r="H71" s="14" t="s">
        <v>106</v>
      </c>
      <c r="I71" s="14" t="s">
        <v>59</v>
      </c>
      <c r="J71" s="14" t="s">
        <v>200</v>
      </c>
      <c r="K71" s="14" t="s">
        <v>232</v>
      </c>
      <c r="L71" s="14" t="s">
        <v>422</v>
      </c>
      <c r="M71" s="14" t="s">
        <v>423</v>
      </c>
      <c r="N71" s="14" t="s">
        <v>424</v>
      </c>
      <c r="O71" s="14">
        <v>100.0</v>
      </c>
      <c r="P71" s="21">
        <v>6.0</v>
      </c>
      <c r="Q71" s="22" t="str">
        <f t="shared" ref="Q71:R71" si="46">"+0"</f>
        <v>+0</v>
      </c>
      <c r="R71" s="18" t="str">
        <f t="shared" si="46"/>
        <v>+0</v>
      </c>
      <c r="S71" s="14" t="s">
        <v>260</v>
      </c>
    </row>
    <row r="72">
      <c r="A72" s="13">
        <v>45901.0</v>
      </c>
      <c r="B72" s="14" t="s">
        <v>47</v>
      </c>
      <c r="C72" s="14" t="s">
        <v>48</v>
      </c>
      <c r="D72" s="14" t="s">
        <v>73</v>
      </c>
      <c r="E72" s="14" t="s">
        <v>74</v>
      </c>
      <c r="F72" s="15" t="s">
        <v>51</v>
      </c>
      <c r="G72" s="14" t="s">
        <v>75</v>
      </c>
      <c r="H72" s="14" t="s">
        <v>76</v>
      </c>
      <c r="I72" s="14" t="s">
        <v>59</v>
      </c>
      <c r="J72" s="14" t="s">
        <v>198</v>
      </c>
      <c r="K72" s="14" t="s">
        <v>205</v>
      </c>
      <c r="L72" s="14" t="s">
        <v>274</v>
      </c>
      <c r="M72" s="14" t="s">
        <v>425</v>
      </c>
      <c r="N72" s="14" t="s">
        <v>426</v>
      </c>
      <c r="O72" s="14">
        <v>0.0</v>
      </c>
      <c r="P72" s="21">
        <v>0.0</v>
      </c>
      <c r="Q72" s="22" t="str">
        <f>"+0"</f>
        <v>+0</v>
      </c>
      <c r="S72" s="14" t="s">
        <v>281</v>
      </c>
    </row>
    <row r="73">
      <c r="A73" s="13">
        <v>45901.0</v>
      </c>
      <c r="B73" s="14" t="s">
        <v>47</v>
      </c>
      <c r="C73" s="14" t="s">
        <v>48</v>
      </c>
      <c r="D73" s="14" t="s">
        <v>149</v>
      </c>
      <c r="E73" s="14" t="s">
        <v>150</v>
      </c>
      <c r="F73" s="15" t="s">
        <v>51</v>
      </c>
      <c r="G73" s="14" t="s">
        <v>151</v>
      </c>
      <c r="H73" s="14" t="s">
        <v>152</v>
      </c>
      <c r="I73" s="14" t="s">
        <v>54</v>
      </c>
      <c r="J73" s="14" t="s">
        <v>200</v>
      </c>
      <c r="K73" s="14" t="s">
        <v>224</v>
      </c>
      <c r="L73" s="14" t="s">
        <v>427</v>
      </c>
      <c r="M73" s="14" t="s">
        <v>428</v>
      </c>
      <c r="N73" s="14" t="s">
        <v>429</v>
      </c>
      <c r="O73" s="14">
        <v>100.0</v>
      </c>
      <c r="P73" s="23">
        <v>1.0</v>
      </c>
      <c r="Q73" s="22" t="str">
        <f t="shared" ref="Q73:R73" si="47">"+0.00%"</f>
        <v>+0.00%</v>
      </c>
      <c r="R73" s="18" t="str">
        <f t="shared" si="47"/>
        <v>+0.00%</v>
      </c>
      <c r="S73" s="14" t="s">
        <v>430</v>
      </c>
    </row>
    <row r="74">
      <c r="A74" s="13">
        <v>45901.0</v>
      </c>
      <c r="B74" s="14" t="s">
        <v>47</v>
      </c>
      <c r="C74" s="14" t="s">
        <v>48</v>
      </c>
      <c r="D74" s="14" t="s">
        <v>171</v>
      </c>
      <c r="E74" s="14" t="s">
        <v>172</v>
      </c>
      <c r="F74" s="15" t="s">
        <v>51</v>
      </c>
      <c r="G74" s="14" t="s">
        <v>173</v>
      </c>
      <c r="H74" s="14" t="s">
        <v>171</v>
      </c>
      <c r="I74" s="14" t="s">
        <v>59</v>
      </c>
      <c r="J74" s="14" t="s">
        <v>199</v>
      </c>
      <c r="K74" s="14" t="s">
        <v>203</v>
      </c>
      <c r="L74" s="14" t="s">
        <v>431</v>
      </c>
      <c r="M74" s="14" t="s">
        <v>431</v>
      </c>
      <c r="N74" s="14" t="s">
        <v>432</v>
      </c>
      <c r="O74" s="14">
        <v>0.0</v>
      </c>
      <c r="P74" s="21">
        <v>0.0</v>
      </c>
      <c r="Q74" s="22" t="str">
        <f t="shared" ref="Q74:R74" si="48">"+0"</f>
        <v>+0</v>
      </c>
      <c r="R74" s="18" t="str">
        <f t="shared" si="48"/>
        <v>+0</v>
      </c>
      <c r="S74" s="14" t="s">
        <v>260</v>
      </c>
    </row>
    <row r="75">
      <c r="A75" s="13">
        <v>45901.0</v>
      </c>
      <c r="B75" s="14" t="s">
        <v>47</v>
      </c>
      <c r="C75" s="14" t="s">
        <v>48</v>
      </c>
      <c r="D75" s="14" t="s">
        <v>149</v>
      </c>
      <c r="E75" s="14" t="s">
        <v>150</v>
      </c>
      <c r="F75" s="15" t="s">
        <v>51</v>
      </c>
      <c r="G75" s="14" t="s">
        <v>151</v>
      </c>
      <c r="H75" s="14" t="s">
        <v>152</v>
      </c>
      <c r="I75" s="14" t="s">
        <v>54</v>
      </c>
      <c r="J75" s="14" t="s">
        <v>199</v>
      </c>
      <c r="K75" s="14" t="s">
        <v>206</v>
      </c>
      <c r="L75" s="14" t="s">
        <v>433</v>
      </c>
      <c r="M75" s="14" t="s">
        <v>433</v>
      </c>
      <c r="N75" s="14" t="s">
        <v>434</v>
      </c>
      <c r="O75" s="14">
        <v>100.0</v>
      </c>
      <c r="P75" s="21">
        <v>16.0</v>
      </c>
      <c r="Q75" s="22" t="str">
        <f>"-42"</f>
        <v>-42</v>
      </c>
      <c r="R75" s="18" t="str">
        <f>"-58"</f>
        <v>-58</v>
      </c>
      <c r="S75" s="14" t="s">
        <v>383</v>
      </c>
    </row>
    <row r="76">
      <c r="A76" s="13">
        <v>45901.0</v>
      </c>
      <c r="B76" s="14" t="s">
        <v>47</v>
      </c>
      <c r="C76" s="14" t="s">
        <v>48</v>
      </c>
      <c r="D76" s="14" t="s">
        <v>69</v>
      </c>
      <c r="E76" s="14" t="s">
        <v>70</v>
      </c>
      <c r="F76" s="15" t="s">
        <v>51</v>
      </c>
      <c r="G76" s="14" t="s">
        <v>115</v>
      </c>
      <c r="H76" s="14" t="s">
        <v>72</v>
      </c>
      <c r="I76" s="14" t="s">
        <v>54</v>
      </c>
      <c r="J76" s="14" t="s">
        <v>200</v>
      </c>
      <c r="K76" s="14" t="s">
        <v>213</v>
      </c>
      <c r="L76" s="14" t="s">
        <v>257</v>
      </c>
      <c r="M76" s="14" t="s">
        <v>315</v>
      </c>
      <c r="N76" s="14" t="s">
        <v>316</v>
      </c>
      <c r="O76" s="14">
        <v>89.0</v>
      </c>
      <c r="P76" s="23">
        <v>0.8948</v>
      </c>
      <c r="Q76" s="22" t="str">
        <f>"+1.70%"</f>
        <v>+1.70%</v>
      </c>
      <c r="R76" s="18" t="str">
        <f>"+0.23%"</f>
        <v>+0.23%</v>
      </c>
      <c r="S76" s="14" t="s">
        <v>435</v>
      </c>
    </row>
    <row r="77">
      <c r="A77" s="13">
        <v>45901.0</v>
      </c>
      <c r="B77" s="14" t="s">
        <v>47</v>
      </c>
      <c r="C77" s="14" t="s">
        <v>48</v>
      </c>
      <c r="D77" s="14" t="s">
        <v>69</v>
      </c>
      <c r="E77" s="14" t="s">
        <v>70</v>
      </c>
      <c r="F77" s="15" t="s">
        <v>51</v>
      </c>
      <c r="G77" s="14" t="s">
        <v>115</v>
      </c>
      <c r="H77" s="14" t="s">
        <v>72</v>
      </c>
      <c r="I77" s="14" t="s">
        <v>54</v>
      </c>
      <c r="J77" s="14" t="s">
        <v>199</v>
      </c>
      <c r="K77" s="14" t="s">
        <v>203</v>
      </c>
      <c r="L77" s="14" t="s">
        <v>340</v>
      </c>
      <c r="M77" s="14" t="s">
        <v>340</v>
      </c>
      <c r="N77" s="14" t="s">
        <v>341</v>
      </c>
      <c r="O77" s="14">
        <v>0.0</v>
      </c>
      <c r="P77" s="21">
        <v>0.0</v>
      </c>
      <c r="Q77" s="22" t="str">
        <f t="shared" ref="Q77:R77" si="49">"+0"</f>
        <v>+0</v>
      </c>
      <c r="R77" s="18" t="str">
        <f t="shared" si="49"/>
        <v>+0</v>
      </c>
      <c r="S77" s="14" t="s">
        <v>260</v>
      </c>
    </row>
    <row r="78">
      <c r="A78" s="13">
        <v>45901.0</v>
      </c>
      <c r="B78" s="14" t="s">
        <v>47</v>
      </c>
      <c r="C78" s="14" t="s">
        <v>48</v>
      </c>
      <c r="D78" s="14" t="s">
        <v>125</v>
      </c>
      <c r="E78" s="14" t="s">
        <v>126</v>
      </c>
      <c r="F78" s="15" t="s">
        <v>51</v>
      </c>
      <c r="G78" s="14" t="s">
        <v>127</v>
      </c>
      <c r="H78" s="14" t="s">
        <v>125</v>
      </c>
      <c r="I78" s="14" t="s">
        <v>59</v>
      </c>
      <c r="J78" s="14" t="s">
        <v>200</v>
      </c>
      <c r="K78" s="14" t="s">
        <v>224</v>
      </c>
      <c r="L78" s="14" t="s">
        <v>436</v>
      </c>
      <c r="M78" s="14" t="s">
        <v>437</v>
      </c>
      <c r="N78" s="14" t="s">
        <v>438</v>
      </c>
      <c r="O78" s="14">
        <v>0.0</v>
      </c>
      <c r="P78" s="17"/>
      <c r="Q78" s="22"/>
      <c r="S78" s="14" t="s">
        <v>439</v>
      </c>
    </row>
    <row r="79">
      <c r="A79" s="13">
        <v>45901.0</v>
      </c>
      <c r="B79" s="14" t="s">
        <v>47</v>
      </c>
      <c r="C79" s="14" t="s">
        <v>48</v>
      </c>
      <c r="D79" s="14" t="s">
        <v>85</v>
      </c>
      <c r="E79" s="14" t="s">
        <v>86</v>
      </c>
      <c r="F79" s="15" t="s">
        <v>51</v>
      </c>
      <c r="G79" s="14" t="s">
        <v>148</v>
      </c>
      <c r="H79" s="14" t="s">
        <v>85</v>
      </c>
      <c r="I79" s="14" t="s">
        <v>59</v>
      </c>
      <c r="J79" s="14" t="s">
        <v>200</v>
      </c>
      <c r="K79" s="14" t="s">
        <v>213</v>
      </c>
      <c r="L79" s="14" t="s">
        <v>440</v>
      </c>
      <c r="M79" s="14" t="s">
        <v>441</v>
      </c>
      <c r="N79" s="14" t="s">
        <v>442</v>
      </c>
      <c r="O79" s="14">
        <v>100.0</v>
      </c>
      <c r="P79" s="23">
        <v>0.0058</v>
      </c>
      <c r="Q79" s="22" t="str">
        <f>"-0.01%"</f>
        <v>-0.01%</v>
      </c>
      <c r="R79" s="18" t="str">
        <f>"+0.02%"</f>
        <v>+0.02%</v>
      </c>
      <c r="S79" s="14" t="s">
        <v>285</v>
      </c>
    </row>
    <row r="80">
      <c r="A80" s="13">
        <v>45901.0</v>
      </c>
      <c r="B80" s="14" t="s">
        <v>47</v>
      </c>
      <c r="C80" s="14" t="s">
        <v>48</v>
      </c>
      <c r="D80" s="14" t="s">
        <v>195</v>
      </c>
      <c r="E80" s="14" t="s">
        <v>196</v>
      </c>
      <c r="F80" s="14" t="s">
        <v>111</v>
      </c>
      <c r="G80" s="14">
        <v>5252823.0</v>
      </c>
      <c r="H80" s="14" t="s">
        <v>197</v>
      </c>
      <c r="I80" s="14" t="s">
        <v>59</v>
      </c>
      <c r="J80" s="14" t="s">
        <v>199</v>
      </c>
      <c r="K80" s="14" t="s">
        <v>206</v>
      </c>
      <c r="L80" s="14" t="s">
        <v>295</v>
      </c>
      <c r="M80" s="14" t="s">
        <v>296</v>
      </c>
      <c r="N80" s="14" t="s">
        <v>297</v>
      </c>
      <c r="O80" s="14">
        <v>0.0</v>
      </c>
      <c r="P80" s="21">
        <v>0.0</v>
      </c>
      <c r="Q80" s="22" t="str">
        <f t="shared" ref="Q80:R80" si="50">"+0"</f>
        <v>+0</v>
      </c>
      <c r="R80" s="18" t="str">
        <f t="shared" si="50"/>
        <v>+0</v>
      </c>
      <c r="S80" s="14" t="s">
        <v>260</v>
      </c>
    </row>
    <row r="81">
      <c r="A81" s="13">
        <v>45901.0</v>
      </c>
      <c r="B81" s="14" t="s">
        <v>47</v>
      </c>
      <c r="C81" s="14" t="s">
        <v>48</v>
      </c>
      <c r="D81" s="14" t="s">
        <v>96</v>
      </c>
      <c r="E81" s="14" t="s">
        <v>97</v>
      </c>
      <c r="F81" s="15" t="s">
        <v>51</v>
      </c>
      <c r="G81" s="14" t="s">
        <v>98</v>
      </c>
      <c r="H81" s="14" t="s">
        <v>96</v>
      </c>
      <c r="I81" s="14" t="s">
        <v>59</v>
      </c>
      <c r="J81" s="14" t="s">
        <v>198</v>
      </c>
      <c r="K81" s="14" t="s">
        <v>210</v>
      </c>
      <c r="L81" s="14" t="s">
        <v>278</v>
      </c>
      <c r="M81" s="14" t="s">
        <v>443</v>
      </c>
      <c r="N81" s="14" t="s">
        <v>444</v>
      </c>
      <c r="O81" s="14">
        <v>56.0</v>
      </c>
      <c r="P81" s="21">
        <v>93.0</v>
      </c>
      <c r="Q81" s="22" t="str">
        <f>"+2"</f>
        <v>+2</v>
      </c>
      <c r="R81" s="18" t="str">
        <f>"-8"</f>
        <v>-8</v>
      </c>
      <c r="S81" s="14" t="s">
        <v>445</v>
      </c>
    </row>
    <row r="82">
      <c r="A82" s="13">
        <v>45901.0</v>
      </c>
      <c r="B82" s="14" t="s">
        <v>47</v>
      </c>
      <c r="C82" s="14" t="s">
        <v>48</v>
      </c>
      <c r="D82" s="14" t="s">
        <v>77</v>
      </c>
      <c r="E82" s="14" t="s">
        <v>78</v>
      </c>
      <c r="F82" s="14" t="s">
        <v>79</v>
      </c>
      <c r="G82" s="14" t="s">
        <v>80</v>
      </c>
      <c r="H82" s="14" t="s">
        <v>81</v>
      </c>
      <c r="J82" s="14" t="s">
        <v>200</v>
      </c>
      <c r="K82" s="14" t="s">
        <v>238</v>
      </c>
      <c r="L82" s="14" t="s">
        <v>333</v>
      </c>
      <c r="M82" s="14" t="s">
        <v>446</v>
      </c>
      <c r="N82" s="14" t="s">
        <v>447</v>
      </c>
      <c r="O82" s="14">
        <v>50.0</v>
      </c>
      <c r="P82" s="23">
        <v>0.0</v>
      </c>
      <c r="Q82" s="22" t="str">
        <f>"+0.00%"</f>
        <v>+0.00%</v>
      </c>
      <c r="R82" s="18" t="str">
        <f>"+100.00%"</f>
        <v>+100.00%</v>
      </c>
      <c r="S82" s="14" t="s">
        <v>336</v>
      </c>
    </row>
    <row r="83">
      <c r="A83" s="13">
        <v>45901.0</v>
      </c>
      <c r="B83" s="14" t="s">
        <v>47</v>
      </c>
      <c r="C83" s="14" t="s">
        <v>48</v>
      </c>
      <c r="D83" s="14" t="s">
        <v>112</v>
      </c>
      <c r="E83" s="14" t="s">
        <v>113</v>
      </c>
      <c r="F83" s="15" t="s">
        <v>51</v>
      </c>
      <c r="G83" s="14" t="s">
        <v>114</v>
      </c>
      <c r="H83" s="14" t="s">
        <v>112</v>
      </c>
      <c r="I83" s="14" t="s">
        <v>59</v>
      </c>
      <c r="J83" s="14" t="s">
        <v>198</v>
      </c>
      <c r="K83" s="14" t="s">
        <v>205</v>
      </c>
      <c r="L83" s="14" t="s">
        <v>274</v>
      </c>
      <c r="M83" s="14" t="s">
        <v>448</v>
      </c>
      <c r="N83" s="14" t="s">
        <v>449</v>
      </c>
      <c r="O83" s="14">
        <v>100.0</v>
      </c>
      <c r="P83" s="21">
        <v>3.0</v>
      </c>
      <c r="Q83" s="22" t="str">
        <f t="shared" ref="Q83:Q84" si="51">"+0"</f>
        <v>+0</v>
      </c>
      <c r="S83" s="14" t="s">
        <v>450</v>
      </c>
    </row>
    <row r="84">
      <c r="A84" s="13">
        <v>45901.0</v>
      </c>
      <c r="B84" s="14" t="s">
        <v>47</v>
      </c>
      <c r="C84" s="14" t="s">
        <v>48</v>
      </c>
      <c r="D84" s="14" t="s">
        <v>77</v>
      </c>
      <c r="E84" s="14" t="s">
        <v>78</v>
      </c>
      <c r="F84" s="15" t="s">
        <v>51</v>
      </c>
      <c r="G84" s="14" t="s">
        <v>128</v>
      </c>
      <c r="H84" s="14" t="s">
        <v>81</v>
      </c>
      <c r="I84" s="14" t="s">
        <v>59</v>
      </c>
      <c r="J84" s="14" t="s">
        <v>198</v>
      </c>
      <c r="K84" s="14" t="s">
        <v>205</v>
      </c>
      <c r="L84" s="14" t="s">
        <v>274</v>
      </c>
      <c r="M84" s="14" t="s">
        <v>451</v>
      </c>
      <c r="N84" s="14" t="s">
        <v>452</v>
      </c>
      <c r="O84" s="14">
        <v>0.0</v>
      </c>
      <c r="P84" s="21">
        <v>0.0</v>
      </c>
      <c r="Q84" s="22" t="str">
        <f t="shared" si="51"/>
        <v>+0</v>
      </c>
      <c r="S84" s="14" t="s">
        <v>281</v>
      </c>
    </row>
    <row r="85">
      <c r="A85" s="13">
        <v>45901.0</v>
      </c>
      <c r="B85" s="14" t="s">
        <v>47</v>
      </c>
      <c r="C85" s="14" t="s">
        <v>48</v>
      </c>
      <c r="D85" s="14" t="s">
        <v>158</v>
      </c>
      <c r="E85" s="14" t="s">
        <v>159</v>
      </c>
      <c r="F85" s="15" t="s">
        <v>51</v>
      </c>
      <c r="G85" s="14" t="s">
        <v>160</v>
      </c>
      <c r="H85" s="14" t="s">
        <v>158</v>
      </c>
      <c r="I85" s="14" t="s">
        <v>54</v>
      </c>
      <c r="J85" s="14" t="s">
        <v>200</v>
      </c>
      <c r="K85" s="14" t="s">
        <v>224</v>
      </c>
      <c r="L85" s="14" t="s">
        <v>453</v>
      </c>
      <c r="M85" s="14" t="s">
        <v>454</v>
      </c>
      <c r="N85" s="14" t="s">
        <v>455</v>
      </c>
      <c r="O85" s="14">
        <v>0.0</v>
      </c>
      <c r="P85" s="17"/>
      <c r="Q85" s="22"/>
      <c r="S85" s="14" t="s">
        <v>371</v>
      </c>
    </row>
    <row r="86">
      <c r="A86" s="13">
        <v>45901.0</v>
      </c>
      <c r="B86" s="14" t="s">
        <v>47</v>
      </c>
      <c r="C86" s="14" t="s">
        <v>48</v>
      </c>
      <c r="D86" s="14" t="s">
        <v>158</v>
      </c>
      <c r="E86" s="14" t="s">
        <v>159</v>
      </c>
      <c r="F86" s="15" t="s">
        <v>51</v>
      </c>
      <c r="G86" s="14" t="s">
        <v>160</v>
      </c>
      <c r="H86" s="14" t="s">
        <v>158</v>
      </c>
      <c r="I86" s="14" t="s">
        <v>54</v>
      </c>
      <c r="J86" s="14" t="s">
        <v>198</v>
      </c>
      <c r="K86" s="14" t="s">
        <v>210</v>
      </c>
      <c r="L86" s="14" t="s">
        <v>264</v>
      </c>
      <c r="M86" s="14" t="s">
        <v>456</v>
      </c>
      <c r="N86" s="14" t="s">
        <v>457</v>
      </c>
      <c r="O86" s="14">
        <v>0.0</v>
      </c>
      <c r="P86" s="21">
        <v>0.0</v>
      </c>
      <c r="Q86" s="22" t="str">
        <f t="shared" ref="Q86:R86" si="52">"+0"</f>
        <v>+0</v>
      </c>
      <c r="R86" s="18" t="str">
        <f t="shared" si="52"/>
        <v>+0</v>
      </c>
      <c r="S86" s="14" t="s">
        <v>277</v>
      </c>
    </row>
    <row r="87">
      <c r="A87" s="13">
        <v>45901.0</v>
      </c>
      <c r="B87" s="14" t="s">
        <v>47</v>
      </c>
      <c r="C87" s="14" t="s">
        <v>48</v>
      </c>
      <c r="D87" s="14" t="s">
        <v>77</v>
      </c>
      <c r="E87" s="14" t="s">
        <v>78</v>
      </c>
      <c r="F87" s="15" t="s">
        <v>51</v>
      </c>
      <c r="G87" s="14" t="s">
        <v>128</v>
      </c>
      <c r="H87" s="14" t="s">
        <v>81</v>
      </c>
      <c r="I87" s="14" t="s">
        <v>59</v>
      </c>
      <c r="J87" s="14" t="s">
        <v>198</v>
      </c>
      <c r="K87" s="14" t="s">
        <v>210</v>
      </c>
      <c r="L87" s="14" t="s">
        <v>458</v>
      </c>
      <c r="M87" s="14" t="s">
        <v>459</v>
      </c>
      <c r="N87" s="14" t="s">
        <v>460</v>
      </c>
      <c r="O87" s="14">
        <v>100.0</v>
      </c>
      <c r="P87" s="21">
        <v>0.0</v>
      </c>
      <c r="Q87" s="22" t="str">
        <f t="shared" ref="Q87:R87" si="53">"+0"</f>
        <v>+0</v>
      </c>
      <c r="R87" s="18" t="str">
        <f t="shared" si="53"/>
        <v>+0</v>
      </c>
      <c r="S87" s="14" t="s">
        <v>281</v>
      </c>
    </row>
    <row r="88">
      <c r="A88" s="13">
        <v>45901.0</v>
      </c>
      <c r="B88" s="14" t="s">
        <v>47</v>
      </c>
      <c r="C88" s="14" t="s">
        <v>48</v>
      </c>
      <c r="D88" s="14" t="s">
        <v>168</v>
      </c>
      <c r="E88" s="14" t="s">
        <v>169</v>
      </c>
      <c r="F88" s="15" t="s">
        <v>51</v>
      </c>
      <c r="G88" s="14" t="s">
        <v>170</v>
      </c>
      <c r="H88" s="14" t="s">
        <v>168</v>
      </c>
      <c r="I88" s="14" t="s">
        <v>59</v>
      </c>
      <c r="J88" s="14" t="s">
        <v>199</v>
      </c>
      <c r="K88" s="14" t="s">
        <v>206</v>
      </c>
      <c r="L88" s="14" t="s">
        <v>295</v>
      </c>
      <c r="M88" s="14" t="s">
        <v>461</v>
      </c>
      <c r="N88" s="14" t="s">
        <v>462</v>
      </c>
      <c r="O88" s="14">
        <v>0.0</v>
      </c>
      <c r="P88" s="21">
        <v>0.0</v>
      </c>
      <c r="Q88" s="22" t="str">
        <f t="shared" ref="Q88:R88" si="54">"+0"</f>
        <v>+0</v>
      </c>
      <c r="R88" s="18" t="str">
        <f t="shared" si="54"/>
        <v>+0</v>
      </c>
      <c r="S88" s="14" t="s">
        <v>260</v>
      </c>
    </row>
    <row r="89">
      <c r="A89" s="13">
        <v>45901.0</v>
      </c>
      <c r="B89" s="14" t="s">
        <v>47</v>
      </c>
      <c r="C89" s="14" t="s">
        <v>48</v>
      </c>
      <c r="D89" s="14" t="s">
        <v>121</v>
      </c>
      <c r="E89" s="14" t="s">
        <v>122</v>
      </c>
      <c r="F89" s="15" t="s">
        <v>51</v>
      </c>
      <c r="G89" s="14" t="s">
        <v>123</v>
      </c>
      <c r="H89" s="14" t="s">
        <v>124</v>
      </c>
      <c r="I89" s="14" t="s">
        <v>59</v>
      </c>
      <c r="J89" s="14" t="s">
        <v>200</v>
      </c>
      <c r="K89" s="14" t="s">
        <v>232</v>
      </c>
      <c r="L89" s="14" t="s">
        <v>422</v>
      </c>
      <c r="M89" s="14" t="s">
        <v>423</v>
      </c>
      <c r="N89" s="14" t="s">
        <v>424</v>
      </c>
      <c r="O89" s="14">
        <v>100.0</v>
      </c>
      <c r="P89" s="21">
        <v>19.0</v>
      </c>
      <c r="Q89" s="22" t="str">
        <f t="shared" ref="Q89:R89" si="55">"+0"</f>
        <v>+0</v>
      </c>
      <c r="R89" s="18" t="str">
        <f t="shared" si="55"/>
        <v>+0</v>
      </c>
      <c r="S89" s="14" t="s">
        <v>260</v>
      </c>
    </row>
    <row r="90">
      <c r="A90" s="13">
        <v>45901.0</v>
      </c>
      <c r="B90" s="14" t="s">
        <v>47</v>
      </c>
      <c r="C90" s="14" t="s">
        <v>48</v>
      </c>
      <c r="D90" s="14" t="s">
        <v>140</v>
      </c>
      <c r="E90" s="14" t="s">
        <v>141</v>
      </c>
      <c r="F90" s="15" t="s">
        <v>51</v>
      </c>
      <c r="G90" s="14" t="s">
        <v>142</v>
      </c>
      <c r="H90" s="14" t="s">
        <v>140</v>
      </c>
      <c r="I90" s="14" t="s">
        <v>59</v>
      </c>
      <c r="J90" s="14" t="s">
        <v>198</v>
      </c>
      <c r="K90" s="14" t="s">
        <v>205</v>
      </c>
      <c r="L90" s="14" t="s">
        <v>274</v>
      </c>
      <c r="M90" s="14" t="s">
        <v>451</v>
      </c>
      <c r="N90" s="14" t="s">
        <v>452</v>
      </c>
      <c r="O90" s="14">
        <v>0.0</v>
      </c>
      <c r="P90" s="21">
        <v>0.0</v>
      </c>
      <c r="Q90" s="22" t="str">
        <f>"+0"</f>
        <v>+0</v>
      </c>
      <c r="S90" s="14" t="s">
        <v>281</v>
      </c>
    </row>
    <row r="91">
      <c r="A91" s="13">
        <v>45901.0</v>
      </c>
      <c r="B91" s="14" t="s">
        <v>47</v>
      </c>
      <c r="C91" s="14" t="s">
        <v>48</v>
      </c>
      <c r="D91" s="14" t="s">
        <v>56</v>
      </c>
      <c r="E91" s="14" t="s">
        <v>57</v>
      </c>
      <c r="F91" s="14" t="s">
        <v>71</v>
      </c>
      <c r="G91" s="14">
        <v>5.36003976E8</v>
      </c>
      <c r="H91" s="14" t="s">
        <v>56</v>
      </c>
      <c r="I91" s="14" t="s">
        <v>59</v>
      </c>
      <c r="J91" s="14" t="s">
        <v>200</v>
      </c>
      <c r="K91" s="14" t="s">
        <v>218</v>
      </c>
      <c r="L91" s="14" t="s">
        <v>253</v>
      </c>
      <c r="M91" s="14" t="s">
        <v>463</v>
      </c>
      <c r="N91" s="14" t="s">
        <v>464</v>
      </c>
      <c r="O91" s="14">
        <v>0.0</v>
      </c>
      <c r="P91" s="23">
        <v>0.0</v>
      </c>
      <c r="Q91" s="22" t="str">
        <f t="shared" ref="Q91:R91" si="56">"+0.00%"</f>
        <v>+0.00%</v>
      </c>
      <c r="R91" s="18" t="str">
        <f t="shared" si="56"/>
        <v>+0.00%</v>
      </c>
      <c r="S91" s="14" t="s">
        <v>465</v>
      </c>
    </row>
    <row r="92">
      <c r="A92" s="13">
        <v>45901.0</v>
      </c>
      <c r="B92" s="14" t="s">
        <v>47</v>
      </c>
      <c r="C92" s="14" t="s">
        <v>48</v>
      </c>
      <c r="D92" s="14" t="s">
        <v>121</v>
      </c>
      <c r="E92" s="14" t="s">
        <v>122</v>
      </c>
      <c r="F92" s="15" t="s">
        <v>51</v>
      </c>
      <c r="G92" s="14" t="s">
        <v>123</v>
      </c>
      <c r="H92" s="14" t="s">
        <v>124</v>
      </c>
      <c r="I92" s="14" t="s">
        <v>59</v>
      </c>
      <c r="J92" s="14" t="s">
        <v>198</v>
      </c>
      <c r="K92" s="14" t="s">
        <v>205</v>
      </c>
      <c r="L92" s="14" t="s">
        <v>274</v>
      </c>
      <c r="M92" s="14" t="s">
        <v>466</v>
      </c>
      <c r="N92" s="14" t="s">
        <v>467</v>
      </c>
      <c r="O92" s="14">
        <v>100.0</v>
      </c>
      <c r="P92" s="21">
        <v>1.0</v>
      </c>
      <c r="Q92" s="22" t="str">
        <f t="shared" ref="Q92:Q94" si="57">"+0"</f>
        <v>+0</v>
      </c>
      <c r="S92" s="14" t="s">
        <v>281</v>
      </c>
    </row>
    <row r="93">
      <c r="A93" s="13">
        <v>45901.0</v>
      </c>
      <c r="B93" s="14" t="s">
        <v>47</v>
      </c>
      <c r="C93" s="14" t="s">
        <v>48</v>
      </c>
      <c r="D93" s="14" t="s">
        <v>165</v>
      </c>
      <c r="E93" s="14" t="s">
        <v>166</v>
      </c>
      <c r="F93" s="14" t="s">
        <v>111</v>
      </c>
      <c r="G93" s="14">
        <v>7116371.0</v>
      </c>
      <c r="H93" s="14" t="s">
        <v>165</v>
      </c>
      <c r="I93" s="14" t="s">
        <v>59</v>
      </c>
      <c r="J93" s="14" t="s">
        <v>199</v>
      </c>
      <c r="K93" s="14" t="s">
        <v>203</v>
      </c>
      <c r="L93" s="14" t="s">
        <v>431</v>
      </c>
      <c r="M93" s="14" t="s">
        <v>431</v>
      </c>
      <c r="N93" s="14" t="s">
        <v>432</v>
      </c>
      <c r="O93" s="14">
        <v>0.0</v>
      </c>
      <c r="P93" s="21">
        <v>0.0</v>
      </c>
      <c r="Q93" s="22" t="str">
        <f t="shared" si="57"/>
        <v>+0</v>
      </c>
      <c r="R93" s="18" t="str">
        <f t="shared" ref="R93:R94" si="58">"+0"</f>
        <v>+0</v>
      </c>
      <c r="S93" s="14" t="s">
        <v>260</v>
      </c>
    </row>
    <row r="94">
      <c r="A94" s="13">
        <v>45901.0</v>
      </c>
      <c r="B94" s="14" t="s">
        <v>47</v>
      </c>
      <c r="C94" s="14" t="s">
        <v>48</v>
      </c>
      <c r="D94" s="14" t="s">
        <v>165</v>
      </c>
      <c r="E94" s="14" t="s">
        <v>166</v>
      </c>
      <c r="F94" s="15" t="s">
        <v>51</v>
      </c>
      <c r="G94" s="14" t="s">
        <v>167</v>
      </c>
      <c r="H94" s="14" t="s">
        <v>165</v>
      </c>
      <c r="I94" s="14" t="s">
        <v>54</v>
      </c>
      <c r="J94" s="14" t="s">
        <v>198</v>
      </c>
      <c r="K94" s="14" t="s">
        <v>210</v>
      </c>
      <c r="L94" s="14" t="s">
        <v>278</v>
      </c>
      <c r="M94" s="14" t="s">
        <v>468</v>
      </c>
      <c r="N94" s="14" t="s">
        <v>469</v>
      </c>
      <c r="O94" s="14">
        <v>0.0</v>
      </c>
      <c r="P94" s="21">
        <v>0.0</v>
      </c>
      <c r="Q94" s="22" t="str">
        <f t="shared" si="57"/>
        <v>+0</v>
      </c>
      <c r="R94" s="18" t="str">
        <f t="shared" si="58"/>
        <v>+0</v>
      </c>
      <c r="S94" s="14" t="s">
        <v>277</v>
      </c>
    </row>
    <row r="95">
      <c r="A95" s="13">
        <v>45901.0</v>
      </c>
      <c r="B95" s="14" t="s">
        <v>47</v>
      </c>
      <c r="C95" s="14" t="s">
        <v>48</v>
      </c>
      <c r="D95" s="14" t="s">
        <v>49</v>
      </c>
      <c r="E95" s="14" t="s">
        <v>50</v>
      </c>
      <c r="F95" s="15" t="s">
        <v>51</v>
      </c>
      <c r="G95" s="14" t="s">
        <v>52</v>
      </c>
      <c r="H95" s="14" t="s">
        <v>53</v>
      </c>
      <c r="I95" s="14" t="s">
        <v>54</v>
      </c>
      <c r="J95" s="14" t="s">
        <v>198</v>
      </c>
      <c r="K95" s="14" t="s">
        <v>210</v>
      </c>
      <c r="L95" s="14" t="s">
        <v>264</v>
      </c>
      <c r="M95" s="14" t="s">
        <v>470</v>
      </c>
      <c r="N95" s="14" t="s">
        <v>471</v>
      </c>
      <c r="O95" s="14">
        <v>76.0</v>
      </c>
      <c r="P95" s="21">
        <v>203.0</v>
      </c>
      <c r="Q95" s="22" t="str">
        <f>"+35"</f>
        <v>+35</v>
      </c>
      <c r="R95" s="18" t="str">
        <f>"+32"</f>
        <v>+32</v>
      </c>
      <c r="S95" s="14" t="s">
        <v>472</v>
      </c>
    </row>
    <row r="96">
      <c r="A96" s="13">
        <v>45901.0</v>
      </c>
      <c r="B96" s="14" t="s">
        <v>47</v>
      </c>
      <c r="C96" s="14" t="s">
        <v>48</v>
      </c>
      <c r="D96" s="14" t="s">
        <v>165</v>
      </c>
      <c r="E96" s="14" t="s">
        <v>166</v>
      </c>
      <c r="F96" s="15" t="s">
        <v>51</v>
      </c>
      <c r="G96" s="14" t="s">
        <v>167</v>
      </c>
      <c r="H96" s="14" t="s">
        <v>165</v>
      </c>
      <c r="I96" s="14" t="s">
        <v>54</v>
      </c>
      <c r="J96" s="14" t="s">
        <v>200</v>
      </c>
      <c r="K96" s="14" t="s">
        <v>213</v>
      </c>
      <c r="L96" s="14" t="s">
        <v>257</v>
      </c>
      <c r="M96" s="14" t="s">
        <v>258</v>
      </c>
      <c r="N96" s="14" t="s">
        <v>259</v>
      </c>
      <c r="O96" s="14">
        <v>100.0</v>
      </c>
      <c r="P96" s="21">
        <v>55.0</v>
      </c>
      <c r="Q96" s="22" t="str">
        <f t="shared" ref="Q96:R96" si="59">"+0"</f>
        <v>+0</v>
      </c>
      <c r="R96" s="18" t="str">
        <f t="shared" si="59"/>
        <v>+0</v>
      </c>
      <c r="S96" s="14" t="s">
        <v>260</v>
      </c>
    </row>
    <row r="97">
      <c r="A97" s="13">
        <v>45901.0</v>
      </c>
      <c r="B97" s="14" t="s">
        <v>47</v>
      </c>
      <c r="C97" s="14" t="s">
        <v>48</v>
      </c>
      <c r="D97" s="14" t="s">
        <v>63</v>
      </c>
      <c r="E97" s="14" t="s">
        <v>64</v>
      </c>
      <c r="F97" s="15" t="s">
        <v>51</v>
      </c>
      <c r="G97" s="14" t="s">
        <v>65</v>
      </c>
      <c r="H97" s="14" t="s">
        <v>63</v>
      </c>
      <c r="I97" s="14" t="s">
        <v>54</v>
      </c>
      <c r="J97" s="14" t="s">
        <v>198</v>
      </c>
      <c r="K97" s="14" t="s">
        <v>205</v>
      </c>
      <c r="L97" s="14" t="s">
        <v>274</v>
      </c>
      <c r="M97" s="14" t="s">
        <v>473</v>
      </c>
      <c r="N97" s="14" t="s">
        <v>474</v>
      </c>
      <c r="O97" s="14">
        <v>100.0</v>
      </c>
      <c r="P97" s="21">
        <v>30.0</v>
      </c>
      <c r="Q97" s="22" t="str">
        <f t="shared" ref="Q97:Q98" si="60">"+0"</f>
        <v>+0</v>
      </c>
      <c r="S97" s="14" t="s">
        <v>475</v>
      </c>
    </row>
    <row r="98">
      <c r="A98" s="13">
        <v>45901.0</v>
      </c>
      <c r="B98" s="14" t="s">
        <v>47</v>
      </c>
      <c r="C98" s="14" t="s">
        <v>48</v>
      </c>
      <c r="D98" s="14" t="s">
        <v>118</v>
      </c>
      <c r="E98" s="14" t="s">
        <v>119</v>
      </c>
      <c r="F98" s="15" t="s">
        <v>51</v>
      </c>
      <c r="G98" s="14" t="s">
        <v>120</v>
      </c>
      <c r="H98" s="14" t="s">
        <v>118</v>
      </c>
      <c r="I98" s="14" t="s">
        <v>59</v>
      </c>
      <c r="J98" s="14" t="s">
        <v>198</v>
      </c>
      <c r="K98" s="14" t="s">
        <v>205</v>
      </c>
      <c r="L98" s="14" t="s">
        <v>274</v>
      </c>
      <c r="M98" s="14" t="s">
        <v>473</v>
      </c>
      <c r="N98" s="14" t="s">
        <v>474</v>
      </c>
      <c r="O98" s="14">
        <v>50.0</v>
      </c>
      <c r="P98" s="21">
        <v>15.0</v>
      </c>
      <c r="Q98" s="22" t="str">
        <f t="shared" si="60"/>
        <v>+0</v>
      </c>
      <c r="S98" s="14" t="s">
        <v>475</v>
      </c>
    </row>
    <row r="99">
      <c r="A99" s="13">
        <v>45901.0</v>
      </c>
      <c r="B99" s="14" t="s">
        <v>47</v>
      </c>
      <c r="C99" s="14" t="s">
        <v>48</v>
      </c>
      <c r="D99" s="14" t="s">
        <v>63</v>
      </c>
      <c r="E99" s="14" t="s">
        <v>64</v>
      </c>
      <c r="F99" s="15" t="s">
        <v>51</v>
      </c>
      <c r="G99" s="14" t="s">
        <v>65</v>
      </c>
      <c r="H99" s="14" t="s">
        <v>63</v>
      </c>
      <c r="I99" s="14" t="s">
        <v>54</v>
      </c>
      <c r="J99" s="14" t="s">
        <v>200</v>
      </c>
      <c r="K99" s="14" t="s">
        <v>245</v>
      </c>
      <c r="L99" s="14" t="s">
        <v>253</v>
      </c>
      <c r="M99" s="14" t="s">
        <v>476</v>
      </c>
      <c r="N99" s="14" t="s">
        <v>477</v>
      </c>
      <c r="O99" s="14">
        <v>1.0</v>
      </c>
      <c r="P99" s="23">
        <v>0.01</v>
      </c>
      <c r="Q99" s="22" t="str">
        <f t="shared" ref="Q99:R99" si="61">"+0.00%"</f>
        <v>+0.00%</v>
      </c>
      <c r="R99" s="18" t="str">
        <f t="shared" si="61"/>
        <v>+0.00%</v>
      </c>
      <c r="S99" s="14" t="s">
        <v>478</v>
      </c>
    </row>
    <row r="100">
      <c r="A100" s="13">
        <v>45901.0</v>
      </c>
      <c r="B100" s="14" t="s">
        <v>47</v>
      </c>
      <c r="C100" s="14" t="s">
        <v>48</v>
      </c>
      <c r="D100" s="14" t="s">
        <v>63</v>
      </c>
      <c r="E100" s="14" t="s">
        <v>64</v>
      </c>
      <c r="F100" s="15" t="s">
        <v>51</v>
      </c>
      <c r="G100" s="14" t="s">
        <v>65</v>
      </c>
      <c r="H100" s="14" t="s">
        <v>63</v>
      </c>
      <c r="I100" s="14" t="s">
        <v>54</v>
      </c>
      <c r="J100" s="14" t="s">
        <v>200</v>
      </c>
      <c r="K100" s="14" t="s">
        <v>236</v>
      </c>
      <c r="L100" s="14" t="s">
        <v>253</v>
      </c>
      <c r="M100" s="14" t="s">
        <v>479</v>
      </c>
      <c r="N100" s="14" t="s">
        <v>480</v>
      </c>
      <c r="O100" s="14">
        <v>28.0</v>
      </c>
      <c r="P100" s="23">
        <v>0.2893</v>
      </c>
      <c r="Q100" s="22" t="str">
        <f>"+0.26%"</f>
        <v>+0.26%</v>
      </c>
      <c r="R100" s="18" t="str">
        <f>"+0.22%"</f>
        <v>+0.22%</v>
      </c>
      <c r="S100" s="14" t="s">
        <v>481</v>
      </c>
    </row>
    <row r="101">
      <c r="A101" s="13">
        <v>45901.0</v>
      </c>
      <c r="B101" s="14" t="s">
        <v>47</v>
      </c>
      <c r="C101" s="14" t="s">
        <v>48</v>
      </c>
      <c r="D101" s="14" t="s">
        <v>91</v>
      </c>
      <c r="E101" s="14" t="s">
        <v>92</v>
      </c>
      <c r="F101" s="15" t="s">
        <v>51</v>
      </c>
      <c r="G101" s="14" t="s">
        <v>163</v>
      </c>
      <c r="H101" s="14" t="s">
        <v>91</v>
      </c>
      <c r="I101" s="14" t="s">
        <v>59</v>
      </c>
      <c r="J101" s="14" t="s">
        <v>199</v>
      </c>
      <c r="K101" s="14" t="s">
        <v>206</v>
      </c>
      <c r="L101" s="14" t="s">
        <v>268</v>
      </c>
      <c r="M101" s="14" t="s">
        <v>268</v>
      </c>
      <c r="N101" s="14" t="s">
        <v>269</v>
      </c>
      <c r="O101" s="14">
        <v>100.0</v>
      </c>
      <c r="P101" s="21">
        <v>9.0</v>
      </c>
      <c r="Q101" s="22" t="str">
        <f t="shared" ref="Q101:R101" si="62">"+5"</f>
        <v>+5</v>
      </c>
      <c r="R101" s="18" t="str">
        <f t="shared" si="62"/>
        <v>+5</v>
      </c>
      <c r="S101" s="14" t="s">
        <v>260</v>
      </c>
    </row>
    <row r="102">
      <c r="A102" s="13">
        <v>45901.0</v>
      </c>
      <c r="B102" s="14" t="s">
        <v>47</v>
      </c>
      <c r="C102" s="14" t="s">
        <v>48</v>
      </c>
      <c r="D102" s="14" t="s">
        <v>118</v>
      </c>
      <c r="E102" s="14" t="s">
        <v>119</v>
      </c>
      <c r="F102" s="15" t="s">
        <v>51</v>
      </c>
      <c r="G102" s="14" t="s">
        <v>120</v>
      </c>
      <c r="H102" s="14" t="s">
        <v>118</v>
      </c>
      <c r="I102" s="14" t="s">
        <v>59</v>
      </c>
      <c r="J102" s="14" t="s">
        <v>198</v>
      </c>
      <c r="K102" s="14" t="s">
        <v>205</v>
      </c>
      <c r="L102" s="14" t="s">
        <v>274</v>
      </c>
      <c r="M102" s="14" t="s">
        <v>482</v>
      </c>
      <c r="N102" s="14" t="s">
        <v>483</v>
      </c>
      <c r="O102" s="14">
        <v>100.0</v>
      </c>
      <c r="P102" s="21">
        <v>8.0</v>
      </c>
      <c r="Q102" s="22" t="str">
        <f t="shared" ref="Q102:Q104" si="63">"+0"</f>
        <v>+0</v>
      </c>
      <c r="S102" s="14" t="s">
        <v>484</v>
      </c>
    </row>
    <row r="103">
      <c r="A103" s="13">
        <v>45901.0</v>
      </c>
      <c r="B103" s="14" t="s">
        <v>47</v>
      </c>
      <c r="C103" s="14" t="s">
        <v>48</v>
      </c>
      <c r="D103" s="14" t="s">
        <v>99</v>
      </c>
      <c r="E103" s="14" t="s">
        <v>100</v>
      </c>
      <c r="F103" s="15" t="s">
        <v>51</v>
      </c>
      <c r="G103" s="14" t="s">
        <v>101</v>
      </c>
      <c r="H103" s="14" t="s">
        <v>102</v>
      </c>
      <c r="I103" s="14" t="s">
        <v>54</v>
      </c>
      <c r="J103" s="14" t="s">
        <v>199</v>
      </c>
      <c r="K103" s="14" t="s">
        <v>203</v>
      </c>
      <c r="L103" s="14" t="s">
        <v>485</v>
      </c>
      <c r="M103" s="14" t="s">
        <v>485</v>
      </c>
      <c r="N103" s="14" t="s">
        <v>486</v>
      </c>
      <c r="O103" s="14">
        <v>100.0</v>
      </c>
      <c r="P103" s="21">
        <v>1.0</v>
      </c>
      <c r="Q103" s="22" t="str">
        <f t="shared" si="63"/>
        <v>+0</v>
      </c>
      <c r="R103" s="18" t="str">
        <f t="shared" ref="R103:R104" si="64">"+0"</f>
        <v>+0</v>
      </c>
      <c r="S103" s="14" t="s">
        <v>260</v>
      </c>
    </row>
    <row r="104">
      <c r="A104" s="13">
        <v>45901.0</v>
      </c>
      <c r="B104" s="14" t="s">
        <v>47</v>
      </c>
      <c r="C104" s="14" t="s">
        <v>48</v>
      </c>
      <c r="D104" s="14" t="s">
        <v>192</v>
      </c>
      <c r="E104" s="14" t="s">
        <v>193</v>
      </c>
      <c r="F104" s="15" t="s">
        <v>51</v>
      </c>
      <c r="G104" s="14" t="s">
        <v>194</v>
      </c>
      <c r="H104" s="14" t="s">
        <v>192</v>
      </c>
      <c r="I104" s="14" t="s">
        <v>54</v>
      </c>
      <c r="J104" s="14" t="s">
        <v>200</v>
      </c>
      <c r="K104" s="14" t="s">
        <v>223</v>
      </c>
      <c r="L104" s="14" t="s">
        <v>487</v>
      </c>
      <c r="M104" s="14" t="s">
        <v>488</v>
      </c>
      <c r="N104" s="14" t="s">
        <v>489</v>
      </c>
      <c r="O104" s="14">
        <v>0.0</v>
      </c>
      <c r="P104" s="21">
        <v>0.0</v>
      </c>
      <c r="Q104" s="22" t="str">
        <f t="shared" si="63"/>
        <v>+0</v>
      </c>
      <c r="R104" s="18" t="str">
        <f t="shared" si="64"/>
        <v>+0</v>
      </c>
      <c r="S104" s="14" t="s">
        <v>260</v>
      </c>
    </row>
    <row r="105">
      <c r="A105" s="13">
        <v>45901.0</v>
      </c>
      <c r="B105" s="14" t="s">
        <v>47</v>
      </c>
      <c r="C105" s="14" t="s">
        <v>48</v>
      </c>
      <c r="D105" s="14" t="s">
        <v>129</v>
      </c>
      <c r="E105" s="14" t="s">
        <v>130</v>
      </c>
      <c r="F105" s="15" t="s">
        <v>51</v>
      </c>
      <c r="G105" s="14" t="s">
        <v>131</v>
      </c>
      <c r="H105" s="14" t="s">
        <v>129</v>
      </c>
      <c r="I105" s="14" t="s">
        <v>59</v>
      </c>
      <c r="J105" s="14" t="s">
        <v>200</v>
      </c>
      <c r="K105" s="14" t="s">
        <v>204</v>
      </c>
      <c r="L105" s="14" t="s">
        <v>253</v>
      </c>
      <c r="M105" s="14" t="s">
        <v>490</v>
      </c>
      <c r="N105" s="14" t="s">
        <v>491</v>
      </c>
      <c r="O105" s="14">
        <v>0.0</v>
      </c>
      <c r="P105" s="23">
        <v>0.0</v>
      </c>
      <c r="Q105" s="22" t="str">
        <f t="shared" ref="Q105:R105" si="65">"+0.00%"</f>
        <v>+0.00%</v>
      </c>
      <c r="R105" s="18" t="str">
        <f t="shared" si="65"/>
        <v>+0.00%</v>
      </c>
      <c r="S105" s="14" t="s">
        <v>492</v>
      </c>
    </row>
    <row r="106">
      <c r="A106" s="13">
        <v>45901.0</v>
      </c>
      <c r="B106" s="14" t="s">
        <v>47</v>
      </c>
      <c r="C106" s="14" t="s">
        <v>48</v>
      </c>
      <c r="D106" s="14" t="s">
        <v>116</v>
      </c>
      <c r="E106" s="14" t="s">
        <v>117</v>
      </c>
      <c r="F106" s="15" t="s">
        <v>51</v>
      </c>
      <c r="G106" s="14" t="s">
        <v>161</v>
      </c>
      <c r="H106" s="14" t="s">
        <v>116</v>
      </c>
      <c r="I106" s="14" t="s">
        <v>54</v>
      </c>
      <c r="J106" s="14" t="s">
        <v>200</v>
      </c>
      <c r="K106" s="14" t="s">
        <v>213</v>
      </c>
      <c r="L106" s="14" t="s">
        <v>257</v>
      </c>
      <c r="M106" s="14" t="s">
        <v>493</v>
      </c>
      <c r="N106" s="14" t="s">
        <v>494</v>
      </c>
      <c r="O106" s="14">
        <v>29.0</v>
      </c>
      <c r="P106" s="23">
        <v>-0.4062</v>
      </c>
      <c r="Q106" s="22" t="str">
        <f>"+16.55%"</f>
        <v>+16.55%</v>
      </c>
      <c r="R106" s="18" t="str">
        <f>"+11.77%"</f>
        <v>+11.77%</v>
      </c>
      <c r="S106" s="14" t="s">
        <v>495</v>
      </c>
    </row>
    <row r="107">
      <c r="A107" s="13">
        <v>45901.0</v>
      </c>
      <c r="B107" s="14" t="s">
        <v>47</v>
      </c>
      <c r="C107" s="14" t="s">
        <v>48</v>
      </c>
      <c r="D107" s="14" t="s">
        <v>77</v>
      </c>
      <c r="E107" s="14" t="s">
        <v>78</v>
      </c>
      <c r="F107" s="15" t="s">
        <v>51</v>
      </c>
      <c r="G107" s="14" t="s">
        <v>128</v>
      </c>
      <c r="H107" s="14" t="s">
        <v>81</v>
      </c>
      <c r="I107" s="14" t="s">
        <v>59</v>
      </c>
      <c r="J107" s="14" t="s">
        <v>200</v>
      </c>
      <c r="K107" s="14" t="s">
        <v>223</v>
      </c>
      <c r="L107" s="14" t="s">
        <v>487</v>
      </c>
      <c r="M107" s="14" t="s">
        <v>488</v>
      </c>
      <c r="N107" s="14" t="s">
        <v>489</v>
      </c>
      <c r="O107" s="14">
        <v>0.0</v>
      </c>
      <c r="P107" s="21">
        <v>0.0</v>
      </c>
      <c r="Q107" s="22" t="str">
        <f t="shared" ref="Q107:R107" si="66">"+0"</f>
        <v>+0</v>
      </c>
      <c r="R107" s="18" t="str">
        <f t="shared" si="66"/>
        <v>+0</v>
      </c>
      <c r="S107" s="14" t="s">
        <v>260</v>
      </c>
    </row>
    <row r="108">
      <c r="A108" s="13">
        <v>45901.0</v>
      </c>
      <c r="B108" s="14" t="s">
        <v>47</v>
      </c>
      <c r="C108" s="14" t="s">
        <v>48</v>
      </c>
      <c r="D108" s="14" t="s">
        <v>158</v>
      </c>
      <c r="E108" s="14" t="s">
        <v>159</v>
      </c>
      <c r="F108" s="15" t="s">
        <v>51</v>
      </c>
      <c r="G108" s="14" t="s">
        <v>160</v>
      </c>
      <c r="H108" s="14" t="s">
        <v>158</v>
      </c>
      <c r="I108" s="14" t="s">
        <v>54</v>
      </c>
      <c r="J108" s="14" t="s">
        <v>200</v>
      </c>
      <c r="K108" s="14" t="s">
        <v>209</v>
      </c>
      <c r="L108" s="14" t="s">
        <v>253</v>
      </c>
      <c r="M108" s="14" t="s">
        <v>402</v>
      </c>
      <c r="N108" s="14" t="s">
        <v>403</v>
      </c>
      <c r="O108" s="14">
        <v>1.0</v>
      </c>
      <c r="P108" s="23">
        <v>0.0027</v>
      </c>
      <c r="Q108" s="22" t="str">
        <f t="shared" ref="Q108:R108" si="67">"+0.00%"</f>
        <v>+0.00%</v>
      </c>
      <c r="R108" s="18" t="str">
        <f t="shared" si="67"/>
        <v>+0.00%</v>
      </c>
      <c r="S108" s="14" t="s">
        <v>496</v>
      </c>
    </row>
    <row r="109">
      <c r="A109" s="13">
        <v>45901.0</v>
      </c>
      <c r="B109" s="14" t="s">
        <v>47</v>
      </c>
      <c r="C109" s="14" t="s">
        <v>48</v>
      </c>
      <c r="D109" s="14" t="s">
        <v>168</v>
      </c>
      <c r="E109" s="14" t="s">
        <v>169</v>
      </c>
      <c r="F109" s="15" t="s">
        <v>51</v>
      </c>
      <c r="G109" s="14" t="s">
        <v>170</v>
      </c>
      <c r="H109" s="14" t="s">
        <v>168</v>
      </c>
      <c r="I109" s="14" t="s">
        <v>59</v>
      </c>
      <c r="J109" s="14" t="s">
        <v>200</v>
      </c>
      <c r="K109" s="14" t="s">
        <v>213</v>
      </c>
      <c r="L109" s="14" t="s">
        <v>257</v>
      </c>
      <c r="M109" s="14" t="s">
        <v>298</v>
      </c>
      <c r="N109" s="14" t="s">
        <v>299</v>
      </c>
      <c r="O109" s="14">
        <v>1.0</v>
      </c>
      <c r="P109" s="23">
        <v>0.0094</v>
      </c>
      <c r="Q109" s="22" t="str">
        <f>"-1.87%"</f>
        <v>-1.87%</v>
      </c>
      <c r="R109" s="18" t="str">
        <f>"-0.87%"</f>
        <v>-0.87%</v>
      </c>
      <c r="S109" s="14" t="s">
        <v>497</v>
      </c>
    </row>
    <row r="110">
      <c r="A110" s="13">
        <v>45901.0</v>
      </c>
      <c r="B110" s="14" t="s">
        <v>47</v>
      </c>
      <c r="C110" s="14" t="s">
        <v>48</v>
      </c>
      <c r="D110" s="14" t="s">
        <v>60</v>
      </c>
      <c r="E110" s="14" t="s">
        <v>61</v>
      </c>
      <c r="F110" s="15" t="s">
        <v>51</v>
      </c>
      <c r="G110" s="14" t="s">
        <v>62</v>
      </c>
      <c r="H110" s="14" t="s">
        <v>60</v>
      </c>
      <c r="I110" s="14" t="s">
        <v>59</v>
      </c>
      <c r="J110" s="14" t="s">
        <v>200</v>
      </c>
      <c r="K110" s="14" t="s">
        <v>223</v>
      </c>
      <c r="L110" s="14" t="s">
        <v>253</v>
      </c>
      <c r="M110" s="14" t="s">
        <v>389</v>
      </c>
      <c r="N110" s="14" t="s">
        <v>390</v>
      </c>
      <c r="O110" s="14">
        <v>63.0</v>
      </c>
      <c r="P110" s="23">
        <v>0.6375</v>
      </c>
      <c r="Q110" s="22" t="str">
        <f>"+17.50%"</f>
        <v>+17.50%</v>
      </c>
      <c r="R110" s="18" t="str">
        <f>"-0.54%"</f>
        <v>-0.54%</v>
      </c>
      <c r="S110" s="14" t="s">
        <v>498</v>
      </c>
    </row>
    <row r="111">
      <c r="A111" s="13">
        <v>45901.0</v>
      </c>
      <c r="B111" s="14" t="s">
        <v>47</v>
      </c>
      <c r="C111" s="14" t="s">
        <v>48</v>
      </c>
      <c r="D111" s="14" t="s">
        <v>165</v>
      </c>
      <c r="E111" s="14" t="s">
        <v>166</v>
      </c>
      <c r="F111" s="15" t="s">
        <v>51</v>
      </c>
      <c r="G111" s="14" t="s">
        <v>167</v>
      </c>
      <c r="H111" s="14" t="s">
        <v>165</v>
      </c>
      <c r="I111" s="14" t="s">
        <v>54</v>
      </c>
      <c r="J111" s="14" t="s">
        <v>200</v>
      </c>
      <c r="K111" s="14" t="s">
        <v>213</v>
      </c>
      <c r="L111" s="14" t="s">
        <v>257</v>
      </c>
      <c r="M111" s="14" t="s">
        <v>499</v>
      </c>
      <c r="N111" s="14" t="s">
        <v>500</v>
      </c>
      <c r="O111" s="14">
        <v>0.0</v>
      </c>
      <c r="P111" s="23">
        <v>0.0</v>
      </c>
      <c r="Q111" s="22" t="str">
        <f t="shared" ref="Q111:R111" si="68">"+0.00%"</f>
        <v>+0.00%</v>
      </c>
      <c r="R111" s="18" t="str">
        <f t="shared" si="68"/>
        <v>+0.00%</v>
      </c>
      <c r="S111" s="14" t="s">
        <v>501</v>
      </c>
    </row>
    <row r="112">
      <c r="A112" s="13">
        <v>45901.0</v>
      </c>
      <c r="B112" s="14" t="s">
        <v>47</v>
      </c>
      <c r="C112" s="14" t="s">
        <v>48</v>
      </c>
      <c r="D112" s="14" t="s">
        <v>66</v>
      </c>
      <c r="E112" s="14" t="s">
        <v>67</v>
      </c>
      <c r="F112" s="15" t="s">
        <v>51</v>
      </c>
      <c r="G112" s="14" t="s">
        <v>68</v>
      </c>
      <c r="H112" s="14" t="s">
        <v>66</v>
      </c>
      <c r="I112" s="14" t="s">
        <v>59</v>
      </c>
      <c r="J112" s="14" t="s">
        <v>200</v>
      </c>
      <c r="K112" s="14" t="s">
        <v>223</v>
      </c>
      <c r="L112" s="14" t="s">
        <v>286</v>
      </c>
      <c r="M112" s="14" t="s">
        <v>369</v>
      </c>
      <c r="N112" s="14" t="s">
        <v>370</v>
      </c>
      <c r="O112" s="14">
        <v>0.0</v>
      </c>
      <c r="P112" s="23">
        <v>0.0</v>
      </c>
      <c r="Q112" s="22" t="str">
        <f t="shared" ref="Q112:R112" si="69">"+0.00%"</f>
        <v>+0.00%</v>
      </c>
      <c r="R112" s="18" t="str">
        <f t="shared" si="69"/>
        <v>+0.00%</v>
      </c>
      <c r="S112" s="14" t="s">
        <v>371</v>
      </c>
    </row>
    <row r="113">
      <c r="A113" s="13">
        <v>45901.0</v>
      </c>
      <c r="B113" s="14" t="s">
        <v>47</v>
      </c>
      <c r="C113" s="14" t="s">
        <v>48</v>
      </c>
      <c r="D113" s="14" t="s">
        <v>192</v>
      </c>
      <c r="E113" s="14" t="s">
        <v>193</v>
      </c>
      <c r="F113" s="15" t="s">
        <v>51</v>
      </c>
      <c r="G113" s="14" t="s">
        <v>194</v>
      </c>
      <c r="H113" s="14" t="s">
        <v>192</v>
      </c>
      <c r="I113" s="14" t="s">
        <v>54</v>
      </c>
      <c r="J113" s="14" t="s">
        <v>200</v>
      </c>
      <c r="K113" s="14" t="s">
        <v>223</v>
      </c>
      <c r="L113" s="14" t="s">
        <v>307</v>
      </c>
      <c r="M113" s="14" t="s">
        <v>502</v>
      </c>
      <c r="N113" s="14" t="s">
        <v>503</v>
      </c>
      <c r="O113" s="14">
        <v>33.0</v>
      </c>
      <c r="P113" s="23">
        <v>0.3386</v>
      </c>
      <c r="Q113" s="22" t="str">
        <f>"-0.69%"</f>
        <v>-0.69%</v>
      </c>
      <c r="R113" s="18" t="str">
        <f>"-0.42%"</f>
        <v>-0.42%</v>
      </c>
      <c r="S113" s="14" t="s">
        <v>504</v>
      </c>
    </row>
    <row r="114">
      <c r="A114" s="13">
        <v>45901.0</v>
      </c>
      <c r="B114" s="14" t="s">
        <v>47</v>
      </c>
      <c r="C114" s="14" t="s">
        <v>48</v>
      </c>
      <c r="D114" s="14" t="s">
        <v>143</v>
      </c>
      <c r="E114" s="14" t="s">
        <v>144</v>
      </c>
      <c r="F114" s="15" t="s">
        <v>51</v>
      </c>
      <c r="G114" s="14" t="s">
        <v>145</v>
      </c>
      <c r="H114" s="14" t="s">
        <v>143</v>
      </c>
      <c r="I114" s="14" t="s">
        <v>59</v>
      </c>
      <c r="J114" s="14" t="s">
        <v>200</v>
      </c>
      <c r="K114" s="14" t="s">
        <v>232</v>
      </c>
      <c r="L114" s="14" t="s">
        <v>363</v>
      </c>
      <c r="M114" s="14" t="s">
        <v>364</v>
      </c>
      <c r="N114" s="14" t="s">
        <v>365</v>
      </c>
      <c r="O114" s="14">
        <v>100.0</v>
      </c>
      <c r="P114" s="23">
        <v>0.0385</v>
      </c>
      <c r="Q114" s="22" t="str">
        <f>"+3.85%"</f>
        <v>+3.85%</v>
      </c>
      <c r="R114" s="18" t="str">
        <f>"+0.62%"</f>
        <v>+0.62%</v>
      </c>
      <c r="S114" s="14" t="s">
        <v>285</v>
      </c>
    </row>
    <row r="115">
      <c r="A115" s="13">
        <v>45901.0</v>
      </c>
      <c r="B115" s="14" t="s">
        <v>47</v>
      </c>
      <c r="C115" s="14" t="s">
        <v>48</v>
      </c>
      <c r="D115" s="14" t="s">
        <v>143</v>
      </c>
      <c r="E115" s="14" t="s">
        <v>144</v>
      </c>
      <c r="F115" s="15" t="s">
        <v>51</v>
      </c>
      <c r="G115" s="14" t="s">
        <v>145</v>
      </c>
      <c r="H115" s="14" t="s">
        <v>143</v>
      </c>
      <c r="I115" s="14" t="s">
        <v>59</v>
      </c>
      <c r="J115" s="14" t="s">
        <v>198</v>
      </c>
      <c r="K115" s="14" t="s">
        <v>210</v>
      </c>
      <c r="L115" s="14" t="s">
        <v>505</v>
      </c>
      <c r="M115" s="14" t="s">
        <v>506</v>
      </c>
      <c r="N115" s="14" t="s">
        <v>507</v>
      </c>
      <c r="O115" s="14">
        <v>100.0</v>
      </c>
      <c r="P115" s="21">
        <v>0.0</v>
      </c>
      <c r="Q115" s="22" t="str">
        <f t="shared" ref="Q115:R115" si="70">"+0"</f>
        <v>+0</v>
      </c>
      <c r="R115" s="18" t="str">
        <f t="shared" si="70"/>
        <v>+0</v>
      </c>
      <c r="S115" s="14" t="s">
        <v>281</v>
      </c>
    </row>
    <row r="116">
      <c r="A116" s="13">
        <v>45901.0</v>
      </c>
      <c r="B116" s="14" t="s">
        <v>47</v>
      </c>
      <c r="C116" s="14" t="s">
        <v>48</v>
      </c>
      <c r="D116" s="14" t="s">
        <v>103</v>
      </c>
      <c r="E116" s="14" t="s">
        <v>104</v>
      </c>
      <c r="F116" s="15" t="s">
        <v>51</v>
      </c>
      <c r="G116" s="14" t="s">
        <v>105</v>
      </c>
      <c r="H116" s="14" t="s">
        <v>106</v>
      </c>
      <c r="I116" s="14" t="s">
        <v>59</v>
      </c>
      <c r="J116" s="14" t="s">
        <v>198</v>
      </c>
      <c r="K116" s="14" t="s">
        <v>207</v>
      </c>
      <c r="L116" s="14" t="s">
        <v>318</v>
      </c>
      <c r="M116" s="14" t="s">
        <v>508</v>
      </c>
      <c r="N116" s="14" t="s">
        <v>509</v>
      </c>
      <c r="O116" s="14">
        <v>0.0</v>
      </c>
      <c r="P116" s="21">
        <v>0.0</v>
      </c>
      <c r="Q116" s="22" t="str">
        <f>"+0"</f>
        <v>+0</v>
      </c>
      <c r="S116" s="14" t="s">
        <v>281</v>
      </c>
    </row>
    <row r="117">
      <c r="A117" s="13">
        <v>45901.0</v>
      </c>
      <c r="B117" s="14" t="s">
        <v>47</v>
      </c>
      <c r="C117" s="14" t="s">
        <v>48</v>
      </c>
      <c r="D117" s="14" t="s">
        <v>149</v>
      </c>
      <c r="E117" s="14" t="s">
        <v>150</v>
      </c>
      <c r="F117" s="15" t="s">
        <v>51</v>
      </c>
      <c r="G117" s="14" t="s">
        <v>151</v>
      </c>
      <c r="H117" s="14" t="s">
        <v>152</v>
      </c>
      <c r="I117" s="14" t="s">
        <v>54</v>
      </c>
      <c r="J117" s="14" t="s">
        <v>200</v>
      </c>
      <c r="K117" s="14" t="s">
        <v>223</v>
      </c>
      <c r="L117" s="14" t="s">
        <v>440</v>
      </c>
      <c r="M117" s="14" t="s">
        <v>510</v>
      </c>
      <c r="N117" s="14" t="s">
        <v>511</v>
      </c>
      <c r="O117" s="14">
        <v>0.0</v>
      </c>
      <c r="P117" s="23">
        <v>0.0</v>
      </c>
      <c r="Q117" s="22" t="str">
        <f t="shared" ref="Q117:R117" si="71">"+0.00%"</f>
        <v>+0.00%</v>
      </c>
      <c r="R117" s="18" t="str">
        <f t="shared" si="71"/>
        <v>+0.00%</v>
      </c>
      <c r="S117" s="14" t="s">
        <v>285</v>
      </c>
    </row>
    <row r="118">
      <c r="A118" s="13">
        <v>45901.0</v>
      </c>
      <c r="B118" s="14" t="s">
        <v>47</v>
      </c>
      <c r="C118" s="14" t="s">
        <v>48</v>
      </c>
      <c r="D118" s="14" t="s">
        <v>149</v>
      </c>
      <c r="E118" s="14" t="s">
        <v>150</v>
      </c>
      <c r="F118" s="15" t="s">
        <v>51</v>
      </c>
      <c r="G118" s="14" t="s">
        <v>151</v>
      </c>
      <c r="H118" s="14" t="s">
        <v>152</v>
      </c>
      <c r="I118" s="14" t="s">
        <v>54</v>
      </c>
      <c r="J118" s="14" t="s">
        <v>200</v>
      </c>
      <c r="K118" s="14" t="s">
        <v>231</v>
      </c>
      <c r="L118" s="14" t="s">
        <v>512</v>
      </c>
      <c r="M118" s="14" t="s">
        <v>513</v>
      </c>
      <c r="N118" s="14" t="s">
        <v>514</v>
      </c>
      <c r="O118" s="14">
        <v>0.0</v>
      </c>
      <c r="P118" s="21">
        <v>0.0</v>
      </c>
      <c r="Q118" s="22" t="str">
        <f t="shared" ref="Q118:R118" si="72">"+0"</f>
        <v>+0</v>
      </c>
      <c r="R118" s="18" t="str">
        <f t="shared" si="72"/>
        <v>+0</v>
      </c>
      <c r="S118" s="14" t="s">
        <v>260</v>
      </c>
    </row>
    <row r="119">
      <c r="A119" s="13">
        <v>45901.0</v>
      </c>
      <c r="B119" s="14" t="s">
        <v>47</v>
      </c>
      <c r="C119" s="14" t="s">
        <v>48</v>
      </c>
      <c r="D119" s="14" t="s">
        <v>87</v>
      </c>
      <c r="E119" s="14" t="s">
        <v>88</v>
      </c>
      <c r="F119" s="15" t="s">
        <v>51</v>
      </c>
      <c r="G119" s="14" t="s">
        <v>89</v>
      </c>
      <c r="H119" s="14" t="s">
        <v>90</v>
      </c>
      <c r="I119" s="14" t="s">
        <v>59</v>
      </c>
      <c r="J119" s="14" t="s">
        <v>199</v>
      </c>
      <c r="K119" s="14" t="s">
        <v>206</v>
      </c>
      <c r="L119" s="14" t="s">
        <v>515</v>
      </c>
      <c r="M119" s="14" t="s">
        <v>515</v>
      </c>
      <c r="N119" s="14" t="s">
        <v>516</v>
      </c>
      <c r="O119" s="14">
        <v>0.0</v>
      </c>
      <c r="P119" s="21">
        <v>0.0</v>
      </c>
      <c r="Q119" s="22" t="str">
        <f t="shared" ref="Q119:R119" si="73">"+0"</f>
        <v>+0</v>
      </c>
      <c r="R119" s="18" t="str">
        <f t="shared" si="73"/>
        <v>+0</v>
      </c>
      <c r="S119" s="14" t="s">
        <v>383</v>
      </c>
    </row>
    <row r="120">
      <c r="A120" s="13">
        <v>45901.0</v>
      </c>
      <c r="B120" s="14" t="s">
        <v>47</v>
      </c>
      <c r="C120" s="14" t="s">
        <v>48</v>
      </c>
      <c r="D120" s="14" t="s">
        <v>171</v>
      </c>
      <c r="E120" s="14" t="s">
        <v>172</v>
      </c>
      <c r="F120" s="15" t="s">
        <v>51</v>
      </c>
      <c r="G120" s="14" t="s">
        <v>173</v>
      </c>
      <c r="H120" s="14" t="s">
        <v>171</v>
      </c>
      <c r="I120" s="14" t="s">
        <v>59</v>
      </c>
      <c r="J120" s="14" t="s">
        <v>200</v>
      </c>
      <c r="K120" s="14" t="s">
        <v>213</v>
      </c>
      <c r="L120" s="14" t="s">
        <v>257</v>
      </c>
      <c r="M120" s="14" t="s">
        <v>517</v>
      </c>
      <c r="N120" s="14" t="s">
        <v>518</v>
      </c>
      <c r="O120" s="14">
        <v>100.0</v>
      </c>
      <c r="P120" s="21">
        <v>15.0</v>
      </c>
      <c r="Q120" s="22" t="str">
        <f t="shared" ref="Q120:R120" si="74">"+0"</f>
        <v>+0</v>
      </c>
      <c r="R120" s="18" t="str">
        <f t="shared" si="74"/>
        <v>+0</v>
      </c>
      <c r="S120" s="14" t="s">
        <v>260</v>
      </c>
    </row>
    <row r="121">
      <c r="A121" s="13">
        <v>45901.0</v>
      </c>
      <c r="B121" s="14" t="s">
        <v>47</v>
      </c>
      <c r="C121" s="14" t="s">
        <v>48</v>
      </c>
      <c r="D121" s="14" t="s">
        <v>129</v>
      </c>
      <c r="E121" s="14" t="s">
        <v>130</v>
      </c>
      <c r="F121" s="15" t="s">
        <v>51</v>
      </c>
      <c r="G121" s="14" t="s">
        <v>131</v>
      </c>
      <c r="H121" s="14" t="s">
        <v>129</v>
      </c>
      <c r="I121" s="14" t="s">
        <v>59</v>
      </c>
      <c r="J121" s="14" t="s">
        <v>200</v>
      </c>
      <c r="K121" s="14" t="s">
        <v>213</v>
      </c>
      <c r="L121" s="14" t="s">
        <v>359</v>
      </c>
      <c r="M121" s="14" t="s">
        <v>519</v>
      </c>
      <c r="N121" s="14" t="s">
        <v>520</v>
      </c>
      <c r="O121" s="14">
        <v>0.0</v>
      </c>
      <c r="P121" s="21">
        <v>0.0</v>
      </c>
      <c r="Q121" s="22" t="str">
        <f t="shared" ref="Q121:R121" si="75">"+0"</f>
        <v>+0</v>
      </c>
      <c r="R121" s="18" t="str">
        <f t="shared" si="75"/>
        <v>+0</v>
      </c>
      <c r="S121" s="14" t="s">
        <v>260</v>
      </c>
    </row>
    <row r="122">
      <c r="A122" s="13">
        <v>45901.0</v>
      </c>
      <c r="B122" s="14" t="s">
        <v>47</v>
      </c>
      <c r="C122" s="14" t="s">
        <v>48</v>
      </c>
      <c r="D122" s="14" t="s">
        <v>149</v>
      </c>
      <c r="E122" s="14" t="s">
        <v>150</v>
      </c>
      <c r="F122" s="15" t="s">
        <v>51</v>
      </c>
      <c r="G122" s="14" t="s">
        <v>151</v>
      </c>
      <c r="H122" s="14" t="s">
        <v>152</v>
      </c>
      <c r="I122" s="14" t="s">
        <v>54</v>
      </c>
      <c r="J122" s="14" t="s">
        <v>199</v>
      </c>
      <c r="K122" s="14" t="s">
        <v>208</v>
      </c>
      <c r="L122" s="14" t="s">
        <v>352</v>
      </c>
      <c r="M122" s="14" t="s">
        <v>352</v>
      </c>
      <c r="N122" s="14" t="s">
        <v>353</v>
      </c>
      <c r="O122" s="14">
        <v>100.0</v>
      </c>
      <c r="P122" s="21">
        <v>27.0</v>
      </c>
      <c r="Q122" s="22" t="str">
        <f t="shared" ref="Q122:R122" si="76">"+0"</f>
        <v>+0</v>
      </c>
      <c r="R122" s="18" t="str">
        <f t="shared" si="76"/>
        <v>+0</v>
      </c>
      <c r="S122" s="14" t="s">
        <v>260</v>
      </c>
    </row>
    <row r="123">
      <c r="A123" s="13">
        <v>45901.0</v>
      </c>
      <c r="B123" s="14" t="s">
        <v>47</v>
      </c>
      <c r="C123" s="14" t="s">
        <v>48</v>
      </c>
      <c r="D123" s="14" t="s">
        <v>149</v>
      </c>
      <c r="E123" s="14" t="s">
        <v>150</v>
      </c>
      <c r="F123" s="15" t="s">
        <v>51</v>
      </c>
      <c r="G123" s="14" t="s">
        <v>151</v>
      </c>
      <c r="H123" s="14" t="s">
        <v>152</v>
      </c>
      <c r="I123" s="14" t="s">
        <v>54</v>
      </c>
      <c r="J123" s="14" t="s">
        <v>200</v>
      </c>
      <c r="K123" s="14" t="s">
        <v>224</v>
      </c>
      <c r="L123" s="14" t="s">
        <v>453</v>
      </c>
      <c r="M123" s="14" t="s">
        <v>521</v>
      </c>
      <c r="N123" s="14" t="s">
        <v>522</v>
      </c>
      <c r="O123" s="14">
        <v>33.0</v>
      </c>
      <c r="P123" s="23">
        <v>0.3333</v>
      </c>
      <c r="Q123" s="22" t="str">
        <f t="shared" ref="Q123:R123" si="77">"+33.33%"</f>
        <v>+33.33%</v>
      </c>
      <c r="R123" s="18" t="str">
        <f t="shared" si="77"/>
        <v>+33.33%</v>
      </c>
      <c r="S123" s="14" t="s">
        <v>523</v>
      </c>
    </row>
    <row r="124">
      <c r="A124" s="13">
        <v>45901.0</v>
      </c>
      <c r="B124" s="14" t="s">
        <v>47</v>
      </c>
      <c r="C124" s="14" t="s">
        <v>48</v>
      </c>
      <c r="D124" s="14" t="s">
        <v>69</v>
      </c>
      <c r="E124" s="14" t="s">
        <v>70</v>
      </c>
      <c r="F124" s="15" t="s">
        <v>51</v>
      </c>
      <c r="G124" s="14" t="s">
        <v>115</v>
      </c>
      <c r="H124" s="14" t="s">
        <v>72</v>
      </c>
      <c r="I124" s="14" t="s">
        <v>54</v>
      </c>
      <c r="J124" s="14" t="s">
        <v>198</v>
      </c>
      <c r="K124" s="14" t="s">
        <v>210</v>
      </c>
      <c r="L124" s="14" t="s">
        <v>264</v>
      </c>
      <c r="M124" s="14" t="s">
        <v>524</v>
      </c>
      <c r="N124" s="14" t="s">
        <v>525</v>
      </c>
      <c r="O124" s="14">
        <v>0.0</v>
      </c>
      <c r="P124" s="21">
        <v>7.0</v>
      </c>
      <c r="Q124" s="22" t="str">
        <f>"-103"</f>
        <v>-103</v>
      </c>
      <c r="R124" s="18" t="str">
        <f>"-190"</f>
        <v>-190</v>
      </c>
      <c r="S124" s="14" t="s">
        <v>526</v>
      </c>
    </row>
    <row r="125">
      <c r="A125" s="13">
        <v>45901.0</v>
      </c>
      <c r="B125" s="14" t="s">
        <v>47</v>
      </c>
      <c r="C125" s="14" t="s">
        <v>48</v>
      </c>
      <c r="D125" s="14" t="s">
        <v>69</v>
      </c>
      <c r="E125" s="14" t="s">
        <v>70</v>
      </c>
      <c r="F125" s="15" t="s">
        <v>51</v>
      </c>
      <c r="G125" s="14" t="s">
        <v>115</v>
      </c>
      <c r="H125" s="14" t="s">
        <v>72</v>
      </c>
      <c r="I125" s="14" t="s">
        <v>54</v>
      </c>
      <c r="J125" s="14" t="s">
        <v>198</v>
      </c>
      <c r="K125" s="14" t="s">
        <v>210</v>
      </c>
      <c r="L125" s="14" t="s">
        <v>264</v>
      </c>
      <c r="M125" s="14" t="s">
        <v>527</v>
      </c>
      <c r="N125" s="14" t="s">
        <v>528</v>
      </c>
      <c r="O125" s="14">
        <v>0.0</v>
      </c>
      <c r="P125" s="21">
        <v>0.0</v>
      </c>
      <c r="Q125" s="22" t="str">
        <f t="shared" ref="Q125:R125" si="78">"+0"</f>
        <v>+0</v>
      </c>
      <c r="R125" s="18" t="str">
        <f t="shared" si="78"/>
        <v>+0</v>
      </c>
      <c r="S125" s="14" t="s">
        <v>277</v>
      </c>
    </row>
    <row r="126">
      <c r="A126" s="13">
        <v>45901.0</v>
      </c>
      <c r="B126" s="14" t="s">
        <v>47</v>
      </c>
      <c r="C126" s="14" t="s">
        <v>48</v>
      </c>
      <c r="D126" s="14" t="s">
        <v>69</v>
      </c>
      <c r="E126" s="14" t="s">
        <v>70</v>
      </c>
      <c r="F126" s="15" t="s">
        <v>51</v>
      </c>
      <c r="G126" s="14" t="s">
        <v>115</v>
      </c>
      <c r="H126" s="14" t="s">
        <v>72</v>
      </c>
      <c r="I126" s="14" t="s">
        <v>54</v>
      </c>
      <c r="J126" s="14" t="s">
        <v>199</v>
      </c>
      <c r="K126" s="14" t="s">
        <v>206</v>
      </c>
      <c r="L126" s="14" t="s">
        <v>433</v>
      </c>
      <c r="M126" s="14" t="s">
        <v>433</v>
      </c>
      <c r="N126" s="14" t="s">
        <v>434</v>
      </c>
      <c r="O126" s="14">
        <v>100.0</v>
      </c>
      <c r="P126" s="21">
        <v>48.0</v>
      </c>
      <c r="Q126" s="22" t="str">
        <f>"-1"</f>
        <v>-1</v>
      </c>
      <c r="R126" s="18" t="str">
        <f>"-36"</f>
        <v>-36</v>
      </c>
      <c r="S126" s="14" t="s">
        <v>383</v>
      </c>
    </row>
    <row r="127">
      <c r="A127" s="13">
        <v>45901.0</v>
      </c>
      <c r="B127" s="14" t="s">
        <v>47</v>
      </c>
      <c r="C127" s="14" t="s">
        <v>48</v>
      </c>
      <c r="D127" s="14" t="s">
        <v>108</v>
      </c>
      <c r="E127" s="14" t="s">
        <v>109</v>
      </c>
      <c r="F127" s="15" t="s">
        <v>51</v>
      </c>
      <c r="G127" s="14" t="s">
        <v>110</v>
      </c>
      <c r="H127" s="14" t="s">
        <v>108</v>
      </c>
      <c r="I127" s="14" t="s">
        <v>59</v>
      </c>
      <c r="J127" s="14" t="s">
        <v>198</v>
      </c>
      <c r="K127" s="14" t="s">
        <v>210</v>
      </c>
      <c r="L127" s="14" t="s">
        <v>505</v>
      </c>
      <c r="M127" s="14" t="s">
        <v>506</v>
      </c>
      <c r="N127" s="14" t="s">
        <v>507</v>
      </c>
      <c r="O127" s="14">
        <v>100.0</v>
      </c>
      <c r="P127" s="21">
        <v>0.0</v>
      </c>
      <c r="Q127" s="22" t="str">
        <f t="shared" ref="Q127:R127" si="79">"+0"</f>
        <v>+0</v>
      </c>
      <c r="R127" s="18" t="str">
        <f t="shared" si="79"/>
        <v>+0</v>
      </c>
      <c r="S127" s="14" t="s">
        <v>281</v>
      </c>
    </row>
    <row r="128">
      <c r="A128" s="13">
        <v>45901.0</v>
      </c>
      <c r="B128" s="14" t="s">
        <v>47</v>
      </c>
      <c r="C128" s="14" t="s">
        <v>48</v>
      </c>
      <c r="D128" s="14" t="s">
        <v>116</v>
      </c>
      <c r="E128" s="14" t="s">
        <v>117</v>
      </c>
      <c r="F128" s="15" t="s">
        <v>51</v>
      </c>
      <c r="G128" s="14" t="s">
        <v>161</v>
      </c>
      <c r="H128" s="14" t="s">
        <v>116</v>
      </c>
      <c r="I128" s="14" t="s">
        <v>54</v>
      </c>
      <c r="J128" s="14" t="s">
        <v>198</v>
      </c>
      <c r="K128" s="14" t="s">
        <v>205</v>
      </c>
      <c r="L128" s="14" t="s">
        <v>274</v>
      </c>
      <c r="M128" s="14" t="s">
        <v>354</v>
      </c>
      <c r="N128" s="14" t="s">
        <v>355</v>
      </c>
      <c r="O128" s="14">
        <v>50.0</v>
      </c>
      <c r="P128" s="21">
        <v>5.0</v>
      </c>
      <c r="Q128" s="22" t="str">
        <f t="shared" ref="Q128:Q130" si="80">"+0"</f>
        <v>+0</v>
      </c>
      <c r="S128" s="14" t="s">
        <v>356</v>
      </c>
    </row>
    <row r="129">
      <c r="A129" s="13">
        <v>45901.0</v>
      </c>
      <c r="B129" s="14" t="s">
        <v>47</v>
      </c>
      <c r="C129" s="14" t="s">
        <v>48</v>
      </c>
      <c r="D129" s="14" t="s">
        <v>158</v>
      </c>
      <c r="E129" s="14" t="s">
        <v>159</v>
      </c>
      <c r="F129" s="15" t="s">
        <v>51</v>
      </c>
      <c r="G129" s="14" t="s">
        <v>160</v>
      </c>
      <c r="H129" s="14" t="s">
        <v>158</v>
      </c>
      <c r="I129" s="14" t="s">
        <v>54</v>
      </c>
      <c r="J129" s="14" t="s">
        <v>199</v>
      </c>
      <c r="K129" s="14" t="s">
        <v>206</v>
      </c>
      <c r="L129" s="14" t="s">
        <v>295</v>
      </c>
      <c r="M129" s="14" t="s">
        <v>529</v>
      </c>
      <c r="N129" s="14" t="s">
        <v>530</v>
      </c>
      <c r="O129" s="14">
        <v>100.0</v>
      </c>
      <c r="P129" s="21">
        <v>2.0</v>
      </c>
      <c r="Q129" s="22" t="str">
        <f t="shared" si="80"/>
        <v>+0</v>
      </c>
      <c r="R129" s="18" t="str">
        <f t="shared" ref="R129:R130" si="81">"+0"</f>
        <v>+0</v>
      </c>
      <c r="S129" s="14" t="s">
        <v>260</v>
      </c>
    </row>
    <row r="130">
      <c r="A130" s="13">
        <v>45901.0</v>
      </c>
      <c r="B130" s="14" t="s">
        <v>47</v>
      </c>
      <c r="C130" s="14" t="s">
        <v>48</v>
      </c>
      <c r="D130" s="14" t="s">
        <v>116</v>
      </c>
      <c r="E130" s="14" t="s">
        <v>117</v>
      </c>
      <c r="F130" s="14" t="s">
        <v>111</v>
      </c>
      <c r="G130" s="14">
        <v>5298600.0</v>
      </c>
      <c r="H130" s="14" t="s">
        <v>116</v>
      </c>
      <c r="I130" s="14" t="s">
        <v>59</v>
      </c>
      <c r="J130" s="14" t="s">
        <v>199</v>
      </c>
      <c r="K130" s="14" t="s">
        <v>206</v>
      </c>
      <c r="L130" s="14" t="s">
        <v>531</v>
      </c>
      <c r="M130" s="14" t="s">
        <v>531</v>
      </c>
      <c r="N130" s="14" t="s">
        <v>532</v>
      </c>
      <c r="O130" s="14">
        <v>0.0</v>
      </c>
      <c r="P130" s="21">
        <v>0.0</v>
      </c>
      <c r="Q130" s="22" t="str">
        <f t="shared" si="80"/>
        <v>+0</v>
      </c>
      <c r="R130" s="18" t="str">
        <f t="shared" si="81"/>
        <v>+0</v>
      </c>
      <c r="S130" s="14" t="s">
        <v>260</v>
      </c>
    </row>
    <row r="131">
      <c r="A131" s="13">
        <v>45901.0</v>
      </c>
      <c r="B131" s="14" t="s">
        <v>47</v>
      </c>
      <c r="C131" s="14" t="s">
        <v>48</v>
      </c>
      <c r="D131" s="14" t="s">
        <v>60</v>
      </c>
      <c r="E131" s="14" t="s">
        <v>61</v>
      </c>
      <c r="F131" s="15" t="s">
        <v>51</v>
      </c>
      <c r="G131" s="14" t="s">
        <v>62</v>
      </c>
      <c r="H131" s="14" t="s">
        <v>60</v>
      </c>
      <c r="I131" s="14" t="s">
        <v>59</v>
      </c>
      <c r="J131" s="14" t="s">
        <v>200</v>
      </c>
      <c r="K131" s="14" t="s">
        <v>223</v>
      </c>
      <c r="L131" s="14" t="s">
        <v>307</v>
      </c>
      <c r="M131" s="14" t="s">
        <v>533</v>
      </c>
      <c r="N131" s="14" t="s">
        <v>534</v>
      </c>
      <c r="O131" s="14">
        <v>0.0</v>
      </c>
      <c r="P131" s="23">
        <v>0.0</v>
      </c>
      <c r="Q131" s="22" t="str">
        <f t="shared" ref="Q131:R131" si="82">"+0.00%"</f>
        <v>+0.00%</v>
      </c>
      <c r="R131" s="18" t="str">
        <f t="shared" si="82"/>
        <v>+0.00%</v>
      </c>
      <c r="S131" s="14" t="s">
        <v>535</v>
      </c>
    </row>
    <row r="132">
      <c r="A132" s="13">
        <v>45901.0</v>
      </c>
      <c r="B132" s="14" t="s">
        <v>47</v>
      </c>
      <c r="C132" s="14" t="s">
        <v>48</v>
      </c>
      <c r="D132" s="14" t="s">
        <v>155</v>
      </c>
      <c r="E132" s="14" t="s">
        <v>156</v>
      </c>
      <c r="F132" s="15" t="s">
        <v>51</v>
      </c>
      <c r="G132" s="14" t="s">
        <v>157</v>
      </c>
      <c r="H132" s="14" t="s">
        <v>155</v>
      </c>
      <c r="I132" s="14" t="s">
        <v>59</v>
      </c>
      <c r="J132" s="14" t="s">
        <v>198</v>
      </c>
      <c r="K132" s="14" t="s">
        <v>205</v>
      </c>
      <c r="L132" s="14" t="s">
        <v>274</v>
      </c>
      <c r="M132" s="14" t="s">
        <v>387</v>
      </c>
      <c r="N132" s="14" t="s">
        <v>388</v>
      </c>
      <c r="O132" s="14">
        <v>0.0</v>
      </c>
      <c r="P132" s="21">
        <v>0.0</v>
      </c>
      <c r="Q132" s="22" t="str">
        <f t="shared" ref="Q132:Q133" si="83">"+0"</f>
        <v>+0</v>
      </c>
      <c r="S132" s="14" t="s">
        <v>281</v>
      </c>
    </row>
    <row r="133">
      <c r="A133" s="13">
        <v>45901.0</v>
      </c>
      <c r="B133" s="14" t="s">
        <v>47</v>
      </c>
      <c r="C133" s="14" t="s">
        <v>48</v>
      </c>
      <c r="D133" s="14" t="s">
        <v>165</v>
      </c>
      <c r="E133" s="14" t="s">
        <v>166</v>
      </c>
      <c r="F133" s="15" t="s">
        <v>51</v>
      </c>
      <c r="G133" s="14" t="s">
        <v>167</v>
      </c>
      <c r="H133" s="14" t="s">
        <v>165</v>
      </c>
      <c r="I133" s="14" t="s">
        <v>54</v>
      </c>
      <c r="J133" s="14" t="s">
        <v>199</v>
      </c>
      <c r="K133" s="14" t="s">
        <v>203</v>
      </c>
      <c r="L133" s="14" t="s">
        <v>536</v>
      </c>
      <c r="M133" s="14" t="s">
        <v>536</v>
      </c>
      <c r="N133" s="14" t="s">
        <v>537</v>
      </c>
      <c r="O133" s="14">
        <v>0.0</v>
      </c>
      <c r="P133" s="21">
        <v>0.0</v>
      </c>
      <c r="Q133" s="22" t="str">
        <f t="shared" si="83"/>
        <v>+0</v>
      </c>
      <c r="R133" s="18" t="str">
        <f>"+0"</f>
        <v>+0</v>
      </c>
      <c r="S133" s="14" t="s">
        <v>260</v>
      </c>
    </row>
    <row r="134">
      <c r="A134" s="13">
        <v>45901.0</v>
      </c>
      <c r="B134" s="14" t="s">
        <v>47</v>
      </c>
      <c r="C134" s="14" t="s">
        <v>48</v>
      </c>
      <c r="D134" s="14" t="s">
        <v>165</v>
      </c>
      <c r="E134" s="14" t="s">
        <v>166</v>
      </c>
      <c r="F134" s="15" t="s">
        <v>51</v>
      </c>
      <c r="G134" s="14" t="s">
        <v>167</v>
      </c>
      <c r="H134" s="14" t="s">
        <v>165</v>
      </c>
      <c r="I134" s="14" t="s">
        <v>54</v>
      </c>
      <c r="J134" s="14" t="s">
        <v>200</v>
      </c>
      <c r="K134" s="14" t="s">
        <v>201</v>
      </c>
      <c r="L134" s="14" t="s">
        <v>253</v>
      </c>
      <c r="M134" s="14" t="s">
        <v>538</v>
      </c>
      <c r="N134" s="14" t="s">
        <v>539</v>
      </c>
      <c r="O134" s="14">
        <v>8.0</v>
      </c>
      <c r="P134" s="23">
        <v>0.0859</v>
      </c>
      <c r="Q134" s="22" t="str">
        <f>"+0.07%"</f>
        <v>+0.07%</v>
      </c>
      <c r="R134" s="18" t="str">
        <f>"+0.11%"</f>
        <v>+0.11%</v>
      </c>
      <c r="S134" s="14" t="s">
        <v>540</v>
      </c>
    </row>
    <row r="135">
      <c r="A135" s="13">
        <v>45901.0</v>
      </c>
      <c r="B135" s="14" t="s">
        <v>47</v>
      </c>
      <c r="C135" s="14" t="s">
        <v>48</v>
      </c>
      <c r="D135" s="14" t="s">
        <v>118</v>
      </c>
      <c r="E135" s="14" t="s">
        <v>119</v>
      </c>
      <c r="F135" s="15" t="s">
        <v>51</v>
      </c>
      <c r="G135" s="14" t="s">
        <v>120</v>
      </c>
      <c r="H135" s="14" t="s">
        <v>118</v>
      </c>
      <c r="I135" s="14" t="s">
        <v>59</v>
      </c>
      <c r="J135" s="14" t="s">
        <v>199</v>
      </c>
      <c r="K135" s="14" t="s">
        <v>203</v>
      </c>
      <c r="L135" s="14" t="s">
        <v>340</v>
      </c>
      <c r="M135" s="14" t="s">
        <v>340</v>
      </c>
      <c r="N135" s="14" t="s">
        <v>341</v>
      </c>
      <c r="O135" s="14">
        <v>0.0</v>
      </c>
      <c r="P135" s="21">
        <v>0.0</v>
      </c>
      <c r="Q135" s="22" t="str">
        <f t="shared" ref="Q135:R135" si="84">"+0"</f>
        <v>+0</v>
      </c>
      <c r="R135" s="18" t="str">
        <f t="shared" si="84"/>
        <v>+0</v>
      </c>
      <c r="S135" s="14" t="s">
        <v>260</v>
      </c>
    </row>
    <row r="136">
      <c r="A136" s="13">
        <v>45901.0</v>
      </c>
      <c r="B136" s="14" t="s">
        <v>47</v>
      </c>
      <c r="C136" s="14" t="s">
        <v>48</v>
      </c>
      <c r="D136" s="14" t="s">
        <v>91</v>
      </c>
      <c r="E136" s="14" t="s">
        <v>92</v>
      </c>
      <c r="F136" s="14" t="s">
        <v>71</v>
      </c>
      <c r="G136" s="14">
        <v>7295600.0</v>
      </c>
      <c r="H136" s="14" t="s">
        <v>91</v>
      </c>
      <c r="I136" s="14" t="s">
        <v>54</v>
      </c>
      <c r="J136" s="14" t="s">
        <v>200</v>
      </c>
      <c r="K136" s="14" t="s">
        <v>230</v>
      </c>
      <c r="L136" s="14" t="s">
        <v>253</v>
      </c>
      <c r="M136" s="14" t="s">
        <v>541</v>
      </c>
      <c r="N136" s="14" t="s">
        <v>542</v>
      </c>
      <c r="O136" s="14">
        <v>11.0</v>
      </c>
      <c r="P136" s="23">
        <v>0.1167</v>
      </c>
      <c r="Q136" s="22" t="str">
        <f>"+2.47%"</f>
        <v>+2.47%</v>
      </c>
      <c r="R136" s="18" t="str">
        <f>"+8.40%"</f>
        <v>+8.40%</v>
      </c>
      <c r="S136" s="14" t="s">
        <v>543</v>
      </c>
    </row>
    <row r="137">
      <c r="A137" s="13">
        <v>45901.0</v>
      </c>
      <c r="B137" s="14" t="s">
        <v>47</v>
      </c>
      <c r="C137" s="14" t="s">
        <v>48</v>
      </c>
      <c r="D137" s="14" t="s">
        <v>91</v>
      </c>
      <c r="E137" s="14" t="s">
        <v>92</v>
      </c>
      <c r="F137" s="14" t="s">
        <v>79</v>
      </c>
      <c r="G137" s="14" t="s">
        <v>164</v>
      </c>
      <c r="H137" s="14" t="s">
        <v>91</v>
      </c>
      <c r="I137" s="14" t="s">
        <v>154</v>
      </c>
      <c r="J137" s="14" t="s">
        <v>200</v>
      </c>
      <c r="K137" s="14" t="s">
        <v>237</v>
      </c>
      <c r="L137" s="14" t="s">
        <v>333</v>
      </c>
      <c r="M137" s="14" t="s">
        <v>544</v>
      </c>
      <c r="N137" s="14" t="s">
        <v>545</v>
      </c>
      <c r="O137" s="14">
        <v>50.0</v>
      </c>
      <c r="P137" s="21">
        <v>2.0</v>
      </c>
      <c r="Q137" s="22" t="str">
        <f>"+0"</f>
        <v>+0</v>
      </c>
      <c r="R137" s="18" t="str">
        <f>"+2"</f>
        <v>+2</v>
      </c>
      <c r="S137" s="14" t="s">
        <v>327</v>
      </c>
    </row>
    <row r="138">
      <c r="A138" s="13">
        <v>45901.0</v>
      </c>
      <c r="B138" s="14" t="s">
        <v>47</v>
      </c>
      <c r="C138" s="14" t="s">
        <v>48</v>
      </c>
      <c r="D138" s="14" t="s">
        <v>99</v>
      </c>
      <c r="E138" s="14" t="s">
        <v>100</v>
      </c>
      <c r="F138" s="15" t="s">
        <v>51</v>
      </c>
      <c r="G138" s="14" t="s">
        <v>101</v>
      </c>
      <c r="H138" s="14" t="s">
        <v>102</v>
      </c>
      <c r="I138" s="14" t="s">
        <v>54</v>
      </c>
      <c r="J138" s="14" t="s">
        <v>200</v>
      </c>
      <c r="K138" s="14" t="s">
        <v>229</v>
      </c>
      <c r="L138" s="14" t="s">
        <v>253</v>
      </c>
      <c r="M138" s="14" t="s">
        <v>389</v>
      </c>
      <c r="N138" s="14" t="s">
        <v>390</v>
      </c>
      <c r="O138" s="14">
        <v>0.0</v>
      </c>
      <c r="P138" s="23">
        <v>0.0</v>
      </c>
      <c r="Q138" s="22" t="str">
        <f>"-100.00%"</f>
        <v>-100.00%</v>
      </c>
      <c r="S138" s="14" t="s">
        <v>546</v>
      </c>
    </row>
    <row r="139">
      <c r="A139" s="13">
        <v>45901.0</v>
      </c>
      <c r="B139" s="14" t="s">
        <v>47</v>
      </c>
      <c r="C139" s="14" t="s">
        <v>48</v>
      </c>
      <c r="D139" s="14" t="s">
        <v>91</v>
      </c>
      <c r="E139" s="14" t="s">
        <v>92</v>
      </c>
      <c r="F139" s="14" t="s">
        <v>146</v>
      </c>
      <c r="G139" s="14" t="s">
        <v>147</v>
      </c>
      <c r="H139" s="14" t="s">
        <v>91</v>
      </c>
      <c r="I139" s="14" t="s">
        <v>107</v>
      </c>
      <c r="J139" s="14" t="s">
        <v>199</v>
      </c>
      <c r="K139" s="14" t="s">
        <v>206</v>
      </c>
      <c r="L139" s="14" t="s">
        <v>295</v>
      </c>
      <c r="M139" s="14" t="s">
        <v>296</v>
      </c>
      <c r="N139" s="14" t="s">
        <v>297</v>
      </c>
      <c r="O139" s="14">
        <v>100.0</v>
      </c>
      <c r="P139" s="21">
        <v>2.0</v>
      </c>
      <c r="Q139" s="22" t="str">
        <f t="shared" ref="Q139:R139" si="85">"+0"</f>
        <v>+0</v>
      </c>
      <c r="R139" s="18" t="str">
        <f t="shared" si="85"/>
        <v>+0</v>
      </c>
      <c r="S139" s="14" t="s">
        <v>260</v>
      </c>
    </row>
    <row r="140">
      <c r="A140" s="13">
        <v>45901.0</v>
      </c>
      <c r="B140" s="14" t="s">
        <v>47</v>
      </c>
      <c r="C140" s="14" t="s">
        <v>48</v>
      </c>
      <c r="D140" s="14" t="s">
        <v>63</v>
      </c>
      <c r="E140" s="14" t="s">
        <v>64</v>
      </c>
      <c r="F140" s="15" t="s">
        <v>51</v>
      </c>
      <c r="G140" s="14" t="s">
        <v>65</v>
      </c>
      <c r="H140" s="14" t="s">
        <v>63</v>
      </c>
      <c r="I140" s="14" t="s">
        <v>54</v>
      </c>
      <c r="J140" s="14" t="s">
        <v>198</v>
      </c>
      <c r="K140" s="14" t="s">
        <v>210</v>
      </c>
      <c r="L140" s="14" t="s">
        <v>264</v>
      </c>
      <c r="M140" s="14" t="s">
        <v>407</v>
      </c>
      <c r="N140" s="14" t="s">
        <v>408</v>
      </c>
      <c r="O140" s="14">
        <v>0.0</v>
      </c>
      <c r="P140" s="21">
        <v>73677.0</v>
      </c>
      <c r="Q140" s="22" t="str">
        <f>"+20,361"</f>
        <v>+20,361</v>
      </c>
      <c r="R140" s="18" t="str">
        <f>"-18,938"</f>
        <v>-18,938</v>
      </c>
      <c r="S140" s="14" t="s">
        <v>547</v>
      </c>
    </row>
    <row r="141">
      <c r="A141" s="13">
        <v>45901.0</v>
      </c>
      <c r="B141" s="14" t="s">
        <v>47</v>
      </c>
      <c r="C141" s="14" t="s">
        <v>48</v>
      </c>
      <c r="D141" s="14" t="s">
        <v>91</v>
      </c>
      <c r="E141" s="14" t="s">
        <v>92</v>
      </c>
      <c r="F141" s="14" t="s">
        <v>71</v>
      </c>
      <c r="G141" s="14">
        <v>5.00008612E8</v>
      </c>
      <c r="H141" s="14" t="s">
        <v>91</v>
      </c>
      <c r="I141" s="14" t="s">
        <v>59</v>
      </c>
      <c r="J141" s="14" t="s">
        <v>199</v>
      </c>
      <c r="K141" s="14" t="s">
        <v>206</v>
      </c>
      <c r="L141" s="14" t="s">
        <v>515</v>
      </c>
      <c r="M141" s="14" t="s">
        <v>515</v>
      </c>
      <c r="N141" s="14" t="s">
        <v>516</v>
      </c>
      <c r="O141" s="14">
        <v>25.0</v>
      </c>
      <c r="P141" s="21">
        <v>1.0</v>
      </c>
      <c r="Q141" s="22" t="str">
        <f t="shared" ref="Q141:R141" si="86">"+0"</f>
        <v>+0</v>
      </c>
      <c r="R141" s="18" t="str">
        <f t="shared" si="86"/>
        <v>+0</v>
      </c>
      <c r="S141" s="14" t="s">
        <v>383</v>
      </c>
    </row>
    <row r="142">
      <c r="A142" s="13">
        <v>45901.0</v>
      </c>
      <c r="B142" s="14" t="s">
        <v>47</v>
      </c>
      <c r="C142" s="14" t="s">
        <v>48</v>
      </c>
      <c r="D142" s="14" t="s">
        <v>63</v>
      </c>
      <c r="E142" s="14" t="s">
        <v>64</v>
      </c>
      <c r="F142" s="15" t="s">
        <v>51</v>
      </c>
      <c r="G142" s="14" t="s">
        <v>65</v>
      </c>
      <c r="H142" s="14" t="s">
        <v>63</v>
      </c>
      <c r="I142" s="14" t="s">
        <v>54</v>
      </c>
      <c r="J142" s="14" t="s">
        <v>200</v>
      </c>
      <c r="K142" s="14" t="s">
        <v>215</v>
      </c>
      <c r="L142" s="14" t="s">
        <v>548</v>
      </c>
      <c r="M142" s="14" t="s">
        <v>549</v>
      </c>
      <c r="N142" s="14" t="s">
        <v>550</v>
      </c>
      <c r="O142" s="14">
        <v>0.0</v>
      </c>
      <c r="P142" s="23">
        <v>-1.0</v>
      </c>
      <c r="Q142" s="22" t="str">
        <f t="shared" ref="Q142:R142" si="87">"+0.00%"</f>
        <v>+0.00%</v>
      </c>
      <c r="R142" s="18" t="str">
        <f t="shared" si="87"/>
        <v>+0.00%</v>
      </c>
      <c r="S142" s="14" t="s">
        <v>551</v>
      </c>
    </row>
    <row r="143">
      <c r="A143" s="13">
        <v>45901.0</v>
      </c>
      <c r="B143" s="14" t="s">
        <v>47</v>
      </c>
      <c r="C143" s="14" t="s">
        <v>48</v>
      </c>
      <c r="D143" s="14" t="s">
        <v>99</v>
      </c>
      <c r="E143" s="14" t="s">
        <v>100</v>
      </c>
      <c r="F143" s="15" t="s">
        <v>51</v>
      </c>
      <c r="G143" s="14" t="s">
        <v>101</v>
      </c>
      <c r="H143" s="14" t="s">
        <v>102</v>
      </c>
      <c r="I143" s="14" t="s">
        <v>54</v>
      </c>
      <c r="J143" s="14" t="s">
        <v>200</v>
      </c>
      <c r="K143" s="14" t="s">
        <v>213</v>
      </c>
      <c r="L143" s="14" t="s">
        <v>253</v>
      </c>
      <c r="M143" s="14" t="s">
        <v>552</v>
      </c>
      <c r="N143" s="14" t="s">
        <v>553</v>
      </c>
      <c r="O143" s="14">
        <v>63.0</v>
      </c>
      <c r="P143" s="23">
        <v>0.6367</v>
      </c>
      <c r="Q143" s="22" t="str">
        <f>"+5.93%"</f>
        <v>+5.93%</v>
      </c>
      <c r="R143" s="18" t="str">
        <f>"-11.89%"</f>
        <v>-11.89%</v>
      </c>
      <c r="S143" s="14" t="s">
        <v>554</v>
      </c>
    </row>
    <row r="144">
      <c r="A144" s="13">
        <v>45901.0</v>
      </c>
      <c r="B144" s="14" t="s">
        <v>47</v>
      </c>
      <c r="C144" s="14" t="s">
        <v>48</v>
      </c>
      <c r="D144" s="14" t="s">
        <v>63</v>
      </c>
      <c r="E144" s="14" t="s">
        <v>64</v>
      </c>
      <c r="F144" s="15" t="s">
        <v>51</v>
      </c>
      <c r="G144" s="14" t="s">
        <v>65</v>
      </c>
      <c r="H144" s="14" t="s">
        <v>63</v>
      </c>
      <c r="I144" s="14" t="s">
        <v>54</v>
      </c>
      <c r="J144" s="14" t="s">
        <v>200</v>
      </c>
      <c r="K144" s="14" t="s">
        <v>224</v>
      </c>
      <c r="L144" s="14" t="s">
        <v>453</v>
      </c>
      <c r="M144" s="14" t="s">
        <v>555</v>
      </c>
      <c r="N144" s="14" t="s">
        <v>556</v>
      </c>
      <c r="O144" s="14">
        <v>0.0</v>
      </c>
      <c r="P144" s="23">
        <v>0.0</v>
      </c>
      <c r="Q144" s="22" t="str">
        <f t="shared" ref="Q144:R144" si="88">"+0.00%"</f>
        <v>+0.00%</v>
      </c>
      <c r="R144" s="18" t="str">
        <f t="shared" si="88"/>
        <v>+0.00%</v>
      </c>
      <c r="S144" s="14" t="s">
        <v>557</v>
      </c>
    </row>
    <row r="145">
      <c r="A145" s="13">
        <v>45901.0</v>
      </c>
      <c r="B145" s="14" t="s">
        <v>47</v>
      </c>
      <c r="C145" s="14" t="s">
        <v>48</v>
      </c>
      <c r="D145" s="14" t="s">
        <v>99</v>
      </c>
      <c r="E145" s="14" t="s">
        <v>100</v>
      </c>
      <c r="F145" s="15" t="s">
        <v>51</v>
      </c>
      <c r="G145" s="14" t="s">
        <v>101</v>
      </c>
      <c r="H145" s="14" t="s">
        <v>102</v>
      </c>
      <c r="I145" s="14" t="s">
        <v>54</v>
      </c>
      <c r="J145" s="14" t="s">
        <v>200</v>
      </c>
      <c r="K145" s="14" t="s">
        <v>213</v>
      </c>
      <c r="L145" s="14" t="s">
        <v>257</v>
      </c>
      <c r="M145" s="14" t="s">
        <v>315</v>
      </c>
      <c r="N145" s="14" t="s">
        <v>316</v>
      </c>
      <c r="O145" s="14">
        <v>0.0</v>
      </c>
      <c r="P145" s="23">
        <v>0.0</v>
      </c>
      <c r="Q145" s="22" t="str">
        <f t="shared" ref="Q145:R145" si="89">"+0.00%"</f>
        <v>+0.00%</v>
      </c>
      <c r="R145" s="18" t="str">
        <f t="shared" si="89"/>
        <v>+0.00%</v>
      </c>
      <c r="S145" s="14" t="s">
        <v>558</v>
      </c>
    </row>
    <row r="146">
      <c r="A146" s="13">
        <v>45901.0</v>
      </c>
      <c r="B146" s="14" t="s">
        <v>47</v>
      </c>
      <c r="C146" s="14" t="s">
        <v>48</v>
      </c>
      <c r="D146" s="14" t="s">
        <v>91</v>
      </c>
      <c r="E146" s="14" t="s">
        <v>92</v>
      </c>
      <c r="F146" s="14" t="s">
        <v>71</v>
      </c>
      <c r="G146" s="14">
        <v>5.00008343E8</v>
      </c>
      <c r="H146" s="14" t="s">
        <v>91</v>
      </c>
      <c r="I146" s="14" t="s">
        <v>59</v>
      </c>
      <c r="J146" s="14" t="s">
        <v>199</v>
      </c>
      <c r="K146" s="14" t="s">
        <v>206</v>
      </c>
      <c r="L146" s="14" t="s">
        <v>295</v>
      </c>
      <c r="M146" s="14" t="s">
        <v>296</v>
      </c>
      <c r="N146" s="14" t="s">
        <v>297</v>
      </c>
      <c r="O146" s="14">
        <v>100.0</v>
      </c>
      <c r="P146" s="21">
        <v>2.0</v>
      </c>
      <c r="Q146" s="22" t="str">
        <f t="shared" ref="Q146:R146" si="90">"+0"</f>
        <v>+0</v>
      </c>
      <c r="R146" s="18" t="str">
        <f t="shared" si="90"/>
        <v>+0</v>
      </c>
      <c r="S146" s="14" t="s">
        <v>260</v>
      </c>
    </row>
    <row r="147">
      <c r="A147" s="13">
        <v>45901.0</v>
      </c>
      <c r="B147" s="14" t="s">
        <v>47</v>
      </c>
      <c r="C147" s="14" t="s">
        <v>48</v>
      </c>
      <c r="D147" s="14" t="s">
        <v>192</v>
      </c>
      <c r="E147" s="14" t="s">
        <v>193</v>
      </c>
      <c r="F147" s="15" t="s">
        <v>51</v>
      </c>
      <c r="G147" s="14" t="s">
        <v>194</v>
      </c>
      <c r="H147" s="14" t="s">
        <v>192</v>
      </c>
      <c r="I147" s="14" t="s">
        <v>54</v>
      </c>
      <c r="J147" s="14" t="s">
        <v>198</v>
      </c>
      <c r="K147" s="14" t="s">
        <v>210</v>
      </c>
      <c r="L147" s="14" t="s">
        <v>264</v>
      </c>
      <c r="M147" s="14" t="s">
        <v>559</v>
      </c>
      <c r="N147" s="14" t="s">
        <v>560</v>
      </c>
      <c r="O147" s="14">
        <v>0.0</v>
      </c>
      <c r="P147" s="21">
        <v>0.0</v>
      </c>
      <c r="Q147" s="22" t="str">
        <f t="shared" ref="Q147:R147" si="91">"+0"</f>
        <v>+0</v>
      </c>
      <c r="R147" s="18" t="str">
        <f t="shared" si="91"/>
        <v>+0</v>
      </c>
      <c r="S147" s="14" t="s">
        <v>277</v>
      </c>
    </row>
    <row r="148">
      <c r="A148" s="13">
        <v>45901.0</v>
      </c>
      <c r="B148" s="14" t="s">
        <v>47</v>
      </c>
      <c r="C148" s="14" t="s">
        <v>48</v>
      </c>
      <c r="D148" s="14" t="s">
        <v>192</v>
      </c>
      <c r="E148" s="14" t="s">
        <v>193</v>
      </c>
      <c r="F148" s="15" t="s">
        <v>51</v>
      </c>
      <c r="G148" s="14" t="s">
        <v>194</v>
      </c>
      <c r="H148" s="14" t="s">
        <v>192</v>
      </c>
      <c r="I148" s="14" t="s">
        <v>54</v>
      </c>
      <c r="J148" s="14" t="s">
        <v>200</v>
      </c>
      <c r="K148" s="14" t="s">
        <v>223</v>
      </c>
      <c r="L148" s="14" t="s">
        <v>307</v>
      </c>
      <c r="M148" s="14" t="s">
        <v>561</v>
      </c>
      <c r="N148" s="14" t="s">
        <v>562</v>
      </c>
      <c r="O148" s="14">
        <v>0.0</v>
      </c>
      <c r="P148" s="23">
        <v>0.0</v>
      </c>
      <c r="Q148" s="22" t="str">
        <f t="shared" ref="Q148:R148" si="92">"+0.00%"</f>
        <v>+0.00%</v>
      </c>
      <c r="R148" s="18" t="str">
        <f t="shared" si="92"/>
        <v>+0.00%</v>
      </c>
      <c r="S148" s="14" t="s">
        <v>285</v>
      </c>
    </row>
    <row r="149">
      <c r="A149" s="13">
        <v>45901.0</v>
      </c>
      <c r="B149" s="14" t="s">
        <v>47</v>
      </c>
      <c r="C149" s="14" t="s">
        <v>48</v>
      </c>
      <c r="D149" s="14" t="s">
        <v>87</v>
      </c>
      <c r="E149" s="14" t="s">
        <v>88</v>
      </c>
      <c r="F149" s="15" t="s">
        <v>51</v>
      </c>
      <c r="G149" s="14" t="s">
        <v>89</v>
      </c>
      <c r="H149" s="14" t="s">
        <v>90</v>
      </c>
      <c r="I149" s="14" t="s">
        <v>59</v>
      </c>
      <c r="J149" s="14" t="s">
        <v>200</v>
      </c>
      <c r="K149" s="14" t="s">
        <v>246</v>
      </c>
      <c r="L149" s="14" t="s">
        <v>292</v>
      </c>
      <c r="M149" s="14" t="s">
        <v>563</v>
      </c>
      <c r="N149" s="14" t="s">
        <v>564</v>
      </c>
      <c r="O149" s="14">
        <v>0.0</v>
      </c>
      <c r="P149" s="21">
        <v>0.0</v>
      </c>
      <c r="Q149" s="22" t="str">
        <f t="shared" ref="Q149:R149" si="93">"+0"</f>
        <v>+0</v>
      </c>
      <c r="R149" s="18" t="str">
        <f t="shared" si="93"/>
        <v>+0</v>
      </c>
      <c r="S149" s="14" t="s">
        <v>260</v>
      </c>
    </row>
    <row r="150">
      <c r="A150" s="13">
        <v>45901.0</v>
      </c>
      <c r="B150" s="14" t="s">
        <v>47</v>
      </c>
      <c r="C150" s="14" t="s">
        <v>48</v>
      </c>
      <c r="D150" s="14" t="s">
        <v>149</v>
      </c>
      <c r="E150" s="14" t="s">
        <v>150</v>
      </c>
      <c r="F150" s="15" t="s">
        <v>51</v>
      </c>
      <c r="G150" s="14" t="s">
        <v>151</v>
      </c>
      <c r="H150" s="14" t="s">
        <v>152</v>
      </c>
      <c r="I150" s="14" t="s">
        <v>54</v>
      </c>
      <c r="J150" s="14" t="s">
        <v>198</v>
      </c>
      <c r="K150" s="14" t="s">
        <v>210</v>
      </c>
      <c r="L150" s="14" t="s">
        <v>264</v>
      </c>
      <c r="M150" s="14" t="s">
        <v>350</v>
      </c>
      <c r="N150" s="14" t="s">
        <v>351</v>
      </c>
      <c r="O150" s="14">
        <v>100.0</v>
      </c>
      <c r="P150" s="21">
        <v>1.0</v>
      </c>
      <c r="Q150" s="22" t="str">
        <f t="shared" ref="Q150:R150" si="94">"+1"</f>
        <v>+1</v>
      </c>
      <c r="R150" s="18" t="str">
        <f t="shared" si="94"/>
        <v>+1</v>
      </c>
      <c r="S150" s="14" t="s">
        <v>277</v>
      </c>
    </row>
    <row r="151">
      <c r="A151" s="13">
        <v>45901.0</v>
      </c>
      <c r="B151" s="14" t="s">
        <v>47</v>
      </c>
      <c r="C151" s="14" t="s">
        <v>48</v>
      </c>
      <c r="D151" s="14" t="s">
        <v>87</v>
      </c>
      <c r="E151" s="14" t="s">
        <v>88</v>
      </c>
      <c r="F151" s="15" t="s">
        <v>51</v>
      </c>
      <c r="G151" s="14" t="s">
        <v>89</v>
      </c>
      <c r="H151" s="14" t="s">
        <v>90</v>
      </c>
      <c r="I151" s="14" t="s">
        <v>59</v>
      </c>
      <c r="J151" s="14" t="s">
        <v>198</v>
      </c>
      <c r="K151" s="14" t="s">
        <v>205</v>
      </c>
      <c r="L151" s="14" t="s">
        <v>274</v>
      </c>
      <c r="M151" s="14" t="s">
        <v>482</v>
      </c>
      <c r="N151" s="14" t="s">
        <v>483</v>
      </c>
      <c r="O151" s="14">
        <v>100.0</v>
      </c>
      <c r="P151" s="21">
        <v>12.0</v>
      </c>
      <c r="Q151" s="22" t="str">
        <f>"+0"</f>
        <v>+0</v>
      </c>
      <c r="S151" s="14" t="s">
        <v>484</v>
      </c>
    </row>
    <row r="152">
      <c r="A152" s="13">
        <v>45901.0</v>
      </c>
      <c r="B152" s="14" t="s">
        <v>47</v>
      </c>
      <c r="C152" s="14" t="s">
        <v>48</v>
      </c>
      <c r="D152" s="14" t="s">
        <v>87</v>
      </c>
      <c r="E152" s="14" t="s">
        <v>88</v>
      </c>
      <c r="F152" s="15" t="s">
        <v>51</v>
      </c>
      <c r="G152" s="14" t="s">
        <v>89</v>
      </c>
      <c r="H152" s="14" t="s">
        <v>90</v>
      </c>
      <c r="I152" s="14" t="s">
        <v>59</v>
      </c>
      <c r="J152" s="14" t="s">
        <v>200</v>
      </c>
      <c r="K152" s="14" t="s">
        <v>223</v>
      </c>
      <c r="L152" s="14" t="s">
        <v>375</v>
      </c>
      <c r="M152" s="14" t="s">
        <v>376</v>
      </c>
      <c r="N152" s="14" t="s">
        <v>377</v>
      </c>
      <c r="O152" s="14">
        <v>1.0</v>
      </c>
      <c r="P152" s="23">
        <v>0.0165</v>
      </c>
      <c r="Q152" s="22" t="str">
        <f>"-0.51%"</f>
        <v>-0.51%</v>
      </c>
      <c r="R152" s="18" t="str">
        <f>"-0.69%"</f>
        <v>-0.69%</v>
      </c>
      <c r="S152" s="14" t="s">
        <v>565</v>
      </c>
    </row>
    <row r="153">
      <c r="A153" s="13">
        <v>45901.0</v>
      </c>
      <c r="B153" s="14" t="s">
        <v>47</v>
      </c>
      <c r="C153" s="14" t="s">
        <v>48</v>
      </c>
      <c r="D153" s="14" t="s">
        <v>125</v>
      </c>
      <c r="E153" s="14" t="s">
        <v>126</v>
      </c>
      <c r="F153" s="15" t="s">
        <v>51</v>
      </c>
      <c r="G153" s="14" t="s">
        <v>127</v>
      </c>
      <c r="H153" s="14" t="s">
        <v>125</v>
      </c>
      <c r="I153" s="14" t="s">
        <v>59</v>
      </c>
      <c r="J153" s="14" t="s">
        <v>200</v>
      </c>
      <c r="K153" s="14" t="s">
        <v>232</v>
      </c>
      <c r="L153" s="14" t="s">
        <v>261</v>
      </c>
      <c r="M153" s="14" t="s">
        <v>566</v>
      </c>
      <c r="N153" s="14" t="s">
        <v>567</v>
      </c>
      <c r="O153" s="14">
        <v>0.0</v>
      </c>
      <c r="P153" s="23">
        <v>0.0</v>
      </c>
      <c r="Q153" s="22" t="str">
        <f t="shared" ref="Q153:R153" si="95">"+0.00%"</f>
        <v>+0.00%</v>
      </c>
      <c r="R153" s="18" t="str">
        <f t="shared" si="95"/>
        <v>+0.00%</v>
      </c>
      <c r="S153" s="14" t="s">
        <v>568</v>
      </c>
    </row>
    <row r="154">
      <c r="A154" s="13">
        <v>45901.0</v>
      </c>
      <c r="B154" s="14" t="s">
        <v>47</v>
      </c>
      <c r="C154" s="14" t="s">
        <v>48</v>
      </c>
      <c r="D154" s="14" t="s">
        <v>96</v>
      </c>
      <c r="E154" s="14" t="s">
        <v>97</v>
      </c>
      <c r="F154" s="15" t="s">
        <v>51</v>
      </c>
      <c r="G154" s="14" t="s">
        <v>98</v>
      </c>
      <c r="H154" s="14" t="s">
        <v>96</v>
      </c>
      <c r="I154" s="14" t="s">
        <v>59</v>
      </c>
      <c r="J154" s="14" t="s">
        <v>199</v>
      </c>
      <c r="K154" s="14" t="s">
        <v>206</v>
      </c>
      <c r="L154" s="14" t="s">
        <v>569</v>
      </c>
      <c r="M154" s="14" t="s">
        <v>569</v>
      </c>
      <c r="N154" s="14" t="s">
        <v>570</v>
      </c>
      <c r="O154" s="14">
        <v>75.0</v>
      </c>
      <c r="P154" s="21">
        <v>1.0</v>
      </c>
      <c r="Q154" s="22" t="str">
        <f t="shared" ref="Q154:R154" si="96">"+0"</f>
        <v>+0</v>
      </c>
      <c r="R154" s="18" t="str">
        <f t="shared" si="96"/>
        <v>+0</v>
      </c>
      <c r="S154" s="14" t="s">
        <v>383</v>
      </c>
    </row>
    <row r="155">
      <c r="A155" s="13">
        <v>45901.0</v>
      </c>
      <c r="B155" s="14" t="s">
        <v>47</v>
      </c>
      <c r="C155" s="14" t="s">
        <v>48</v>
      </c>
      <c r="D155" s="14" t="s">
        <v>108</v>
      </c>
      <c r="E155" s="14" t="s">
        <v>109</v>
      </c>
      <c r="F155" s="15" t="s">
        <v>51</v>
      </c>
      <c r="G155" s="14" t="s">
        <v>110</v>
      </c>
      <c r="H155" s="14" t="s">
        <v>108</v>
      </c>
      <c r="I155" s="14" t="s">
        <v>59</v>
      </c>
      <c r="J155" s="14" t="s">
        <v>200</v>
      </c>
      <c r="K155" s="14" t="s">
        <v>213</v>
      </c>
      <c r="L155" s="14" t="s">
        <v>571</v>
      </c>
      <c r="M155" s="14" t="s">
        <v>572</v>
      </c>
      <c r="N155" s="14" t="s">
        <v>573</v>
      </c>
      <c r="O155" s="14">
        <v>0.0</v>
      </c>
      <c r="P155" s="23">
        <v>0.0</v>
      </c>
      <c r="Q155" s="22" t="str">
        <f>"+0.00%"</f>
        <v>+0.00%</v>
      </c>
      <c r="S155" s="14" t="s">
        <v>285</v>
      </c>
    </row>
    <row r="156">
      <c r="A156" s="13">
        <v>45901.0</v>
      </c>
      <c r="B156" s="14" t="s">
        <v>47</v>
      </c>
      <c r="C156" s="14" t="s">
        <v>48</v>
      </c>
      <c r="D156" s="14" t="s">
        <v>77</v>
      </c>
      <c r="E156" s="14" t="s">
        <v>78</v>
      </c>
      <c r="F156" s="15" t="s">
        <v>51</v>
      </c>
      <c r="G156" s="14" t="s">
        <v>128</v>
      </c>
      <c r="H156" s="14" t="s">
        <v>81</v>
      </c>
      <c r="I156" s="14" t="s">
        <v>59</v>
      </c>
      <c r="J156" s="14" t="s">
        <v>200</v>
      </c>
      <c r="K156" s="14" t="s">
        <v>223</v>
      </c>
      <c r="L156" s="14" t="s">
        <v>253</v>
      </c>
      <c r="M156" s="14" t="s">
        <v>552</v>
      </c>
      <c r="N156" s="14" t="s">
        <v>553</v>
      </c>
      <c r="O156" s="14">
        <v>30.0</v>
      </c>
      <c r="P156" s="23">
        <v>0.3</v>
      </c>
      <c r="Q156" s="22" t="str">
        <f>"+18.70%"</f>
        <v>+18.70%</v>
      </c>
      <c r="R156" s="18" t="str">
        <f>"+10.80%"</f>
        <v>+10.80%</v>
      </c>
      <c r="S156" s="14" t="s">
        <v>574</v>
      </c>
    </row>
    <row r="157">
      <c r="A157" s="13">
        <v>45901.0</v>
      </c>
      <c r="B157" s="14" t="s">
        <v>47</v>
      </c>
      <c r="C157" s="14" t="s">
        <v>48</v>
      </c>
      <c r="D157" s="14" t="s">
        <v>174</v>
      </c>
      <c r="E157" s="14" t="s">
        <v>175</v>
      </c>
      <c r="F157" s="15" t="s">
        <v>51</v>
      </c>
      <c r="G157" s="14" t="s">
        <v>176</v>
      </c>
      <c r="H157" s="14" t="s">
        <v>174</v>
      </c>
      <c r="I157" s="14" t="s">
        <v>59</v>
      </c>
      <c r="J157" s="14" t="s">
        <v>200</v>
      </c>
      <c r="K157" s="14" t="s">
        <v>227</v>
      </c>
      <c r="L157" s="14" t="s">
        <v>253</v>
      </c>
      <c r="M157" s="14" t="s">
        <v>396</v>
      </c>
      <c r="N157" s="14" t="s">
        <v>397</v>
      </c>
      <c r="O157" s="14">
        <v>100.0</v>
      </c>
      <c r="P157" s="23">
        <v>1.0</v>
      </c>
      <c r="Q157" s="22" t="str">
        <f t="shared" ref="Q157:R157" si="97">"+0.00%"</f>
        <v>+0.00%</v>
      </c>
      <c r="R157" s="18" t="str">
        <f t="shared" si="97"/>
        <v>+0.00%</v>
      </c>
      <c r="S157" s="14" t="s">
        <v>398</v>
      </c>
    </row>
    <row r="158">
      <c r="A158" s="13">
        <v>45901.0</v>
      </c>
      <c r="B158" s="14" t="s">
        <v>47</v>
      </c>
      <c r="C158" s="14" t="s">
        <v>48</v>
      </c>
      <c r="D158" s="14" t="s">
        <v>158</v>
      </c>
      <c r="E158" s="14" t="s">
        <v>159</v>
      </c>
      <c r="F158" s="15" t="s">
        <v>51</v>
      </c>
      <c r="G158" s="14" t="s">
        <v>160</v>
      </c>
      <c r="H158" s="14" t="s">
        <v>158</v>
      </c>
      <c r="I158" s="14" t="s">
        <v>54</v>
      </c>
      <c r="J158" s="14" t="s">
        <v>200</v>
      </c>
      <c r="K158" s="14" t="s">
        <v>227</v>
      </c>
      <c r="L158" s="14" t="s">
        <v>270</v>
      </c>
      <c r="M158" s="14" t="s">
        <v>321</v>
      </c>
      <c r="N158" s="14" t="s">
        <v>322</v>
      </c>
      <c r="O158" s="14">
        <v>57.0</v>
      </c>
      <c r="P158" s="23">
        <v>0.1579</v>
      </c>
      <c r="Q158" s="22" t="str">
        <f>"-35.73%"</f>
        <v>-35.73%</v>
      </c>
      <c r="R158" s="18" t="str">
        <f>"-84.21%"</f>
        <v>-84.21%</v>
      </c>
      <c r="S158" s="14" t="s">
        <v>323</v>
      </c>
    </row>
    <row r="159">
      <c r="A159" s="13">
        <v>45901.0</v>
      </c>
      <c r="B159" s="14" t="s">
        <v>47</v>
      </c>
      <c r="C159" s="14" t="s">
        <v>48</v>
      </c>
      <c r="D159" s="14" t="s">
        <v>140</v>
      </c>
      <c r="E159" s="14" t="s">
        <v>141</v>
      </c>
      <c r="F159" s="15" t="s">
        <v>51</v>
      </c>
      <c r="G159" s="14" t="s">
        <v>142</v>
      </c>
      <c r="H159" s="14" t="s">
        <v>140</v>
      </c>
      <c r="I159" s="14" t="s">
        <v>59</v>
      </c>
      <c r="J159" s="14" t="s">
        <v>200</v>
      </c>
      <c r="K159" s="14" t="s">
        <v>222</v>
      </c>
      <c r="L159" s="14" t="s">
        <v>301</v>
      </c>
      <c r="M159" s="14" t="s">
        <v>302</v>
      </c>
      <c r="N159" s="14" t="s">
        <v>303</v>
      </c>
      <c r="O159" s="14">
        <v>0.0</v>
      </c>
      <c r="P159" s="21">
        <v>0.0</v>
      </c>
      <c r="Q159" s="22" t="str">
        <f t="shared" ref="Q159:R159" si="98">"+0"</f>
        <v>+0</v>
      </c>
      <c r="R159" s="18" t="str">
        <f t="shared" si="98"/>
        <v>+0</v>
      </c>
      <c r="S159" s="14" t="s">
        <v>260</v>
      </c>
    </row>
    <row r="160">
      <c r="A160" s="13">
        <v>45901.0</v>
      </c>
      <c r="B160" s="14" t="s">
        <v>47</v>
      </c>
      <c r="C160" s="14" t="s">
        <v>48</v>
      </c>
      <c r="D160" s="14" t="s">
        <v>121</v>
      </c>
      <c r="E160" s="14" t="s">
        <v>122</v>
      </c>
      <c r="F160" s="15" t="s">
        <v>51</v>
      </c>
      <c r="G160" s="14" t="s">
        <v>123</v>
      </c>
      <c r="H160" s="14" t="s">
        <v>124</v>
      </c>
      <c r="I160" s="14" t="s">
        <v>59</v>
      </c>
      <c r="J160" s="14" t="s">
        <v>200</v>
      </c>
      <c r="K160" s="14" t="s">
        <v>232</v>
      </c>
      <c r="L160" s="14" t="s">
        <v>261</v>
      </c>
      <c r="M160" s="14" t="s">
        <v>262</v>
      </c>
      <c r="N160" s="14" t="s">
        <v>263</v>
      </c>
      <c r="O160" s="14">
        <v>0.0</v>
      </c>
      <c r="P160" s="21">
        <v>0.0</v>
      </c>
      <c r="Q160" s="22" t="str">
        <f t="shared" ref="Q160:R160" si="99">"+0"</f>
        <v>+0</v>
      </c>
      <c r="R160" s="18" t="str">
        <f t="shared" si="99"/>
        <v>+0</v>
      </c>
      <c r="S160" s="14" t="s">
        <v>260</v>
      </c>
    </row>
    <row r="161">
      <c r="A161" s="13">
        <v>45901.0</v>
      </c>
      <c r="B161" s="14" t="s">
        <v>47</v>
      </c>
      <c r="C161" s="14" t="s">
        <v>48</v>
      </c>
      <c r="D161" s="14" t="s">
        <v>165</v>
      </c>
      <c r="E161" s="14" t="s">
        <v>166</v>
      </c>
      <c r="F161" s="15" t="s">
        <v>51</v>
      </c>
      <c r="G161" s="14" t="s">
        <v>167</v>
      </c>
      <c r="H161" s="14" t="s">
        <v>165</v>
      </c>
      <c r="I161" s="14" t="s">
        <v>54</v>
      </c>
      <c r="J161" s="14" t="s">
        <v>198</v>
      </c>
      <c r="K161" s="14" t="s">
        <v>205</v>
      </c>
      <c r="L161" s="14" t="s">
        <v>274</v>
      </c>
      <c r="M161" s="14" t="s">
        <v>575</v>
      </c>
      <c r="N161" s="14" t="s">
        <v>576</v>
      </c>
      <c r="O161" s="14">
        <v>100.0</v>
      </c>
      <c r="P161" s="21">
        <v>90.0</v>
      </c>
      <c r="Q161" s="22" t="str">
        <f>"+0"</f>
        <v>+0</v>
      </c>
      <c r="S161" s="14" t="s">
        <v>577</v>
      </c>
    </row>
    <row r="162">
      <c r="A162" s="13">
        <v>45901.0</v>
      </c>
      <c r="B162" s="14" t="s">
        <v>47</v>
      </c>
      <c r="C162" s="14" t="s">
        <v>48</v>
      </c>
      <c r="D162" s="14" t="s">
        <v>165</v>
      </c>
      <c r="E162" s="14" t="s">
        <v>166</v>
      </c>
      <c r="F162" s="15" t="s">
        <v>51</v>
      </c>
      <c r="G162" s="14" t="s">
        <v>167</v>
      </c>
      <c r="H162" s="14" t="s">
        <v>165</v>
      </c>
      <c r="I162" s="14" t="s">
        <v>54</v>
      </c>
      <c r="J162" s="14" t="s">
        <v>200</v>
      </c>
      <c r="K162" s="14" t="s">
        <v>213</v>
      </c>
      <c r="L162" s="14" t="s">
        <v>571</v>
      </c>
      <c r="M162" s="14" t="s">
        <v>578</v>
      </c>
      <c r="N162" s="14" t="s">
        <v>579</v>
      </c>
      <c r="O162" s="14">
        <v>0.0</v>
      </c>
      <c r="P162" s="23">
        <v>0.0</v>
      </c>
      <c r="Q162" s="22" t="str">
        <f t="shared" ref="Q162:R162" si="100">"+0.00%"</f>
        <v>+0.00%</v>
      </c>
      <c r="R162" s="18" t="str">
        <f t="shared" si="100"/>
        <v>+0.00%</v>
      </c>
      <c r="S162" s="14" t="s">
        <v>285</v>
      </c>
    </row>
    <row r="163">
      <c r="A163" s="13">
        <v>45901.0</v>
      </c>
      <c r="B163" s="14" t="s">
        <v>47</v>
      </c>
      <c r="C163" s="14" t="s">
        <v>48</v>
      </c>
      <c r="D163" s="14" t="s">
        <v>99</v>
      </c>
      <c r="E163" s="14" t="s">
        <v>100</v>
      </c>
      <c r="F163" s="15" t="s">
        <v>51</v>
      </c>
      <c r="G163" s="14" t="s">
        <v>101</v>
      </c>
      <c r="H163" s="14" t="s">
        <v>102</v>
      </c>
      <c r="I163" s="14" t="s">
        <v>54</v>
      </c>
      <c r="J163" s="14" t="s">
        <v>198</v>
      </c>
      <c r="K163" s="14" t="s">
        <v>212</v>
      </c>
      <c r="L163" s="14" t="s">
        <v>344</v>
      </c>
      <c r="M163" s="14" t="s">
        <v>580</v>
      </c>
      <c r="N163" s="14" t="s">
        <v>581</v>
      </c>
      <c r="O163" s="14">
        <v>100.0</v>
      </c>
      <c r="P163" s="21">
        <v>1.0</v>
      </c>
      <c r="Q163" s="22" t="str">
        <f>"+1"</f>
        <v>+1</v>
      </c>
      <c r="S163" s="14" t="s">
        <v>281</v>
      </c>
    </row>
    <row r="164">
      <c r="A164" s="13">
        <v>45901.0</v>
      </c>
      <c r="B164" s="14" t="s">
        <v>47</v>
      </c>
      <c r="C164" s="14" t="s">
        <v>48</v>
      </c>
      <c r="D164" s="14" t="s">
        <v>63</v>
      </c>
      <c r="E164" s="14" t="s">
        <v>64</v>
      </c>
      <c r="F164" s="15" t="s">
        <v>51</v>
      </c>
      <c r="G164" s="14" t="s">
        <v>65</v>
      </c>
      <c r="H164" s="14" t="s">
        <v>63</v>
      </c>
      <c r="I164" s="14" t="s">
        <v>54</v>
      </c>
      <c r="J164" s="14" t="s">
        <v>198</v>
      </c>
      <c r="K164" s="14" t="s">
        <v>210</v>
      </c>
      <c r="L164" s="14" t="s">
        <v>264</v>
      </c>
      <c r="M164" s="14" t="s">
        <v>265</v>
      </c>
      <c r="N164" s="14" t="s">
        <v>266</v>
      </c>
      <c r="O164" s="14">
        <v>62.0</v>
      </c>
      <c r="P164" s="21">
        <v>102.0</v>
      </c>
      <c r="Q164" s="22" t="str">
        <f>"-7"</f>
        <v>-7</v>
      </c>
      <c r="R164" s="18" t="str">
        <f>"-39"</f>
        <v>-39</v>
      </c>
      <c r="S164" s="14" t="s">
        <v>582</v>
      </c>
    </row>
    <row r="165">
      <c r="A165" s="13">
        <v>45901.0</v>
      </c>
      <c r="B165" s="14" t="s">
        <v>47</v>
      </c>
      <c r="C165" s="14" t="s">
        <v>48</v>
      </c>
      <c r="D165" s="14" t="s">
        <v>63</v>
      </c>
      <c r="E165" s="14" t="s">
        <v>64</v>
      </c>
      <c r="F165" s="15" t="s">
        <v>51</v>
      </c>
      <c r="G165" s="14" t="s">
        <v>65</v>
      </c>
      <c r="H165" s="14" t="s">
        <v>63</v>
      </c>
      <c r="I165" s="14" t="s">
        <v>54</v>
      </c>
      <c r="J165" s="14" t="s">
        <v>200</v>
      </c>
      <c r="K165" s="14" t="s">
        <v>245</v>
      </c>
      <c r="L165" s="14" t="s">
        <v>253</v>
      </c>
      <c r="M165" s="14" t="s">
        <v>583</v>
      </c>
      <c r="N165" s="14" t="s">
        <v>367</v>
      </c>
      <c r="O165" s="14">
        <v>1.0</v>
      </c>
      <c r="P165" s="23">
        <v>0.01</v>
      </c>
      <c r="Q165" s="22" t="str">
        <f t="shared" ref="Q165:R165" si="101">"+1.00%"</f>
        <v>+1.00%</v>
      </c>
      <c r="R165" s="18" t="str">
        <f t="shared" si="101"/>
        <v>+1.00%</v>
      </c>
      <c r="S165" s="14" t="s">
        <v>584</v>
      </c>
    </row>
    <row r="166">
      <c r="A166" s="13">
        <v>45901.0</v>
      </c>
      <c r="B166" s="14" t="s">
        <v>47</v>
      </c>
      <c r="C166" s="14" t="s">
        <v>48</v>
      </c>
      <c r="D166" s="14" t="s">
        <v>93</v>
      </c>
      <c r="E166" s="14" t="s">
        <v>94</v>
      </c>
      <c r="F166" s="15" t="s">
        <v>51</v>
      </c>
      <c r="G166" s="14" t="s">
        <v>191</v>
      </c>
      <c r="H166" s="14" t="s">
        <v>95</v>
      </c>
      <c r="I166" s="14" t="s">
        <v>59</v>
      </c>
      <c r="J166" s="14" t="s">
        <v>200</v>
      </c>
      <c r="K166" s="14" t="s">
        <v>201</v>
      </c>
      <c r="L166" s="14" t="s">
        <v>253</v>
      </c>
      <c r="M166" s="14" t="s">
        <v>585</v>
      </c>
      <c r="N166" s="14" t="s">
        <v>586</v>
      </c>
      <c r="O166" s="14">
        <v>1.0</v>
      </c>
      <c r="P166" s="23">
        <v>0.0085</v>
      </c>
      <c r="Q166" s="22" t="str">
        <f>"+0.03%"</f>
        <v>+0.03%</v>
      </c>
      <c r="R166" s="18" t="str">
        <f>"+0.35%"</f>
        <v>+0.35%</v>
      </c>
      <c r="S166" s="14" t="s">
        <v>587</v>
      </c>
    </row>
    <row r="167">
      <c r="A167" s="13">
        <v>45901.0</v>
      </c>
      <c r="B167" s="14" t="s">
        <v>47</v>
      </c>
      <c r="C167" s="14" t="s">
        <v>48</v>
      </c>
      <c r="D167" s="14" t="s">
        <v>149</v>
      </c>
      <c r="E167" s="14" t="s">
        <v>150</v>
      </c>
      <c r="F167" s="15" t="s">
        <v>51</v>
      </c>
      <c r="G167" s="14" t="s">
        <v>151</v>
      </c>
      <c r="H167" s="14" t="s">
        <v>152</v>
      </c>
      <c r="I167" s="14" t="s">
        <v>54</v>
      </c>
      <c r="J167" s="14" t="s">
        <v>200</v>
      </c>
      <c r="K167" s="14" t="s">
        <v>223</v>
      </c>
      <c r="L167" s="14" t="s">
        <v>286</v>
      </c>
      <c r="M167" s="14" t="s">
        <v>588</v>
      </c>
      <c r="N167" s="14" t="s">
        <v>589</v>
      </c>
      <c r="O167" s="14">
        <v>100.0</v>
      </c>
      <c r="P167" s="23">
        <v>0.5613</v>
      </c>
      <c r="Q167" s="22" t="str">
        <f>"-0.86%"</f>
        <v>-0.86%</v>
      </c>
      <c r="R167" s="18" t="str">
        <f>"-0.35%"</f>
        <v>-0.35%</v>
      </c>
      <c r="S167" s="14" t="s">
        <v>285</v>
      </c>
    </row>
    <row r="168">
      <c r="A168" s="13">
        <v>45901.0</v>
      </c>
      <c r="B168" s="14" t="s">
        <v>47</v>
      </c>
      <c r="C168" s="14" t="s">
        <v>48</v>
      </c>
      <c r="D168" s="14" t="s">
        <v>69</v>
      </c>
      <c r="E168" s="14" t="s">
        <v>70</v>
      </c>
      <c r="F168" s="15" t="s">
        <v>51</v>
      </c>
      <c r="G168" s="14" t="s">
        <v>115</v>
      </c>
      <c r="H168" s="14" t="s">
        <v>72</v>
      </c>
      <c r="I168" s="14" t="s">
        <v>54</v>
      </c>
      <c r="J168" s="14" t="s">
        <v>200</v>
      </c>
      <c r="K168" s="14" t="s">
        <v>224</v>
      </c>
      <c r="L168" s="14" t="s">
        <v>392</v>
      </c>
      <c r="M168" s="14" t="s">
        <v>393</v>
      </c>
      <c r="N168" s="14" t="s">
        <v>394</v>
      </c>
      <c r="O168" s="14">
        <v>8.0</v>
      </c>
      <c r="P168" s="23">
        <v>0.0833</v>
      </c>
      <c r="Q168" s="22" t="str">
        <f>"-25.00%"</f>
        <v>-25.00%</v>
      </c>
      <c r="R168" s="18" t="str">
        <f>"-11.67%"</f>
        <v>-11.67%</v>
      </c>
      <c r="S168" s="14" t="s">
        <v>590</v>
      </c>
    </row>
    <row r="169">
      <c r="A169" s="13">
        <v>45901.0</v>
      </c>
      <c r="B169" s="14" t="s">
        <v>47</v>
      </c>
      <c r="C169" s="14" t="s">
        <v>48</v>
      </c>
      <c r="D169" s="14" t="s">
        <v>168</v>
      </c>
      <c r="E169" s="14" t="s">
        <v>169</v>
      </c>
      <c r="F169" s="15" t="s">
        <v>51</v>
      </c>
      <c r="G169" s="14" t="s">
        <v>170</v>
      </c>
      <c r="H169" s="14" t="s">
        <v>168</v>
      </c>
      <c r="I169" s="14" t="s">
        <v>59</v>
      </c>
      <c r="J169" s="14" t="s">
        <v>199</v>
      </c>
      <c r="K169" s="14" t="s">
        <v>206</v>
      </c>
      <c r="L169" s="14" t="s">
        <v>295</v>
      </c>
      <c r="M169" s="14" t="s">
        <v>296</v>
      </c>
      <c r="N169" s="14" t="s">
        <v>297</v>
      </c>
      <c r="O169" s="14">
        <v>0.0</v>
      </c>
      <c r="P169" s="21">
        <v>0.0</v>
      </c>
      <c r="Q169" s="22" t="str">
        <f t="shared" ref="Q169:R169" si="102">"+0"</f>
        <v>+0</v>
      </c>
      <c r="R169" s="18" t="str">
        <f t="shared" si="102"/>
        <v>+0</v>
      </c>
      <c r="S169" s="14" t="s">
        <v>260</v>
      </c>
    </row>
    <row r="170">
      <c r="A170" s="13">
        <v>45901.0</v>
      </c>
      <c r="B170" s="14" t="s">
        <v>47</v>
      </c>
      <c r="C170" s="14" t="s">
        <v>48</v>
      </c>
      <c r="D170" s="14" t="s">
        <v>66</v>
      </c>
      <c r="E170" s="14" t="s">
        <v>67</v>
      </c>
      <c r="F170" s="15" t="s">
        <v>51</v>
      </c>
      <c r="G170" s="14" t="s">
        <v>68</v>
      </c>
      <c r="H170" s="14" t="s">
        <v>66</v>
      </c>
      <c r="I170" s="14" t="s">
        <v>59</v>
      </c>
      <c r="J170" s="14" t="s">
        <v>200</v>
      </c>
      <c r="K170" s="14" t="s">
        <v>223</v>
      </c>
      <c r="L170" s="14" t="s">
        <v>591</v>
      </c>
      <c r="M170" s="14" t="s">
        <v>592</v>
      </c>
      <c r="N170" s="14" t="s">
        <v>593</v>
      </c>
      <c r="O170" s="14">
        <v>0.0</v>
      </c>
      <c r="P170" s="23">
        <v>0.0</v>
      </c>
      <c r="Q170" s="22" t="str">
        <f t="shared" ref="Q170:R170" si="103">"+0.00%"</f>
        <v>+0.00%</v>
      </c>
      <c r="R170" s="18" t="str">
        <f t="shared" si="103"/>
        <v>+0.00%</v>
      </c>
      <c r="S170" s="14" t="s">
        <v>285</v>
      </c>
    </row>
    <row r="171">
      <c r="A171" s="13">
        <v>45901.0</v>
      </c>
      <c r="B171" s="14" t="s">
        <v>47</v>
      </c>
      <c r="C171" s="14" t="s">
        <v>48</v>
      </c>
      <c r="D171" s="14" t="s">
        <v>60</v>
      </c>
      <c r="E171" s="14" t="s">
        <v>61</v>
      </c>
      <c r="F171" s="15" t="s">
        <v>51</v>
      </c>
      <c r="G171" s="14" t="s">
        <v>62</v>
      </c>
      <c r="H171" s="14" t="s">
        <v>60</v>
      </c>
      <c r="I171" s="14" t="s">
        <v>59</v>
      </c>
      <c r="J171" s="14" t="s">
        <v>199</v>
      </c>
      <c r="K171" s="14" t="s">
        <v>206</v>
      </c>
      <c r="L171" s="14" t="s">
        <v>295</v>
      </c>
      <c r="M171" s="14" t="s">
        <v>296</v>
      </c>
      <c r="N171" s="14" t="s">
        <v>297</v>
      </c>
      <c r="O171" s="14">
        <v>0.0</v>
      </c>
      <c r="P171" s="21">
        <v>0.0</v>
      </c>
      <c r="Q171" s="22" t="str">
        <f t="shared" ref="Q171:R171" si="104">"+0"</f>
        <v>+0</v>
      </c>
      <c r="R171" s="18" t="str">
        <f t="shared" si="104"/>
        <v>+0</v>
      </c>
      <c r="S171" s="14" t="s">
        <v>260</v>
      </c>
    </row>
    <row r="172">
      <c r="A172" s="13">
        <v>45901.0</v>
      </c>
      <c r="B172" s="14" t="s">
        <v>47</v>
      </c>
      <c r="C172" s="14" t="s">
        <v>48</v>
      </c>
      <c r="D172" s="14" t="s">
        <v>184</v>
      </c>
      <c r="E172" s="14" t="s">
        <v>185</v>
      </c>
      <c r="F172" s="15" t="s">
        <v>51</v>
      </c>
      <c r="G172" s="14" t="s">
        <v>186</v>
      </c>
      <c r="H172" s="14" t="s">
        <v>187</v>
      </c>
      <c r="I172" s="14" t="s">
        <v>59</v>
      </c>
      <c r="J172" s="14" t="s">
        <v>198</v>
      </c>
      <c r="K172" s="14" t="s">
        <v>210</v>
      </c>
      <c r="L172" s="14" t="s">
        <v>458</v>
      </c>
      <c r="M172" s="14" t="s">
        <v>459</v>
      </c>
      <c r="N172" s="14" t="s">
        <v>460</v>
      </c>
      <c r="O172" s="14">
        <v>100.0</v>
      </c>
      <c r="P172" s="21">
        <v>0.0</v>
      </c>
      <c r="Q172" s="22" t="str">
        <f t="shared" ref="Q172:R172" si="105">"+0"</f>
        <v>+0</v>
      </c>
      <c r="R172" s="18" t="str">
        <f t="shared" si="105"/>
        <v>+0</v>
      </c>
      <c r="S172" s="14" t="s">
        <v>281</v>
      </c>
    </row>
    <row r="173">
      <c r="A173" s="13">
        <v>45901.0</v>
      </c>
      <c r="B173" s="14" t="s">
        <v>47</v>
      </c>
      <c r="C173" s="14" t="s">
        <v>48</v>
      </c>
      <c r="D173" s="14" t="s">
        <v>143</v>
      </c>
      <c r="E173" s="14" t="s">
        <v>144</v>
      </c>
      <c r="F173" s="15" t="s">
        <v>51</v>
      </c>
      <c r="G173" s="14" t="s">
        <v>145</v>
      </c>
      <c r="H173" s="14" t="s">
        <v>143</v>
      </c>
      <c r="I173" s="14" t="s">
        <v>59</v>
      </c>
      <c r="J173" s="14" t="s">
        <v>200</v>
      </c>
      <c r="K173" s="14" t="s">
        <v>224</v>
      </c>
      <c r="L173" s="14" t="s">
        <v>594</v>
      </c>
      <c r="M173" s="14" t="s">
        <v>595</v>
      </c>
      <c r="N173" s="14" t="s">
        <v>596</v>
      </c>
      <c r="O173" s="14">
        <v>0.0</v>
      </c>
      <c r="P173" s="23">
        <v>0.0</v>
      </c>
      <c r="Q173" s="22" t="str">
        <f>"+0.00%"</f>
        <v>+0.00%</v>
      </c>
      <c r="S173" s="14" t="s">
        <v>597</v>
      </c>
    </row>
    <row r="174">
      <c r="A174" s="13">
        <v>45901.0</v>
      </c>
      <c r="B174" s="14" t="s">
        <v>47</v>
      </c>
      <c r="C174" s="14" t="s">
        <v>48</v>
      </c>
      <c r="D174" s="14" t="s">
        <v>171</v>
      </c>
      <c r="E174" s="14" t="s">
        <v>172</v>
      </c>
      <c r="F174" s="15" t="s">
        <v>51</v>
      </c>
      <c r="G174" s="14" t="s">
        <v>173</v>
      </c>
      <c r="H174" s="14" t="s">
        <v>171</v>
      </c>
      <c r="I174" s="14" t="s">
        <v>59</v>
      </c>
      <c r="J174" s="14" t="s">
        <v>198</v>
      </c>
      <c r="K174" s="14" t="s">
        <v>212</v>
      </c>
      <c r="L174" s="14" t="s">
        <v>249</v>
      </c>
      <c r="M174" s="14" t="s">
        <v>598</v>
      </c>
      <c r="N174" s="14" t="s">
        <v>599</v>
      </c>
      <c r="O174" s="14">
        <v>0.0</v>
      </c>
      <c r="P174" s="21">
        <v>3750.0</v>
      </c>
      <c r="Q174" s="22" t="str">
        <f>"-125"</f>
        <v>-125</v>
      </c>
      <c r="R174" s="18" t="str">
        <f>"+0"</f>
        <v>+0</v>
      </c>
      <c r="S174" s="14" t="s">
        <v>600</v>
      </c>
    </row>
    <row r="175">
      <c r="A175" s="13">
        <v>45901.0</v>
      </c>
      <c r="B175" s="14" t="s">
        <v>47</v>
      </c>
      <c r="C175" s="14" t="s">
        <v>48</v>
      </c>
      <c r="D175" s="14" t="s">
        <v>108</v>
      </c>
      <c r="E175" s="14" t="s">
        <v>109</v>
      </c>
      <c r="F175" s="14" t="s">
        <v>146</v>
      </c>
      <c r="G175" s="14" t="s">
        <v>180</v>
      </c>
      <c r="H175" s="14" t="s">
        <v>108</v>
      </c>
      <c r="I175" s="14" t="s">
        <v>59</v>
      </c>
      <c r="J175" s="14" t="s">
        <v>199</v>
      </c>
      <c r="K175" s="14" t="s">
        <v>203</v>
      </c>
      <c r="L175" s="14" t="s">
        <v>601</v>
      </c>
      <c r="M175" s="14" t="s">
        <v>601</v>
      </c>
      <c r="N175" s="14" t="s">
        <v>602</v>
      </c>
      <c r="O175" s="14">
        <v>0.0</v>
      </c>
      <c r="P175" s="21">
        <v>0.0</v>
      </c>
      <c r="Q175" s="22" t="str">
        <f t="shared" ref="Q175:Q176" si="106">"+0"</f>
        <v>+0</v>
      </c>
      <c r="S175" s="14" t="s">
        <v>260</v>
      </c>
    </row>
    <row r="176">
      <c r="A176" s="13">
        <v>45901.0</v>
      </c>
      <c r="B176" s="14" t="s">
        <v>47</v>
      </c>
      <c r="C176" s="14" t="s">
        <v>48</v>
      </c>
      <c r="D176" s="14" t="s">
        <v>66</v>
      </c>
      <c r="E176" s="14" t="s">
        <v>67</v>
      </c>
      <c r="F176" s="15" t="s">
        <v>51</v>
      </c>
      <c r="G176" s="14" t="s">
        <v>68</v>
      </c>
      <c r="H176" s="14" t="s">
        <v>66</v>
      </c>
      <c r="I176" s="14" t="s">
        <v>59</v>
      </c>
      <c r="J176" s="14" t="s">
        <v>200</v>
      </c>
      <c r="K176" s="14" t="s">
        <v>223</v>
      </c>
      <c r="L176" s="14" t="s">
        <v>359</v>
      </c>
      <c r="M176" s="14" t="s">
        <v>519</v>
      </c>
      <c r="N176" s="14" t="s">
        <v>520</v>
      </c>
      <c r="O176" s="14">
        <v>0.0</v>
      </c>
      <c r="P176" s="21">
        <v>0.0</v>
      </c>
      <c r="Q176" s="22" t="str">
        <f t="shared" si="106"/>
        <v>+0</v>
      </c>
      <c r="R176" s="18" t="str">
        <f>"+0"</f>
        <v>+0</v>
      </c>
      <c r="S176" s="14" t="s">
        <v>260</v>
      </c>
    </row>
    <row r="177">
      <c r="A177" s="13">
        <v>45901.0</v>
      </c>
      <c r="B177" s="14" t="s">
        <v>47</v>
      </c>
      <c r="C177" s="14" t="s">
        <v>48</v>
      </c>
      <c r="D177" s="14" t="s">
        <v>103</v>
      </c>
      <c r="E177" s="14" t="s">
        <v>104</v>
      </c>
      <c r="F177" s="15" t="s">
        <v>51</v>
      </c>
      <c r="G177" s="14" t="s">
        <v>105</v>
      </c>
      <c r="H177" s="14" t="s">
        <v>106</v>
      </c>
      <c r="I177" s="14" t="s">
        <v>59</v>
      </c>
      <c r="J177" s="14" t="s">
        <v>200</v>
      </c>
      <c r="K177" s="14" t="s">
        <v>202</v>
      </c>
      <c r="L177" s="14" t="s">
        <v>253</v>
      </c>
      <c r="M177" s="14" t="s">
        <v>347</v>
      </c>
      <c r="N177" s="14" t="s">
        <v>348</v>
      </c>
      <c r="O177" s="14">
        <v>0.0</v>
      </c>
      <c r="P177" s="23">
        <v>0.0</v>
      </c>
      <c r="Q177" s="22" t="str">
        <f t="shared" ref="Q177:R177" si="107">"+0.00%"</f>
        <v>+0.00%</v>
      </c>
      <c r="R177" s="18" t="str">
        <f t="shared" si="107"/>
        <v>+0.00%</v>
      </c>
      <c r="S177" s="14" t="s">
        <v>603</v>
      </c>
    </row>
    <row r="178">
      <c r="A178" s="13">
        <v>45901.0</v>
      </c>
      <c r="B178" s="14" t="s">
        <v>47</v>
      </c>
      <c r="C178" s="14" t="s">
        <v>48</v>
      </c>
      <c r="D178" s="14" t="s">
        <v>192</v>
      </c>
      <c r="E178" s="14" t="s">
        <v>193</v>
      </c>
      <c r="F178" s="15" t="s">
        <v>51</v>
      </c>
      <c r="G178" s="14" t="s">
        <v>194</v>
      </c>
      <c r="H178" s="14" t="s">
        <v>192</v>
      </c>
      <c r="I178" s="14" t="s">
        <v>54</v>
      </c>
      <c r="J178" s="14" t="s">
        <v>198</v>
      </c>
      <c r="K178" s="14" t="s">
        <v>212</v>
      </c>
      <c r="L178" s="14" t="s">
        <v>249</v>
      </c>
      <c r="M178" s="14" t="s">
        <v>604</v>
      </c>
      <c r="N178" s="14" t="s">
        <v>605</v>
      </c>
      <c r="O178" s="14">
        <v>0.0</v>
      </c>
      <c r="P178" s="21">
        <v>0.0</v>
      </c>
      <c r="Q178" s="22" t="str">
        <f t="shared" ref="Q178:R178" si="108">"+0"</f>
        <v>+0</v>
      </c>
      <c r="R178" s="18" t="str">
        <f t="shared" si="108"/>
        <v>+0</v>
      </c>
      <c r="S178" s="14" t="s">
        <v>277</v>
      </c>
    </row>
    <row r="179">
      <c r="A179" s="13">
        <v>45901.0</v>
      </c>
      <c r="B179" s="14" t="s">
        <v>47</v>
      </c>
      <c r="C179" s="14" t="s">
        <v>48</v>
      </c>
      <c r="D179" s="14" t="s">
        <v>192</v>
      </c>
      <c r="E179" s="14" t="s">
        <v>193</v>
      </c>
      <c r="F179" s="15" t="s">
        <v>51</v>
      </c>
      <c r="G179" s="14" t="s">
        <v>194</v>
      </c>
      <c r="H179" s="14" t="s">
        <v>192</v>
      </c>
      <c r="I179" s="14" t="s">
        <v>54</v>
      </c>
      <c r="J179" s="14" t="s">
        <v>200</v>
      </c>
      <c r="K179" s="14" t="s">
        <v>227</v>
      </c>
      <c r="L179" s="14" t="s">
        <v>270</v>
      </c>
      <c r="M179" s="14" t="s">
        <v>271</v>
      </c>
      <c r="N179" s="14" t="s">
        <v>272</v>
      </c>
      <c r="O179" s="14">
        <v>1.0</v>
      </c>
      <c r="P179" s="23">
        <v>-0.9793</v>
      </c>
      <c r="Q179" s="22" t="str">
        <f>"-4.15%"</f>
        <v>-4.15%</v>
      </c>
      <c r="R179" s="18" t="str">
        <f>"-197.93%"</f>
        <v>-197.93%</v>
      </c>
      <c r="S179" s="14" t="s">
        <v>273</v>
      </c>
    </row>
    <row r="180">
      <c r="A180" s="13">
        <v>45901.0</v>
      </c>
      <c r="B180" s="14" t="s">
        <v>47</v>
      </c>
      <c r="C180" s="14" t="s">
        <v>48</v>
      </c>
      <c r="D180" s="14" t="s">
        <v>192</v>
      </c>
      <c r="E180" s="14" t="s">
        <v>193</v>
      </c>
      <c r="F180" s="15" t="s">
        <v>51</v>
      </c>
      <c r="G180" s="14" t="s">
        <v>194</v>
      </c>
      <c r="H180" s="14" t="s">
        <v>192</v>
      </c>
      <c r="I180" s="14" t="s">
        <v>54</v>
      </c>
      <c r="J180" s="14" t="s">
        <v>198</v>
      </c>
      <c r="K180" s="14" t="s">
        <v>210</v>
      </c>
      <c r="L180" s="14" t="s">
        <v>458</v>
      </c>
      <c r="M180" s="14" t="s">
        <v>459</v>
      </c>
      <c r="N180" s="14" t="s">
        <v>460</v>
      </c>
      <c r="O180" s="14">
        <v>86.0</v>
      </c>
      <c r="P180" s="21">
        <v>2861.0</v>
      </c>
      <c r="Q180" s="22" t="str">
        <f>"+2,327"</f>
        <v>+2,327</v>
      </c>
      <c r="R180" s="18" t="str">
        <f>"+2,851"</f>
        <v>+2,851</v>
      </c>
      <c r="S180" s="14" t="s">
        <v>606</v>
      </c>
    </row>
    <row r="181">
      <c r="A181" s="13">
        <v>45901.0</v>
      </c>
      <c r="B181" s="14" t="s">
        <v>47</v>
      </c>
      <c r="C181" s="14" t="s">
        <v>48</v>
      </c>
      <c r="D181" s="14" t="s">
        <v>192</v>
      </c>
      <c r="E181" s="14" t="s">
        <v>193</v>
      </c>
      <c r="F181" s="15" t="s">
        <v>51</v>
      </c>
      <c r="G181" s="14" t="s">
        <v>194</v>
      </c>
      <c r="H181" s="14" t="s">
        <v>192</v>
      </c>
      <c r="I181" s="14" t="s">
        <v>54</v>
      </c>
      <c r="J181" s="14" t="s">
        <v>200</v>
      </c>
      <c r="K181" s="14" t="s">
        <v>227</v>
      </c>
      <c r="L181" s="14" t="s">
        <v>270</v>
      </c>
      <c r="M181" s="14" t="s">
        <v>321</v>
      </c>
      <c r="N181" s="14" t="s">
        <v>322</v>
      </c>
      <c r="O181" s="14">
        <v>56.0</v>
      </c>
      <c r="P181" s="23">
        <v>0.1321</v>
      </c>
      <c r="Q181" s="22" t="str">
        <f>"+7.97%"</f>
        <v>+7.97%</v>
      </c>
      <c r="R181" s="18" t="str">
        <f>"+6.71%"</f>
        <v>+6.71%</v>
      </c>
      <c r="S181" s="14" t="s">
        <v>323</v>
      </c>
    </row>
    <row r="182">
      <c r="A182" s="13">
        <v>45901.0</v>
      </c>
      <c r="B182" s="14" t="s">
        <v>47</v>
      </c>
      <c r="C182" s="14" t="s">
        <v>48</v>
      </c>
      <c r="D182" s="14" t="s">
        <v>66</v>
      </c>
      <c r="E182" s="14" t="s">
        <v>67</v>
      </c>
      <c r="F182" s="15" t="s">
        <v>51</v>
      </c>
      <c r="G182" s="14" t="s">
        <v>68</v>
      </c>
      <c r="H182" s="14" t="s">
        <v>66</v>
      </c>
      <c r="I182" s="14" t="s">
        <v>59</v>
      </c>
      <c r="J182" s="14" t="s">
        <v>200</v>
      </c>
      <c r="K182" s="14" t="s">
        <v>223</v>
      </c>
      <c r="L182" s="14" t="s">
        <v>286</v>
      </c>
      <c r="M182" s="14" t="s">
        <v>588</v>
      </c>
      <c r="N182" s="14" t="s">
        <v>589</v>
      </c>
      <c r="O182" s="14">
        <v>0.0</v>
      </c>
      <c r="P182" s="23">
        <v>0.0</v>
      </c>
      <c r="Q182" s="22" t="str">
        <f t="shared" ref="Q182:R182" si="109">"+0.00%"</f>
        <v>+0.00%</v>
      </c>
      <c r="R182" s="18" t="str">
        <f t="shared" si="109"/>
        <v>+0.00%</v>
      </c>
      <c r="S182" s="14" t="s">
        <v>285</v>
      </c>
    </row>
    <row r="183">
      <c r="A183" s="13">
        <v>45901.0</v>
      </c>
      <c r="B183" s="14" t="s">
        <v>47</v>
      </c>
      <c r="C183" s="14" t="s">
        <v>48</v>
      </c>
      <c r="D183" s="14" t="s">
        <v>73</v>
      </c>
      <c r="E183" s="14" t="s">
        <v>74</v>
      </c>
      <c r="F183" s="15" t="s">
        <v>51</v>
      </c>
      <c r="G183" s="14" t="s">
        <v>75</v>
      </c>
      <c r="H183" s="14" t="s">
        <v>76</v>
      </c>
      <c r="I183" s="14" t="s">
        <v>59</v>
      </c>
      <c r="J183" s="14" t="s">
        <v>200</v>
      </c>
      <c r="K183" s="14" t="s">
        <v>232</v>
      </c>
      <c r="L183" s="14" t="s">
        <v>607</v>
      </c>
      <c r="M183" s="14" t="s">
        <v>608</v>
      </c>
      <c r="N183" s="14" t="s">
        <v>609</v>
      </c>
      <c r="O183" s="14">
        <v>0.0</v>
      </c>
      <c r="P183" s="23">
        <v>0.0</v>
      </c>
      <c r="Q183" s="22" t="str">
        <f t="shared" ref="Q183:R183" si="110">"+0.00%"</f>
        <v>+0.00%</v>
      </c>
      <c r="R183" s="18" t="str">
        <f t="shared" si="110"/>
        <v>+0.00%</v>
      </c>
      <c r="S183" s="14" t="s">
        <v>610</v>
      </c>
    </row>
    <row r="184">
      <c r="A184" s="13">
        <v>45901.0</v>
      </c>
      <c r="B184" s="14" t="s">
        <v>47</v>
      </c>
      <c r="C184" s="14" t="s">
        <v>48</v>
      </c>
      <c r="D184" s="14" t="s">
        <v>143</v>
      </c>
      <c r="E184" s="14" t="s">
        <v>144</v>
      </c>
      <c r="F184" s="15" t="s">
        <v>51</v>
      </c>
      <c r="G184" s="14" t="s">
        <v>145</v>
      </c>
      <c r="H184" s="14" t="s">
        <v>143</v>
      </c>
      <c r="I184" s="14" t="s">
        <v>59</v>
      </c>
      <c r="J184" s="14" t="s">
        <v>200</v>
      </c>
      <c r="K184" s="14" t="s">
        <v>224</v>
      </c>
      <c r="L184" s="14" t="s">
        <v>453</v>
      </c>
      <c r="M184" s="14" t="s">
        <v>611</v>
      </c>
      <c r="N184" s="14" t="s">
        <v>612</v>
      </c>
      <c r="O184" s="14">
        <v>0.0</v>
      </c>
      <c r="P184" s="23">
        <v>0.0</v>
      </c>
      <c r="Q184" s="22" t="str">
        <f>"+0.00%"</f>
        <v>+0.00%</v>
      </c>
      <c r="S184" s="14" t="s">
        <v>523</v>
      </c>
    </row>
    <row r="185">
      <c r="A185" s="13">
        <v>45901.0</v>
      </c>
      <c r="B185" s="14" t="s">
        <v>47</v>
      </c>
      <c r="C185" s="14" t="s">
        <v>48</v>
      </c>
      <c r="D185" s="14" t="s">
        <v>73</v>
      </c>
      <c r="E185" s="14" t="s">
        <v>74</v>
      </c>
      <c r="F185" s="15" t="s">
        <v>51</v>
      </c>
      <c r="G185" s="14" t="s">
        <v>75</v>
      </c>
      <c r="H185" s="14" t="s">
        <v>76</v>
      </c>
      <c r="I185" s="14" t="s">
        <v>59</v>
      </c>
      <c r="J185" s="14" t="s">
        <v>200</v>
      </c>
      <c r="K185" s="14" t="s">
        <v>232</v>
      </c>
      <c r="L185" s="14" t="s">
        <v>487</v>
      </c>
      <c r="M185" s="14" t="s">
        <v>488</v>
      </c>
      <c r="N185" s="14" t="s">
        <v>489</v>
      </c>
      <c r="O185" s="14">
        <v>0.0</v>
      </c>
      <c r="P185" s="21">
        <v>0.0</v>
      </c>
      <c r="Q185" s="22" t="str">
        <f t="shared" ref="Q185:R185" si="111">"+0"</f>
        <v>+0</v>
      </c>
      <c r="R185" s="18" t="str">
        <f t="shared" si="111"/>
        <v>+0</v>
      </c>
      <c r="S185" s="14" t="s">
        <v>260</v>
      </c>
    </row>
    <row r="186">
      <c r="A186" s="13">
        <v>45901.0</v>
      </c>
      <c r="B186" s="14" t="s">
        <v>47</v>
      </c>
      <c r="C186" s="14" t="s">
        <v>48</v>
      </c>
      <c r="D186" s="14" t="s">
        <v>132</v>
      </c>
      <c r="E186" s="14" t="s">
        <v>133</v>
      </c>
      <c r="F186" s="15" t="s">
        <v>51</v>
      </c>
      <c r="G186" s="14" t="s">
        <v>134</v>
      </c>
      <c r="H186" s="14" t="s">
        <v>135</v>
      </c>
      <c r="I186" s="14" t="s">
        <v>59</v>
      </c>
      <c r="J186" s="14" t="s">
        <v>198</v>
      </c>
      <c r="K186" s="14" t="s">
        <v>210</v>
      </c>
      <c r="L186" s="14" t="s">
        <v>505</v>
      </c>
      <c r="M186" s="14" t="s">
        <v>506</v>
      </c>
      <c r="N186" s="14" t="s">
        <v>507</v>
      </c>
      <c r="O186" s="14">
        <v>100.0</v>
      </c>
      <c r="P186" s="21">
        <v>0.0</v>
      </c>
      <c r="Q186" s="22" t="str">
        <f t="shared" ref="Q186:R186" si="112">"+0"</f>
        <v>+0</v>
      </c>
      <c r="R186" s="18" t="str">
        <f t="shared" si="112"/>
        <v>+0</v>
      </c>
      <c r="S186" s="14" t="s">
        <v>281</v>
      </c>
    </row>
    <row r="187">
      <c r="A187" s="13">
        <v>45901.0</v>
      </c>
      <c r="B187" s="14" t="s">
        <v>47</v>
      </c>
      <c r="C187" s="14" t="s">
        <v>48</v>
      </c>
      <c r="D187" s="14" t="s">
        <v>171</v>
      </c>
      <c r="E187" s="14" t="s">
        <v>172</v>
      </c>
      <c r="F187" s="15" t="s">
        <v>51</v>
      </c>
      <c r="G187" s="14" t="s">
        <v>173</v>
      </c>
      <c r="H187" s="14" t="s">
        <v>171</v>
      </c>
      <c r="I187" s="14" t="s">
        <v>59</v>
      </c>
      <c r="J187" s="14" t="s">
        <v>200</v>
      </c>
      <c r="K187" s="14" t="s">
        <v>209</v>
      </c>
      <c r="L187" s="14" t="s">
        <v>253</v>
      </c>
      <c r="M187" s="14" t="s">
        <v>402</v>
      </c>
      <c r="N187" s="14" t="s">
        <v>403</v>
      </c>
      <c r="O187" s="14">
        <v>61.0</v>
      </c>
      <c r="P187" s="23">
        <v>0.6192</v>
      </c>
      <c r="Q187" s="22" t="str">
        <f t="shared" ref="Q187:R187" si="113">"+0.00%"</f>
        <v>+0.00%</v>
      </c>
      <c r="R187" s="18" t="str">
        <f t="shared" si="113"/>
        <v>+0.00%</v>
      </c>
      <c r="S187" s="14" t="s">
        <v>613</v>
      </c>
    </row>
    <row r="188">
      <c r="A188" s="13">
        <v>45901.0</v>
      </c>
      <c r="B188" s="14" t="s">
        <v>47</v>
      </c>
      <c r="C188" s="14" t="s">
        <v>48</v>
      </c>
      <c r="D188" s="14" t="s">
        <v>87</v>
      </c>
      <c r="E188" s="14" t="s">
        <v>88</v>
      </c>
      <c r="F188" s="15" t="s">
        <v>51</v>
      </c>
      <c r="G188" s="14" t="s">
        <v>89</v>
      </c>
      <c r="H188" s="14" t="s">
        <v>90</v>
      </c>
      <c r="I188" s="14" t="s">
        <v>59</v>
      </c>
      <c r="J188" s="14" t="s">
        <v>200</v>
      </c>
      <c r="K188" s="14" t="s">
        <v>246</v>
      </c>
      <c r="L188" s="14" t="s">
        <v>614</v>
      </c>
      <c r="M188" s="14" t="s">
        <v>615</v>
      </c>
      <c r="N188" s="14" t="s">
        <v>616</v>
      </c>
      <c r="O188" s="14">
        <v>0.0</v>
      </c>
      <c r="P188" s="21">
        <v>0.0</v>
      </c>
      <c r="Q188" s="22" t="str">
        <f t="shared" ref="Q188:R188" si="114">"+0"</f>
        <v>+0</v>
      </c>
      <c r="R188" s="18" t="str">
        <f t="shared" si="114"/>
        <v>+0</v>
      </c>
      <c r="S188" s="14" t="s">
        <v>260</v>
      </c>
    </row>
    <row r="189">
      <c r="A189" s="13">
        <v>45901.0</v>
      </c>
      <c r="B189" s="14" t="s">
        <v>47</v>
      </c>
      <c r="C189" s="14" t="s">
        <v>48</v>
      </c>
      <c r="D189" s="14" t="s">
        <v>136</v>
      </c>
      <c r="E189" s="14" t="s">
        <v>137</v>
      </c>
      <c r="F189" s="15" t="s">
        <v>51</v>
      </c>
      <c r="G189" s="14" t="s">
        <v>138</v>
      </c>
      <c r="H189" s="14" t="s">
        <v>139</v>
      </c>
      <c r="I189" s="14" t="s">
        <v>59</v>
      </c>
      <c r="J189" s="14" t="s">
        <v>200</v>
      </c>
      <c r="K189" s="14" t="s">
        <v>204</v>
      </c>
      <c r="L189" s="14" t="s">
        <v>253</v>
      </c>
      <c r="M189" s="14" t="s">
        <v>490</v>
      </c>
      <c r="N189" s="14" t="s">
        <v>491</v>
      </c>
      <c r="O189" s="14">
        <v>0.0</v>
      </c>
      <c r="P189" s="23">
        <v>0.0</v>
      </c>
      <c r="Q189" s="22" t="str">
        <f t="shared" ref="Q189:R189" si="115">"+0.00%"</f>
        <v>+0.00%</v>
      </c>
      <c r="R189" s="18" t="str">
        <f t="shared" si="115"/>
        <v>+0.00%</v>
      </c>
      <c r="S189" s="14" t="s">
        <v>492</v>
      </c>
    </row>
    <row r="190">
      <c r="A190" s="13">
        <v>45901.0</v>
      </c>
      <c r="B190" s="14" t="s">
        <v>47</v>
      </c>
      <c r="C190" s="14" t="s">
        <v>48</v>
      </c>
      <c r="D190" s="14" t="s">
        <v>136</v>
      </c>
      <c r="E190" s="14" t="s">
        <v>137</v>
      </c>
      <c r="F190" s="15" t="s">
        <v>51</v>
      </c>
      <c r="G190" s="14" t="s">
        <v>138</v>
      </c>
      <c r="H190" s="14" t="s">
        <v>139</v>
      </c>
      <c r="I190" s="14" t="s">
        <v>59</v>
      </c>
      <c r="J190" s="14" t="s">
        <v>200</v>
      </c>
      <c r="K190" s="14" t="s">
        <v>224</v>
      </c>
      <c r="L190" s="14" t="s">
        <v>427</v>
      </c>
      <c r="M190" s="14" t="s">
        <v>617</v>
      </c>
      <c r="N190" s="14" t="s">
        <v>618</v>
      </c>
      <c r="O190" s="14">
        <v>0.0</v>
      </c>
      <c r="P190" s="23">
        <v>0.0</v>
      </c>
      <c r="Q190" s="22" t="str">
        <f>"+0.00%"</f>
        <v>+0.00%</v>
      </c>
      <c r="S190" s="14" t="s">
        <v>619</v>
      </c>
    </row>
    <row r="191">
      <c r="A191" s="13">
        <v>45901.0</v>
      </c>
      <c r="B191" s="14" t="s">
        <v>47</v>
      </c>
      <c r="C191" s="14" t="s">
        <v>48</v>
      </c>
      <c r="D191" s="14" t="s">
        <v>96</v>
      </c>
      <c r="E191" s="14" t="s">
        <v>97</v>
      </c>
      <c r="F191" s="15" t="s">
        <v>51</v>
      </c>
      <c r="G191" s="14" t="s">
        <v>98</v>
      </c>
      <c r="H191" s="14" t="s">
        <v>96</v>
      </c>
      <c r="I191" s="14" t="s">
        <v>59</v>
      </c>
      <c r="J191" s="14" t="s">
        <v>199</v>
      </c>
      <c r="K191" s="14" t="s">
        <v>203</v>
      </c>
      <c r="L191" s="14" t="s">
        <v>342</v>
      </c>
      <c r="M191" s="14" t="s">
        <v>342</v>
      </c>
      <c r="N191" s="14" t="s">
        <v>343</v>
      </c>
      <c r="O191" s="14">
        <v>100.0</v>
      </c>
      <c r="P191" s="21">
        <v>1.0</v>
      </c>
      <c r="Q191" s="22" t="str">
        <f t="shared" ref="Q191:R191" si="116">"+0"</f>
        <v>+0</v>
      </c>
      <c r="R191" s="18" t="str">
        <f t="shared" si="116"/>
        <v>+0</v>
      </c>
      <c r="S191" s="14" t="s">
        <v>260</v>
      </c>
    </row>
    <row r="192">
      <c r="A192" s="13">
        <v>45901.0</v>
      </c>
      <c r="B192" s="14" t="s">
        <v>47</v>
      </c>
      <c r="C192" s="14" t="s">
        <v>48</v>
      </c>
      <c r="D192" s="14" t="s">
        <v>85</v>
      </c>
      <c r="E192" s="14" t="s">
        <v>86</v>
      </c>
      <c r="F192" s="14" t="s">
        <v>71</v>
      </c>
      <c r="G192" s="14">
        <v>88285.0</v>
      </c>
      <c r="H192" s="14" t="s">
        <v>85</v>
      </c>
      <c r="I192" s="14" t="s">
        <v>59</v>
      </c>
      <c r="J192" s="14" t="s">
        <v>199</v>
      </c>
      <c r="K192" s="14" t="s">
        <v>206</v>
      </c>
      <c r="L192" s="14" t="s">
        <v>381</v>
      </c>
      <c r="M192" s="14" t="s">
        <v>381</v>
      </c>
      <c r="N192" s="14" t="s">
        <v>382</v>
      </c>
      <c r="O192" s="14">
        <v>0.0</v>
      </c>
      <c r="P192" s="21">
        <v>0.0</v>
      </c>
      <c r="Q192" s="22" t="str">
        <f t="shared" ref="Q192:Q193" si="117">"+0"</f>
        <v>+0</v>
      </c>
      <c r="R192" s="18" t="str">
        <f>"-1"</f>
        <v>-1</v>
      </c>
      <c r="S192" s="14" t="s">
        <v>383</v>
      </c>
    </row>
    <row r="193">
      <c r="A193" s="13">
        <v>45901.0</v>
      </c>
      <c r="B193" s="14" t="s">
        <v>47</v>
      </c>
      <c r="C193" s="14" t="s">
        <v>48</v>
      </c>
      <c r="D193" s="14" t="s">
        <v>69</v>
      </c>
      <c r="E193" s="14" t="s">
        <v>70</v>
      </c>
      <c r="F193" s="15" t="s">
        <v>51</v>
      </c>
      <c r="G193" s="14" t="s">
        <v>115</v>
      </c>
      <c r="H193" s="14" t="s">
        <v>72</v>
      </c>
      <c r="I193" s="14" t="s">
        <v>54</v>
      </c>
      <c r="J193" s="14" t="s">
        <v>198</v>
      </c>
      <c r="K193" s="14" t="s">
        <v>210</v>
      </c>
      <c r="L193" s="14" t="s">
        <v>458</v>
      </c>
      <c r="M193" s="14" t="s">
        <v>620</v>
      </c>
      <c r="N193" s="14" t="s">
        <v>621</v>
      </c>
      <c r="O193" s="14">
        <v>0.0</v>
      </c>
      <c r="P193" s="21">
        <v>0.0</v>
      </c>
      <c r="Q193" s="22" t="str">
        <f t="shared" si="117"/>
        <v>+0</v>
      </c>
      <c r="R193" s="18" t="str">
        <f>"+0"</f>
        <v>+0</v>
      </c>
      <c r="S193" s="14" t="s">
        <v>277</v>
      </c>
    </row>
    <row r="194">
      <c r="A194" s="13">
        <v>45901.0</v>
      </c>
      <c r="B194" s="14" t="s">
        <v>47</v>
      </c>
      <c r="C194" s="14" t="s">
        <v>48</v>
      </c>
      <c r="D194" s="14" t="s">
        <v>174</v>
      </c>
      <c r="E194" s="14" t="s">
        <v>175</v>
      </c>
      <c r="F194" s="15" t="s">
        <v>51</v>
      </c>
      <c r="G194" s="14" t="s">
        <v>176</v>
      </c>
      <c r="H194" s="14" t="s">
        <v>174</v>
      </c>
      <c r="I194" s="14" t="s">
        <v>59</v>
      </c>
      <c r="J194" s="14" t="s">
        <v>200</v>
      </c>
      <c r="K194" s="14" t="s">
        <v>227</v>
      </c>
      <c r="L194" s="14" t="s">
        <v>270</v>
      </c>
      <c r="M194" s="14" t="s">
        <v>271</v>
      </c>
      <c r="N194" s="14" t="s">
        <v>272</v>
      </c>
      <c r="O194" s="14">
        <v>9.0</v>
      </c>
      <c r="P194" s="23">
        <v>-0.8125</v>
      </c>
      <c r="Q194" s="22" t="str">
        <f>"+18.75%"</f>
        <v>+18.75%</v>
      </c>
      <c r="R194" s="18" t="str">
        <f>"+16.69%"</f>
        <v>+16.69%</v>
      </c>
      <c r="S194" s="14" t="s">
        <v>273</v>
      </c>
    </row>
    <row r="195">
      <c r="A195" s="13">
        <v>45901.0</v>
      </c>
      <c r="B195" s="14" t="s">
        <v>47</v>
      </c>
      <c r="C195" s="14" t="s">
        <v>48</v>
      </c>
      <c r="D195" s="14" t="s">
        <v>174</v>
      </c>
      <c r="E195" s="14" t="s">
        <v>175</v>
      </c>
      <c r="F195" s="15" t="s">
        <v>51</v>
      </c>
      <c r="G195" s="14" t="s">
        <v>176</v>
      </c>
      <c r="H195" s="14" t="s">
        <v>174</v>
      </c>
      <c r="I195" s="14" t="s">
        <v>59</v>
      </c>
      <c r="J195" s="14" t="s">
        <v>200</v>
      </c>
      <c r="K195" s="14" t="s">
        <v>213</v>
      </c>
      <c r="L195" s="14" t="s">
        <v>257</v>
      </c>
      <c r="M195" s="14" t="s">
        <v>622</v>
      </c>
      <c r="N195" s="14" t="s">
        <v>623</v>
      </c>
      <c r="O195" s="14">
        <v>51.0</v>
      </c>
      <c r="P195" s="23">
        <v>0.0221</v>
      </c>
      <c r="Q195" s="22" t="str">
        <f>"+0.47%"</f>
        <v>+0.47%</v>
      </c>
      <c r="R195" s="18" t="str">
        <f>"+12.86%"</f>
        <v>+12.86%</v>
      </c>
      <c r="S195" s="14" t="s">
        <v>624</v>
      </c>
    </row>
    <row r="196">
      <c r="A196" s="13">
        <v>45901.0</v>
      </c>
      <c r="B196" s="14" t="s">
        <v>47</v>
      </c>
      <c r="C196" s="14" t="s">
        <v>48</v>
      </c>
      <c r="D196" s="14" t="s">
        <v>56</v>
      </c>
      <c r="E196" s="14" t="s">
        <v>57</v>
      </c>
      <c r="F196" s="15" t="s">
        <v>51</v>
      </c>
      <c r="G196" s="14" t="s">
        <v>58</v>
      </c>
      <c r="H196" s="14" t="s">
        <v>56</v>
      </c>
      <c r="I196" s="14" t="s">
        <v>59</v>
      </c>
      <c r="J196" s="14" t="s">
        <v>200</v>
      </c>
      <c r="K196" s="14" t="s">
        <v>223</v>
      </c>
      <c r="L196" s="14" t="s">
        <v>282</v>
      </c>
      <c r="M196" s="14" t="s">
        <v>283</v>
      </c>
      <c r="N196" s="14" t="s">
        <v>284</v>
      </c>
      <c r="O196" s="14">
        <v>0.0</v>
      </c>
      <c r="P196" s="23">
        <v>0.0</v>
      </c>
      <c r="Q196" s="22" t="str">
        <f t="shared" ref="Q196:R196" si="118">"+0.00%"</f>
        <v>+0.00%</v>
      </c>
      <c r="R196" s="18" t="str">
        <f t="shared" si="118"/>
        <v>+0.00%</v>
      </c>
      <c r="S196" s="14" t="s">
        <v>285</v>
      </c>
    </row>
    <row r="197">
      <c r="A197" s="13">
        <v>45901.0</v>
      </c>
      <c r="B197" s="14" t="s">
        <v>47</v>
      </c>
      <c r="C197" s="14" t="s">
        <v>48</v>
      </c>
      <c r="D197" s="14" t="s">
        <v>168</v>
      </c>
      <c r="E197" s="14" t="s">
        <v>169</v>
      </c>
      <c r="F197" s="15" t="s">
        <v>51</v>
      </c>
      <c r="G197" s="14" t="s">
        <v>170</v>
      </c>
      <c r="H197" s="14" t="s">
        <v>168</v>
      </c>
      <c r="I197" s="14" t="s">
        <v>59</v>
      </c>
      <c r="J197" s="14" t="s">
        <v>198</v>
      </c>
      <c r="K197" s="14" t="s">
        <v>205</v>
      </c>
      <c r="L197" s="14" t="s">
        <v>274</v>
      </c>
      <c r="M197" s="14" t="s">
        <v>387</v>
      </c>
      <c r="N197" s="14" t="s">
        <v>388</v>
      </c>
      <c r="O197" s="14">
        <v>100.0</v>
      </c>
      <c r="P197" s="21">
        <v>1.0</v>
      </c>
      <c r="Q197" s="22" t="str">
        <f>"+0"</f>
        <v>+0</v>
      </c>
      <c r="S197" s="14" t="s">
        <v>281</v>
      </c>
    </row>
    <row r="198">
      <c r="A198" s="13">
        <v>45901.0</v>
      </c>
      <c r="B198" s="14" t="s">
        <v>47</v>
      </c>
      <c r="C198" s="14" t="s">
        <v>48</v>
      </c>
      <c r="D198" s="14" t="s">
        <v>168</v>
      </c>
      <c r="E198" s="14" t="s">
        <v>169</v>
      </c>
      <c r="F198" s="15" t="s">
        <v>51</v>
      </c>
      <c r="G198" s="14" t="s">
        <v>170</v>
      </c>
      <c r="H198" s="14" t="s">
        <v>168</v>
      </c>
      <c r="I198" s="14" t="s">
        <v>59</v>
      </c>
      <c r="J198" s="14" t="s">
        <v>200</v>
      </c>
      <c r="K198" s="14" t="s">
        <v>213</v>
      </c>
      <c r="L198" s="14" t="s">
        <v>307</v>
      </c>
      <c r="M198" s="14" t="s">
        <v>308</v>
      </c>
      <c r="N198" s="14" t="s">
        <v>309</v>
      </c>
      <c r="O198" s="14">
        <v>0.0</v>
      </c>
      <c r="P198" s="23">
        <v>0.0</v>
      </c>
      <c r="Q198" s="22" t="str">
        <f t="shared" ref="Q198:R198" si="119">"+0.00%"</f>
        <v>+0.00%</v>
      </c>
      <c r="R198" s="18" t="str">
        <f t="shared" si="119"/>
        <v>+0.00%</v>
      </c>
      <c r="S198" s="14" t="s">
        <v>285</v>
      </c>
    </row>
    <row r="199">
      <c r="A199" s="13">
        <v>45901.0</v>
      </c>
      <c r="B199" s="14" t="s">
        <v>47</v>
      </c>
      <c r="C199" s="14" t="s">
        <v>48</v>
      </c>
      <c r="D199" s="14" t="s">
        <v>140</v>
      </c>
      <c r="E199" s="14" t="s">
        <v>141</v>
      </c>
      <c r="F199" s="15" t="s">
        <v>51</v>
      </c>
      <c r="G199" s="14" t="s">
        <v>142</v>
      </c>
      <c r="H199" s="14" t="s">
        <v>140</v>
      </c>
      <c r="I199" s="14" t="s">
        <v>59</v>
      </c>
      <c r="J199" s="14" t="s">
        <v>200</v>
      </c>
      <c r="K199" s="14" t="s">
        <v>213</v>
      </c>
      <c r="L199" s="14" t="s">
        <v>257</v>
      </c>
      <c r="M199" s="14" t="s">
        <v>517</v>
      </c>
      <c r="N199" s="14" t="s">
        <v>518</v>
      </c>
      <c r="O199" s="14">
        <v>100.0</v>
      </c>
      <c r="P199" s="21">
        <v>1.0</v>
      </c>
      <c r="Q199" s="22" t="str">
        <f t="shared" ref="Q199:R199" si="120">"+0"</f>
        <v>+0</v>
      </c>
      <c r="R199" s="18" t="str">
        <f t="shared" si="120"/>
        <v>+0</v>
      </c>
      <c r="S199" s="14" t="s">
        <v>260</v>
      </c>
    </row>
    <row r="200">
      <c r="A200" s="13">
        <v>45901.0</v>
      </c>
      <c r="B200" s="14" t="s">
        <v>47</v>
      </c>
      <c r="C200" s="14" t="s">
        <v>48</v>
      </c>
      <c r="D200" s="14" t="s">
        <v>121</v>
      </c>
      <c r="E200" s="14" t="s">
        <v>122</v>
      </c>
      <c r="F200" s="15" t="s">
        <v>51</v>
      </c>
      <c r="G200" s="14" t="s">
        <v>123</v>
      </c>
      <c r="H200" s="14" t="s">
        <v>124</v>
      </c>
      <c r="I200" s="14" t="s">
        <v>59</v>
      </c>
      <c r="J200" s="14" t="s">
        <v>200</v>
      </c>
      <c r="K200" s="14" t="s">
        <v>232</v>
      </c>
      <c r="L200" s="14" t="s">
        <v>286</v>
      </c>
      <c r="M200" s="14" t="s">
        <v>625</v>
      </c>
      <c r="N200" s="14" t="s">
        <v>626</v>
      </c>
      <c r="O200" s="14">
        <v>46.0</v>
      </c>
      <c r="P200" s="23">
        <v>0.4615</v>
      </c>
      <c r="Q200" s="22" t="str">
        <f>"+12.82%"</f>
        <v>+12.82%</v>
      </c>
      <c r="R200" s="18" t="str">
        <f>"-17.48%"</f>
        <v>-17.48%</v>
      </c>
      <c r="S200" s="14" t="s">
        <v>627</v>
      </c>
    </row>
    <row r="201">
      <c r="A201" s="13">
        <v>45901.0</v>
      </c>
      <c r="B201" s="14" t="s">
        <v>47</v>
      </c>
      <c r="C201" s="14" t="s">
        <v>48</v>
      </c>
      <c r="D201" s="14" t="s">
        <v>49</v>
      </c>
      <c r="E201" s="14" t="s">
        <v>50</v>
      </c>
      <c r="F201" s="15" t="s">
        <v>51</v>
      </c>
      <c r="G201" s="14" t="s">
        <v>52</v>
      </c>
      <c r="H201" s="14" t="s">
        <v>53</v>
      </c>
      <c r="I201" s="14" t="s">
        <v>54</v>
      </c>
      <c r="J201" s="14" t="s">
        <v>200</v>
      </c>
      <c r="K201" s="14" t="s">
        <v>213</v>
      </c>
      <c r="L201" s="14" t="s">
        <v>359</v>
      </c>
      <c r="M201" s="14" t="s">
        <v>628</v>
      </c>
      <c r="N201" s="14" t="s">
        <v>629</v>
      </c>
      <c r="O201" s="14">
        <v>100.0</v>
      </c>
      <c r="P201" s="21">
        <v>32.0</v>
      </c>
      <c r="Q201" s="22" t="str">
        <f t="shared" ref="Q201:R201" si="121">"+0"</f>
        <v>+0</v>
      </c>
      <c r="R201" s="18" t="str">
        <f t="shared" si="121"/>
        <v>+0</v>
      </c>
      <c r="S201" s="14" t="s">
        <v>260</v>
      </c>
    </row>
    <row r="202">
      <c r="A202" s="13">
        <v>45901.0</v>
      </c>
      <c r="B202" s="14" t="s">
        <v>47</v>
      </c>
      <c r="C202" s="14" t="s">
        <v>48</v>
      </c>
      <c r="D202" s="14" t="s">
        <v>91</v>
      </c>
      <c r="E202" s="14" t="s">
        <v>92</v>
      </c>
      <c r="F202" s="14" t="s">
        <v>71</v>
      </c>
      <c r="G202" s="14">
        <v>5.10000484E8</v>
      </c>
      <c r="H202" s="14" t="s">
        <v>91</v>
      </c>
      <c r="I202" s="14" t="s">
        <v>54</v>
      </c>
      <c r="J202" s="14" t="s">
        <v>199</v>
      </c>
      <c r="K202" s="14" t="s">
        <v>203</v>
      </c>
      <c r="L202" s="14" t="s">
        <v>340</v>
      </c>
      <c r="M202" s="14" t="s">
        <v>340</v>
      </c>
      <c r="N202" s="14" t="s">
        <v>341</v>
      </c>
      <c r="O202" s="14">
        <v>0.0</v>
      </c>
      <c r="P202" s="21">
        <v>0.0</v>
      </c>
      <c r="Q202" s="22" t="str">
        <f>"-1"</f>
        <v>-1</v>
      </c>
      <c r="R202" s="18" t="str">
        <f>"-3"</f>
        <v>-3</v>
      </c>
      <c r="S202" s="14" t="s">
        <v>260</v>
      </c>
    </row>
    <row r="203">
      <c r="A203" s="13">
        <v>45901.0</v>
      </c>
      <c r="B203" s="14" t="s">
        <v>47</v>
      </c>
      <c r="C203" s="14" t="s">
        <v>48</v>
      </c>
      <c r="D203" s="14" t="s">
        <v>63</v>
      </c>
      <c r="E203" s="14" t="s">
        <v>64</v>
      </c>
      <c r="F203" s="15" t="s">
        <v>51</v>
      </c>
      <c r="G203" s="14" t="s">
        <v>65</v>
      </c>
      <c r="H203" s="14" t="s">
        <v>63</v>
      </c>
      <c r="I203" s="14" t="s">
        <v>54</v>
      </c>
      <c r="J203" s="14" t="s">
        <v>200</v>
      </c>
      <c r="K203" s="14" t="s">
        <v>215</v>
      </c>
      <c r="L203" s="14" t="s">
        <v>253</v>
      </c>
      <c r="M203" s="14" t="s">
        <v>630</v>
      </c>
      <c r="N203" s="14" t="s">
        <v>631</v>
      </c>
      <c r="O203" s="14">
        <v>0.0</v>
      </c>
      <c r="P203" s="23">
        <v>0.0</v>
      </c>
      <c r="Q203" s="22" t="str">
        <f t="shared" ref="Q203:R203" si="122">"+0.00%"</f>
        <v>+0.00%</v>
      </c>
      <c r="R203" s="18" t="str">
        <f t="shared" si="122"/>
        <v>+0.00%</v>
      </c>
      <c r="S203" s="14" t="s">
        <v>632</v>
      </c>
    </row>
    <row r="204">
      <c r="A204" s="13">
        <v>45901.0</v>
      </c>
      <c r="B204" s="14" t="s">
        <v>47</v>
      </c>
      <c r="C204" s="14" t="s">
        <v>48</v>
      </c>
      <c r="D204" s="14" t="s">
        <v>91</v>
      </c>
      <c r="E204" s="14" t="s">
        <v>92</v>
      </c>
      <c r="F204" s="14" t="s">
        <v>146</v>
      </c>
      <c r="G204" s="14" t="s">
        <v>147</v>
      </c>
      <c r="H204" s="14" t="s">
        <v>91</v>
      </c>
      <c r="I204" s="14" t="s">
        <v>107</v>
      </c>
      <c r="J204" s="14" t="s">
        <v>200</v>
      </c>
      <c r="K204" s="14" t="s">
        <v>226</v>
      </c>
      <c r="L204" s="14" t="s">
        <v>633</v>
      </c>
      <c r="M204" s="14" t="s">
        <v>634</v>
      </c>
      <c r="N204" s="14" t="s">
        <v>635</v>
      </c>
      <c r="O204" s="14">
        <v>0.0</v>
      </c>
      <c r="P204" s="21">
        <v>0.0</v>
      </c>
      <c r="Q204" s="22" t="str">
        <f t="shared" ref="Q204:R204" si="123">"+0"</f>
        <v>+0</v>
      </c>
      <c r="R204" s="18" t="str">
        <f t="shared" si="123"/>
        <v>+0</v>
      </c>
      <c r="S204" s="14" t="s">
        <v>260</v>
      </c>
    </row>
    <row r="205">
      <c r="A205" s="13">
        <v>45901.0</v>
      </c>
      <c r="B205" s="14" t="s">
        <v>47</v>
      </c>
      <c r="C205" s="14" t="s">
        <v>48</v>
      </c>
      <c r="D205" s="14" t="s">
        <v>99</v>
      </c>
      <c r="E205" s="14" t="s">
        <v>100</v>
      </c>
      <c r="F205" s="15" t="s">
        <v>51</v>
      </c>
      <c r="G205" s="14" t="s">
        <v>101</v>
      </c>
      <c r="H205" s="14" t="s">
        <v>102</v>
      </c>
      <c r="I205" s="14" t="s">
        <v>54</v>
      </c>
      <c r="J205" s="14" t="s">
        <v>200</v>
      </c>
      <c r="K205" s="14" t="s">
        <v>227</v>
      </c>
      <c r="L205" s="14" t="s">
        <v>270</v>
      </c>
      <c r="M205" s="14" t="s">
        <v>417</v>
      </c>
      <c r="N205" s="14" t="s">
        <v>418</v>
      </c>
      <c r="O205" s="14">
        <v>60.0</v>
      </c>
      <c r="P205" s="21">
        <v>3.0</v>
      </c>
      <c r="Q205" s="22" t="str">
        <f>"+3"</f>
        <v>+3</v>
      </c>
      <c r="R205" s="18" t="str">
        <f>"+1"</f>
        <v>+1</v>
      </c>
      <c r="S205" s="14" t="s">
        <v>260</v>
      </c>
    </row>
    <row r="206">
      <c r="A206" s="13">
        <v>45901.0</v>
      </c>
      <c r="B206" s="14" t="s">
        <v>47</v>
      </c>
      <c r="C206" s="14" t="s">
        <v>48</v>
      </c>
      <c r="D206" s="14" t="s">
        <v>63</v>
      </c>
      <c r="E206" s="14" t="s">
        <v>64</v>
      </c>
      <c r="F206" s="15" t="s">
        <v>51</v>
      </c>
      <c r="G206" s="14" t="s">
        <v>65</v>
      </c>
      <c r="H206" s="14" t="s">
        <v>63</v>
      </c>
      <c r="I206" s="14" t="s">
        <v>54</v>
      </c>
      <c r="J206" s="14" t="s">
        <v>198</v>
      </c>
      <c r="K206" s="14" t="s">
        <v>205</v>
      </c>
      <c r="L206" s="14" t="s">
        <v>274</v>
      </c>
      <c r="M206" s="14" t="s">
        <v>636</v>
      </c>
      <c r="N206" s="14" t="s">
        <v>637</v>
      </c>
      <c r="O206" s="14">
        <v>100.0</v>
      </c>
      <c r="P206" s="21">
        <v>1.0</v>
      </c>
      <c r="Q206" s="22" t="str">
        <f t="shared" ref="Q206:Q210" si="124">"+0"</f>
        <v>+0</v>
      </c>
      <c r="S206" s="14" t="s">
        <v>281</v>
      </c>
    </row>
    <row r="207">
      <c r="A207" s="13">
        <v>45901.0</v>
      </c>
      <c r="B207" s="14" t="s">
        <v>47</v>
      </c>
      <c r="C207" s="14" t="s">
        <v>48</v>
      </c>
      <c r="D207" s="14" t="s">
        <v>63</v>
      </c>
      <c r="E207" s="14" t="s">
        <v>64</v>
      </c>
      <c r="F207" s="15" t="s">
        <v>51</v>
      </c>
      <c r="G207" s="14" t="s">
        <v>65</v>
      </c>
      <c r="H207" s="14" t="s">
        <v>63</v>
      </c>
      <c r="I207" s="14" t="s">
        <v>54</v>
      </c>
      <c r="J207" s="14" t="s">
        <v>199</v>
      </c>
      <c r="K207" s="14" t="s">
        <v>203</v>
      </c>
      <c r="L207" s="14" t="s">
        <v>342</v>
      </c>
      <c r="M207" s="14" t="s">
        <v>342</v>
      </c>
      <c r="N207" s="14" t="s">
        <v>343</v>
      </c>
      <c r="O207" s="14">
        <v>0.0</v>
      </c>
      <c r="P207" s="21">
        <v>0.0</v>
      </c>
      <c r="Q207" s="22" t="str">
        <f t="shared" si="124"/>
        <v>+0</v>
      </c>
      <c r="R207" s="18" t="str">
        <f t="shared" ref="R207:R208" si="125">"+0"</f>
        <v>+0</v>
      </c>
      <c r="S207" s="14" t="s">
        <v>260</v>
      </c>
    </row>
    <row r="208">
      <c r="A208" s="13">
        <v>45901.0</v>
      </c>
      <c r="B208" s="14" t="s">
        <v>47</v>
      </c>
      <c r="C208" s="14" t="s">
        <v>48</v>
      </c>
      <c r="D208" s="14" t="s">
        <v>99</v>
      </c>
      <c r="E208" s="14" t="s">
        <v>100</v>
      </c>
      <c r="F208" s="15" t="s">
        <v>51</v>
      </c>
      <c r="G208" s="14" t="s">
        <v>101</v>
      </c>
      <c r="H208" s="14" t="s">
        <v>102</v>
      </c>
      <c r="I208" s="14" t="s">
        <v>54</v>
      </c>
      <c r="J208" s="14" t="s">
        <v>198</v>
      </c>
      <c r="K208" s="14" t="s">
        <v>210</v>
      </c>
      <c r="L208" s="14" t="s">
        <v>264</v>
      </c>
      <c r="M208" s="14" t="s">
        <v>638</v>
      </c>
      <c r="N208" s="14" t="s">
        <v>639</v>
      </c>
      <c r="O208" s="14">
        <v>0.0</v>
      </c>
      <c r="P208" s="21">
        <v>0.0</v>
      </c>
      <c r="Q208" s="22" t="str">
        <f t="shared" si="124"/>
        <v>+0</v>
      </c>
      <c r="R208" s="18" t="str">
        <f t="shared" si="125"/>
        <v>+0</v>
      </c>
      <c r="S208" s="14" t="s">
        <v>277</v>
      </c>
    </row>
    <row r="209">
      <c r="A209" s="13">
        <v>45901.0</v>
      </c>
      <c r="B209" s="14" t="s">
        <v>47</v>
      </c>
      <c r="C209" s="14" t="s">
        <v>48</v>
      </c>
      <c r="D209" s="14" t="s">
        <v>91</v>
      </c>
      <c r="E209" s="14" t="s">
        <v>92</v>
      </c>
      <c r="F209" s="15" t="s">
        <v>51</v>
      </c>
      <c r="G209" s="14" t="s">
        <v>163</v>
      </c>
      <c r="H209" s="14" t="s">
        <v>91</v>
      </c>
      <c r="I209" s="14" t="s">
        <v>59</v>
      </c>
      <c r="J209" s="14" t="s">
        <v>198</v>
      </c>
      <c r="K209" s="14" t="s">
        <v>207</v>
      </c>
      <c r="L209" s="14" t="s">
        <v>318</v>
      </c>
      <c r="M209" s="14" t="s">
        <v>508</v>
      </c>
      <c r="N209" s="14" t="s">
        <v>509</v>
      </c>
      <c r="O209" s="14">
        <v>0.0</v>
      </c>
      <c r="P209" s="21">
        <v>0.0</v>
      </c>
      <c r="Q209" s="22" t="str">
        <f t="shared" si="124"/>
        <v>+0</v>
      </c>
      <c r="S209" s="14" t="s">
        <v>281</v>
      </c>
    </row>
    <row r="210">
      <c r="A210" s="13">
        <v>45901.0</v>
      </c>
      <c r="B210" s="14" t="s">
        <v>47</v>
      </c>
      <c r="C210" s="14" t="s">
        <v>48</v>
      </c>
      <c r="D210" s="14" t="s">
        <v>192</v>
      </c>
      <c r="E210" s="14" t="s">
        <v>193</v>
      </c>
      <c r="F210" s="15" t="s">
        <v>51</v>
      </c>
      <c r="G210" s="14" t="s">
        <v>194</v>
      </c>
      <c r="H210" s="14" t="s">
        <v>192</v>
      </c>
      <c r="I210" s="14" t="s">
        <v>54</v>
      </c>
      <c r="J210" s="14" t="s">
        <v>198</v>
      </c>
      <c r="K210" s="14" t="s">
        <v>205</v>
      </c>
      <c r="L210" s="14" t="s">
        <v>274</v>
      </c>
      <c r="M210" s="14" t="s">
        <v>636</v>
      </c>
      <c r="N210" s="14" t="s">
        <v>637</v>
      </c>
      <c r="O210" s="14">
        <v>100.0</v>
      </c>
      <c r="P210" s="21">
        <v>1.0</v>
      </c>
      <c r="Q210" s="22" t="str">
        <f t="shared" si="124"/>
        <v>+0</v>
      </c>
      <c r="S210" s="14" t="s">
        <v>281</v>
      </c>
    </row>
    <row r="211">
      <c r="A211" s="13">
        <v>45901.0</v>
      </c>
      <c r="B211" s="14" t="s">
        <v>47</v>
      </c>
      <c r="C211" s="14" t="s">
        <v>48</v>
      </c>
      <c r="D211" s="14" t="s">
        <v>66</v>
      </c>
      <c r="E211" s="14" t="s">
        <v>67</v>
      </c>
      <c r="F211" s="15" t="s">
        <v>51</v>
      </c>
      <c r="G211" s="14" t="s">
        <v>68</v>
      </c>
      <c r="H211" s="14" t="s">
        <v>66</v>
      </c>
      <c r="I211" s="14" t="s">
        <v>59</v>
      </c>
      <c r="J211" s="14" t="s">
        <v>200</v>
      </c>
      <c r="K211" s="14" t="s">
        <v>223</v>
      </c>
      <c r="L211" s="14" t="s">
        <v>307</v>
      </c>
      <c r="M211" s="14" t="s">
        <v>561</v>
      </c>
      <c r="N211" s="14" t="s">
        <v>562</v>
      </c>
      <c r="O211" s="14">
        <v>0.0</v>
      </c>
      <c r="P211" s="23">
        <v>0.0</v>
      </c>
      <c r="Q211" s="22" t="str">
        <f t="shared" ref="Q211:R211" si="126">"+0.00%"</f>
        <v>+0.00%</v>
      </c>
      <c r="R211" s="18" t="str">
        <f t="shared" si="126"/>
        <v>+0.00%</v>
      </c>
      <c r="S211" s="14" t="s">
        <v>285</v>
      </c>
    </row>
    <row r="212">
      <c r="A212" s="13">
        <v>45901.0</v>
      </c>
      <c r="B212" s="14" t="s">
        <v>47</v>
      </c>
      <c r="C212" s="14" t="s">
        <v>48</v>
      </c>
      <c r="D212" s="14" t="s">
        <v>73</v>
      </c>
      <c r="E212" s="14" t="s">
        <v>74</v>
      </c>
      <c r="F212" s="15" t="s">
        <v>51</v>
      </c>
      <c r="G212" s="14" t="s">
        <v>75</v>
      </c>
      <c r="H212" s="14" t="s">
        <v>76</v>
      </c>
      <c r="I212" s="14" t="s">
        <v>59</v>
      </c>
      <c r="J212" s="14" t="s">
        <v>199</v>
      </c>
      <c r="K212" s="14" t="s">
        <v>203</v>
      </c>
      <c r="L212" s="14" t="s">
        <v>340</v>
      </c>
      <c r="M212" s="14" t="s">
        <v>340</v>
      </c>
      <c r="N212" s="14" t="s">
        <v>341</v>
      </c>
      <c r="O212" s="14">
        <v>0.0</v>
      </c>
      <c r="P212" s="21">
        <v>0.0</v>
      </c>
      <c r="Q212" s="22" t="str">
        <f t="shared" ref="Q212:R212" si="127">"+0"</f>
        <v>+0</v>
      </c>
      <c r="R212" s="18" t="str">
        <f t="shared" si="127"/>
        <v>+0</v>
      </c>
      <c r="S212" s="14" t="s">
        <v>260</v>
      </c>
    </row>
    <row r="213">
      <c r="A213" s="13">
        <v>45901.0</v>
      </c>
      <c r="B213" s="14" t="s">
        <v>47</v>
      </c>
      <c r="C213" s="14" t="s">
        <v>48</v>
      </c>
      <c r="D213" s="14" t="s">
        <v>136</v>
      </c>
      <c r="E213" s="14" t="s">
        <v>137</v>
      </c>
      <c r="F213" s="15" t="s">
        <v>51</v>
      </c>
      <c r="G213" s="14" t="s">
        <v>138</v>
      </c>
      <c r="H213" s="14" t="s">
        <v>139</v>
      </c>
      <c r="I213" s="14" t="s">
        <v>59</v>
      </c>
      <c r="J213" s="14" t="s">
        <v>198</v>
      </c>
      <c r="K213" s="14" t="s">
        <v>210</v>
      </c>
      <c r="L213" s="14" t="s">
        <v>264</v>
      </c>
      <c r="M213" s="14" t="s">
        <v>357</v>
      </c>
      <c r="N213" s="14" t="s">
        <v>358</v>
      </c>
      <c r="O213" s="14">
        <v>100.0</v>
      </c>
      <c r="P213" s="21">
        <v>0.0</v>
      </c>
      <c r="Q213" s="22" t="str">
        <f t="shared" ref="Q213:R213" si="128">"+0"</f>
        <v>+0</v>
      </c>
      <c r="R213" s="18" t="str">
        <f t="shared" si="128"/>
        <v>+0</v>
      </c>
      <c r="S213" s="14" t="s">
        <v>281</v>
      </c>
    </row>
    <row r="214">
      <c r="A214" s="13">
        <v>45901.0</v>
      </c>
      <c r="B214" s="14" t="s">
        <v>47</v>
      </c>
      <c r="C214" s="14" t="s">
        <v>48</v>
      </c>
      <c r="D214" s="14" t="s">
        <v>136</v>
      </c>
      <c r="E214" s="14" t="s">
        <v>137</v>
      </c>
      <c r="F214" s="15" t="s">
        <v>51</v>
      </c>
      <c r="G214" s="14" t="s">
        <v>138</v>
      </c>
      <c r="H214" s="14" t="s">
        <v>139</v>
      </c>
      <c r="I214" s="14" t="s">
        <v>59</v>
      </c>
      <c r="J214" s="14" t="s">
        <v>200</v>
      </c>
      <c r="K214" s="14" t="s">
        <v>213</v>
      </c>
      <c r="L214" s="14" t="s">
        <v>307</v>
      </c>
      <c r="M214" s="14" t="s">
        <v>533</v>
      </c>
      <c r="N214" s="14" t="s">
        <v>534</v>
      </c>
      <c r="O214" s="14">
        <v>80.0</v>
      </c>
      <c r="P214" s="23">
        <v>0.8068</v>
      </c>
      <c r="Q214" s="22" t="str">
        <f>"-1.25%"</f>
        <v>-1.25%</v>
      </c>
      <c r="R214" s="18" t="str">
        <f>"+4.49%"</f>
        <v>+4.49%</v>
      </c>
      <c r="S214" s="14" t="s">
        <v>640</v>
      </c>
    </row>
    <row r="215">
      <c r="A215" s="13">
        <v>45901.0</v>
      </c>
      <c r="B215" s="14" t="s">
        <v>47</v>
      </c>
      <c r="C215" s="14" t="s">
        <v>48</v>
      </c>
      <c r="D215" s="14" t="s">
        <v>149</v>
      </c>
      <c r="E215" s="14" t="s">
        <v>150</v>
      </c>
      <c r="F215" s="15" t="s">
        <v>51</v>
      </c>
      <c r="G215" s="14" t="s">
        <v>151</v>
      </c>
      <c r="H215" s="14" t="s">
        <v>152</v>
      </c>
      <c r="I215" s="14" t="s">
        <v>54</v>
      </c>
      <c r="J215" s="14" t="s">
        <v>198</v>
      </c>
      <c r="K215" s="14" t="s">
        <v>210</v>
      </c>
      <c r="L215" s="14" t="s">
        <v>264</v>
      </c>
      <c r="M215" s="14" t="s">
        <v>641</v>
      </c>
      <c r="N215" s="14" t="s">
        <v>642</v>
      </c>
      <c r="O215" s="14">
        <v>100.0</v>
      </c>
      <c r="P215" s="21">
        <v>1.0</v>
      </c>
      <c r="Q215" s="22" t="str">
        <f t="shared" ref="Q215:R215" si="129">"+1"</f>
        <v>+1</v>
      </c>
      <c r="R215" s="18" t="str">
        <f t="shared" si="129"/>
        <v>+1</v>
      </c>
      <c r="S215" s="14" t="s">
        <v>277</v>
      </c>
    </row>
    <row r="216">
      <c r="A216" s="13">
        <v>45901.0</v>
      </c>
      <c r="B216" s="14" t="s">
        <v>47</v>
      </c>
      <c r="C216" s="14" t="s">
        <v>48</v>
      </c>
      <c r="D216" s="14" t="s">
        <v>129</v>
      </c>
      <c r="E216" s="14" t="s">
        <v>130</v>
      </c>
      <c r="F216" s="15" t="s">
        <v>51</v>
      </c>
      <c r="G216" s="14" t="s">
        <v>131</v>
      </c>
      <c r="H216" s="14" t="s">
        <v>129</v>
      </c>
      <c r="I216" s="14" t="s">
        <v>59</v>
      </c>
      <c r="J216" s="14" t="s">
        <v>200</v>
      </c>
      <c r="K216" s="14" t="s">
        <v>213</v>
      </c>
      <c r="L216" s="14" t="s">
        <v>257</v>
      </c>
      <c r="M216" s="14" t="s">
        <v>298</v>
      </c>
      <c r="N216" s="14" t="s">
        <v>299</v>
      </c>
      <c r="O216" s="14">
        <v>0.0</v>
      </c>
      <c r="P216" s="23">
        <v>0.0</v>
      </c>
      <c r="Q216" s="22" t="str">
        <f t="shared" ref="Q216:R216" si="130">"+0.00%"</f>
        <v>+0.00%</v>
      </c>
      <c r="R216" s="18" t="str">
        <f t="shared" si="130"/>
        <v>+0.00%</v>
      </c>
      <c r="S216" s="14" t="s">
        <v>643</v>
      </c>
    </row>
    <row r="217">
      <c r="A217" s="13">
        <v>45901.0</v>
      </c>
      <c r="B217" s="14" t="s">
        <v>47</v>
      </c>
      <c r="C217" s="14" t="s">
        <v>48</v>
      </c>
      <c r="D217" s="14" t="s">
        <v>136</v>
      </c>
      <c r="E217" s="14" t="s">
        <v>137</v>
      </c>
      <c r="F217" s="15" t="s">
        <v>51</v>
      </c>
      <c r="G217" s="14" t="s">
        <v>138</v>
      </c>
      <c r="H217" s="14" t="s">
        <v>139</v>
      </c>
      <c r="I217" s="14" t="s">
        <v>59</v>
      </c>
      <c r="J217" s="14" t="s">
        <v>200</v>
      </c>
      <c r="K217" s="14" t="s">
        <v>222</v>
      </c>
      <c r="L217" s="14" t="s">
        <v>301</v>
      </c>
      <c r="M217" s="14" t="s">
        <v>302</v>
      </c>
      <c r="N217" s="14" t="s">
        <v>303</v>
      </c>
      <c r="O217" s="14">
        <v>0.0</v>
      </c>
      <c r="P217" s="21">
        <v>0.0</v>
      </c>
      <c r="Q217" s="22" t="str">
        <f t="shared" ref="Q217:R217" si="131">"+0"</f>
        <v>+0</v>
      </c>
      <c r="R217" s="18" t="str">
        <f t="shared" si="131"/>
        <v>+0</v>
      </c>
      <c r="S217" s="14" t="s">
        <v>260</v>
      </c>
    </row>
    <row r="218">
      <c r="A218" s="13">
        <v>45901.0</v>
      </c>
      <c r="B218" s="14" t="s">
        <v>47</v>
      </c>
      <c r="C218" s="14" t="s">
        <v>48</v>
      </c>
      <c r="D218" s="14" t="s">
        <v>136</v>
      </c>
      <c r="E218" s="14" t="s">
        <v>137</v>
      </c>
      <c r="F218" s="15" t="s">
        <v>51</v>
      </c>
      <c r="G218" s="14" t="s">
        <v>138</v>
      </c>
      <c r="H218" s="14" t="s">
        <v>139</v>
      </c>
      <c r="I218" s="14" t="s">
        <v>59</v>
      </c>
      <c r="J218" s="14" t="s">
        <v>200</v>
      </c>
      <c r="K218" s="14" t="s">
        <v>224</v>
      </c>
      <c r="L218" s="14" t="s">
        <v>453</v>
      </c>
      <c r="M218" s="14" t="s">
        <v>521</v>
      </c>
      <c r="N218" s="14" t="s">
        <v>522</v>
      </c>
      <c r="O218" s="14">
        <v>0.0</v>
      </c>
      <c r="P218" s="23">
        <v>0.0</v>
      </c>
      <c r="Q218" s="22" t="str">
        <f>"+0.00%"</f>
        <v>+0.00%</v>
      </c>
      <c r="S218" s="14" t="s">
        <v>523</v>
      </c>
    </row>
    <row r="219">
      <c r="A219" s="13">
        <v>45901.0</v>
      </c>
      <c r="B219" s="14" t="s">
        <v>47</v>
      </c>
      <c r="C219" s="14" t="s">
        <v>48</v>
      </c>
      <c r="D219" s="14" t="s">
        <v>129</v>
      </c>
      <c r="E219" s="14" t="s">
        <v>130</v>
      </c>
      <c r="F219" s="15" t="s">
        <v>51</v>
      </c>
      <c r="G219" s="14" t="s">
        <v>131</v>
      </c>
      <c r="H219" s="14" t="s">
        <v>129</v>
      </c>
      <c r="I219" s="14" t="s">
        <v>59</v>
      </c>
      <c r="J219" s="14" t="s">
        <v>200</v>
      </c>
      <c r="K219" s="14" t="s">
        <v>222</v>
      </c>
      <c r="L219" s="14" t="s">
        <v>337</v>
      </c>
      <c r="M219" s="14" t="s">
        <v>338</v>
      </c>
      <c r="N219" s="14" t="s">
        <v>339</v>
      </c>
      <c r="O219" s="14">
        <v>0.0</v>
      </c>
      <c r="P219" s="21">
        <v>0.0</v>
      </c>
      <c r="Q219" s="22" t="str">
        <f t="shared" ref="Q219:R219" si="132">"+0"</f>
        <v>+0</v>
      </c>
      <c r="R219" s="18" t="str">
        <f t="shared" si="132"/>
        <v>+0</v>
      </c>
      <c r="S219" s="14" t="s">
        <v>260</v>
      </c>
    </row>
    <row r="220">
      <c r="A220" s="13">
        <v>45901.0</v>
      </c>
      <c r="B220" s="14" t="s">
        <v>47</v>
      </c>
      <c r="C220" s="14" t="s">
        <v>48</v>
      </c>
      <c r="D220" s="14" t="s">
        <v>149</v>
      </c>
      <c r="E220" s="14" t="s">
        <v>150</v>
      </c>
      <c r="F220" s="15" t="s">
        <v>51</v>
      </c>
      <c r="G220" s="14" t="s">
        <v>151</v>
      </c>
      <c r="H220" s="14" t="s">
        <v>152</v>
      </c>
      <c r="I220" s="14" t="s">
        <v>54</v>
      </c>
      <c r="J220" s="14" t="s">
        <v>200</v>
      </c>
      <c r="K220" s="14" t="s">
        <v>223</v>
      </c>
      <c r="L220" s="14" t="s">
        <v>286</v>
      </c>
      <c r="M220" s="14" t="s">
        <v>644</v>
      </c>
      <c r="N220" s="14" t="s">
        <v>645</v>
      </c>
      <c r="O220" s="14">
        <v>39.0</v>
      </c>
      <c r="P220" s="23">
        <v>-0.2148</v>
      </c>
      <c r="Q220" s="22" t="str">
        <f>"-5.74%"</f>
        <v>-5.74%</v>
      </c>
      <c r="R220" s="18" t="str">
        <f>"-49.99%"</f>
        <v>-49.99%</v>
      </c>
      <c r="S220" s="14" t="s">
        <v>646</v>
      </c>
    </row>
    <row r="221">
      <c r="A221" s="13">
        <v>45901.0</v>
      </c>
      <c r="B221" s="14" t="s">
        <v>47</v>
      </c>
      <c r="C221" s="14" t="s">
        <v>48</v>
      </c>
      <c r="D221" s="14" t="s">
        <v>96</v>
      </c>
      <c r="E221" s="14" t="s">
        <v>97</v>
      </c>
      <c r="F221" s="15" t="s">
        <v>51</v>
      </c>
      <c r="G221" s="14" t="s">
        <v>98</v>
      </c>
      <c r="H221" s="14" t="s">
        <v>96</v>
      </c>
      <c r="I221" s="14" t="s">
        <v>59</v>
      </c>
      <c r="J221" s="14" t="s">
        <v>200</v>
      </c>
      <c r="K221" s="14" t="s">
        <v>223</v>
      </c>
      <c r="L221" s="14" t="s">
        <v>607</v>
      </c>
      <c r="M221" s="14" t="s">
        <v>608</v>
      </c>
      <c r="N221" s="14" t="s">
        <v>609</v>
      </c>
      <c r="O221" s="14">
        <v>9.0</v>
      </c>
      <c r="P221" s="23">
        <v>0.0909</v>
      </c>
      <c r="Q221" s="22" t="str">
        <f>"+0.00%"</f>
        <v>+0.00%</v>
      </c>
      <c r="R221" s="18" t="str">
        <f>"-15.91%"</f>
        <v>-15.91%</v>
      </c>
      <c r="S221" s="14" t="s">
        <v>647</v>
      </c>
    </row>
    <row r="222">
      <c r="A222" s="13">
        <v>45901.0</v>
      </c>
      <c r="B222" s="14" t="s">
        <v>47</v>
      </c>
      <c r="C222" s="14" t="s">
        <v>48</v>
      </c>
      <c r="D222" s="14" t="s">
        <v>116</v>
      </c>
      <c r="E222" s="14" t="s">
        <v>117</v>
      </c>
      <c r="F222" s="15" t="s">
        <v>51</v>
      </c>
      <c r="G222" s="14" t="s">
        <v>161</v>
      </c>
      <c r="H222" s="14" t="s">
        <v>116</v>
      </c>
      <c r="I222" s="14" t="s">
        <v>54</v>
      </c>
      <c r="J222" s="14" t="s">
        <v>198</v>
      </c>
      <c r="K222" s="14" t="s">
        <v>207</v>
      </c>
      <c r="L222" s="14" t="s">
        <v>648</v>
      </c>
      <c r="M222" s="14" t="s">
        <v>649</v>
      </c>
      <c r="N222" s="14" t="s">
        <v>650</v>
      </c>
      <c r="O222" s="14">
        <v>100.0</v>
      </c>
      <c r="P222" s="21">
        <v>1.0</v>
      </c>
      <c r="Q222" s="22" t="str">
        <f>"+0"</f>
        <v>+0</v>
      </c>
      <c r="S222" s="14" t="s">
        <v>281</v>
      </c>
    </row>
    <row r="223">
      <c r="A223" s="13">
        <v>45901.0</v>
      </c>
      <c r="B223" s="14" t="s">
        <v>47</v>
      </c>
      <c r="C223" s="14" t="s">
        <v>48</v>
      </c>
      <c r="D223" s="14" t="s">
        <v>77</v>
      </c>
      <c r="E223" s="14" t="s">
        <v>78</v>
      </c>
      <c r="F223" s="15" t="s">
        <v>51</v>
      </c>
      <c r="G223" s="14" t="s">
        <v>128</v>
      </c>
      <c r="H223" s="14" t="s">
        <v>81</v>
      </c>
      <c r="I223" s="14" t="s">
        <v>59</v>
      </c>
      <c r="J223" s="14" t="s">
        <v>198</v>
      </c>
      <c r="K223" s="14" t="s">
        <v>210</v>
      </c>
      <c r="L223" s="14" t="s">
        <v>264</v>
      </c>
      <c r="M223" s="14" t="s">
        <v>524</v>
      </c>
      <c r="N223" s="14" t="s">
        <v>525</v>
      </c>
      <c r="O223" s="14">
        <v>100.0</v>
      </c>
      <c r="P223" s="21">
        <v>0.0</v>
      </c>
      <c r="Q223" s="22" t="str">
        <f>"-1"</f>
        <v>-1</v>
      </c>
      <c r="R223" s="18" t="str">
        <f>"+0"</f>
        <v>+0</v>
      </c>
      <c r="S223" s="14" t="s">
        <v>281</v>
      </c>
    </row>
    <row r="224">
      <c r="A224" s="13">
        <v>45901.0</v>
      </c>
      <c r="B224" s="14" t="s">
        <v>47</v>
      </c>
      <c r="C224" s="14" t="s">
        <v>48</v>
      </c>
      <c r="D224" s="14" t="s">
        <v>158</v>
      </c>
      <c r="E224" s="14" t="s">
        <v>159</v>
      </c>
      <c r="F224" s="15" t="s">
        <v>51</v>
      </c>
      <c r="G224" s="14" t="s">
        <v>160</v>
      </c>
      <c r="H224" s="14" t="s">
        <v>158</v>
      </c>
      <c r="I224" s="14" t="s">
        <v>54</v>
      </c>
      <c r="J224" s="14" t="s">
        <v>199</v>
      </c>
      <c r="K224" s="14" t="s">
        <v>206</v>
      </c>
      <c r="L224" s="14" t="s">
        <v>295</v>
      </c>
      <c r="M224" s="14" t="s">
        <v>651</v>
      </c>
      <c r="N224" s="14" t="s">
        <v>652</v>
      </c>
      <c r="O224" s="14">
        <v>0.0</v>
      </c>
      <c r="P224" s="21">
        <v>0.0</v>
      </c>
      <c r="Q224" s="22" t="str">
        <f t="shared" ref="Q224:R224" si="133">"+0"</f>
        <v>+0</v>
      </c>
      <c r="R224" s="18" t="str">
        <f t="shared" si="133"/>
        <v>+0</v>
      </c>
      <c r="S224" s="14" t="s">
        <v>260</v>
      </c>
    </row>
    <row r="225">
      <c r="A225" s="13">
        <v>45901.0</v>
      </c>
      <c r="B225" s="14" t="s">
        <v>47</v>
      </c>
      <c r="C225" s="14" t="s">
        <v>48</v>
      </c>
      <c r="D225" s="14" t="s">
        <v>77</v>
      </c>
      <c r="E225" s="14" t="s">
        <v>78</v>
      </c>
      <c r="F225" s="15" t="s">
        <v>51</v>
      </c>
      <c r="G225" s="14" t="s">
        <v>128</v>
      </c>
      <c r="H225" s="14" t="s">
        <v>81</v>
      </c>
      <c r="I225" s="14" t="s">
        <v>59</v>
      </c>
      <c r="J225" s="14" t="s">
        <v>200</v>
      </c>
      <c r="K225" s="14" t="s">
        <v>223</v>
      </c>
      <c r="L225" s="14" t="s">
        <v>307</v>
      </c>
      <c r="M225" s="14" t="s">
        <v>561</v>
      </c>
      <c r="N225" s="14" t="s">
        <v>562</v>
      </c>
      <c r="O225" s="14">
        <v>0.0</v>
      </c>
      <c r="P225" s="23">
        <v>0.0</v>
      </c>
      <c r="Q225" s="22" t="str">
        <f t="shared" ref="Q225:R225" si="134">"+0.00%"</f>
        <v>+0.00%</v>
      </c>
      <c r="R225" s="18" t="str">
        <f t="shared" si="134"/>
        <v>+0.00%</v>
      </c>
      <c r="S225" s="14" t="s">
        <v>285</v>
      </c>
    </row>
    <row r="226">
      <c r="A226" s="13">
        <v>45901.0</v>
      </c>
      <c r="B226" s="14" t="s">
        <v>47</v>
      </c>
      <c r="C226" s="14" t="s">
        <v>48</v>
      </c>
      <c r="D226" s="14" t="s">
        <v>108</v>
      </c>
      <c r="E226" s="14" t="s">
        <v>109</v>
      </c>
      <c r="F226" s="14" t="s">
        <v>79</v>
      </c>
      <c r="G226" s="14" t="s">
        <v>153</v>
      </c>
      <c r="H226" s="14" t="s">
        <v>108</v>
      </c>
      <c r="I226" s="14" t="s">
        <v>154</v>
      </c>
      <c r="J226" s="14" t="s">
        <v>200</v>
      </c>
      <c r="K226" s="14" t="s">
        <v>237</v>
      </c>
      <c r="L226" s="14" t="s">
        <v>253</v>
      </c>
      <c r="M226" s="14" t="s">
        <v>653</v>
      </c>
      <c r="N226" s="14" t="s">
        <v>654</v>
      </c>
      <c r="O226" s="14">
        <v>22.0</v>
      </c>
      <c r="P226" s="23">
        <v>0.225</v>
      </c>
      <c r="Q226" s="22" t="str">
        <f>"+10.83%"</f>
        <v>+10.83%</v>
      </c>
      <c r="S226" s="14" t="s">
        <v>655</v>
      </c>
    </row>
    <row r="227">
      <c r="A227" s="13">
        <v>45901.0</v>
      </c>
      <c r="B227" s="14" t="s">
        <v>47</v>
      </c>
      <c r="C227" s="14" t="s">
        <v>48</v>
      </c>
      <c r="D227" s="14" t="s">
        <v>168</v>
      </c>
      <c r="E227" s="14" t="s">
        <v>169</v>
      </c>
      <c r="F227" s="15" t="s">
        <v>51</v>
      </c>
      <c r="G227" s="14" t="s">
        <v>170</v>
      </c>
      <c r="H227" s="14" t="s">
        <v>168</v>
      </c>
      <c r="I227" s="14" t="s">
        <v>59</v>
      </c>
      <c r="J227" s="14" t="s">
        <v>198</v>
      </c>
      <c r="K227" s="14" t="s">
        <v>212</v>
      </c>
      <c r="L227" s="14" t="s">
        <v>344</v>
      </c>
      <c r="M227" s="14" t="s">
        <v>580</v>
      </c>
      <c r="N227" s="14" t="s">
        <v>581</v>
      </c>
      <c r="O227" s="14">
        <v>100.0</v>
      </c>
      <c r="P227" s="21">
        <v>1.0</v>
      </c>
      <c r="Q227" s="22" t="str">
        <f>"+1"</f>
        <v>+1</v>
      </c>
      <c r="S227" s="14" t="s">
        <v>281</v>
      </c>
    </row>
    <row r="228">
      <c r="A228" s="13">
        <v>45901.0</v>
      </c>
      <c r="B228" s="14" t="s">
        <v>47</v>
      </c>
      <c r="C228" s="14" t="s">
        <v>48</v>
      </c>
      <c r="D228" s="14" t="s">
        <v>155</v>
      </c>
      <c r="E228" s="14" t="s">
        <v>156</v>
      </c>
      <c r="F228" s="15" t="s">
        <v>51</v>
      </c>
      <c r="G228" s="14" t="s">
        <v>157</v>
      </c>
      <c r="H228" s="14" t="s">
        <v>155</v>
      </c>
      <c r="I228" s="14" t="s">
        <v>59</v>
      </c>
      <c r="J228" s="14" t="s">
        <v>200</v>
      </c>
      <c r="K228" s="14" t="s">
        <v>223</v>
      </c>
      <c r="L228" s="14" t="s">
        <v>286</v>
      </c>
      <c r="M228" s="14" t="s">
        <v>656</v>
      </c>
      <c r="N228" s="14" t="s">
        <v>657</v>
      </c>
      <c r="O228" s="14">
        <v>0.0</v>
      </c>
      <c r="P228" s="17"/>
      <c r="Q228" s="22"/>
      <c r="S228" s="14" t="s">
        <v>285</v>
      </c>
    </row>
    <row r="229">
      <c r="A229" s="13">
        <v>45901.0</v>
      </c>
      <c r="B229" s="14" t="s">
        <v>47</v>
      </c>
      <c r="C229" s="14" t="s">
        <v>48</v>
      </c>
      <c r="D229" s="14" t="s">
        <v>60</v>
      </c>
      <c r="E229" s="14" t="s">
        <v>61</v>
      </c>
      <c r="F229" s="15" t="s">
        <v>51</v>
      </c>
      <c r="G229" s="14" t="s">
        <v>62</v>
      </c>
      <c r="H229" s="14" t="s">
        <v>60</v>
      </c>
      <c r="I229" s="14" t="s">
        <v>59</v>
      </c>
      <c r="J229" s="14" t="s">
        <v>200</v>
      </c>
      <c r="K229" s="14" t="s">
        <v>216</v>
      </c>
      <c r="L229" s="14" t="s">
        <v>658</v>
      </c>
      <c r="M229" s="14" t="s">
        <v>659</v>
      </c>
      <c r="N229" s="14" t="s">
        <v>660</v>
      </c>
      <c r="O229" s="14">
        <v>64.0</v>
      </c>
      <c r="P229" s="23">
        <v>0.641</v>
      </c>
      <c r="Q229" s="22" t="str">
        <f>"+8.22%"</f>
        <v>+8.22%</v>
      </c>
      <c r="R229" s="18" t="str">
        <f>"+4.53%"</f>
        <v>+4.53%</v>
      </c>
      <c r="S229" s="14" t="s">
        <v>661</v>
      </c>
    </row>
    <row r="230">
      <c r="A230" s="13">
        <v>45901.0</v>
      </c>
      <c r="B230" s="14" t="s">
        <v>47</v>
      </c>
      <c r="C230" s="14" t="s">
        <v>48</v>
      </c>
      <c r="D230" s="14" t="s">
        <v>140</v>
      </c>
      <c r="E230" s="14" t="s">
        <v>141</v>
      </c>
      <c r="F230" s="15" t="s">
        <v>51</v>
      </c>
      <c r="G230" s="14" t="s">
        <v>142</v>
      </c>
      <c r="H230" s="14" t="s">
        <v>140</v>
      </c>
      <c r="I230" s="14" t="s">
        <v>59</v>
      </c>
      <c r="J230" s="14" t="s">
        <v>198</v>
      </c>
      <c r="K230" s="14" t="s">
        <v>210</v>
      </c>
      <c r="L230" s="14" t="s">
        <v>458</v>
      </c>
      <c r="M230" s="14" t="s">
        <v>459</v>
      </c>
      <c r="N230" s="14" t="s">
        <v>460</v>
      </c>
      <c r="O230" s="14">
        <v>100.0</v>
      </c>
      <c r="P230" s="21">
        <v>0.0</v>
      </c>
      <c r="Q230" s="22" t="str">
        <f t="shared" ref="Q230:R230" si="135">"+0"</f>
        <v>+0</v>
      </c>
      <c r="R230" s="18" t="str">
        <f t="shared" si="135"/>
        <v>+0</v>
      </c>
      <c r="S230" s="14" t="s">
        <v>281</v>
      </c>
    </row>
    <row r="231">
      <c r="A231" s="13">
        <v>45901.0</v>
      </c>
      <c r="B231" s="14" t="s">
        <v>47</v>
      </c>
      <c r="C231" s="14" t="s">
        <v>48</v>
      </c>
      <c r="D231" s="14" t="s">
        <v>155</v>
      </c>
      <c r="E231" s="14" t="s">
        <v>156</v>
      </c>
      <c r="F231" s="15" t="s">
        <v>51</v>
      </c>
      <c r="G231" s="14" t="s">
        <v>157</v>
      </c>
      <c r="H231" s="14" t="s">
        <v>155</v>
      </c>
      <c r="I231" s="14" t="s">
        <v>59</v>
      </c>
      <c r="J231" s="14" t="s">
        <v>200</v>
      </c>
      <c r="K231" s="14" t="s">
        <v>223</v>
      </c>
      <c r="L231" s="14" t="s">
        <v>304</v>
      </c>
      <c r="M231" s="14" t="s">
        <v>662</v>
      </c>
      <c r="N231" s="14" t="s">
        <v>663</v>
      </c>
      <c r="O231" s="14">
        <v>0.0</v>
      </c>
      <c r="P231" s="23">
        <v>-1.0</v>
      </c>
      <c r="Q231" s="22" t="str">
        <f t="shared" ref="Q231:R231" si="136">"+0.00%"</f>
        <v>+0.00%</v>
      </c>
      <c r="R231" s="18" t="str">
        <f t="shared" si="136"/>
        <v>+0.00%</v>
      </c>
      <c r="S231" s="14" t="s">
        <v>664</v>
      </c>
    </row>
    <row r="232">
      <c r="A232" s="13">
        <v>45901.0</v>
      </c>
      <c r="B232" s="14" t="s">
        <v>47</v>
      </c>
      <c r="C232" s="14" t="s">
        <v>48</v>
      </c>
      <c r="D232" s="14" t="s">
        <v>165</v>
      </c>
      <c r="E232" s="14" t="s">
        <v>166</v>
      </c>
      <c r="F232" s="15" t="s">
        <v>51</v>
      </c>
      <c r="G232" s="14" t="s">
        <v>167</v>
      </c>
      <c r="H232" s="14" t="s">
        <v>165</v>
      </c>
      <c r="I232" s="14" t="s">
        <v>54</v>
      </c>
      <c r="J232" s="14" t="s">
        <v>199</v>
      </c>
      <c r="K232" s="14" t="s">
        <v>206</v>
      </c>
      <c r="L232" s="14" t="s">
        <v>295</v>
      </c>
      <c r="M232" s="14" t="s">
        <v>461</v>
      </c>
      <c r="N232" s="14" t="s">
        <v>462</v>
      </c>
      <c r="O232" s="14">
        <v>0.0</v>
      </c>
      <c r="P232" s="21">
        <v>0.0</v>
      </c>
      <c r="Q232" s="22" t="str">
        <f t="shared" ref="Q232:R232" si="137">"+0"</f>
        <v>+0</v>
      </c>
      <c r="R232" s="18" t="str">
        <f t="shared" si="137"/>
        <v>+0</v>
      </c>
      <c r="S232" s="14" t="s">
        <v>260</v>
      </c>
    </row>
    <row r="233">
      <c r="A233" s="13">
        <v>45901.0</v>
      </c>
      <c r="B233" s="14" t="s">
        <v>47</v>
      </c>
      <c r="C233" s="14" t="s">
        <v>48</v>
      </c>
      <c r="D233" s="14" t="s">
        <v>49</v>
      </c>
      <c r="E233" s="14" t="s">
        <v>50</v>
      </c>
      <c r="F233" s="15" t="s">
        <v>51</v>
      </c>
      <c r="G233" s="14" t="s">
        <v>52</v>
      </c>
      <c r="H233" s="14" t="s">
        <v>53</v>
      </c>
      <c r="I233" s="14" t="s">
        <v>54</v>
      </c>
      <c r="J233" s="14" t="s">
        <v>200</v>
      </c>
      <c r="K233" s="14" t="s">
        <v>224</v>
      </c>
      <c r="L233" s="14" t="s">
        <v>453</v>
      </c>
      <c r="M233" s="14" t="s">
        <v>611</v>
      </c>
      <c r="N233" s="14" t="s">
        <v>612</v>
      </c>
      <c r="O233" s="14">
        <v>33.0</v>
      </c>
      <c r="P233" s="23">
        <v>0.3333</v>
      </c>
      <c r="Q233" s="22" t="str">
        <f>"+33.33%"</f>
        <v>+33.33%</v>
      </c>
      <c r="R233" s="18" t="str">
        <f>"-23.81%"</f>
        <v>-23.81%</v>
      </c>
      <c r="S233" s="14" t="s">
        <v>523</v>
      </c>
    </row>
    <row r="234">
      <c r="A234" s="13">
        <v>45901.0</v>
      </c>
      <c r="B234" s="14" t="s">
        <v>47</v>
      </c>
      <c r="C234" s="14" t="s">
        <v>48</v>
      </c>
      <c r="D234" s="14" t="s">
        <v>165</v>
      </c>
      <c r="E234" s="14" t="s">
        <v>166</v>
      </c>
      <c r="F234" s="15" t="s">
        <v>51</v>
      </c>
      <c r="G234" s="14" t="s">
        <v>167</v>
      </c>
      <c r="H234" s="14" t="s">
        <v>165</v>
      </c>
      <c r="I234" s="14" t="s">
        <v>54</v>
      </c>
      <c r="J234" s="14" t="s">
        <v>200</v>
      </c>
      <c r="K234" s="14" t="s">
        <v>224</v>
      </c>
      <c r="L234" s="14" t="s">
        <v>453</v>
      </c>
      <c r="M234" s="14" t="s">
        <v>665</v>
      </c>
      <c r="N234" s="14" t="s">
        <v>666</v>
      </c>
      <c r="O234" s="14">
        <v>100.0</v>
      </c>
      <c r="P234" s="23">
        <v>1.0</v>
      </c>
      <c r="Q234" s="22" t="str">
        <f t="shared" ref="Q234:R234" si="138">"+0.00%"</f>
        <v>+0.00%</v>
      </c>
      <c r="R234" s="18" t="str">
        <f t="shared" si="138"/>
        <v>+0.00%</v>
      </c>
      <c r="S234" s="14" t="s">
        <v>667</v>
      </c>
    </row>
    <row r="235">
      <c r="A235" s="13">
        <v>45901.0</v>
      </c>
      <c r="B235" s="14" t="s">
        <v>47</v>
      </c>
      <c r="C235" s="14" t="s">
        <v>48</v>
      </c>
      <c r="D235" s="14" t="s">
        <v>99</v>
      </c>
      <c r="E235" s="14" t="s">
        <v>100</v>
      </c>
      <c r="F235" s="15" t="s">
        <v>51</v>
      </c>
      <c r="G235" s="14" t="s">
        <v>101</v>
      </c>
      <c r="H235" s="14" t="s">
        <v>102</v>
      </c>
      <c r="I235" s="14" t="s">
        <v>54</v>
      </c>
      <c r="J235" s="14" t="s">
        <v>198</v>
      </c>
      <c r="K235" s="14" t="s">
        <v>210</v>
      </c>
      <c r="L235" s="14" t="s">
        <v>278</v>
      </c>
      <c r="M235" s="14" t="s">
        <v>668</v>
      </c>
      <c r="N235" s="14" t="s">
        <v>669</v>
      </c>
      <c r="O235" s="14">
        <v>0.0</v>
      </c>
      <c r="P235" s="21">
        <v>0.0</v>
      </c>
      <c r="Q235" s="22" t="str">
        <f t="shared" ref="Q235:R235" si="139">"+0"</f>
        <v>+0</v>
      </c>
      <c r="R235" s="18" t="str">
        <f t="shared" si="139"/>
        <v>+0</v>
      </c>
      <c r="S235" s="14" t="s">
        <v>277</v>
      </c>
    </row>
    <row r="236">
      <c r="A236" s="13">
        <v>45901.0</v>
      </c>
      <c r="B236" s="14" t="s">
        <v>47</v>
      </c>
      <c r="C236" s="14" t="s">
        <v>48</v>
      </c>
      <c r="D236" s="14" t="s">
        <v>63</v>
      </c>
      <c r="E236" s="14" t="s">
        <v>64</v>
      </c>
      <c r="F236" s="14" t="s">
        <v>111</v>
      </c>
      <c r="G236" s="14">
        <v>4916210.0</v>
      </c>
      <c r="H236" s="14" t="s">
        <v>63</v>
      </c>
      <c r="I236" s="14" t="s">
        <v>59</v>
      </c>
      <c r="J236" s="14" t="s">
        <v>199</v>
      </c>
      <c r="K236" s="14" t="s">
        <v>206</v>
      </c>
      <c r="L236" s="14" t="s">
        <v>531</v>
      </c>
      <c r="M236" s="14" t="s">
        <v>531</v>
      </c>
      <c r="N236" s="14" t="s">
        <v>532</v>
      </c>
      <c r="O236" s="14">
        <v>100.0</v>
      </c>
      <c r="P236" s="21">
        <v>11.0</v>
      </c>
      <c r="Q236" s="22" t="str">
        <f t="shared" ref="Q236:R236" si="140">"+0"</f>
        <v>+0</v>
      </c>
      <c r="R236" s="18" t="str">
        <f t="shared" si="140"/>
        <v>+0</v>
      </c>
      <c r="S236" s="14" t="s">
        <v>260</v>
      </c>
    </row>
    <row r="237">
      <c r="A237" s="13">
        <v>45901.0</v>
      </c>
      <c r="B237" s="14" t="s">
        <v>47</v>
      </c>
      <c r="C237" s="14" t="s">
        <v>48</v>
      </c>
      <c r="D237" s="14" t="s">
        <v>91</v>
      </c>
      <c r="E237" s="14" t="s">
        <v>92</v>
      </c>
      <c r="F237" s="14" t="s">
        <v>71</v>
      </c>
      <c r="G237" s="14">
        <v>1.00005882E8</v>
      </c>
      <c r="H237" s="14" t="s">
        <v>91</v>
      </c>
      <c r="I237" s="14" t="s">
        <v>59</v>
      </c>
      <c r="J237" s="14" t="s">
        <v>199</v>
      </c>
      <c r="K237" s="14" t="s">
        <v>208</v>
      </c>
      <c r="L237" s="14" t="s">
        <v>352</v>
      </c>
      <c r="M237" s="14" t="s">
        <v>352</v>
      </c>
      <c r="N237" s="14" t="s">
        <v>353</v>
      </c>
      <c r="O237" s="14">
        <v>100.0</v>
      </c>
      <c r="P237" s="21">
        <v>57.0</v>
      </c>
      <c r="Q237" s="22" t="str">
        <f t="shared" ref="Q237:R237" si="141">"+1"</f>
        <v>+1</v>
      </c>
      <c r="R237" s="18" t="str">
        <f t="shared" si="141"/>
        <v>+1</v>
      </c>
      <c r="S237" s="14" t="s">
        <v>260</v>
      </c>
    </row>
    <row r="238">
      <c r="A238" s="13">
        <v>45901.0</v>
      </c>
      <c r="B238" s="14" t="s">
        <v>47</v>
      </c>
      <c r="C238" s="14" t="s">
        <v>48</v>
      </c>
      <c r="D238" s="14" t="s">
        <v>91</v>
      </c>
      <c r="E238" s="14" t="s">
        <v>92</v>
      </c>
      <c r="F238" s="15" t="s">
        <v>51</v>
      </c>
      <c r="G238" s="14" t="s">
        <v>163</v>
      </c>
      <c r="H238" s="14" t="s">
        <v>91</v>
      </c>
      <c r="I238" s="14" t="s">
        <v>59</v>
      </c>
      <c r="J238" s="14" t="s">
        <v>200</v>
      </c>
      <c r="K238" s="14" t="s">
        <v>223</v>
      </c>
      <c r="L238" s="14" t="s">
        <v>487</v>
      </c>
      <c r="M238" s="14" t="s">
        <v>670</v>
      </c>
      <c r="N238" s="14" t="s">
        <v>671</v>
      </c>
      <c r="O238" s="14">
        <v>0.0</v>
      </c>
      <c r="P238" s="21">
        <v>0.0</v>
      </c>
      <c r="Q238" s="22" t="str">
        <f t="shared" ref="Q238:R238" si="142">"+0"</f>
        <v>+0</v>
      </c>
      <c r="R238" s="18" t="str">
        <f t="shared" si="142"/>
        <v>+0</v>
      </c>
      <c r="S238" s="14" t="s">
        <v>260</v>
      </c>
    </row>
    <row r="239">
      <c r="A239" s="13">
        <v>45901.0</v>
      </c>
      <c r="B239" s="14" t="s">
        <v>47</v>
      </c>
      <c r="C239" s="14" t="s">
        <v>48</v>
      </c>
      <c r="D239" s="14" t="s">
        <v>63</v>
      </c>
      <c r="E239" s="14" t="s">
        <v>64</v>
      </c>
      <c r="F239" s="15" t="s">
        <v>51</v>
      </c>
      <c r="G239" s="14" t="s">
        <v>65</v>
      </c>
      <c r="H239" s="14" t="s">
        <v>63</v>
      </c>
      <c r="I239" s="14" t="s">
        <v>54</v>
      </c>
      <c r="J239" s="14" t="s">
        <v>198</v>
      </c>
      <c r="K239" s="14" t="s">
        <v>210</v>
      </c>
      <c r="L239" s="14" t="s">
        <v>278</v>
      </c>
      <c r="M239" s="14" t="s">
        <v>668</v>
      </c>
      <c r="N239" s="14" t="s">
        <v>669</v>
      </c>
      <c r="O239" s="14">
        <v>0.0</v>
      </c>
      <c r="P239" s="21">
        <v>0.0</v>
      </c>
      <c r="Q239" s="22" t="str">
        <f t="shared" ref="Q239:R239" si="143">"+0"</f>
        <v>+0</v>
      </c>
      <c r="R239" s="18" t="str">
        <f t="shared" si="143"/>
        <v>+0</v>
      </c>
      <c r="S239" s="14" t="s">
        <v>277</v>
      </c>
    </row>
    <row r="240">
      <c r="A240" s="13">
        <v>45901.0</v>
      </c>
      <c r="B240" s="14" t="s">
        <v>47</v>
      </c>
      <c r="C240" s="14" t="s">
        <v>48</v>
      </c>
      <c r="D240" s="14" t="s">
        <v>91</v>
      </c>
      <c r="E240" s="14" t="s">
        <v>92</v>
      </c>
      <c r="F240" s="14" t="s">
        <v>146</v>
      </c>
      <c r="G240" s="14" t="s">
        <v>147</v>
      </c>
      <c r="H240" s="14" t="s">
        <v>91</v>
      </c>
      <c r="I240" s="14" t="s">
        <v>107</v>
      </c>
      <c r="J240" s="14" t="s">
        <v>200</v>
      </c>
      <c r="K240" s="14" t="s">
        <v>226</v>
      </c>
      <c r="L240" s="14" t="s">
        <v>672</v>
      </c>
      <c r="M240" s="14" t="s">
        <v>673</v>
      </c>
      <c r="N240" s="14" t="s">
        <v>674</v>
      </c>
      <c r="O240" s="14">
        <v>100.0</v>
      </c>
      <c r="P240" s="23">
        <v>1.0</v>
      </c>
      <c r="Q240" s="22" t="str">
        <f t="shared" ref="Q240:R240" si="144">"+0.00%"</f>
        <v>+0.00%</v>
      </c>
      <c r="R240" s="18" t="str">
        <f t="shared" si="144"/>
        <v>+0.00%</v>
      </c>
      <c r="S240" s="14" t="s">
        <v>675</v>
      </c>
    </row>
    <row r="241">
      <c r="A241" s="13">
        <v>45901.0</v>
      </c>
      <c r="B241" s="14" t="s">
        <v>47</v>
      </c>
      <c r="C241" s="14" t="s">
        <v>48</v>
      </c>
      <c r="D241" s="14" t="s">
        <v>93</v>
      </c>
      <c r="E241" s="14" t="s">
        <v>94</v>
      </c>
      <c r="F241" s="14" t="s">
        <v>71</v>
      </c>
      <c r="G241" s="14">
        <v>5.36001438E8</v>
      </c>
      <c r="H241" s="14" t="s">
        <v>95</v>
      </c>
      <c r="I241" s="14" t="s">
        <v>59</v>
      </c>
      <c r="J241" s="14" t="s">
        <v>199</v>
      </c>
      <c r="K241" s="14" t="s">
        <v>208</v>
      </c>
      <c r="L241" s="14" t="s">
        <v>412</v>
      </c>
      <c r="M241" s="14" t="s">
        <v>412</v>
      </c>
      <c r="N241" s="14" t="s">
        <v>413</v>
      </c>
      <c r="O241" s="14">
        <v>0.0</v>
      </c>
      <c r="P241" s="21">
        <v>0.0</v>
      </c>
      <c r="Q241" s="22" t="str">
        <f t="shared" ref="Q241:R241" si="145">"+0"</f>
        <v>+0</v>
      </c>
      <c r="R241" s="18" t="str">
        <f t="shared" si="145"/>
        <v>+0</v>
      </c>
      <c r="S241" s="14" t="s">
        <v>260</v>
      </c>
    </row>
    <row r="242">
      <c r="A242" s="13">
        <v>45901.0</v>
      </c>
      <c r="B242" s="14" t="s">
        <v>47</v>
      </c>
      <c r="C242" s="14" t="s">
        <v>48</v>
      </c>
      <c r="D242" s="14" t="s">
        <v>192</v>
      </c>
      <c r="E242" s="14" t="s">
        <v>193</v>
      </c>
      <c r="F242" s="15" t="s">
        <v>51</v>
      </c>
      <c r="G242" s="14" t="s">
        <v>194</v>
      </c>
      <c r="H242" s="14" t="s">
        <v>192</v>
      </c>
      <c r="I242" s="14" t="s">
        <v>54</v>
      </c>
      <c r="J242" s="14" t="s">
        <v>198</v>
      </c>
      <c r="K242" s="14" t="s">
        <v>212</v>
      </c>
      <c r="L242" s="14" t="s">
        <v>344</v>
      </c>
      <c r="M242" s="14" t="s">
        <v>345</v>
      </c>
      <c r="N242" s="14" t="s">
        <v>346</v>
      </c>
      <c r="O242" s="14">
        <v>0.0</v>
      </c>
      <c r="P242" s="21">
        <v>0.0</v>
      </c>
      <c r="Q242" s="22" t="str">
        <f t="shared" ref="Q242:R242" si="146">"+0"</f>
        <v>+0</v>
      </c>
      <c r="R242" s="18" t="str">
        <f t="shared" si="146"/>
        <v>+0</v>
      </c>
      <c r="S242" s="14" t="s">
        <v>277</v>
      </c>
    </row>
    <row r="243">
      <c r="A243" s="13">
        <v>45901.0</v>
      </c>
      <c r="B243" s="14" t="s">
        <v>47</v>
      </c>
      <c r="C243" s="14" t="s">
        <v>48</v>
      </c>
      <c r="D243" s="14" t="s">
        <v>73</v>
      </c>
      <c r="E243" s="14" t="s">
        <v>74</v>
      </c>
      <c r="F243" s="15" t="s">
        <v>51</v>
      </c>
      <c r="G243" s="14" t="s">
        <v>75</v>
      </c>
      <c r="H243" s="14" t="s">
        <v>76</v>
      </c>
      <c r="I243" s="14" t="s">
        <v>59</v>
      </c>
      <c r="J243" s="14" t="s">
        <v>198</v>
      </c>
      <c r="K243" s="14" t="s">
        <v>205</v>
      </c>
      <c r="L243" s="14" t="s">
        <v>274</v>
      </c>
      <c r="M243" s="14" t="s">
        <v>387</v>
      </c>
      <c r="N243" s="14" t="s">
        <v>388</v>
      </c>
      <c r="O243" s="14">
        <v>0.0</v>
      </c>
      <c r="P243" s="21">
        <v>0.0</v>
      </c>
      <c r="Q243" s="22" t="str">
        <f>"+0"</f>
        <v>+0</v>
      </c>
      <c r="S243" s="14" t="s">
        <v>281</v>
      </c>
    </row>
    <row r="244">
      <c r="A244" s="13">
        <v>45901.0</v>
      </c>
      <c r="B244" s="14" t="s">
        <v>47</v>
      </c>
      <c r="C244" s="14" t="s">
        <v>48</v>
      </c>
      <c r="D244" s="14" t="s">
        <v>87</v>
      </c>
      <c r="E244" s="14" t="s">
        <v>88</v>
      </c>
      <c r="F244" s="15" t="s">
        <v>51</v>
      </c>
      <c r="G244" s="14" t="s">
        <v>89</v>
      </c>
      <c r="H244" s="14" t="s">
        <v>90</v>
      </c>
      <c r="I244" s="14" t="s">
        <v>59</v>
      </c>
      <c r="J244" s="14" t="s">
        <v>200</v>
      </c>
      <c r="K244" s="14" t="s">
        <v>223</v>
      </c>
      <c r="L244" s="14" t="s">
        <v>676</v>
      </c>
      <c r="M244" s="14" t="s">
        <v>677</v>
      </c>
      <c r="N244" s="14" t="s">
        <v>678</v>
      </c>
      <c r="O244" s="14">
        <v>0.0</v>
      </c>
      <c r="P244" s="23">
        <v>0.0</v>
      </c>
      <c r="Q244" s="22" t="str">
        <f t="shared" ref="Q244:R244" si="147">"+0.00%"</f>
        <v>+0.00%</v>
      </c>
      <c r="R244" s="18" t="str">
        <f t="shared" si="147"/>
        <v>+0.00%</v>
      </c>
      <c r="S244" s="14" t="s">
        <v>285</v>
      </c>
    </row>
    <row r="245">
      <c r="A245" s="13">
        <v>45901.0</v>
      </c>
      <c r="B245" s="14" t="s">
        <v>47</v>
      </c>
      <c r="C245" s="14" t="s">
        <v>48</v>
      </c>
      <c r="D245" s="14" t="s">
        <v>149</v>
      </c>
      <c r="E245" s="14" t="s">
        <v>150</v>
      </c>
      <c r="F245" s="15" t="s">
        <v>51</v>
      </c>
      <c r="G245" s="14" t="s">
        <v>151</v>
      </c>
      <c r="H245" s="14" t="s">
        <v>152</v>
      </c>
      <c r="I245" s="14" t="s">
        <v>54</v>
      </c>
      <c r="J245" s="14" t="s">
        <v>199</v>
      </c>
      <c r="K245" s="14" t="s">
        <v>203</v>
      </c>
      <c r="L245" s="14" t="s">
        <v>679</v>
      </c>
      <c r="M245" s="14" t="s">
        <v>679</v>
      </c>
      <c r="N245" s="14" t="s">
        <v>680</v>
      </c>
      <c r="O245" s="14">
        <v>0.0</v>
      </c>
      <c r="P245" s="21">
        <v>0.0</v>
      </c>
      <c r="Q245" s="22" t="str">
        <f t="shared" ref="Q245:R245" si="148">"+0"</f>
        <v>+0</v>
      </c>
      <c r="R245" s="18" t="str">
        <f t="shared" si="148"/>
        <v>+0</v>
      </c>
      <c r="S245" s="14" t="s">
        <v>260</v>
      </c>
    </row>
    <row r="246">
      <c r="A246" s="13">
        <v>45901.0</v>
      </c>
      <c r="B246" s="14" t="s">
        <v>47</v>
      </c>
      <c r="C246" s="14" t="s">
        <v>48</v>
      </c>
      <c r="D246" s="14" t="s">
        <v>96</v>
      </c>
      <c r="E246" s="14" t="s">
        <v>97</v>
      </c>
      <c r="F246" s="15" t="s">
        <v>51</v>
      </c>
      <c r="G246" s="14" t="s">
        <v>98</v>
      </c>
      <c r="H246" s="14" t="s">
        <v>96</v>
      </c>
      <c r="I246" s="14" t="s">
        <v>59</v>
      </c>
      <c r="J246" s="14" t="s">
        <v>200</v>
      </c>
      <c r="K246" s="14" t="s">
        <v>223</v>
      </c>
      <c r="L246" s="14" t="s">
        <v>375</v>
      </c>
      <c r="M246" s="14" t="s">
        <v>376</v>
      </c>
      <c r="N246" s="14" t="s">
        <v>377</v>
      </c>
      <c r="O246" s="14">
        <v>0.0</v>
      </c>
      <c r="P246" s="23">
        <v>0.0</v>
      </c>
      <c r="Q246" s="22" t="str">
        <f t="shared" ref="Q246:R246" si="149">"+0.00%"</f>
        <v>+0.00%</v>
      </c>
      <c r="R246" s="18" t="str">
        <f t="shared" si="149"/>
        <v>+0.00%</v>
      </c>
      <c r="S246" s="14" t="s">
        <v>681</v>
      </c>
    </row>
    <row r="247">
      <c r="A247" s="13">
        <v>45901.0</v>
      </c>
      <c r="B247" s="14" t="s">
        <v>47</v>
      </c>
      <c r="C247" s="14" t="s">
        <v>48</v>
      </c>
      <c r="D247" s="14" t="s">
        <v>69</v>
      </c>
      <c r="E247" s="14" t="s">
        <v>70</v>
      </c>
      <c r="F247" s="15" t="s">
        <v>51</v>
      </c>
      <c r="G247" s="14" t="s">
        <v>115</v>
      </c>
      <c r="H247" s="14" t="s">
        <v>72</v>
      </c>
      <c r="I247" s="14" t="s">
        <v>54</v>
      </c>
      <c r="J247" s="14" t="s">
        <v>200</v>
      </c>
      <c r="K247" s="14" t="s">
        <v>213</v>
      </c>
      <c r="L247" s="14" t="s">
        <v>257</v>
      </c>
      <c r="M247" s="14" t="s">
        <v>493</v>
      </c>
      <c r="N247" s="14" t="s">
        <v>494</v>
      </c>
      <c r="O247" s="14">
        <v>40.0</v>
      </c>
      <c r="P247" s="23">
        <v>-0.1844</v>
      </c>
      <c r="Q247" s="22" t="str">
        <f>"+10.39%"</f>
        <v>+10.39%</v>
      </c>
      <c r="R247" s="18" t="str">
        <f>"+0.31%"</f>
        <v>+0.31%</v>
      </c>
      <c r="S247" s="14" t="s">
        <v>682</v>
      </c>
    </row>
    <row r="248">
      <c r="A248" s="13">
        <v>45901.0</v>
      </c>
      <c r="B248" s="14" t="s">
        <v>47</v>
      </c>
      <c r="C248" s="14" t="s">
        <v>48</v>
      </c>
      <c r="D248" s="14" t="s">
        <v>69</v>
      </c>
      <c r="E248" s="14" t="s">
        <v>70</v>
      </c>
      <c r="F248" s="15" t="s">
        <v>51</v>
      </c>
      <c r="G248" s="14" t="s">
        <v>115</v>
      </c>
      <c r="H248" s="14" t="s">
        <v>72</v>
      </c>
      <c r="I248" s="14" t="s">
        <v>54</v>
      </c>
      <c r="J248" s="14" t="s">
        <v>200</v>
      </c>
      <c r="K248" s="14" t="s">
        <v>214</v>
      </c>
      <c r="L248" s="14" t="s">
        <v>253</v>
      </c>
      <c r="M248" s="14" t="s">
        <v>389</v>
      </c>
      <c r="N248" s="14" t="s">
        <v>390</v>
      </c>
      <c r="O248" s="14">
        <v>63.0</v>
      </c>
      <c r="P248" s="23">
        <v>0.6354</v>
      </c>
      <c r="Q248" s="22" t="str">
        <f>"+2.06%"</f>
        <v>+2.06%</v>
      </c>
      <c r="R248" s="18" t="str">
        <f>"-10.15%"</f>
        <v>-10.15%</v>
      </c>
      <c r="S248" s="14" t="s">
        <v>683</v>
      </c>
    </row>
    <row r="249">
      <c r="A249" s="13">
        <v>45901.0</v>
      </c>
      <c r="B249" s="14" t="s">
        <v>47</v>
      </c>
      <c r="C249" s="14" t="s">
        <v>48</v>
      </c>
      <c r="D249" s="14" t="s">
        <v>108</v>
      </c>
      <c r="E249" s="14" t="s">
        <v>109</v>
      </c>
      <c r="F249" s="15" t="s">
        <v>51</v>
      </c>
      <c r="G249" s="14" t="s">
        <v>110</v>
      </c>
      <c r="H249" s="14" t="s">
        <v>108</v>
      </c>
      <c r="I249" s="14" t="s">
        <v>59</v>
      </c>
      <c r="J249" s="14" t="s">
        <v>200</v>
      </c>
      <c r="K249" s="14" t="s">
        <v>213</v>
      </c>
      <c r="L249" s="14" t="s">
        <v>289</v>
      </c>
      <c r="M249" s="14" t="s">
        <v>684</v>
      </c>
      <c r="N249" s="14" t="s">
        <v>685</v>
      </c>
      <c r="O249" s="14">
        <v>0.0</v>
      </c>
      <c r="P249" s="23">
        <v>0.0</v>
      </c>
      <c r="Q249" s="22" t="str">
        <f>"+0.00%"</f>
        <v>+0.00%</v>
      </c>
      <c r="S249" s="14" t="s">
        <v>285</v>
      </c>
    </row>
    <row r="250">
      <c r="A250" s="13">
        <v>45901.0</v>
      </c>
      <c r="B250" s="14" t="s">
        <v>47</v>
      </c>
      <c r="C250" s="14" t="s">
        <v>48</v>
      </c>
      <c r="D250" s="14" t="s">
        <v>116</v>
      </c>
      <c r="E250" s="14" t="s">
        <v>117</v>
      </c>
      <c r="F250" s="15" t="s">
        <v>51</v>
      </c>
      <c r="G250" s="14" t="s">
        <v>161</v>
      </c>
      <c r="H250" s="14" t="s">
        <v>116</v>
      </c>
      <c r="I250" s="14" t="s">
        <v>54</v>
      </c>
      <c r="J250" s="14" t="s">
        <v>198</v>
      </c>
      <c r="K250" s="14" t="s">
        <v>210</v>
      </c>
      <c r="L250" s="14" t="s">
        <v>458</v>
      </c>
      <c r="M250" s="14" t="s">
        <v>459</v>
      </c>
      <c r="N250" s="14" t="s">
        <v>460</v>
      </c>
      <c r="O250" s="14">
        <v>100.0</v>
      </c>
      <c r="P250" s="21">
        <v>0.0</v>
      </c>
      <c r="Q250" s="22" t="str">
        <f t="shared" ref="Q250:R250" si="150">"+0"</f>
        <v>+0</v>
      </c>
      <c r="R250" s="18" t="str">
        <f t="shared" si="150"/>
        <v>+0</v>
      </c>
      <c r="S250" s="14" t="s">
        <v>281</v>
      </c>
    </row>
    <row r="251">
      <c r="A251" s="13">
        <v>45901.0</v>
      </c>
      <c r="B251" s="14" t="s">
        <v>47</v>
      </c>
      <c r="C251" s="14" t="s">
        <v>48</v>
      </c>
      <c r="D251" s="14" t="s">
        <v>116</v>
      </c>
      <c r="E251" s="14" t="s">
        <v>117</v>
      </c>
      <c r="F251" s="15" t="s">
        <v>51</v>
      </c>
      <c r="G251" s="14" t="s">
        <v>161</v>
      </c>
      <c r="H251" s="14" t="s">
        <v>116</v>
      </c>
      <c r="I251" s="14" t="s">
        <v>54</v>
      </c>
      <c r="J251" s="14" t="s">
        <v>198</v>
      </c>
      <c r="K251" s="14" t="s">
        <v>212</v>
      </c>
      <c r="L251" s="14" t="s">
        <v>249</v>
      </c>
      <c r="M251" s="14" t="s">
        <v>686</v>
      </c>
      <c r="N251" s="14" t="s">
        <v>687</v>
      </c>
      <c r="O251" s="14">
        <v>0.0</v>
      </c>
      <c r="P251" s="21">
        <v>0.0</v>
      </c>
      <c r="Q251" s="22" t="str">
        <f t="shared" ref="Q251:R251" si="151">"+0"</f>
        <v>+0</v>
      </c>
      <c r="R251" s="18" t="str">
        <f t="shared" si="151"/>
        <v>+0</v>
      </c>
      <c r="S251" s="14" t="s">
        <v>277</v>
      </c>
    </row>
    <row r="252">
      <c r="A252" s="13">
        <v>45901.0</v>
      </c>
      <c r="B252" s="14" t="s">
        <v>47</v>
      </c>
      <c r="C252" s="14" t="s">
        <v>48</v>
      </c>
      <c r="D252" s="14" t="s">
        <v>121</v>
      </c>
      <c r="E252" s="14" t="s">
        <v>122</v>
      </c>
      <c r="F252" s="15" t="s">
        <v>51</v>
      </c>
      <c r="G252" s="14" t="s">
        <v>123</v>
      </c>
      <c r="H252" s="14" t="s">
        <v>124</v>
      </c>
      <c r="I252" s="14" t="s">
        <v>59</v>
      </c>
      <c r="J252" s="14" t="s">
        <v>200</v>
      </c>
      <c r="K252" s="14" t="s">
        <v>232</v>
      </c>
      <c r="L252" s="14" t="s">
        <v>304</v>
      </c>
      <c r="M252" s="14" t="s">
        <v>688</v>
      </c>
      <c r="N252" s="14" t="s">
        <v>689</v>
      </c>
      <c r="O252" s="14">
        <v>53.0</v>
      </c>
      <c r="P252" s="23">
        <v>0.5385</v>
      </c>
      <c r="Q252" s="22" t="str">
        <f>"+20.51%"</f>
        <v>+20.51%</v>
      </c>
      <c r="R252" s="18" t="str">
        <f>"+8.39%"</f>
        <v>+8.39%</v>
      </c>
      <c r="S252" s="14" t="s">
        <v>690</v>
      </c>
    </row>
    <row r="253">
      <c r="A253" s="13">
        <v>45901.0</v>
      </c>
      <c r="B253" s="14" t="s">
        <v>47</v>
      </c>
      <c r="C253" s="14" t="s">
        <v>48</v>
      </c>
      <c r="D253" s="14" t="s">
        <v>181</v>
      </c>
      <c r="E253" s="14" t="s">
        <v>182</v>
      </c>
      <c r="F253" s="15" t="s">
        <v>51</v>
      </c>
      <c r="G253" s="14" t="s">
        <v>183</v>
      </c>
      <c r="H253" s="14" t="s">
        <v>181</v>
      </c>
      <c r="I253" s="14" t="s">
        <v>59</v>
      </c>
      <c r="J253" s="14" t="s">
        <v>200</v>
      </c>
      <c r="K253" s="14" t="s">
        <v>232</v>
      </c>
      <c r="L253" s="14" t="s">
        <v>253</v>
      </c>
      <c r="M253" s="14" t="s">
        <v>389</v>
      </c>
      <c r="N253" s="14" t="s">
        <v>390</v>
      </c>
      <c r="O253" s="14">
        <v>5.0</v>
      </c>
      <c r="P253" s="23">
        <v>0.0556</v>
      </c>
      <c r="Q253" s="22" t="str">
        <f>"-1.39%"</f>
        <v>-1.39%</v>
      </c>
      <c r="R253" s="18" t="str">
        <f>"-9.72%"</f>
        <v>-9.72%</v>
      </c>
      <c r="S253" s="14" t="s">
        <v>691</v>
      </c>
    </row>
    <row r="254">
      <c r="A254" s="13">
        <v>45901.0</v>
      </c>
      <c r="B254" s="14" t="s">
        <v>47</v>
      </c>
      <c r="C254" s="14" t="s">
        <v>48</v>
      </c>
      <c r="D254" s="14" t="s">
        <v>155</v>
      </c>
      <c r="E254" s="14" t="s">
        <v>156</v>
      </c>
      <c r="F254" s="15" t="s">
        <v>51</v>
      </c>
      <c r="G254" s="14" t="s">
        <v>157</v>
      </c>
      <c r="H254" s="14" t="s">
        <v>155</v>
      </c>
      <c r="I254" s="14" t="s">
        <v>59</v>
      </c>
      <c r="J254" s="14" t="s">
        <v>200</v>
      </c>
      <c r="K254" s="14" t="s">
        <v>223</v>
      </c>
      <c r="L254" s="14" t="s">
        <v>607</v>
      </c>
      <c r="M254" s="14" t="s">
        <v>692</v>
      </c>
      <c r="N254" s="14" t="s">
        <v>693</v>
      </c>
      <c r="O254" s="14">
        <v>0.0</v>
      </c>
      <c r="P254" s="17"/>
      <c r="Q254" s="22"/>
      <c r="S254" s="14" t="s">
        <v>285</v>
      </c>
    </row>
    <row r="255">
      <c r="A255" s="13">
        <v>45901.0</v>
      </c>
      <c r="B255" s="14" t="s">
        <v>47</v>
      </c>
      <c r="C255" s="14" t="s">
        <v>48</v>
      </c>
      <c r="D255" s="14" t="s">
        <v>49</v>
      </c>
      <c r="E255" s="14" t="s">
        <v>50</v>
      </c>
      <c r="F255" s="15" t="s">
        <v>51</v>
      </c>
      <c r="G255" s="14" t="s">
        <v>52</v>
      </c>
      <c r="H255" s="14" t="s">
        <v>53</v>
      </c>
      <c r="I255" s="14" t="s">
        <v>54</v>
      </c>
      <c r="J255" s="14" t="s">
        <v>198</v>
      </c>
      <c r="K255" s="14" t="s">
        <v>210</v>
      </c>
      <c r="L255" s="14" t="s">
        <v>264</v>
      </c>
      <c r="M255" s="14" t="s">
        <v>694</v>
      </c>
      <c r="N255" s="14" t="s">
        <v>695</v>
      </c>
      <c r="O255" s="14">
        <v>0.0</v>
      </c>
      <c r="P255" s="21">
        <v>0.0</v>
      </c>
      <c r="Q255" s="22" t="str">
        <f t="shared" ref="Q255:R255" si="152">"+0"</f>
        <v>+0</v>
      </c>
      <c r="R255" s="18" t="str">
        <f t="shared" si="152"/>
        <v>+0</v>
      </c>
      <c r="S255" s="14" t="s">
        <v>277</v>
      </c>
    </row>
    <row r="256">
      <c r="A256" s="13">
        <v>45901.0</v>
      </c>
      <c r="B256" s="14" t="s">
        <v>47</v>
      </c>
      <c r="C256" s="14" t="s">
        <v>48</v>
      </c>
      <c r="D256" s="14" t="s">
        <v>118</v>
      </c>
      <c r="E256" s="14" t="s">
        <v>119</v>
      </c>
      <c r="F256" s="15" t="s">
        <v>51</v>
      </c>
      <c r="G256" s="14" t="s">
        <v>120</v>
      </c>
      <c r="H256" s="14" t="s">
        <v>118</v>
      </c>
      <c r="I256" s="14" t="s">
        <v>59</v>
      </c>
      <c r="J256" s="14" t="s">
        <v>198</v>
      </c>
      <c r="K256" s="14" t="s">
        <v>205</v>
      </c>
      <c r="L256" s="14" t="s">
        <v>274</v>
      </c>
      <c r="M256" s="14" t="s">
        <v>696</v>
      </c>
      <c r="N256" s="14" t="s">
        <v>697</v>
      </c>
      <c r="O256" s="14">
        <v>100.0</v>
      </c>
      <c r="P256" s="21">
        <v>1.0</v>
      </c>
      <c r="Q256" s="22" t="str">
        <f>"+0"</f>
        <v>+0</v>
      </c>
      <c r="S256" s="14" t="s">
        <v>281</v>
      </c>
    </row>
    <row r="257">
      <c r="A257" s="13">
        <v>45901.0</v>
      </c>
      <c r="B257" s="14" t="s">
        <v>47</v>
      </c>
      <c r="C257" s="14" t="s">
        <v>48</v>
      </c>
      <c r="D257" s="14" t="s">
        <v>91</v>
      </c>
      <c r="E257" s="14" t="s">
        <v>92</v>
      </c>
      <c r="F257" s="14" t="s">
        <v>146</v>
      </c>
      <c r="G257" s="14" t="s">
        <v>147</v>
      </c>
      <c r="H257" s="14" t="s">
        <v>91</v>
      </c>
      <c r="I257" s="14" t="s">
        <v>107</v>
      </c>
      <c r="J257" s="14" t="s">
        <v>200</v>
      </c>
      <c r="K257" s="14" t="s">
        <v>226</v>
      </c>
      <c r="L257" s="14" t="s">
        <v>698</v>
      </c>
      <c r="M257" s="14" t="s">
        <v>699</v>
      </c>
      <c r="N257" s="14" t="s">
        <v>700</v>
      </c>
      <c r="O257" s="14">
        <v>100.0</v>
      </c>
      <c r="P257" s="23">
        <v>1.0</v>
      </c>
      <c r="Q257" s="22" t="str">
        <f>"+55.56%"</f>
        <v>+55.56%</v>
      </c>
      <c r="R257" s="18" t="str">
        <f>"+14.29%"</f>
        <v>+14.29%</v>
      </c>
      <c r="S257" s="14" t="s">
        <v>701</v>
      </c>
    </row>
    <row r="258">
      <c r="A258" s="13">
        <v>45901.0</v>
      </c>
      <c r="B258" s="14" t="s">
        <v>47</v>
      </c>
      <c r="C258" s="14" t="s">
        <v>48</v>
      </c>
      <c r="D258" s="14" t="s">
        <v>63</v>
      </c>
      <c r="E258" s="14" t="s">
        <v>64</v>
      </c>
      <c r="F258" s="14" t="s">
        <v>111</v>
      </c>
      <c r="G258" s="14">
        <v>4916210.0</v>
      </c>
      <c r="H258" s="14" t="s">
        <v>63</v>
      </c>
      <c r="I258" s="14" t="s">
        <v>59</v>
      </c>
      <c r="J258" s="14" t="s">
        <v>199</v>
      </c>
      <c r="K258" s="14" t="s">
        <v>206</v>
      </c>
      <c r="L258" s="14" t="s">
        <v>569</v>
      </c>
      <c r="M258" s="14" t="s">
        <v>569</v>
      </c>
      <c r="N258" s="14" t="s">
        <v>570</v>
      </c>
      <c r="O258" s="14">
        <v>100.0</v>
      </c>
      <c r="P258" s="21">
        <v>12.0</v>
      </c>
      <c r="Q258" s="22" t="str">
        <f>"+5"</f>
        <v>+5</v>
      </c>
      <c r="R258" s="18" t="str">
        <f>"+2"</f>
        <v>+2</v>
      </c>
      <c r="S258" s="14" t="s">
        <v>383</v>
      </c>
    </row>
    <row r="259">
      <c r="A259" s="13">
        <v>45901.0</v>
      </c>
      <c r="B259" s="14" t="s">
        <v>47</v>
      </c>
      <c r="C259" s="14" t="s">
        <v>48</v>
      </c>
      <c r="D259" s="14" t="s">
        <v>192</v>
      </c>
      <c r="E259" s="14" t="s">
        <v>193</v>
      </c>
      <c r="F259" s="15" t="s">
        <v>51</v>
      </c>
      <c r="G259" s="14" t="s">
        <v>194</v>
      </c>
      <c r="H259" s="14" t="s">
        <v>192</v>
      </c>
      <c r="I259" s="14" t="s">
        <v>54</v>
      </c>
      <c r="J259" s="14" t="s">
        <v>200</v>
      </c>
      <c r="K259" s="14" t="s">
        <v>223</v>
      </c>
      <c r="L259" s="14" t="s">
        <v>304</v>
      </c>
      <c r="M259" s="14" t="s">
        <v>702</v>
      </c>
      <c r="N259" s="14" t="s">
        <v>703</v>
      </c>
      <c r="O259" s="14">
        <v>100.0</v>
      </c>
      <c r="P259" s="23">
        <v>0.0782</v>
      </c>
      <c r="Q259" s="22" t="str">
        <f>"+0.57%"</f>
        <v>+0.57%</v>
      </c>
      <c r="R259" s="18" t="str">
        <f>"-0.81%"</f>
        <v>-0.81%</v>
      </c>
      <c r="S259" s="14" t="s">
        <v>285</v>
      </c>
    </row>
    <row r="260">
      <c r="A260" s="13">
        <v>45901.0</v>
      </c>
      <c r="B260" s="14" t="s">
        <v>47</v>
      </c>
      <c r="C260" s="14" t="s">
        <v>48</v>
      </c>
      <c r="D260" s="14" t="s">
        <v>93</v>
      </c>
      <c r="E260" s="14" t="s">
        <v>94</v>
      </c>
      <c r="F260" s="15" t="s">
        <v>51</v>
      </c>
      <c r="G260" s="14" t="s">
        <v>191</v>
      </c>
      <c r="H260" s="14" t="s">
        <v>95</v>
      </c>
      <c r="I260" s="14" t="s">
        <v>59</v>
      </c>
      <c r="J260" s="14" t="s">
        <v>200</v>
      </c>
      <c r="K260" s="14" t="s">
        <v>209</v>
      </c>
      <c r="L260" s="14" t="s">
        <v>253</v>
      </c>
      <c r="M260" s="14" t="s">
        <v>402</v>
      </c>
      <c r="N260" s="14" t="s">
        <v>403</v>
      </c>
      <c r="O260" s="14">
        <v>0.0</v>
      </c>
      <c r="P260" s="23">
        <v>0.0</v>
      </c>
      <c r="Q260" s="22" t="str">
        <f t="shared" ref="Q260:R260" si="153">"+0.00%"</f>
        <v>+0.00%</v>
      </c>
      <c r="R260" s="18" t="str">
        <f t="shared" si="153"/>
        <v>+0.00%</v>
      </c>
      <c r="S260" s="14" t="s">
        <v>704</v>
      </c>
    </row>
    <row r="261">
      <c r="A261" s="13">
        <v>45901.0</v>
      </c>
      <c r="B261" s="14" t="s">
        <v>47</v>
      </c>
      <c r="C261" s="14" t="s">
        <v>48</v>
      </c>
      <c r="D261" s="14" t="s">
        <v>192</v>
      </c>
      <c r="E261" s="14" t="s">
        <v>193</v>
      </c>
      <c r="F261" s="15" t="s">
        <v>51</v>
      </c>
      <c r="G261" s="14" t="s">
        <v>194</v>
      </c>
      <c r="H261" s="14" t="s">
        <v>192</v>
      </c>
      <c r="I261" s="14" t="s">
        <v>54</v>
      </c>
      <c r="J261" s="14" t="s">
        <v>200</v>
      </c>
      <c r="K261" s="14" t="s">
        <v>223</v>
      </c>
      <c r="L261" s="14" t="s">
        <v>307</v>
      </c>
      <c r="M261" s="14" t="s">
        <v>308</v>
      </c>
      <c r="N261" s="14" t="s">
        <v>309</v>
      </c>
      <c r="O261" s="14">
        <v>0.0</v>
      </c>
      <c r="P261" s="23">
        <v>0.0</v>
      </c>
      <c r="Q261" s="22" t="str">
        <f t="shared" ref="Q261:R261" si="154">"+0.00%"</f>
        <v>+0.00%</v>
      </c>
      <c r="R261" s="18" t="str">
        <f t="shared" si="154"/>
        <v>+0.00%</v>
      </c>
      <c r="S261" s="14" t="s">
        <v>285</v>
      </c>
    </row>
    <row r="262">
      <c r="A262" s="13">
        <v>45901.0</v>
      </c>
      <c r="B262" s="14" t="s">
        <v>47</v>
      </c>
      <c r="C262" s="14" t="s">
        <v>48</v>
      </c>
      <c r="D262" s="14" t="s">
        <v>82</v>
      </c>
      <c r="E262" s="14" t="s">
        <v>83</v>
      </c>
      <c r="F262" s="15" t="s">
        <v>51</v>
      </c>
      <c r="G262" s="14" t="s">
        <v>84</v>
      </c>
      <c r="H262" s="14" t="s">
        <v>82</v>
      </c>
      <c r="I262" s="14" t="s">
        <v>59</v>
      </c>
      <c r="J262" s="14" t="s">
        <v>200</v>
      </c>
      <c r="K262" s="14" t="s">
        <v>213</v>
      </c>
      <c r="L262" s="14" t="s">
        <v>440</v>
      </c>
      <c r="M262" s="14" t="s">
        <v>441</v>
      </c>
      <c r="N262" s="14" t="s">
        <v>442</v>
      </c>
      <c r="O262" s="14">
        <v>0.0</v>
      </c>
      <c r="P262" s="23">
        <v>0.0</v>
      </c>
      <c r="Q262" s="22" t="str">
        <f t="shared" ref="Q262:R262" si="155">"+0.00%"</f>
        <v>+0.00%</v>
      </c>
      <c r="R262" s="18" t="str">
        <f t="shared" si="155"/>
        <v>+0.00%</v>
      </c>
      <c r="S262" s="14" t="s">
        <v>285</v>
      </c>
    </row>
    <row r="263">
      <c r="A263" s="13">
        <v>45901.0</v>
      </c>
      <c r="B263" s="14" t="s">
        <v>47</v>
      </c>
      <c r="C263" s="14" t="s">
        <v>48</v>
      </c>
      <c r="D263" s="14" t="s">
        <v>103</v>
      </c>
      <c r="E263" s="14" t="s">
        <v>104</v>
      </c>
      <c r="F263" s="15" t="s">
        <v>51</v>
      </c>
      <c r="G263" s="14" t="s">
        <v>105</v>
      </c>
      <c r="H263" s="14" t="s">
        <v>106</v>
      </c>
      <c r="I263" s="14" t="s">
        <v>59</v>
      </c>
      <c r="J263" s="14" t="s">
        <v>200</v>
      </c>
      <c r="K263" s="14" t="s">
        <v>232</v>
      </c>
      <c r="L263" s="14" t="s">
        <v>705</v>
      </c>
      <c r="M263" s="14" t="s">
        <v>706</v>
      </c>
      <c r="N263" s="14" t="s">
        <v>707</v>
      </c>
      <c r="O263" s="14">
        <v>0.0</v>
      </c>
      <c r="P263" s="21">
        <v>0.0</v>
      </c>
      <c r="Q263" s="22" t="str">
        <f t="shared" ref="Q263:R263" si="156">"+0"</f>
        <v>+0</v>
      </c>
      <c r="R263" s="18" t="str">
        <f t="shared" si="156"/>
        <v>+0</v>
      </c>
      <c r="S263" s="14" t="s">
        <v>260</v>
      </c>
    </row>
    <row r="264">
      <c r="A264" s="13">
        <v>45901.0</v>
      </c>
      <c r="B264" s="14" t="s">
        <v>47</v>
      </c>
      <c r="C264" s="14" t="s">
        <v>48</v>
      </c>
      <c r="D264" s="14" t="s">
        <v>103</v>
      </c>
      <c r="E264" s="14" t="s">
        <v>104</v>
      </c>
      <c r="F264" s="15" t="s">
        <v>51</v>
      </c>
      <c r="G264" s="14" t="s">
        <v>105</v>
      </c>
      <c r="H264" s="14" t="s">
        <v>106</v>
      </c>
      <c r="I264" s="14" t="s">
        <v>59</v>
      </c>
      <c r="J264" s="14" t="s">
        <v>200</v>
      </c>
      <c r="K264" s="14" t="s">
        <v>232</v>
      </c>
      <c r="L264" s="14" t="s">
        <v>363</v>
      </c>
      <c r="M264" s="14" t="s">
        <v>708</v>
      </c>
      <c r="N264" s="14" t="s">
        <v>709</v>
      </c>
      <c r="O264" s="14">
        <v>0.0</v>
      </c>
      <c r="P264" s="23">
        <v>0.0</v>
      </c>
      <c r="Q264" s="22" t="str">
        <f t="shared" ref="Q264:R264" si="157">"+0.00%"</f>
        <v>+0.00%</v>
      </c>
      <c r="R264" s="18" t="str">
        <f t="shared" si="157"/>
        <v>+0.00%</v>
      </c>
      <c r="S264" s="14" t="s">
        <v>285</v>
      </c>
    </row>
    <row r="265">
      <c r="A265" s="13">
        <v>45901.0</v>
      </c>
      <c r="B265" s="14" t="s">
        <v>47</v>
      </c>
      <c r="C265" s="14" t="s">
        <v>48</v>
      </c>
      <c r="D265" s="14" t="s">
        <v>143</v>
      </c>
      <c r="E265" s="14" t="s">
        <v>144</v>
      </c>
      <c r="F265" s="15" t="s">
        <v>51</v>
      </c>
      <c r="G265" s="14" t="s">
        <v>145</v>
      </c>
      <c r="H265" s="14" t="s">
        <v>143</v>
      </c>
      <c r="I265" s="14" t="s">
        <v>59</v>
      </c>
      <c r="J265" s="14" t="s">
        <v>200</v>
      </c>
      <c r="K265" s="14" t="s">
        <v>232</v>
      </c>
      <c r="L265" s="14" t="s">
        <v>710</v>
      </c>
      <c r="M265" s="14" t="s">
        <v>711</v>
      </c>
      <c r="N265" s="14" t="s">
        <v>712</v>
      </c>
      <c r="O265" s="14">
        <v>0.0</v>
      </c>
      <c r="P265" s="23">
        <v>0.0</v>
      </c>
      <c r="Q265" s="22" t="str">
        <f t="shared" ref="Q265:R265" si="158">"+0.00%"</f>
        <v>+0.00%</v>
      </c>
      <c r="R265" s="18" t="str">
        <f t="shared" si="158"/>
        <v>+0.00%</v>
      </c>
      <c r="S265" s="14" t="s">
        <v>285</v>
      </c>
    </row>
    <row r="266">
      <c r="A266" s="13">
        <v>45901.0</v>
      </c>
      <c r="B266" s="14" t="s">
        <v>47</v>
      </c>
      <c r="C266" s="14" t="s">
        <v>48</v>
      </c>
      <c r="D266" s="14" t="s">
        <v>73</v>
      </c>
      <c r="E266" s="14" t="s">
        <v>74</v>
      </c>
      <c r="F266" s="15" t="s">
        <v>51</v>
      </c>
      <c r="G266" s="14" t="s">
        <v>75</v>
      </c>
      <c r="H266" s="14" t="s">
        <v>76</v>
      </c>
      <c r="I266" s="14" t="s">
        <v>59</v>
      </c>
      <c r="J266" s="14" t="s">
        <v>199</v>
      </c>
      <c r="K266" s="14" t="s">
        <v>206</v>
      </c>
      <c r="L266" s="14" t="s">
        <v>433</v>
      </c>
      <c r="M266" s="14" t="s">
        <v>433</v>
      </c>
      <c r="N266" s="14" t="s">
        <v>434</v>
      </c>
      <c r="O266" s="14">
        <v>0.0</v>
      </c>
      <c r="P266" s="21">
        <v>0.0</v>
      </c>
      <c r="Q266" s="22" t="str">
        <f t="shared" ref="Q266:R266" si="159">"+0"</f>
        <v>+0</v>
      </c>
      <c r="R266" s="18" t="str">
        <f t="shared" si="159"/>
        <v>+0</v>
      </c>
      <c r="S266" s="14" t="s">
        <v>383</v>
      </c>
    </row>
    <row r="267">
      <c r="A267" s="13">
        <v>45901.0</v>
      </c>
      <c r="B267" s="14" t="s">
        <v>47</v>
      </c>
      <c r="C267" s="14" t="s">
        <v>48</v>
      </c>
      <c r="D267" s="14" t="s">
        <v>136</v>
      </c>
      <c r="E267" s="14" t="s">
        <v>137</v>
      </c>
      <c r="F267" s="15" t="s">
        <v>51</v>
      </c>
      <c r="G267" s="14" t="s">
        <v>138</v>
      </c>
      <c r="H267" s="14" t="s">
        <v>139</v>
      </c>
      <c r="I267" s="14" t="s">
        <v>59</v>
      </c>
      <c r="J267" s="14" t="s">
        <v>200</v>
      </c>
      <c r="K267" s="14" t="s">
        <v>228</v>
      </c>
      <c r="L267" s="14" t="s">
        <v>253</v>
      </c>
      <c r="M267" s="14" t="s">
        <v>389</v>
      </c>
      <c r="N267" s="14" t="s">
        <v>390</v>
      </c>
      <c r="O267" s="14">
        <v>0.0</v>
      </c>
      <c r="P267" s="17"/>
      <c r="Q267" s="22"/>
      <c r="S267" s="14" t="s">
        <v>713</v>
      </c>
    </row>
    <row r="268">
      <c r="A268" s="13">
        <v>45901.0</v>
      </c>
      <c r="B268" s="14" t="s">
        <v>47</v>
      </c>
      <c r="C268" s="14" t="s">
        <v>48</v>
      </c>
      <c r="D268" s="14" t="s">
        <v>149</v>
      </c>
      <c r="E268" s="14" t="s">
        <v>150</v>
      </c>
      <c r="F268" s="15" t="s">
        <v>51</v>
      </c>
      <c r="G268" s="14" t="s">
        <v>151</v>
      </c>
      <c r="H268" s="14" t="s">
        <v>152</v>
      </c>
      <c r="I268" s="14" t="s">
        <v>54</v>
      </c>
      <c r="J268" s="14" t="s">
        <v>200</v>
      </c>
      <c r="K268" s="14" t="s">
        <v>231</v>
      </c>
      <c r="L268" s="14" t="s">
        <v>512</v>
      </c>
      <c r="M268" s="14" t="s">
        <v>714</v>
      </c>
      <c r="N268" s="14" t="s">
        <v>715</v>
      </c>
      <c r="O268" s="14">
        <v>0.0</v>
      </c>
      <c r="P268" s="21">
        <v>0.0</v>
      </c>
      <c r="Q268" s="22" t="str">
        <f t="shared" ref="Q268:R268" si="160">"+0"</f>
        <v>+0</v>
      </c>
      <c r="R268" s="18" t="str">
        <f t="shared" si="160"/>
        <v>+0</v>
      </c>
      <c r="S268" s="14" t="s">
        <v>260</v>
      </c>
    </row>
    <row r="269">
      <c r="A269" s="13">
        <v>45901.0</v>
      </c>
      <c r="B269" s="14" t="s">
        <v>47</v>
      </c>
      <c r="C269" s="14" t="s">
        <v>48</v>
      </c>
      <c r="D269" s="14" t="s">
        <v>87</v>
      </c>
      <c r="E269" s="14" t="s">
        <v>88</v>
      </c>
      <c r="F269" s="14" t="s">
        <v>71</v>
      </c>
      <c r="G269" s="14">
        <v>5.46000941E8</v>
      </c>
      <c r="H269" s="14" t="s">
        <v>90</v>
      </c>
      <c r="I269" s="14" t="s">
        <v>107</v>
      </c>
      <c r="J269" s="14" t="s">
        <v>199</v>
      </c>
      <c r="K269" s="14" t="s">
        <v>208</v>
      </c>
      <c r="L269" s="14" t="s">
        <v>412</v>
      </c>
      <c r="M269" s="14" t="s">
        <v>412</v>
      </c>
      <c r="N269" s="14" t="s">
        <v>413</v>
      </c>
      <c r="O269" s="14">
        <v>80.0</v>
      </c>
      <c r="P269" s="21">
        <v>2.0</v>
      </c>
      <c r="Q269" s="22" t="str">
        <f t="shared" ref="Q269:R269" si="161">"+0"</f>
        <v>+0</v>
      </c>
      <c r="R269" s="18" t="str">
        <f t="shared" si="161"/>
        <v>+0</v>
      </c>
      <c r="S269" s="14" t="s">
        <v>260</v>
      </c>
    </row>
    <row r="270">
      <c r="A270" s="13">
        <v>45901.0</v>
      </c>
      <c r="B270" s="14" t="s">
        <v>47</v>
      </c>
      <c r="C270" s="14" t="s">
        <v>48</v>
      </c>
      <c r="D270" s="14" t="s">
        <v>149</v>
      </c>
      <c r="E270" s="14" t="s">
        <v>150</v>
      </c>
      <c r="F270" s="15" t="s">
        <v>51</v>
      </c>
      <c r="G270" s="14" t="s">
        <v>151</v>
      </c>
      <c r="H270" s="14" t="s">
        <v>152</v>
      </c>
      <c r="I270" s="14" t="s">
        <v>54</v>
      </c>
      <c r="J270" s="14" t="s">
        <v>200</v>
      </c>
      <c r="K270" s="14" t="s">
        <v>224</v>
      </c>
      <c r="L270" s="14" t="s">
        <v>453</v>
      </c>
      <c r="M270" s="14" t="s">
        <v>716</v>
      </c>
      <c r="N270" s="14" t="s">
        <v>717</v>
      </c>
      <c r="O270" s="14">
        <v>33.0</v>
      </c>
      <c r="P270" s="23">
        <v>0.3333</v>
      </c>
      <c r="Q270" s="22" t="str">
        <f>"-16.67%"</f>
        <v>-16.67%</v>
      </c>
      <c r="R270" s="18" t="str">
        <f>"-66.67%"</f>
        <v>-66.67%</v>
      </c>
      <c r="S270" s="14" t="s">
        <v>718</v>
      </c>
    </row>
    <row r="271">
      <c r="A271" s="13">
        <v>45901.0</v>
      </c>
      <c r="B271" s="14" t="s">
        <v>47</v>
      </c>
      <c r="C271" s="14" t="s">
        <v>48</v>
      </c>
      <c r="D271" s="14" t="s">
        <v>149</v>
      </c>
      <c r="E271" s="14" t="s">
        <v>150</v>
      </c>
      <c r="F271" s="15" t="s">
        <v>51</v>
      </c>
      <c r="G271" s="14" t="s">
        <v>151</v>
      </c>
      <c r="H271" s="14" t="s">
        <v>152</v>
      </c>
      <c r="I271" s="14" t="s">
        <v>54</v>
      </c>
      <c r="J271" s="14" t="s">
        <v>200</v>
      </c>
      <c r="K271" s="14" t="s">
        <v>231</v>
      </c>
      <c r="L271" s="14" t="s">
        <v>512</v>
      </c>
      <c r="M271" s="14" t="s">
        <v>719</v>
      </c>
      <c r="N271" s="14" t="s">
        <v>720</v>
      </c>
      <c r="O271" s="14">
        <v>0.0</v>
      </c>
      <c r="P271" s="21">
        <v>0.0</v>
      </c>
      <c r="Q271" s="22" t="str">
        <f t="shared" ref="Q271:R271" si="162">"+0"</f>
        <v>+0</v>
      </c>
      <c r="R271" s="18" t="str">
        <f t="shared" si="162"/>
        <v>+0</v>
      </c>
      <c r="S271" s="14" t="s">
        <v>260</v>
      </c>
    </row>
    <row r="272">
      <c r="A272" s="13">
        <v>45901.0</v>
      </c>
      <c r="B272" s="14" t="s">
        <v>47</v>
      </c>
      <c r="C272" s="14" t="s">
        <v>48</v>
      </c>
      <c r="D272" s="14" t="s">
        <v>149</v>
      </c>
      <c r="E272" s="14" t="s">
        <v>150</v>
      </c>
      <c r="F272" s="15" t="s">
        <v>51</v>
      </c>
      <c r="G272" s="14" t="s">
        <v>151</v>
      </c>
      <c r="H272" s="14" t="s">
        <v>152</v>
      </c>
      <c r="I272" s="14" t="s">
        <v>54</v>
      </c>
      <c r="J272" s="14" t="s">
        <v>200</v>
      </c>
      <c r="K272" s="14" t="s">
        <v>223</v>
      </c>
      <c r="L272" s="14" t="s">
        <v>307</v>
      </c>
      <c r="M272" s="14" t="s">
        <v>561</v>
      </c>
      <c r="N272" s="14" t="s">
        <v>562</v>
      </c>
      <c r="O272" s="14">
        <v>0.0</v>
      </c>
      <c r="P272" s="23">
        <v>0.0</v>
      </c>
      <c r="Q272" s="22" t="str">
        <f t="shared" ref="Q272:R272" si="163">"+0.00%"</f>
        <v>+0.00%</v>
      </c>
      <c r="R272" s="18" t="str">
        <f t="shared" si="163"/>
        <v>+0.00%</v>
      </c>
      <c r="S272" s="14" t="s">
        <v>285</v>
      </c>
    </row>
    <row r="273">
      <c r="A273" s="13">
        <v>45901.0</v>
      </c>
      <c r="B273" s="14" t="s">
        <v>47</v>
      </c>
      <c r="C273" s="14" t="s">
        <v>48</v>
      </c>
      <c r="D273" s="14" t="s">
        <v>87</v>
      </c>
      <c r="E273" s="14" t="s">
        <v>88</v>
      </c>
      <c r="F273" s="14" t="s">
        <v>71</v>
      </c>
      <c r="G273" s="14">
        <v>5.46000941E8</v>
      </c>
      <c r="H273" s="14" t="s">
        <v>90</v>
      </c>
      <c r="I273" s="14" t="s">
        <v>107</v>
      </c>
      <c r="J273" s="14" t="s">
        <v>199</v>
      </c>
      <c r="K273" s="14" t="s">
        <v>208</v>
      </c>
      <c r="L273" s="14" t="s">
        <v>352</v>
      </c>
      <c r="M273" s="14" t="s">
        <v>352</v>
      </c>
      <c r="N273" s="14" t="s">
        <v>353</v>
      </c>
      <c r="O273" s="14">
        <v>85.0</v>
      </c>
      <c r="P273" s="21">
        <v>3.0</v>
      </c>
      <c r="Q273" s="22" t="str">
        <f t="shared" ref="Q273:Q274" si="164">"+0"</f>
        <v>+0</v>
      </c>
      <c r="R273" s="18" t="str">
        <f>"+1"</f>
        <v>+1</v>
      </c>
      <c r="S273" s="14" t="s">
        <v>260</v>
      </c>
    </row>
    <row r="274">
      <c r="A274" s="13">
        <v>45901.0</v>
      </c>
      <c r="B274" s="14" t="s">
        <v>47</v>
      </c>
      <c r="C274" s="14" t="s">
        <v>48</v>
      </c>
      <c r="D274" s="14" t="s">
        <v>96</v>
      </c>
      <c r="E274" s="14" t="s">
        <v>97</v>
      </c>
      <c r="F274" s="15" t="s">
        <v>51</v>
      </c>
      <c r="G274" s="14" t="s">
        <v>98</v>
      </c>
      <c r="H274" s="14" t="s">
        <v>96</v>
      </c>
      <c r="I274" s="14" t="s">
        <v>59</v>
      </c>
      <c r="J274" s="14" t="s">
        <v>199</v>
      </c>
      <c r="K274" s="14" t="s">
        <v>208</v>
      </c>
      <c r="L274" s="14" t="s">
        <v>412</v>
      </c>
      <c r="M274" s="14" t="s">
        <v>412</v>
      </c>
      <c r="N274" s="14" t="s">
        <v>413</v>
      </c>
      <c r="O274" s="14">
        <v>0.0</v>
      </c>
      <c r="P274" s="21">
        <v>0.0</v>
      </c>
      <c r="Q274" s="22" t="str">
        <f t="shared" si="164"/>
        <v>+0</v>
      </c>
      <c r="R274" s="18" t="str">
        <f>"+0"</f>
        <v>+0</v>
      </c>
      <c r="S274" s="14" t="s">
        <v>260</v>
      </c>
    </row>
    <row r="275">
      <c r="A275" s="13">
        <v>45901.0</v>
      </c>
      <c r="B275" s="14" t="s">
        <v>47</v>
      </c>
      <c r="C275" s="14" t="s">
        <v>48</v>
      </c>
      <c r="D275" s="14" t="s">
        <v>96</v>
      </c>
      <c r="E275" s="14" t="s">
        <v>97</v>
      </c>
      <c r="F275" s="15" t="s">
        <v>51</v>
      </c>
      <c r="G275" s="14" t="s">
        <v>98</v>
      </c>
      <c r="H275" s="14" t="s">
        <v>96</v>
      </c>
      <c r="I275" s="14" t="s">
        <v>59</v>
      </c>
      <c r="J275" s="14" t="s">
        <v>200</v>
      </c>
      <c r="K275" s="14" t="s">
        <v>227</v>
      </c>
      <c r="L275" s="14" t="s">
        <v>721</v>
      </c>
      <c r="M275" s="14" t="s">
        <v>722</v>
      </c>
      <c r="N275" s="14" t="s">
        <v>723</v>
      </c>
      <c r="O275" s="14">
        <v>47.0</v>
      </c>
      <c r="P275" s="23">
        <v>-0.0551</v>
      </c>
      <c r="Q275" s="22" t="str">
        <f>"+10.11%"</f>
        <v>+10.11%</v>
      </c>
      <c r="R275" s="18" t="str">
        <f>"-62.89%"</f>
        <v>-62.89%</v>
      </c>
      <c r="S275" s="14" t="s">
        <v>724</v>
      </c>
    </row>
    <row r="276">
      <c r="A276" s="13">
        <v>45901.0</v>
      </c>
      <c r="B276" s="14" t="s">
        <v>47</v>
      </c>
      <c r="C276" s="14" t="s">
        <v>48</v>
      </c>
      <c r="D276" s="14" t="s">
        <v>85</v>
      </c>
      <c r="E276" s="14" t="s">
        <v>86</v>
      </c>
      <c r="F276" s="15" t="s">
        <v>51</v>
      </c>
      <c r="G276" s="14" t="s">
        <v>148</v>
      </c>
      <c r="H276" s="14" t="s">
        <v>85</v>
      </c>
      <c r="I276" s="14" t="s">
        <v>59</v>
      </c>
      <c r="J276" s="14" t="s">
        <v>199</v>
      </c>
      <c r="K276" s="14" t="s">
        <v>203</v>
      </c>
      <c r="L276" s="14" t="s">
        <v>725</v>
      </c>
      <c r="M276" s="14" t="s">
        <v>725</v>
      </c>
      <c r="N276" s="14" t="s">
        <v>726</v>
      </c>
      <c r="O276" s="14">
        <v>0.0</v>
      </c>
      <c r="P276" s="21">
        <v>0.0</v>
      </c>
      <c r="Q276" s="22" t="str">
        <f t="shared" ref="Q276:R276" si="165">"+0"</f>
        <v>+0</v>
      </c>
      <c r="R276" s="18" t="str">
        <f t="shared" si="165"/>
        <v>+0</v>
      </c>
      <c r="S276" s="14" t="s">
        <v>260</v>
      </c>
    </row>
    <row r="277">
      <c r="A277" s="13">
        <v>45901.0</v>
      </c>
      <c r="B277" s="14" t="s">
        <v>47</v>
      </c>
      <c r="C277" s="14" t="s">
        <v>48</v>
      </c>
      <c r="D277" s="14" t="s">
        <v>195</v>
      </c>
      <c r="E277" s="14" t="s">
        <v>196</v>
      </c>
      <c r="F277" s="14" t="s">
        <v>111</v>
      </c>
      <c r="G277" s="14">
        <v>5252823.0</v>
      </c>
      <c r="H277" s="14" t="s">
        <v>197</v>
      </c>
      <c r="I277" s="14" t="s">
        <v>59</v>
      </c>
      <c r="J277" s="14" t="s">
        <v>200</v>
      </c>
      <c r="K277" s="14" t="s">
        <v>221</v>
      </c>
      <c r="L277" s="14" t="s">
        <v>253</v>
      </c>
      <c r="M277" s="14" t="s">
        <v>727</v>
      </c>
      <c r="N277" s="14" t="s">
        <v>728</v>
      </c>
      <c r="O277" s="14">
        <v>89.0</v>
      </c>
      <c r="P277" s="23">
        <v>0.8984</v>
      </c>
      <c r="Q277" s="22" t="str">
        <f>"-0.01%"</f>
        <v>-0.01%</v>
      </c>
      <c r="R277" s="18" t="str">
        <f>"-2.14%"</f>
        <v>-2.14%</v>
      </c>
      <c r="S277" s="14" t="s">
        <v>729</v>
      </c>
    </row>
    <row r="278">
      <c r="A278" s="13">
        <v>45901.0</v>
      </c>
      <c r="B278" s="14" t="s">
        <v>47</v>
      </c>
      <c r="C278" s="14" t="s">
        <v>48</v>
      </c>
      <c r="D278" s="14" t="s">
        <v>69</v>
      </c>
      <c r="E278" s="14" t="s">
        <v>70</v>
      </c>
      <c r="F278" s="15" t="s">
        <v>51</v>
      </c>
      <c r="G278" s="14" t="s">
        <v>115</v>
      </c>
      <c r="H278" s="14" t="s">
        <v>72</v>
      </c>
      <c r="I278" s="14" t="s">
        <v>54</v>
      </c>
      <c r="J278" s="14" t="s">
        <v>198</v>
      </c>
      <c r="K278" s="14" t="s">
        <v>205</v>
      </c>
      <c r="L278" s="14" t="s">
        <v>274</v>
      </c>
      <c r="M278" s="14" t="s">
        <v>425</v>
      </c>
      <c r="N278" s="14" t="s">
        <v>426</v>
      </c>
      <c r="O278" s="14">
        <v>0.0</v>
      </c>
      <c r="P278" s="21">
        <v>0.0</v>
      </c>
      <c r="Q278" s="22" t="str">
        <f>"+0"</f>
        <v>+0</v>
      </c>
      <c r="S278" s="14" t="s">
        <v>281</v>
      </c>
    </row>
    <row r="279">
      <c r="A279" s="13">
        <v>45901.0</v>
      </c>
      <c r="B279" s="14" t="s">
        <v>47</v>
      </c>
      <c r="C279" s="14" t="s">
        <v>48</v>
      </c>
      <c r="D279" s="14" t="s">
        <v>125</v>
      </c>
      <c r="E279" s="14" t="s">
        <v>126</v>
      </c>
      <c r="F279" s="15" t="s">
        <v>51</v>
      </c>
      <c r="G279" s="14" t="s">
        <v>127</v>
      </c>
      <c r="H279" s="14" t="s">
        <v>125</v>
      </c>
      <c r="I279" s="14" t="s">
        <v>59</v>
      </c>
      <c r="J279" s="14" t="s">
        <v>200</v>
      </c>
      <c r="K279" s="14" t="s">
        <v>232</v>
      </c>
      <c r="L279" s="14" t="s">
        <v>286</v>
      </c>
      <c r="M279" s="14" t="s">
        <v>730</v>
      </c>
      <c r="N279" s="14" t="s">
        <v>731</v>
      </c>
      <c r="O279" s="14">
        <v>0.0</v>
      </c>
      <c r="P279" s="23">
        <v>0.0</v>
      </c>
      <c r="Q279" s="22" t="str">
        <f t="shared" ref="Q279:R279" si="166">"+0.00%"</f>
        <v>+0.00%</v>
      </c>
      <c r="R279" s="18" t="str">
        <f t="shared" si="166"/>
        <v>+0.00%</v>
      </c>
      <c r="S279" s="14" t="s">
        <v>285</v>
      </c>
    </row>
    <row r="280">
      <c r="A280" s="13">
        <v>45901.0</v>
      </c>
      <c r="B280" s="14" t="s">
        <v>47</v>
      </c>
      <c r="C280" s="14" t="s">
        <v>48</v>
      </c>
      <c r="D280" s="14" t="s">
        <v>108</v>
      </c>
      <c r="E280" s="14" t="s">
        <v>109</v>
      </c>
      <c r="F280" s="14" t="s">
        <v>79</v>
      </c>
      <c r="G280" s="14" t="s">
        <v>153</v>
      </c>
      <c r="H280" s="14" t="s">
        <v>108</v>
      </c>
      <c r="I280" s="14" t="s">
        <v>154</v>
      </c>
      <c r="J280" s="14" t="s">
        <v>199</v>
      </c>
      <c r="K280" s="14" t="s">
        <v>206</v>
      </c>
      <c r="L280" s="14" t="s">
        <v>295</v>
      </c>
      <c r="M280" s="14" t="s">
        <v>296</v>
      </c>
      <c r="N280" s="14" t="s">
        <v>297</v>
      </c>
      <c r="O280" s="14">
        <v>0.0</v>
      </c>
      <c r="P280" s="21">
        <v>0.0</v>
      </c>
      <c r="Q280" s="22" t="str">
        <f t="shared" ref="Q280:Q284" si="167">"+0"</f>
        <v>+0</v>
      </c>
      <c r="S280" s="14" t="s">
        <v>260</v>
      </c>
    </row>
    <row r="281">
      <c r="A281" s="13">
        <v>45901.0</v>
      </c>
      <c r="B281" s="14" t="s">
        <v>47</v>
      </c>
      <c r="C281" s="14" t="s">
        <v>48</v>
      </c>
      <c r="D281" s="14" t="s">
        <v>158</v>
      </c>
      <c r="E281" s="14" t="s">
        <v>159</v>
      </c>
      <c r="F281" s="15" t="s">
        <v>51</v>
      </c>
      <c r="G281" s="14" t="s">
        <v>160</v>
      </c>
      <c r="H281" s="14" t="s">
        <v>158</v>
      </c>
      <c r="I281" s="14" t="s">
        <v>54</v>
      </c>
      <c r="J281" s="14" t="s">
        <v>200</v>
      </c>
      <c r="K281" s="14" t="s">
        <v>222</v>
      </c>
      <c r="L281" s="14" t="s">
        <v>253</v>
      </c>
      <c r="M281" s="14" t="s">
        <v>732</v>
      </c>
      <c r="N281" s="14" t="s">
        <v>733</v>
      </c>
      <c r="O281" s="14">
        <v>50.0</v>
      </c>
      <c r="P281" s="21">
        <v>1.0</v>
      </c>
      <c r="Q281" s="22" t="str">
        <f t="shared" si="167"/>
        <v>+0</v>
      </c>
      <c r="R281" s="18" t="str">
        <f t="shared" ref="R281:R283" si="168">"+0"</f>
        <v>+0</v>
      </c>
      <c r="S281" s="14" t="s">
        <v>450</v>
      </c>
    </row>
    <row r="282">
      <c r="A282" s="13">
        <v>45901.0</v>
      </c>
      <c r="B282" s="14" t="s">
        <v>47</v>
      </c>
      <c r="C282" s="14" t="s">
        <v>48</v>
      </c>
      <c r="D282" s="14" t="s">
        <v>77</v>
      </c>
      <c r="E282" s="14" t="s">
        <v>78</v>
      </c>
      <c r="F282" s="15" t="s">
        <v>51</v>
      </c>
      <c r="G282" s="14" t="s">
        <v>128</v>
      </c>
      <c r="H282" s="14" t="s">
        <v>81</v>
      </c>
      <c r="I282" s="14" t="s">
        <v>59</v>
      </c>
      <c r="J282" s="14" t="s">
        <v>200</v>
      </c>
      <c r="K282" s="14" t="s">
        <v>222</v>
      </c>
      <c r="L282" s="14" t="s">
        <v>337</v>
      </c>
      <c r="M282" s="14" t="s">
        <v>734</v>
      </c>
      <c r="N282" s="14" t="s">
        <v>735</v>
      </c>
      <c r="O282" s="14">
        <v>0.0</v>
      </c>
      <c r="P282" s="21">
        <v>0.0</v>
      </c>
      <c r="Q282" s="22" t="str">
        <f t="shared" si="167"/>
        <v>+0</v>
      </c>
      <c r="R282" s="18" t="str">
        <f t="shared" si="168"/>
        <v>+0</v>
      </c>
      <c r="S282" s="14" t="s">
        <v>260</v>
      </c>
    </row>
    <row r="283">
      <c r="A283" s="13">
        <v>45901.0</v>
      </c>
      <c r="B283" s="14" t="s">
        <v>47</v>
      </c>
      <c r="C283" s="14" t="s">
        <v>48</v>
      </c>
      <c r="D283" s="14" t="s">
        <v>56</v>
      </c>
      <c r="E283" s="14" t="s">
        <v>57</v>
      </c>
      <c r="F283" s="15" t="s">
        <v>51</v>
      </c>
      <c r="G283" s="14" t="s">
        <v>58</v>
      </c>
      <c r="H283" s="14" t="s">
        <v>56</v>
      </c>
      <c r="I283" s="14" t="s">
        <v>59</v>
      </c>
      <c r="J283" s="14" t="s">
        <v>199</v>
      </c>
      <c r="K283" s="14" t="s">
        <v>203</v>
      </c>
      <c r="L283" s="14" t="s">
        <v>736</v>
      </c>
      <c r="M283" s="14" t="s">
        <v>736</v>
      </c>
      <c r="N283" s="14" t="s">
        <v>737</v>
      </c>
      <c r="O283" s="14">
        <v>0.0</v>
      </c>
      <c r="P283" s="21">
        <v>0.0</v>
      </c>
      <c r="Q283" s="22" t="str">
        <f t="shared" si="167"/>
        <v>+0</v>
      </c>
      <c r="R283" s="18" t="str">
        <f t="shared" si="168"/>
        <v>+0</v>
      </c>
      <c r="S283" s="14" t="s">
        <v>260</v>
      </c>
    </row>
    <row r="284">
      <c r="A284" s="13">
        <v>45901.0</v>
      </c>
      <c r="B284" s="14" t="s">
        <v>47</v>
      </c>
      <c r="C284" s="14" t="s">
        <v>48</v>
      </c>
      <c r="D284" s="14" t="s">
        <v>121</v>
      </c>
      <c r="E284" s="14" t="s">
        <v>122</v>
      </c>
      <c r="F284" s="15" t="s">
        <v>51</v>
      </c>
      <c r="G284" s="14" t="s">
        <v>123</v>
      </c>
      <c r="H284" s="14" t="s">
        <v>124</v>
      </c>
      <c r="I284" s="14" t="s">
        <v>59</v>
      </c>
      <c r="J284" s="14" t="s">
        <v>198</v>
      </c>
      <c r="K284" s="14" t="s">
        <v>205</v>
      </c>
      <c r="L284" s="14" t="s">
        <v>274</v>
      </c>
      <c r="M284" s="14" t="s">
        <v>738</v>
      </c>
      <c r="N284" s="14" t="s">
        <v>739</v>
      </c>
      <c r="O284" s="14">
        <v>0.0</v>
      </c>
      <c r="P284" s="21">
        <v>0.0</v>
      </c>
      <c r="Q284" s="22" t="str">
        <f t="shared" si="167"/>
        <v>+0</v>
      </c>
      <c r="S284" s="14" t="s">
        <v>281</v>
      </c>
    </row>
    <row r="285">
      <c r="A285" s="13">
        <v>45901.0</v>
      </c>
      <c r="B285" s="14" t="s">
        <v>47</v>
      </c>
      <c r="C285" s="14" t="s">
        <v>48</v>
      </c>
      <c r="D285" s="14" t="s">
        <v>56</v>
      </c>
      <c r="E285" s="14" t="s">
        <v>57</v>
      </c>
      <c r="F285" s="15" t="s">
        <v>51</v>
      </c>
      <c r="G285" s="14" t="s">
        <v>58</v>
      </c>
      <c r="H285" s="14" t="s">
        <v>56</v>
      </c>
      <c r="I285" s="14" t="s">
        <v>59</v>
      </c>
      <c r="J285" s="14" t="s">
        <v>200</v>
      </c>
      <c r="K285" s="14" t="s">
        <v>227</v>
      </c>
      <c r="L285" s="14" t="s">
        <v>253</v>
      </c>
      <c r="M285" s="14" t="s">
        <v>396</v>
      </c>
      <c r="N285" s="14" t="s">
        <v>397</v>
      </c>
      <c r="O285" s="14">
        <v>100.0</v>
      </c>
      <c r="P285" s="23">
        <v>1.0</v>
      </c>
      <c r="Q285" s="22" t="str">
        <f t="shared" ref="Q285:R285" si="169">"+0.00%"</f>
        <v>+0.00%</v>
      </c>
      <c r="R285" s="18" t="str">
        <f t="shared" si="169"/>
        <v>+0.00%</v>
      </c>
      <c r="S285" s="14" t="s">
        <v>740</v>
      </c>
    </row>
    <row r="286">
      <c r="A286" s="13">
        <v>45901.0</v>
      </c>
      <c r="B286" s="14" t="s">
        <v>47</v>
      </c>
      <c r="C286" s="14" t="s">
        <v>48</v>
      </c>
      <c r="D286" s="14" t="s">
        <v>155</v>
      </c>
      <c r="E286" s="14" t="s">
        <v>156</v>
      </c>
      <c r="F286" s="15" t="s">
        <v>51</v>
      </c>
      <c r="G286" s="14" t="s">
        <v>157</v>
      </c>
      <c r="H286" s="14" t="s">
        <v>155</v>
      </c>
      <c r="I286" s="14" t="s">
        <v>59</v>
      </c>
      <c r="J286" s="14" t="s">
        <v>198</v>
      </c>
      <c r="K286" s="14" t="s">
        <v>210</v>
      </c>
      <c r="L286" s="14" t="s">
        <v>264</v>
      </c>
      <c r="M286" s="14" t="s">
        <v>524</v>
      </c>
      <c r="N286" s="14" t="s">
        <v>525</v>
      </c>
      <c r="O286" s="14">
        <v>100.0</v>
      </c>
      <c r="P286" s="21">
        <v>0.0</v>
      </c>
      <c r="Q286" s="22" t="str">
        <f t="shared" ref="Q286:R286" si="170">"+0"</f>
        <v>+0</v>
      </c>
      <c r="R286" s="18" t="str">
        <f t="shared" si="170"/>
        <v>+0</v>
      </c>
      <c r="S286" s="14" t="s">
        <v>281</v>
      </c>
    </row>
    <row r="287">
      <c r="A287" s="13">
        <v>45901.0</v>
      </c>
      <c r="B287" s="14" t="s">
        <v>47</v>
      </c>
      <c r="C287" s="14" t="s">
        <v>48</v>
      </c>
      <c r="D287" s="14" t="s">
        <v>121</v>
      </c>
      <c r="E287" s="14" t="s">
        <v>122</v>
      </c>
      <c r="F287" s="15" t="s">
        <v>51</v>
      </c>
      <c r="G287" s="14" t="s">
        <v>123</v>
      </c>
      <c r="H287" s="14" t="s">
        <v>124</v>
      </c>
      <c r="I287" s="14" t="s">
        <v>59</v>
      </c>
      <c r="J287" s="14" t="s">
        <v>198</v>
      </c>
      <c r="K287" s="14" t="s">
        <v>205</v>
      </c>
      <c r="L287" s="14" t="s">
        <v>274</v>
      </c>
      <c r="M287" s="14" t="s">
        <v>448</v>
      </c>
      <c r="N287" s="14" t="s">
        <v>449</v>
      </c>
      <c r="O287" s="14">
        <v>100.0</v>
      </c>
      <c r="P287" s="21">
        <v>3.0</v>
      </c>
      <c r="Q287" s="22" t="str">
        <f>"+0"</f>
        <v>+0</v>
      </c>
      <c r="S287" s="14" t="s">
        <v>450</v>
      </c>
    </row>
    <row r="288">
      <c r="A288" s="13">
        <v>45901.0</v>
      </c>
      <c r="B288" s="14" t="s">
        <v>47</v>
      </c>
      <c r="C288" s="14" t="s">
        <v>48</v>
      </c>
      <c r="D288" s="14" t="s">
        <v>181</v>
      </c>
      <c r="E288" s="14" t="s">
        <v>182</v>
      </c>
      <c r="F288" s="15" t="s">
        <v>51</v>
      </c>
      <c r="G288" s="14" t="s">
        <v>183</v>
      </c>
      <c r="H288" s="14" t="s">
        <v>181</v>
      </c>
      <c r="I288" s="14" t="s">
        <v>59</v>
      </c>
      <c r="J288" s="14" t="s">
        <v>200</v>
      </c>
      <c r="K288" s="14" t="s">
        <v>202</v>
      </c>
      <c r="L288" s="14" t="s">
        <v>253</v>
      </c>
      <c r="M288" s="14" t="s">
        <v>347</v>
      </c>
      <c r="N288" s="14" t="s">
        <v>348</v>
      </c>
      <c r="O288" s="14">
        <v>0.0</v>
      </c>
      <c r="P288" s="23">
        <v>0.0</v>
      </c>
      <c r="Q288" s="22" t="str">
        <f>"+0.00%"</f>
        <v>+0.00%</v>
      </c>
      <c r="R288" s="18" t="str">
        <f>"-25.00%"</f>
        <v>-25.00%</v>
      </c>
      <c r="S288" s="14" t="s">
        <v>741</v>
      </c>
    </row>
    <row r="289">
      <c r="A289" s="13">
        <v>45901.0</v>
      </c>
      <c r="B289" s="14" t="s">
        <v>47</v>
      </c>
      <c r="C289" s="14" t="s">
        <v>48</v>
      </c>
      <c r="D289" s="14" t="s">
        <v>181</v>
      </c>
      <c r="E289" s="14" t="s">
        <v>182</v>
      </c>
      <c r="F289" s="15" t="s">
        <v>51</v>
      </c>
      <c r="G289" s="14" t="s">
        <v>183</v>
      </c>
      <c r="H289" s="14" t="s">
        <v>181</v>
      </c>
      <c r="I289" s="14" t="s">
        <v>59</v>
      </c>
      <c r="J289" s="14" t="s">
        <v>198</v>
      </c>
      <c r="K289" s="14" t="s">
        <v>205</v>
      </c>
      <c r="L289" s="14" t="s">
        <v>274</v>
      </c>
      <c r="M289" s="14" t="s">
        <v>482</v>
      </c>
      <c r="N289" s="14" t="s">
        <v>483</v>
      </c>
      <c r="O289" s="14">
        <v>100.0</v>
      </c>
      <c r="P289" s="21">
        <v>8.0</v>
      </c>
      <c r="Q289" s="22" t="str">
        <f t="shared" ref="Q289:Q296" si="171">"+0"</f>
        <v>+0</v>
      </c>
      <c r="S289" s="14" t="s">
        <v>484</v>
      </c>
    </row>
    <row r="290">
      <c r="A290" s="13">
        <v>45901.0</v>
      </c>
      <c r="B290" s="14" t="s">
        <v>47</v>
      </c>
      <c r="C290" s="14" t="s">
        <v>48</v>
      </c>
      <c r="D290" s="14" t="s">
        <v>165</v>
      </c>
      <c r="E290" s="14" t="s">
        <v>166</v>
      </c>
      <c r="F290" s="15" t="s">
        <v>51</v>
      </c>
      <c r="G290" s="14" t="s">
        <v>167</v>
      </c>
      <c r="H290" s="14" t="s">
        <v>165</v>
      </c>
      <c r="I290" s="14" t="s">
        <v>54</v>
      </c>
      <c r="J290" s="14" t="s">
        <v>198</v>
      </c>
      <c r="K290" s="14" t="s">
        <v>207</v>
      </c>
      <c r="L290" s="14" t="s">
        <v>318</v>
      </c>
      <c r="M290" s="14" t="s">
        <v>508</v>
      </c>
      <c r="N290" s="14" t="s">
        <v>509</v>
      </c>
      <c r="O290" s="14">
        <v>100.0</v>
      </c>
      <c r="P290" s="21">
        <v>1.0</v>
      </c>
      <c r="Q290" s="22" t="str">
        <f t="shared" si="171"/>
        <v>+0</v>
      </c>
      <c r="S290" s="14" t="s">
        <v>281</v>
      </c>
    </row>
    <row r="291">
      <c r="A291" s="13">
        <v>45901.0</v>
      </c>
      <c r="B291" s="14" t="s">
        <v>47</v>
      </c>
      <c r="C291" s="14" t="s">
        <v>48</v>
      </c>
      <c r="D291" s="14" t="s">
        <v>165</v>
      </c>
      <c r="E291" s="14" t="s">
        <v>166</v>
      </c>
      <c r="F291" s="15" t="s">
        <v>51</v>
      </c>
      <c r="G291" s="14" t="s">
        <v>167</v>
      </c>
      <c r="H291" s="14" t="s">
        <v>165</v>
      </c>
      <c r="I291" s="14" t="s">
        <v>54</v>
      </c>
      <c r="J291" s="14" t="s">
        <v>198</v>
      </c>
      <c r="K291" s="14" t="s">
        <v>210</v>
      </c>
      <c r="L291" s="14" t="s">
        <v>458</v>
      </c>
      <c r="M291" s="14" t="s">
        <v>742</v>
      </c>
      <c r="N291" s="14" t="s">
        <v>743</v>
      </c>
      <c r="O291" s="14">
        <v>0.0</v>
      </c>
      <c r="P291" s="21">
        <v>0.0</v>
      </c>
      <c r="Q291" s="22" t="str">
        <f t="shared" si="171"/>
        <v>+0</v>
      </c>
      <c r="R291" s="18" t="str">
        <f t="shared" ref="R291:R297" si="172">"+0"</f>
        <v>+0</v>
      </c>
      <c r="S291" s="14" t="s">
        <v>277</v>
      </c>
    </row>
    <row r="292">
      <c r="A292" s="13">
        <v>45901.0</v>
      </c>
      <c r="B292" s="14" t="s">
        <v>47</v>
      </c>
      <c r="C292" s="14" t="s">
        <v>48</v>
      </c>
      <c r="D292" s="14" t="s">
        <v>165</v>
      </c>
      <c r="E292" s="14" t="s">
        <v>166</v>
      </c>
      <c r="F292" s="15" t="s">
        <v>51</v>
      </c>
      <c r="G292" s="14" t="s">
        <v>167</v>
      </c>
      <c r="H292" s="14" t="s">
        <v>165</v>
      </c>
      <c r="I292" s="14" t="s">
        <v>54</v>
      </c>
      <c r="J292" s="14" t="s">
        <v>198</v>
      </c>
      <c r="K292" s="14" t="s">
        <v>210</v>
      </c>
      <c r="L292" s="14" t="s">
        <v>278</v>
      </c>
      <c r="M292" s="14" t="s">
        <v>668</v>
      </c>
      <c r="N292" s="14" t="s">
        <v>669</v>
      </c>
      <c r="O292" s="14">
        <v>0.0</v>
      </c>
      <c r="P292" s="21">
        <v>0.0</v>
      </c>
      <c r="Q292" s="22" t="str">
        <f t="shared" si="171"/>
        <v>+0</v>
      </c>
      <c r="R292" s="18" t="str">
        <f t="shared" si="172"/>
        <v>+0</v>
      </c>
      <c r="S292" s="14" t="s">
        <v>277</v>
      </c>
    </row>
    <row r="293">
      <c r="A293" s="13">
        <v>45901.0</v>
      </c>
      <c r="B293" s="14" t="s">
        <v>47</v>
      </c>
      <c r="C293" s="14" t="s">
        <v>48</v>
      </c>
      <c r="D293" s="14" t="s">
        <v>165</v>
      </c>
      <c r="E293" s="14" t="s">
        <v>166</v>
      </c>
      <c r="F293" s="15" t="s">
        <v>51</v>
      </c>
      <c r="G293" s="14" t="s">
        <v>167</v>
      </c>
      <c r="H293" s="14" t="s">
        <v>165</v>
      </c>
      <c r="I293" s="14" t="s">
        <v>54</v>
      </c>
      <c r="J293" s="14" t="s">
        <v>198</v>
      </c>
      <c r="K293" s="14" t="s">
        <v>210</v>
      </c>
      <c r="L293" s="14" t="s">
        <v>458</v>
      </c>
      <c r="M293" s="14" t="s">
        <v>744</v>
      </c>
      <c r="N293" s="14" t="s">
        <v>745</v>
      </c>
      <c r="O293" s="14">
        <v>0.0</v>
      </c>
      <c r="P293" s="21">
        <v>0.0</v>
      </c>
      <c r="Q293" s="22" t="str">
        <f t="shared" si="171"/>
        <v>+0</v>
      </c>
      <c r="R293" s="18" t="str">
        <f t="shared" si="172"/>
        <v>+0</v>
      </c>
      <c r="S293" s="14" t="s">
        <v>277</v>
      </c>
    </row>
    <row r="294">
      <c r="A294" s="13">
        <v>45901.0</v>
      </c>
      <c r="B294" s="14" t="s">
        <v>47</v>
      </c>
      <c r="C294" s="14" t="s">
        <v>48</v>
      </c>
      <c r="D294" s="14" t="s">
        <v>49</v>
      </c>
      <c r="E294" s="14" t="s">
        <v>50</v>
      </c>
      <c r="F294" s="15" t="s">
        <v>51</v>
      </c>
      <c r="G294" s="14" t="s">
        <v>52</v>
      </c>
      <c r="H294" s="14" t="s">
        <v>53</v>
      </c>
      <c r="I294" s="14" t="s">
        <v>54</v>
      </c>
      <c r="J294" s="14" t="s">
        <v>198</v>
      </c>
      <c r="K294" s="14" t="s">
        <v>210</v>
      </c>
      <c r="L294" s="14" t="s">
        <v>505</v>
      </c>
      <c r="M294" s="14" t="s">
        <v>746</v>
      </c>
      <c r="N294" s="14" t="s">
        <v>747</v>
      </c>
      <c r="O294" s="14">
        <v>0.0</v>
      </c>
      <c r="P294" s="21">
        <v>0.0</v>
      </c>
      <c r="Q294" s="22" t="str">
        <f t="shared" si="171"/>
        <v>+0</v>
      </c>
      <c r="R294" s="18" t="str">
        <f t="shared" si="172"/>
        <v>+0</v>
      </c>
      <c r="S294" s="14" t="s">
        <v>277</v>
      </c>
    </row>
    <row r="295">
      <c r="A295" s="13">
        <v>45901.0</v>
      </c>
      <c r="B295" s="14" t="s">
        <v>47</v>
      </c>
      <c r="C295" s="14" t="s">
        <v>48</v>
      </c>
      <c r="D295" s="14" t="s">
        <v>91</v>
      </c>
      <c r="E295" s="14" t="s">
        <v>92</v>
      </c>
      <c r="F295" s="14" t="s">
        <v>146</v>
      </c>
      <c r="G295" s="14" t="s">
        <v>147</v>
      </c>
      <c r="H295" s="14" t="s">
        <v>91</v>
      </c>
      <c r="I295" s="14" t="s">
        <v>107</v>
      </c>
      <c r="J295" s="14" t="s">
        <v>199</v>
      </c>
      <c r="K295" s="14" t="s">
        <v>208</v>
      </c>
      <c r="L295" s="14" t="s">
        <v>412</v>
      </c>
      <c r="M295" s="14" t="s">
        <v>412</v>
      </c>
      <c r="N295" s="14" t="s">
        <v>413</v>
      </c>
      <c r="O295" s="14">
        <v>100.0</v>
      </c>
      <c r="P295" s="21">
        <v>11.0</v>
      </c>
      <c r="Q295" s="22" t="str">
        <f t="shared" si="171"/>
        <v>+0</v>
      </c>
      <c r="R295" s="18" t="str">
        <f t="shared" si="172"/>
        <v>+0</v>
      </c>
      <c r="S295" s="14" t="s">
        <v>260</v>
      </c>
    </row>
    <row r="296">
      <c r="A296" s="13">
        <v>45901.0</v>
      </c>
      <c r="B296" s="14" t="s">
        <v>47</v>
      </c>
      <c r="C296" s="14" t="s">
        <v>48</v>
      </c>
      <c r="D296" s="14" t="s">
        <v>63</v>
      </c>
      <c r="E296" s="14" t="s">
        <v>64</v>
      </c>
      <c r="F296" s="15" t="s">
        <v>51</v>
      </c>
      <c r="G296" s="14" t="s">
        <v>65</v>
      </c>
      <c r="H296" s="14" t="s">
        <v>63</v>
      </c>
      <c r="I296" s="14" t="s">
        <v>54</v>
      </c>
      <c r="J296" s="14" t="s">
        <v>199</v>
      </c>
      <c r="K296" s="14" t="s">
        <v>206</v>
      </c>
      <c r="L296" s="14" t="s">
        <v>295</v>
      </c>
      <c r="M296" s="14" t="s">
        <v>651</v>
      </c>
      <c r="N296" s="14" t="s">
        <v>652</v>
      </c>
      <c r="O296" s="14">
        <v>0.0</v>
      </c>
      <c r="P296" s="21">
        <v>0.0</v>
      </c>
      <c r="Q296" s="22" t="str">
        <f t="shared" si="171"/>
        <v>+0</v>
      </c>
      <c r="R296" s="18" t="str">
        <f t="shared" si="172"/>
        <v>+0</v>
      </c>
      <c r="S296" s="14" t="s">
        <v>260</v>
      </c>
    </row>
    <row r="297">
      <c r="A297" s="13">
        <v>45901.0</v>
      </c>
      <c r="B297" s="14" t="s">
        <v>47</v>
      </c>
      <c r="C297" s="14" t="s">
        <v>48</v>
      </c>
      <c r="D297" s="14" t="s">
        <v>118</v>
      </c>
      <c r="E297" s="14" t="s">
        <v>119</v>
      </c>
      <c r="F297" s="15" t="s">
        <v>51</v>
      </c>
      <c r="G297" s="14" t="s">
        <v>120</v>
      </c>
      <c r="H297" s="14" t="s">
        <v>118</v>
      </c>
      <c r="I297" s="14" t="s">
        <v>59</v>
      </c>
      <c r="J297" s="14" t="s">
        <v>198</v>
      </c>
      <c r="K297" s="14" t="s">
        <v>210</v>
      </c>
      <c r="L297" s="14" t="s">
        <v>264</v>
      </c>
      <c r="M297" s="14" t="s">
        <v>524</v>
      </c>
      <c r="N297" s="14" t="s">
        <v>525</v>
      </c>
      <c r="O297" s="14">
        <v>100.0</v>
      </c>
      <c r="P297" s="21">
        <v>0.0</v>
      </c>
      <c r="Q297" s="22" t="str">
        <f>"-12"</f>
        <v>-12</v>
      </c>
      <c r="R297" s="18" t="str">
        <f t="shared" si="172"/>
        <v>+0</v>
      </c>
      <c r="S297" s="14" t="s">
        <v>281</v>
      </c>
    </row>
    <row r="298">
      <c r="A298" s="13">
        <v>45901.0</v>
      </c>
      <c r="B298" s="14" t="s">
        <v>47</v>
      </c>
      <c r="C298" s="14" t="s">
        <v>48</v>
      </c>
      <c r="D298" s="14" t="s">
        <v>91</v>
      </c>
      <c r="E298" s="14" t="s">
        <v>92</v>
      </c>
      <c r="F298" s="14" t="s">
        <v>71</v>
      </c>
      <c r="G298" s="14">
        <v>1.00004432E8</v>
      </c>
      <c r="H298" s="14" t="s">
        <v>91</v>
      </c>
      <c r="I298" s="14" t="s">
        <v>59</v>
      </c>
      <c r="J298" s="14" t="s">
        <v>199</v>
      </c>
      <c r="K298" s="14" t="s">
        <v>203</v>
      </c>
      <c r="L298" s="14" t="s">
        <v>601</v>
      </c>
      <c r="M298" s="14" t="s">
        <v>601</v>
      </c>
      <c r="N298" s="14" t="s">
        <v>602</v>
      </c>
      <c r="O298" s="14">
        <v>0.0</v>
      </c>
      <c r="P298" s="21">
        <v>0.0</v>
      </c>
      <c r="Q298" s="22" t="str">
        <f t="shared" ref="Q298:R298" si="173">"+0"</f>
        <v>+0</v>
      </c>
      <c r="R298" s="18" t="str">
        <f t="shared" si="173"/>
        <v>+0</v>
      </c>
      <c r="S298" s="14" t="s">
        <v>260</v>
      </c>
    </row>
    <row r="299">
      <c r="A299" s="13">
        <v>45901.0</v>
      </c>
      <c r="B299" s="14" t="s">
        <v>47</v>
      </c>
      <c r="C299" s="14" t="s">
        <v>48</v>
      </c>
      <c r="D299" s="14" t="s">
        <v>177</v>
      </c>
      <c r="E299" s="14" t="s">
        <v>178</v>
      </c>
      <c r="F299" s="14" t="s">
        <v>146</v>
      </c>
      <c r="G299" s="14" t="s">
        <v>179</v>
      </c>
      <c r="H299" s="14" t="s">
        <v>177</v>
      </c>
      <c r="I299" s="14" t="s">
        <v>107</v>
      </c>
      <c r="J299" s="14" t="s">
        <v>200</v>
      </c>
      <c r="K299" s="14" t="s">
        <v>226</v>
      </c>
      <c r="L299" s="14" t="s">
        <v>633</v>
      </c>
      <c r="M299" s="14" t="s">
        <v>634</v>
      </c>
      <c r="N299" s="14" t="s">
        <v>635</v>
      </c>
      <c r="O299" s="14">
        <v>100.0</v>
      </c>
      <c r="P299" s="21">
        <v>1.0</v>
      </c>
      <c r="Q299" s="22" t="str">
        <f t="shared" ref="Q299:R299" si="174">"+0"</f>
        <v>+0</v>
      </c>
      <c r="R299" s="18" t="str">
        <f t="shared" si="174"/>
        <v>+0</v>
      </c>
      <c r="S299" s="14" t="s">
        <v>260</v>
      </c>
    </row>
    <row r="300">
      <c r="A300" s="13">
        <v>45901.0</v>
      </c>
      <c r="B300" s="14" t="s">
        <v>47</v>
      </c>
      <c r="C300" s="14" t="s">
        <v>48</v>
      </c>
      <c r="D300" s="14" t="s">
        <v>149</v>
      </c>
      <c r="E300" s="14" t="s">
        <v>150</v>
      </c>
      <c r="F300" s="15" t="s">
        <v>51</v>
      </c>
      <c r="G300" s="14" t="s">
        <v>151</v>
      </c>
      <c r="H300" s="14" t="s">
        <v>152</v>
      </c>
      <c r="I300" s="14" t="s">
        <v>54</v>
      </c>
      <c r="J300" s="14" t="s">
        <v>200</v>
      </c>
      <c r="K300" s="14" t="s">
        <v>224</v>
      </c>
      <c r="L300" s="14" t="s">
        <v>453</v>
      </c>
      <c r="M300" s="14" t="s">
        <v>611</v>
      </c>
      <c r="N300" s="14" t="s">
        <v>612</v>
      </c>
      <c r="O300" s="14">
        <v>33.0</v>
      </c>
      <c r="P300" s="23">
        <v>0.3333</v>
      </c>
      <c r="Q300" s="22" t="str">
        <f t="shared" ref="Q300:R300" si="175">"+33.33%"</f>
        <v>+33.33%</v>
      </c>
      <c r="R300" s="18" t="str">
        <f t="shared" si="175"/>
        <v>+33.33%</v>
      </c>
      <c r="S300" s="14" t="s">
        <v>523</v>
      </c>
    </row>
    <row r="301">
      <c r="A301" s="13">
        <v>45901.0</v>
      </c>
      <c r="B301" s="14" t="s">
        <v>47</v>
      </c>
      <c r="C301" s="14" t="s">
        <v>48</v>
      </c>
      <c r="D301" s="14" t="s">
        <v>99</v>
      </c>
      <c r="E301" s="14" t="s">
        <v>100</v>
      </c>
      <c r="F301" s="15" t="s">
        <v>51</v>
      </c>
      <c r="G301" s="14" t="s">
        <v>101</v>
      </c>
      <c r="H301" s="14" t="s">
        <v>102</v>
      </c>
      <c r="I301" s="14" t="s">
        <v>54</v>
      </c>
      <c r="J301" s="14" t="s">
        <v>199</v>
      </c>
      <c r="K301" s="14" t="s">
        <v>208</v>
      </c>
      <c r="L301" s="14" t="s">
        <v>352</v>
      </c>
      <c r="M301" s="14" t="s">
        <v>352</v>
      </c>
      <c r="N301" s="14" t="s">
        <v>353</v>
      </c>
      <c r="O301" s="14">
        <v>100.0</v>
      </c>
      <c r="P301" s="21">
        <v>8.0</v>
      </c>
      <c r="Q301" s="22" t="str">
        <f t="shared" ref="Q301:R301" si="176">"+0"</f>
        <v>+0</v>
      </c>
      <c r="R301" s="18" t="str">
        <f t="shared" si="176"/>
        <v>+0</v>
      </c>
      <c r="S301" s="14" t="s">
        <v>260</v>
      </c>
    </row>
    <row r="302">
      <c r="A302" s="13">
        <v>45901.0</v>
      </c>
      <c r="B302" s="14" t="s">
        <v>47</v>
      </c>
      <c r="C302" s="14" t="s">
        <v>48</v>
      </c>
      <c r="D302" s="14" t="s">
        <v>82</v>
      </c>
      <c r="E302" s="14" t="s">
        <v>83</v>
      </c>
      <c r="F302" s="15" t="s">
        <v>51</v>
      </c>
      <c r="G302" s="14" t="s">
        <v>84</v>
      </c>
      <c r="H302" s="14" t="s">
        <v>82</v>
      </c>
      <c r="I302" s="14" t="s">
        <v>59</v>
      </c>
      <c r="J302" s="14" t="s">
        <v>200</v>
      </c>
      <c r="K302" s="14" t="s">
        <v>227</v>
      </c>
      <c r="L302" s="14" t="s">
        <v>721</v>
      </c>
      <c r="M302" s="14" t="s">
        <v>748</v>
      </c>
      <c r="N302" s="14" t="s">
        <v>749</v>
      </c>
      <c r="O302" s="14">
        <v>0.0</v>
      </c>
      <c r="P302" s="23">
        <v>-1.0</v>
      </c>
      <c r="Q302" s="22" t="str">
        <f t="shared" ref="Q302:R302" si="177">"+0.00%"</f>
        <v>+0.00%</v>
      </c>
      <c r="R302" s="18" t="str">
        <f t="shared" si="177"/>
        <v>+0.00%</v>
      </c>
      <c r="S302" s="14" t="s">
        <v>750</v>
      </c>
    </row>
    <row r="303">
      <c r="A303" s="13">
        <v>45901.0</v>
      </c>
      <c r="B303" s="14" t="s">
        <v>47</v>
      </c>
      <c r="C303" s="14" t="s">
        <v>48</v>
      </c>
      <c r="D303" s="14" t="s">
        <v>192</v>
      </c>
      <c r="E303" s="14" t="s">
        <v>193</v>
      </c>
      <c r="F303" s="15" t="s">
        <v>51</v>
      </c>
      <c r="G303" s="14" t="s">
        <v>194</v>
      </c>
      <c r="H303" s="14" t="s">
        <v>192</v>
      </c>
      <c r="I303" s="14" t="s">
        <v>54</v>
      </c>
      <c r="J303" s="14" t="s">
        <v>200</v>
      </c>
      <c r="K303" s="14" t="s">
        <v>231</v>
      </c>
      <c r="L303" s="14" t="s">
        <v>751</v>
      </c>
      <c r="M303" s="14" t="s">
        <v>752</v>
      </c>
      <c r="N303" s="14" t="s">
        <v>753</v>
      </c>
      <c r="O303" s="14">
        <v>65.0</v>
      </c>
      <c r="P303" s="23">
        <v>0.3045</v>
      </c>
      <c r="Q303" s="22" t="str">
        <f>"+20.58%"</f>
        <v>+20.58%</v>
      </c>
      <c r="R303" s="18" t="str">
        <f>"-0.89%"</f>
        <v>-0.89%</v>
      </c>
      <c r="S303" s="14" t="s">
        <v>681</v>
      </c>
    </row>
    <row r="304">
      <c r="A304" s="13">
        <v>45901.0</v>
      </c>
      <c r="B304" s="14" t="s">
        <v>47</v>
      </c>
      <c r="C304" s="14" t="s">
        <v>48</v>
      </c>
      <c r="D304" s="14" t="s">
        <v>66</v>
      </c>
      <c r="E304" s="14" t="s">
        <v>67</v>
      </c>
      <c r="F304" s="15" t="s">
        <v>51</v>
      </c>
      <c r="G304" s="14" t="s">
        <v>68</v>
      </c>
      <c r="H304" s="14" t="s">
        <v>66</v>
      </c>
      <c r="I304" s="14" t="s">
        <v>59</v>
      </c>
      <c r="J304" s="14" t="s">
        <v>199</v>
      </c>
      <c r="K304" s="14" t="s">
        <v>206</v>
      </c>
      <c r="L304" s="14" t="s">
        <v>268</v>
      </c>
      <c r="M304" s="14" t="s">
        <v>268</v>
      </c>
      <c r="N304" s="14" t="s">
        <v>269</v>
      </c>
      <c r="O304" s="14">
        <v>0.0</v>
      </c>
      <c r="P304" s="21">
        <v>0.0</v>
      </c>
      <c r="Q304" s="22" t="str">
        <f t="shared" ref="Q304:R304" si="178">"+0"</f>
        <v>+0</v>
      </c>
      <c r="R304" s="18" t="str">
        <f t="shared" si="178"/>
        <v>+0</v>
      </c>
      <c r="S304" s="14" t="s">
        <v>260</v>
      </c>
    </row>
    <row r="305">
      <c r="A305" s="13">
        <v>45901.0</v>
      </c>
      <c r="B305" s="14" t="s">
        <v>47</v>
      </c>
      <c r="C305" s="14" t="s">
        <v>48</v>
      </c>
      <c r="D305" s="14" t="s">
        <v>184</v>
      </c>
      <c r="E305" s="14" t="s">
        <v>185</v>
      </c>
      <c r="F305" s="15" t="s">
        <v>51</v>
      </c>
      <c r="G305" s="14" t="s">
        <v>186</v>
      </c>
      <c r="H305" s="14" t="s">
        <v>187</v>
      </c>
      <c r="I305" s="14" t="s">
        <v>59</v>
      </c>
      <c r="J305" s="14" t="s">
        <v>200</v>
      </c>
      <c r="K305" s="14" t="s">
        <v>224</v>
      </c>
      <c r="L305" s="14" t="s">
        <v>392</v>
      </c>
      <c r="M305" s="14" t="s">
        <v>754</v>
      </c>
      <c r="N305" s="14" t="s">
        <v>755</v>
      </c>
      <c r="O305" s="14">
        <v>0.0</v>
      </c>
      <c r="P305" s="17"/>
      <c r="Q305" s="22"/>
      <c r="S305" s="14" t="s">
        <v>756</v>
      </c>
    </row>
    <row r="306">
      <c r="A306" s="13">
        <v>45901.0</v>
      </c>
      <c r="B306" s="14" t="s">
        <v>47</v>
      </c>
      <c r="C306" s="14" t="s">
        <v>48</v>
      </c>
      <c r="D306" s="14" t="s">
        <v>192</v>
      </c>
      <c r="E306" s="14" t="s">
        <v>193</v>
      </c>
      <c r="F306" s="15" t="s">
        <v>51</v>
      </c>
      <c r="G306" s="14" t="s">
        <v>194</v>
      </c>
      <c r="H306" s="14" t="s">
        <v>192</v>
      </c>
      <c r="I306" s="14" t="s">
        <v>54</v>
      </c>
      <c r="J306" s="14" t="s">
        <v>200</v>
      </c>
      <c r="K306" s="14" t="s">
        <v>223</v>
      </c>
      <c r="L306" s="14" t="s">
        <v>253</v>
      </c>
      <c r="M306" s="14" t="s">
        <v>389</v>
      </c>
      <c r="N306" s="14" t="s">
        <v>390</v>
      </c>
      <c r="O306" s="14">
        <v>100.0</v>
      </c>
      <c r="P306" s="23">
        <v>1.0</v>
      </c>
      <c r="Q306" s="22" t="str">
        <f>"+2.51%"</f>
        <v>+2.51%</v>
      </c>
      <c r="R306" s="18" t="str">
        <f>"+0.00%"</f>
        <v>+0.00%</v>
      </c>
      <c r="S306" s="14" t="s">
        <v>757</v>
      </c>
    </row>
    <row r="307">
      <c r="A307" s="13">
        <v>45901.0</v>
      </c>
      <c r="B307" s="14" t="s">
        <v>47</v>
      </c>
      <c r="C307" s="14" t="s">
        <v>48</v>
      </c>
      <c r="D307" s="14" t="s">
        <v>143</v>
      </c>
      <c r="E307" s="14" t="s">
        <v>144</v>
      </c>
      <c r="F307" s="15" t="s">
        <v>51</v>
      </c>
      <c r="G307" s="14" t="s">
        <v>145</v>
      </c>
      <c r="H307" s="14" t="s">
        <v>143</v>
      </c>
      <c r="I307" s="14" t="s">
        <v>59</v>
      </c>
      <c r="J307" s="14" t="s">
        <v>200</v>
      </c>
      <c r="K307" s="14" t="s">
        <v>232</v>
      </c>
      <c r="L307" s="14" t="s">
        <v>705</v>
      </c>
      <c r="M307" s="14" t="s">
        <v>706</v>
      </c>
      <c r="N307" s="14" t="s">
        <v>707</v>
      </c>
      <c r="O307" s="14">
        <v>0.0</v>
      </c>
      <c r="P307" s="21">
        <v>0.0</v>
      </c>
      <c r="Q307" s="22" t="str">
        <f t="shared" ref="Q307:R307" si="179">"+0"</f>
        <v>+0</v>
      </c>
      <c r="R307" s="18" t="str">
        <f t="shared" si="179"/>
        <v>+0</v>
      </c>
      <c r="S307" s="14" t="s">
        <v>260</v>
      </c>
    </row>
    <row r="308">
      <c r="A308" s="13">
        <v>45901.0</v>
      </c>
      <c r="B308" s="14" t="s">
        <v>47</v>
      </c>
      <c r="C308" s="14" t="s">
        <v>48</v>
      </c>
      <c r="D308" s="14" t="s">
        <v>103</v>
      </c>
      <c r="E308" s="14" t="s">
        <v>104</v>
      </c>
      <c r="F308" s="15" t="s">
        <v>51</v>
      </c>
      <c r="G308" s="14" t="s">
        <v>105</v>
      </c>
      <c r="H308" s="14" t="s">
        <v>106</v>
      </c>
      <c r="I308" s="14" t="s">
        <v>59</v>
      </c>
      <c r="J308" s="14" t="s">
        <v>198</v>
      </c>
      <c r="K308" s="14" t="s">
        <v>210</v>
      </c>
      <c r="L308" s="14" t="s">
        <v>264</v>
      </c>
      <c r="M308" s="14" t="s">
        <v>357</v>
      </c>
      <c r="N308" s="14" t="s">
        <v>358</v>
      </c>
      <c r="O308" s="14">
        <v>100.0</v>
      </c>
      <c r="P308" s="21">
        <v>0.0</v>
      </c>
      <c r="Q308" s="22" t="str">
        <f t="shared" ref="Q308:R308" si="180">"+0"</f>
        <v>+0</v>
      </c>
      <c r="R308" s="18" t="str">
        <f t="shared" si="180"/>
        <v>+0</v>
      </c>
      <c r="S308" s="14" t="s">
        <v>281</v>
      </c>
    </row>
    <row r="309">
      <c r="A309" s="13">
        <v>45901.0</v>
      </c>
      <c r="B309" s="14" t="s">
        <v>47</v>
      </c>
      <c r="C309" s="14" t="s">
        <v>48</v>
      </c>
      <c r="D309" s="14" t="s">
        <v>73</v>
      </c>
      <c r="E309" s="14" t="s">
        <v>74</v>
      </c>
      <c r="F309" s="15" t="s">
        <v>51</v>
      </c>
      <c r="G309" s="14" t="s">
        <v>75</v>
      </c>
      <c r="H309" s="14" t="s">
        <v>76</v>
      </c>
      <c r="I309" s="14" t="s">
        <v>59</v>
      </c>
      <c r="J309" s="14" t="s">
        <v>200</v>
      </c>
      <c r="K309" s="14" t="s">
        <v>232</v>
      </c>
      <c r="L309" s="14" t="s">
        <v>607</v>
      </c>
      <c r="M309" s="14" t="s">
        <v>758</v>
      </c>
      <c r="N309" s="14" t="s">
        <v>759</v>
      </c>
      <c r="O309" s="14">
        <v>0.0</v>
      </c>
      <c r="P309" s="23">
        <v>-1.0</v>
      </c>
      <c r="Q309" s="22" t="str">
        <f t="shared" ref="Q309:R309" si="181">"+0.00%"</f>
        <v>+0.00%</v>
      </c>
      <c r="R309" s="18" t="str">
        <f t="shared" si="181"/>
        <v>+0.00%</v>
      </c>
      <c r="S309" s="14" t="s">
        <v>760</v>
      </c>
    </row>
    <row r="310">
      <c r="A310" s="13">
        <v>45901.0</v>
      </c>
      <c r="B310" s="14" t="s">
        <v>47</v>
      </c>
      <c r="C310" s="14" t="s">
        <v>48</v>
      </c>
      <c r="D310" s="14" t="s">
        <v>136</v>
      </c>
      <c r="E310" s="14" t="s">
        <v>137</v>
      </c>
      <c r="F310" s="15" t="s">
        <v>51</v>
      </c>
      <c r="G310" s="14" t="s">
        <v>138</v>
      </c>
      <c r="H310" s="14" t="s">
        <v>139</v>
      </c>
      <c r="I310" s="14" t="s">
        <v>59</v>
      </c>
      <c r="J310" s="14" t="s">
        <v>200</v>
      </c>
      <c r="K310" s="14" t="s">
        <v>224</v>
      </c>
      <c r="L310" s="14" t="s">
        <v>392</v>
      </c>
      <c r="M310" s="14" t="s">
        <v>393</v>
      </c>
      <c r="N310" s="14" t="s">
        <v>394</v>
      </c>
      <c r="O310" s="14">
        <v>100.0</v>
      </c>
      <c r="P310" s="23">
        <v>1.0</v>
      </c>
      <c r="Q310" s="22" t="str">
        <f>"+0.00%"</f>
        <v>+0.00%</v>
      </c>
      <c r="S310" s="14" t="s">
        <v>761</v>
      </c>
    </row>
    <row r="311">
      <c r="A311" s="13">
        <v>45901.0</v>
      </c>
      <c r="B311" s="14" t="s">
        <v>47</v>
      </c>
      <c r="C311" s="14" t="s">
        <v>48</v>
      </c>
      <c r="D311" s="14" t="s">
        <v>129</v>
      </c>
      <c r="E311" s="14" t="s">
        <v>130</v>
      </c>
      <c r="F311" s="15" t="s">
        <v>51</v>
      </c>
      <c r="G311" s="14" t="s">
        <v>131</v>
      </c>
      <c r="H311" s="14" t="s">
        <v>129</v>
      </c>
      <c r="I311" s="14" t="s">
        <v>59</v>
      </c>
      <c r="J311" s="14" t="s">
        <v>200</v>
      </c>
      <c r="K311" s="14" t="s">
        <v>231</v>
      </c>
      <c r="L311" s="14" t="s">
        <v>762</v>
      </c>
      <c r="M311" s="14" t="s">
        <v>763</v>
      </c>
      <c r="N311" s="14" t="s">
        <v>764</v>
      </c>
      <c r="O311" s="14">
        <v>0.0</v>
      </c>
      <c r="P311" s="21">
        <v>0.0</v>
      </c>
      <c r="Q311" s="22" t="str">
        <f t="shared" ref="Q311:R311" si="182">"+0"</f>
        <v>+0</v>
      </c>
      <c r="R311" s="18" t="str">
        <f t="shared" si="182"/>
        <v>+0</v>
      </c>
      <c r="S311" s="14" t="s">
        <v>260</v>
      </c>
    </row>
    <row r="312">
      <c r="A312" s="13">
        <v>45901.0</v>
      </c>
      <c r="B312" s="14" t="s">
        <v>47</v>
      </c>
      <c r="C312" s="14" t="s">
        <v>48</v>
      </c>
      <c r="D312" s="14" t="s">
        <v>87</v>
      </c>
      <c r="E312" s="14" t="s">
        <v>88</v>
      </c>
      <c r="F312" s="15" t="s">
        <v>51</v>
      </c>
      <c r="G312" s="14" t="s">
        <v>89</v>
      </c>
      <c r="H312" s="14" t="s">
        <v>90</v>
      </c>
      <c r="I312" s="14" t="s">
        <v>59</v>
      </c>
      <c r="J312" s="14" t="s">
        <v>200</v>
      </c>
      <c r="K312" s="14" t="s">
        <v>223</v>
      </c>
      <c r="L312" s="14" t="s">
        <v>607</v>
      </c>
      <c r="M312" s="14" t="s">
        <v>765</v>
      </c>
      <c r="N312" s="14" t="s">
        <v>766</v>
      </c>
      <c r="O312" s="14">
        <v>100.0</v>
      </c>
      <c r="P312" s="21">
        <v>6.0</v>
      </c>
      <c r="Q312" s="22" t="str">
        <f t="shared" ref="Q312:R312" si="183">"+0"</f>
        <v>+0</v>
      </c>
      <c r="R312" s="18" t="str">
        <f t="shared" si="183"/>
        <v>+0</v>
      </c>
      <c r="S312" s="14" t="s">
        <v>260</v>
      </c>
    </row>
    <row r="313">
      <c r="A313" s="13">
        <v>45901.0</v>
      </c>
      <c r="B313" s="14" t="s">
        <v>47</v>
      </c>
      <c r="C313" s="14" t="s">
        <v>48</v>
      </c>
      <c r="D313" s="14" t="s">
        <v>85</v>
      </c>
      <c r="E313" s="14" t="s">
        <v>86</v>
      </c>
      <c r="F313" s="14" t="s">
        <v>71</v>
      </c>
      <c r="G313" s="14">
        <v>88285.0</v>
      </c>
      <c r="H313" s="14" t="s">
        <v>85</v>
      </c>
      <c r="I313" s="14" t="s">
        <v>59</v>
      </c>
      <c r="J313" s="14" t="s">
        <v>199</v>
      </c>
      <c r="K313" s="14" t="s">
        <v>206</v>
      </c>
      <c r="L313" s="14" t="s">
        <v>295</v>
      </c>
      <c r="M313" s="14" t="s">
        <v>461</v>
      </c>
      <c r="N313" s="14" t="s">
        <v>462</v>
      </c>
      <c r="O313" s="14">
        <v>0.0</v>
      </c>
      <c r="P313" s="21">
        <v>0.0</v>
      </c>
      <c r="Q313" s="22" t="str">
        <f t="shared" ref="Q313:R313" si="184">"+0"</f>
        <v>+0</v>
      </c>
      <c r="R313" s="18" t="str">
        <f t="shared" si="184"/>
        <v>+0</v>
      </c>
      <c r="S313" s="14" t="s">
        <v>260</v>
      </c>
    </row>
    <row r="314">
      <c r="A314" s="13">
        <v>45901.0</v>
      </c>
      <c r="B314" s="14" t="s">
        <v>47</v>
      </c>
      <c r="C314" s="14" t="s">
        <v>48</v>
      </c>
      <c r="D314" s="14" t="s">
        <v>85</v>
      </c>
      <c r="E314" s="14" t="s">
        <v>86</v>
      </c>
      <c r="F314" s="15" t="s">
        <v>51</v>
      </c>
      <c r="G314" s="14" t="s">
        <v>148</v>
      </c>
      <c r="H314" s="14" t="s">
        <v>85</v>
      </c>
      <c r="I314" s="14" t="s">
        <v>59</v>
      </c>
      <c r="J314" s="14" t="s">
        <v>199</v>
      </c>
      <c r="K314" s="14" t="s">
        <v>206</v>
      </c>
      <c r="L314" s="14" t="s">
        <v>295</v>
      </c>
      <c r="M314" s="14" t="s">
        <v>529</v>
      </c>
      <c r="N314" s="14" t="s">
        <v>530</v>
      </c>
      <c r="O314" s="14">
        <v>100.0</v>
      </c>
      <c r="P314" s="21">
        <v>1.0</v>
      </c>
      <c r="Q314" s="22" t="str">
        <f t="shared" ref="Q314:R314" si="185">"+0"</f>
        <v>+0</v>
      </c>
      <c r="R314" s="18" t="str">
        <f t="shared" si="185"/>
        <v>+0</v>
      </c>
      <c r="S314" s="14" t="s">
        <v>260</v>
      </c>
    </row>
    <row r="315">
      <c r="A315" s="13">
        <v>45901.0</v>
      </c>
      <c r="B315" s="14" t="s">
        <v>47</v>
      </c>
      <c r="C315" s="14" t="s">
        <v>48</v>
      </c>
      <c r="D315" s="14" t="s">
        <v>85</v>
      </c>
      <c r="E315" s="14" t="s">
        <v>86</v>
      </c>
      <c r="F315" s="15" t="s">
        <v>51</v>
      </c>
      <c r="G315" s="14" t="s">
        <v>148</v>
      </c>
      <c r="H315" s="14" t="s">
        <v>85</v>
      </c>
      <c r="I315" s="14" t="s">
        <v>59</v>
      </c>
      <c r="J315" s="14" t="s">
        <v>198</v>
      </c>
      <c r="K315" s="14" t="s">
        <v>205</v>
      </c>
      <c r="L315" s="14" t="s">
        <v>274</v>
      </c>
      <c r="M315" s="14" t="s">
        <v>767</v>
      </c>
      <c r="N315" s="14" t="s">
        <v>768</v>
      </c>
      <c r="O315" s="14">
        <v>100.0</v>
      </c>
      <c r="P315" s="21">
        <v>1.0</v>
      </c>
      <c r="Q315" s="22" t="str">
        <f t="shared" ref="Q315:Q316" si="186">"+0"</f>
        <v>+0</v>
      </c>
      <c r="S315" s="14" t="s">
        <v>281</v>
      </c>
    </row>
    <row r="316">
      <c r="A316" s="13">
        <v>45901.0</v>
      </c>
      <c r="B316" s="14" t="s">
        <v>47</v>
      </c>
      <c r="C316" s="14" t="s">
        <v>48</v>
      </c>
      <c r="D316" s="14" t="s">
        <v>77</v>
      </c>
      <c r="E316" s="14" t="s">
        <v>78</v>
      </c>
      <c r="F316" s="15" t="s">
        <v>51</v>
      </c>
      <c r="G316" s="14" t="s">
        <v>128</v>
      </c>
      <c r="H316" s="14" t="s">
        <v>81</v>
      </c>
      <c r="I316" s="14" t="s">
        <v>59</v>
      </c>
      <c r="J316" s="14" t="s">
        <v>198</v>
      </c>
      <c r="K316" s="14" t="s">
        <v>205</v>
      </c>
      <c r="L316" s="14" t="s">
        <v>274</v>
      </c>
      <c r="M316" s="14" t="s">
        <v>275</v>
      </c>
      <c r="N316" s="14" t="s">
        <v>276</v>
      </c>
      <c r="O316" s="14">
        <v>0.0</v>
      </c>
      <c r="P316" s="21">
        <v>1.0</v>
      </c>
      <c r="Q316" s="22" t="str">
        <f t="shared" si="186"/>
        <v>+0</v>
      </c>
      <c r="S316" s="14" t="s">
        <v>277</v>
      </c>
    </row>
    <row r="317">
      <c r="A317" s="13">
        <v>45901.0</v>
      </c>
      <c r="B317" s="14" t="s">
        <v>47</v>
      </c>
      <c r="C317" s="14" t="s">
        <v>48</v>
      </c>
      <c r="D317" s="14" t="s">
        <v>116</v>
      </c>
      <c r="E317" s="14" t="s">
        <v>117</v>
      </c>
      <c r="F317" s="15" t="s">
        <v>51</v>
      </c>
      <c r="G317" s="14" t="s">
        <v>161</v>
      </c>
      <c r="H317" s="14" t="s">
        <v>116</v>
      </c>
      <c r="I317" s="14" t="s">
        <v>54</v>
      </c>
      <c r="J317" s="14" t="s">
        <v>200</v>
      </c>
      <c r="K317" s="14" t="s">
        <v>224</v>
      </c>
      <c r="L317" s="14" t="s">
        <v>427</v>
      </c>
      <c r="M317" s="14" t="s">
        <v>769</v>
      </c>
      <c r="N317" s="14" t="s">
        <v>770</v>
      </c>
      <c r="O317" s="14">
        <v>0.0</v>
      </c>
      <c r="P317" s="23">
        <v>0.0</v>
      </c>
      <c r="Q317" s="22"/>
      <c r="S317" s="14" t="s">
        <v>771</v>
      </c>
    </row>
    <row r="318">
      <c r="A318" s="13">
        <v>45901.0</v>
      </c>
      <c r="B318" s="14" t="s">
        <v>47</v>
      </c>
      <c r="C318" s="14" t="s">
        <v>48</v>
      </c>
      <c r="D318" s="14" t="s">
        <v>77</v>
      </c>
      <c r="E318" s="14" t="s">
        <v>78</v>
      </c>
      <c r="F318" s="14" t="s">
        <v>79</v>
      </c>
      <c r="G318" s="14" t="s">
        <v>80</v>
      </c>
      <c r="H318" s="14" t="s">
        <v>81</v>
      </c>
      <c r="J318" s="14" t="s">
        <v>200</v>
      </c>
      <c r="K318" s="14" t="s">
        <v>238</v>
      </c>
      <c r="L318" s="14" t="s">
        <v>253</v>
      </c>
      <c r="M318" s="14" t="s">
        <v>772</v>
      </c>
      <c r="N318" s="14" t="s">
        <v>773</v>
      </c>
      <c r="O318" s="14">
        <v>17.0</v>
      </c>
      <c r="P318" s="23">
        <v>0.1731</v>
      </c>
      <c r="Q318" s="22" t="str">
        <f>"+11.54%"</f>
        <v>+11.54%</v>
      </c>
      <c r="R318" s="18" t="str">
        <f>"+11.43%"</f>
        <v>+11.43%</v>
      </c>
      <c r="S318" s="14" t="s">
        <v>774</v>
      </c>
    </row>
    <row r="319">
      <c r="A319" s="13">
        <v>45901.0</v>
      </c>
      <c r="B319" s="14" t="s">
        <v>47</v>
      </c>
      <c r="C319" s="14" t="s">
        <v>48</v>
      </c>
      <c r="D319" s="14" t="s">
        <v>108</v>
      </c>
      <c r="E319" s="14" t="s">
        <v>109</v>
      </c>
      <c r="F319" s="15" t="s">
        <v>51</v>
      </c>
      <c r="G319" s="14" t="s">
        <v>110</v>
      </c>
      <c r="H319" s="14" t="s">
        <v>108</v>
      </c>
      <c r="I319" s="14" t="s">
        <v>59</v>
      </c>
      <c r="J319" s="14" t="s">
        <v>200</v>
      </c>
      <c r="K319" s="14" t="s">
        <v>202</v>
      </c>
      <c r="L319" s="14" t="s">
        <v>253</v>
      </c>
      <c r="M319" s="14" t="s">
        <v>347</v>
      </c>
      <c r="N319" s="14" t="s">
        <v>348</v>
      </c>
      <c r="O319" s="14">
        <v>13.0</v>
      </c>
      <c r="P319" s="23">
        <v>0.1429</v>
      </c>
      <c r="Q319" s="22" t="str">
        <f t="shared" ref="Q319:R319" si="187">"+14.29%"</f>
        <v>+14.29%</v>
      </c>
      <c r="R319" s="18" t="str">
        <f t="shared" si="187"/>
        <v>+14.29%</v>
      </c>
      <c r="S319" s="14" t="s">
        <v>775</v>
      </c>
    </row>
    <row r="320">
      <c r="A320" s="13">
        <v>45901.0</v>
      </c>
      <c r="B320" s="14" t="s">
        <v>47</v>
      </c>
      <c r="C320" s="14" t="s">
        <v>48</v>
      </c>
      <c r="D320" s="14" t="s">
        <v>60</v>
      </c>
      <c r="E320" s="14" t="s">
        <v>61</v>
      </c>
      <c r="F320" s="15" t="s">
        <v>51</v>
      </c>
      <c r="G320" s="14" t="s">
        <v>62</v>
      </c>
      <c r="H320" s="14" t="s">
        <v>60</v>
      </c>
      <c r="I320" s="14" t="s">
        <v>59</v>
      </c>
      <c r="J320" s="14" t="s">
        <v>200</v>
      </c>
      <c r="K320" s="14" t="s">
        <v>247</v>
      </c>
      <c r="L320" s="14" t="s">
        <v>253</v>
      </c>
      <c r="M320" s="14" t="s">
        <v>776</v>
      </c>
      <c r="N320" s="14" t="s">
        <v>777</v>
      </c>
      <c r="O320" s="14">
        <v>9.0</v>
      </c>
      <c r="P320" s="23">
        <v>0.0998</v>
      </c>
      <c r="Q320" s="22" t="str">
        <f>"-0.17%"</f>
        <v>-0.17%</v>
      </c>
      <c r="R320" s="18" t="str">
        <f>"+3.19%"</f>
        <v>+3.19%</v>
      </c>
      <c r="S320" s="14" t="s">
        <v>778</v>
      </c>
    </row>
    <row r="321">
      <c r="A321" s="13">
        <v>45901.0</v>
      </c>
      <c r="B321" s="14" t="s">
        <v>47</v>
      </c>
      <c r="C321" s="14" t="s">
        <v>48</v>
      </c>
      <c r="D321" s="14" t="s">
        <v>60</v>
      </c>
      <c r="E321" s="14" t="s">
        <v>61</v>
      </c>
      <c r="F321" s="15" t="s">
        <v>51</v>
      </c>
      <c r="G321" s="14" t="s">
        <v>62</v>
      </c>
      <c r="H321" s="14" t="s">
        <v>60</v>
      </c>
      <c r="I321" s="14" t="s">
        <v>59</v>
      </c>
      <c r="J321" s="14" t="s">
        <v>200</v>
      </c>
      <c r="K321" s="14" t="s">
        <v>216</v>
      </c>
      <c r="L321" s="14" t="s">
        <v>779</v>
      </c>
      <c r="M321" s="14" t="s">
        <v>780</v>
      </c>
      <c r="N321" s="14" t="s">
        <v>781</v>
      </c>
      <c r="O321" s="14">
        <v>33.0</v>
      </c>
      <c r="P321" s="23">
        <v>0.3333</v>
      </c>
      <c r="Q321" s="22" t="str">
        <f>"+9.80%"</f>
        <v>+9.80%</v>
      </c>
      <c r="R321" s="18" t="str">
        <f>"-7.09%"</f>
        <v>-7.09%</v>
      </c>
      <c r="S321" s="14" t="s">
        <v>782</v>
      </c>
    </row>
    <row r="322">
      <c r="A322" s="13">
        <v>45901.0</v>
      </c>
      <c r="B322" s="14" t="s">
        <v>47</v>
      </c>
      <c r="C322" s="14" t="s">
        <v>48</v>
      </c>
      <c r="D322" s="14" t="s">
        <v>140</v>
      </c>
      <c r="E322" s="14" t="s">
        <v>141</v>
      </c>
      <c r="F322" s="15" t="s">
        <v>51</v>
      </c>
      <c r="G322" s="14" t="s">
        <v>142</v>
      </c>
      <c r="H322" s="14" t="s">
        <v>140</v>
      </c>
      <c r="I322" s="14" t="s">
        <v>59</v>
      </c>
      <c r="J322" s="14" t="s">
        <v>199</v>
      </c>
      <c r="K322" s="14" t="s">
        <v>206</v>
      </c>
      <c r="L322" s="14" t="s">
        <v>295</v>
      </c>
      <c r="M322" s="14" t="s">
        <v>296</v>
      </c>
      <c r="N322" s="14" t="s">
        <v>297</v>
      </c>
      <c r="O322" s="14">
        <v>0.0</v>
      </c>
      <c r="P322" s="21">
        <v>0.0</v>
      </c>
      <c r="Q322" s="22" t="str">
        <f t="shared" ref="Q322:R322" si="188">"+0"</f>
        <v>+0</v>
      </c>
      <c r="R322" s="18" t="str">
        <f t="shared" si="188"/>
        <v>+0</v>
      </c>
      <c r="S322" s="14" t="s">
        <v>260</v>
      </c>
    </row>
    <row r="323">
      <c r="A323" s="13">
        <v>45901.0</v>
      </c>
      <c r="B323" s="14" t="s">
        <v>47</v>
      </c>
      <c r="C323" s="14" t="s">
        <v>48</v>
      </c>
      <c r="D323" s="14" t="s">
        <v>49</v>
      </c>
      <c r="E323" s="14" t="s">
        <v>50</v>
      </c>
      <c r="F323" s="15" t="s">
        <v>51</v>
      </c>
      <c r="G323" s="14" t="s">
        <v>52</v>
      </c>
      <c r="H323" s="14" t="s">
        <v>53</v>
      </c>
      <c r="I323" s="14" t="s">
        <v>54</v>
      </c>
      <c r="J323" s="14" t="s">
        <v>198</v>
      </c>
      <c r="K323" s="14" t="s">
        <v>212</v>
      </c>
      <c r="L323" s="14" t="s">
        <v>344</v>
      </c>
      <c r="M323" s="14" t="s">
        <v>580</v>
      </c>
      <c r="N323" s="14" t="s">
        <v>581</v>
      </c>
      <c r="O323" s="14">
        <v>100.0</v>
      </c>
      <c r="P323" s="21">
        <v>1.0</v>
      </c>
      <c r="Q323" s="22" t="str">
        <f>"+1"</f>
        <v>+1</v>
      </c>
      <c r="S323" s="14" t="s">
        <v>281</v>
      </c>
    </row>
    <row r="324">
      <c r="A324" s="13">
        <v>45901.0</v>
      </c>
      <c r="B324" s="14" t="s">
        <v>47</v>
      </c>
      <c r="C324" s="14" t="s">
        <v>48</v>
      </c>
      <c r="D324" s="14" t="s">
        <v>49</v>
      </c>
      <c r="E324" s="14" t="s">
        <v>50</v>
      </c>
      <c r="F324" s="15" t="s">
        <v>51</v>
      </c>
      <c r="G324" s="14" t="s">
        <v>52</v>
      </c>
      <c r="H324" s="14" t="s">
        <v>53</v>
      </c>
      <c r="I324" s="14" t="s">
        <v>54</v>
      </c>
      <c r="J324" s="14" t="s">
        <v>198</v>
      </c>
      <c r="K324" s="14" t="s">
        <v>210</v>
      </c>
      <c r="L324" s="14" t="s">
        <v>458</v>
      </c>
      <c r="M324" s="14" t="s">
        <v>742</v>
      </c>
      <c r="N324" s="14" t="s">
        <v>743</v>
      </c>
      <c r="O324" s="14">
        <v>0.0</v>
      </c>
      <c r="P324" s="21">
        <v>0.0</v>
      </c>
      <c r="Q324" s="22" t="str">
        <f t="shared" ref="Q324:R324" si="189">"+0"</f>
        <v>+0</v>
      </c>
      <c r="R324" s="18" t="str">
        <f t="shared" si="189"/>
        <v>+0</v>
      </c>
      <c r="S324" s="14" t="s">
        <v>277</v>
      </c>
    </row>
    <row r="325">
      <c r="A325" s="13">
        <v>45901.0</v>
      </c>
      <c r="B325" s="14" t="s">
        <v>47</v>
      </c>
      <c r="C325" s="14" t="s">
        <v>48</v>
      </c>
      <c r="D325" s="14" t="s">
        <v>49</v>
      </c>
      <c r="E325" s="14" t="s">
        <v>50</v>
      </c>
      <c r="F325" s="15" t="s">
        <v>51</v>
      </c>
      <c r="G325" s="14" t="s">
        <v>52</v>
      </c>
      <c r="H325" s="14" t="s">
        <v>53</v>
      </c>
      <c r="I325" s="14" t="s">
        <v>54</v>
      </c>
      <c r="J325" s="14" t="s">
        <v>198</v>
      </c>
      <c r="K325" s="14" t="s">
        <v>212</v>
      </c>
      <c r="L325" s="14" t="s">
        <v>249</v>
      </c>
      <c r="M325" s="14" t="s">
        <v>598</v>
      </c>
      <c r="N325" s="14" t="s">
        <v>599</v>
      </c>
      <c r="O325" s="14">
        <v>89.0</v>
      </c>
      <c r="P325" s="21">
        <v>6930.0</v>
      </c>
      <c r="Q325" s="22" t="str">
        <f>"-236"</f>
        <v>-236</v>
      </c>
      <c r="R325" s="18" t="str">
        <f>"-30"</f>
        <v>-30</v>
      </c>
      <c r="S325" s="14" t="s">
        <v>783</v>
      </c>
    </row>
    <row r="326">
      <c r="A326" s="13">
        <v>45901.0</v>
      </c>
      <c r="B326" s="14" t="s">
        <v>47</v>
      </c>
      <c r="C326" s="14" t="s">
        <v>48</v>
      </c>
      <c r="D326" s="14" t="s">
        <v>91</v>
      </c>
      <c r="E326" s="14" t="s">
        <v>92</v>
      </c>
      <c r="F326" s="15" t="s">
        <v>51</v>
      </c>
      <c r="G326" s="14" t="s">
        <v>163</v>
      </c>
      <c r="H326" s="14" t="s">
        <v>91</v>
      </c>
      <c r="I326" s="14" t="s">
        <v>59</v>
      </c>
      <c r="J326" s="14" t="s">
        <v>199</v>
      </c>
      <c r="K326" s="14" t="s">
        <v>206</v>
      </c>
      <c r="L326" s="14" t="s">
        <v>381</v>
      </c>
      <c r="M326" s="14" t="s">
        <v>381</v>
      </c>
      <c r="N326" s="14" t="s">
        <v>382</v>
      </c>
      <c r="O326" s="14">
        <v>0.0</v>
      </c>
      <c r="P326" s="21">
        <v>0.0</v>
      </c>
      <c r="Q326" s="22" t="str">
        <f t="shared" ref="Q326:R326" si="190">"+0"</f>
        <v>+0</v>
      </c>
      <c r="R326" s="18" t="str">
        <f t="shared" si="190"/>
        <v>+0</v>
      </c>
      <c r="S326" s="14" t="s">
        <v>383</v>
      </c>
    </row>
    <row r="327">
      <c r="A327" s="13">
        <v>45901.0</v>
      </c>
      <c r="B327" s="14" t="s">
        <v>47</v>
      </c>
      <c r="C327" s="14" t="s">
        <v>48</v>
      </c>
      <c r="D327" s="14" t="s">
        <v>99</v>
      </c>
      <c r="E327" s="14" t="s">
        <v>100</v>
      </c>
      <c r="F327" s="15" t="s">
        <v>51</v>
      </c>
      <c r="G327" s="14" t="s">
        <v>101</v>
      </c>
      <c r="H327" s="14" t="s">
        <v>102</v>
      </c>
      <c r="I327" s="14" t="s">
        <v>54</v>
      </c>
      <c r="J327" s="14" t="s">
        <v>199</v>
      </c>
      <c r="K327" s="14" t="s">
        <v>203</v>
      </c>
      <c r="L327" s="14" t="s">
        <v>725</v>
      </c>
      <c r="M327" s="14" t="s">
        <v>725</v>
      </c>
      <c r="N327" s="14" t="s">
        <v>726</v>
      </c>
      <c r="O327" s="14">
        <v>100.0</v>
      </c>
      <c r="P327" s="21">
        <v>1.0</v>
      </c>
      <c r="Q327" s="22" t="str">
        <f t="shared" ref="Q327:R327" si="191">"-1"</f>
        <v>-1</v>
      </c>
      <c r="R327" s="18" t="str">
        <f t="shared" si="191"/>
        <v>-1</v>
      </c>
      <c r="S327" s="14" t="s">
        <v>260</v>
      </c>
    </row>
    <row r="328">
      <c r="A328" s="13">
        <v>45901.0</v>
      </c>
      <c r="B328" s="14" t="s">
        <v>47</v>
      </c>
      <c r="C328" s="14" t="s">
        <v>48</v>
      </c>
      <c r="D328" s="14" t="s">
        <v>91</v>
      </c>
      <c r="E328" s="14" t="s">
        <v>92</v>
      </c>
      <c r="F328" s="14" t="s">
        <v>71</v>
      </c>
      <c r="G328" s="14">
        <v>5.00008613E8</v>
      </c>
      <c r="H328" s="14" t="s">
        <v>91</v>
      </c>
      <c r="I328" s="14" t="s">
        <v>59</v>
      </c>
      <c r="J328" s="14" t="s">
        <v>200</v>
      </c>
      <c r="K328" s="14" t="s">
        <v>218</v>
      </c>
      <c r="L328" s="14" t="s">
        <v>253</v>
      </c>
      <c r="M328" s="14" t="s">
        <v>784</v>
      </c>
      <c r="N328" s="14" t="s">
        <v>785</v>
      </c>
      <c r="O328" s="14">
        <v>1.0</v>
      </c>
      <c r="P328" s="23">
        <v>5.0E-4</v>
      </c>
      <c r="Q328" s="22" t="str">
        <f>"+0.00%"</f>
        <v>+0.00%</v>
      </c>
      <c r="R328" s="18" t="str">
        <f>"+0.01%"</f>
        <v>+0.01%</v>
      </c>
      <c r="S328" s="14" t="s">
        <v>786</v>
      </c>
    </row>
    <row r="329">
      <c r="A329" s="13">
        <v>45901.0</v>
      </c>
      <c r="B329" s="14" t="s">
        <v>47</v>
      </c>
      <c r="C329" s="14" t="s">
        <v>48</v>
      </c>
      <c r="D329" s="14" t="s">
        <v>91</v>
      </c>
      <c r="E329" s="14" t="s">
        <v>92</v>
      </c>
      <c r="F329" s="15" t="s">
        <v>51</v>
      </c>
      <c r="G329" s="14" t="s">
        <v>163</v>
      </c>
      <c r="H329" s="14" t="s">
        <v>91</v>
      </c>
      <c r="I329" s="14" t="s">
        <v>59</v>
      </c>
      <c r="J329" s="14" t="s">
        <v>199</v>
      </c>
      <c r="K329" s="14" t="s">
        <v>203</v>
      </c>
      <c r="L329" s="14" t="s">
        <v>340</v>
      </c>
      <c r="M329" s="14" t="s">
        <v>340</v>
      </c>
      <c r="N329" s="14" t="s">
        <v>341</v>
      </c>
      <c r="O329" s="14">
        <v>0.0</v>
      </c>
      <c r="P329" s="21">
        <v>0.0</v>
      </c>
      <c r="Q329" s="22" t="str">
        <f>"-1"</f>
        <v>-1</v>
      </c>
      <c r="R329" s="18" t="str">
        <f>"-3"</f>
        <v>-3</v>
      </c>
      <c r="S329" s="14" t="s">
        <v>260</v>
      </c>
    </row>
    <row r="330">
      <c r="A330" s="13">
        <v>45901.0</v>
      </c>
      <c r="B330" s="14" t="s">
        <v>47</v>
      </c>
      <c r="C330" s="14" t="s">
        <v>48</v>
      </c>
      <c r="D330" s="14" t="s">
        <v>91</v>
      </c>
      <c r="E330" s="14" t="s">
        <v>92</v>
      </c>
      <c r="F330" s="14" t="s">
        <v>71</v>
      </c>
      <c r="G330" s="14">
        <v>1.00004432E8</v>
      </c>
      <c r="H330" s="14" t="s">
        <v>91</v>
      </c>
      <c r="I330" s="14" t="s">
        <v>59</v>
      </c>
      <c r="J330" s="14" t="s">
        <v>200</v>
      </c>
      <c r="K330" s="14" t="s">
        <v>218</v>
      </c>
      <c r="L330" s="14" t="s">
        <v>253</v>
      </c>
      <c r="M330" s="14" t="s">
        <v>784</v>
      </c>
      <c r="N330" s="14" t="s">
        <v>785</v>
      </c>
      <c r="O330" s="14">
        <v>47.0</v>
      </c>
      <c r="P330" s="23">
        <v>0.4741</v>
      </c>
      <c r="Q330" s="22" t="str">
        <f>"+3.39%"</f>
        <v>+3.39%</v>
      </c>
      <c r="R330" s="18" t="str">
        <f>"+16.89%"</f>
        <v>+16.89%</v>
      </c>
      <c r="S330" s="14" t="s">
        <v>787</v>
      </c>
    </row>
    <row r="331">
      <c r="A331" s="13">
        <v>45901.0</v>
      </c>
      <c r="B331" s="14" t="s">
        <v>47</v>
      </c>
      <c r="C331" s="14" t="s">
        <v>48</v>
      </c>
      <c r="D331" s="14" t="s">
        <v>99</v>
      </c>
      <c r="E331" s="14" t="s">
        <v>100</v>
      </c>
      <c r="F331" s="15" t="s">
        <v>51</v>
      </c>
      <c r="G331" s="14" t="s">
        <v>101</v>
      </c>
      <c r="H331" s="14" t="s">
        <v>102</v>
      </c>
      <c r="I331" s="14" t="s">
        <v>54</v>
      </c>
      <c r="J331" s="14" t="s">
        <v>198</v>
      </c>
      <c r="K331" s="14" t="s">
        <v>205</v>
      </c>
      <c r="L331" s="14" t="s">
        <v>274</v>
      </c>
      <c r="M331" s="14" t="s">
        <v>425</v>
      </c>
      <c r="N331" s="14" t="s">
        <v>426</v>
      </c>
      <c r="O331" s="14">
        <v>0.0</v>
      </c>
      <c r="P331" s="21">
        <v>0.0</v>
      </c>
      <c r="Q331" s="22" t="str">
        <f>"+0"</f>
        <v>+0</v>
      </c>
      <c r="S331" s="14" t="s">
        <v>281</v>
      </c>
    </row>
    <row r="332">
      <c r="A332" s="13">
        <v>45901.0</v>
      </c>
      <c r="B332" s="14" t="s">
        <v>47</v>
      </c>
      <c r="C332" s="14" t="s">
        <v>48</v>
      </c>
      <c r="D332" s="14" t="s">
        <v>192</v>
      </c>
      <c r="E332" s="14" t="s">
        <v>193</v>
      </c>
      <c r="F332" s="15" t="s">
        <v>51</v>
      </c>
      <c r="G332" s="14" t="s">
        <v>194</v>
      </c>
      <c r="H332" s="14" t="s">
        <v>192</v>
      </c>
      <c r="I332" s="14" t="s">
        <v>54</v>
      </c>
      <c r="J332" s="14" t="s">
        <v>200</v>
      </c>
      <c r="K332" s="14" t="s">
        <v>231</v>
      </c>
      <c r="L332" s="14" t="s">
        <v>512</v>
      </c>
      <c r="M332" s="14" t="s">
        <v>513</v>
      </c>
      <c r="N332" s="14" t="s">
        <v>514</v>
      </c>
      <c r="O332" s="14">
        <v>100.0</v>
      </c>
      <c r="P332" s="21">
        <v>76.0</v>
      </c>
      <c r="Q332" s="22" t="str">
        <f>"+44"</f>
        <v>+44</v>
      </c>
      <c r="R332" s="18" t="str">
        <f>"-98"</f>
        <v>-98</v>
      </c>
      <c r="S332" s="14" t="s">
        <v>260</v>
      </c>
    </row>
    <row r="333">
      <c r="A333" s="13">
        <v>45901.0</v>
      </c>
      <c r="B333" s="14" t="s">
        <v>47</v>
      </c>
      <c r="C333" s="14" t="s">
        <v>48</v>
      </c>
      <c r="D333" s="14" t="s">
        <v>143</v>
      </c>
      <c r="E333" s="14" t="s">
        <v>144</v>
      </c>
      <c r="F333" s="15" t="s">
        <v>51</v>
      </c>
      <c r="G333" s="14" t="s">
        <v>145</v>
      </c>
      <c r="H333" s="14" t="s">
        <v>143</v>
      </c>
      <c r="I333" s="14" t="s">
        <v>59</v>
      </c>
      <c r="J333" s="14" t="s">
        <v>200</v>
      </c>
      <c r="K333" s="14" t="s">
        <v>232</v>
      </c>
      <c r="L333" s="14" t="s">
        <v>487</v>
      </c>
      <c r="M333" s="14" t="s">
        <v>788</v>
      </c>
      <c r="N333" s="14" t="s">
        <v>789</v>
      </c>
      <c r="O333" s="14">
        <v>100.0</v>
      </c>
      <c r="P333" s="23">
        <v>0.1923</v>
      </c>
      <c r="Q333" s="22" t="str">
        <f>"+14.88%"</f>
        <v>+14.88%</v>
      </c>
      <c r="R333" s="18" t="str">
        <f>"+6.33%"</f>
        <v>+6.33%</v>
      </c>
      <c r="S333" s="14" t="s">
        <v>285</v>
      </c>
    </row>
    <row r="334">
      <c r="A334" s="13">
        <v>45901.0</v>
      </c>
      <c r="B334" s="14" t="s">
        <v>47</v>
      </c>
      <c r="C334" s="14" t="s">
        <v>48</v>
      </c>
      <c r="D334" s="14" t="s">
        <v>143</v>
      </c>
      <c r="E334" s="14" t="s">
        <v>144</v>
      </c>
      <c r="F334" s="15" t="s">
        <v>51</v>
      </c>
      <c r="G334" s="14" t="s">
        <v>145</v>
      </c>
      <c r="H334" s="14" t="s">
        <v>143</v>
      </c>
      <c r="I334" s="14" t="s">
        <v>59</v>
      </c>
      <c r="J334" s="14" t="s">
        <v>200</v>
      </c>
      <c r="K334" s="14" t="s">
        <v>232</v>
      </c>
      <c r="L334" s="14" t="s">
        <v>253</v>
      </c>
      <c r="M334" s="14" t="s">
        <v>552</v>
      </c>
      <c r="N334" s="14" t="s">
        <v>553</v>
      </c>
      <c r="O334" s="14">
        <v>40.0</v>
      </c>
      <c r="P334" s="23">
        <v>0.409</v>
      </c>
      <c r="Q334" s="22" t="str">
        <f>"+3.45%"</f>
        <v>+3.45%</v>
      </c>
      <c r="R334" s="18" t="str">
        <f>"+2.73%"</f>
        <v>+2.73%</v>
      </c>
      <c r="S334" s="14" t="s">
        <v>790</v>
      </c>
    </row>
    <row r="335">
      <c r="A335" s="13">
        <v>45901.0</v>
      </c>
      <c r="B335" s="14" t="s">
        <v>47</v>
      </c>
      <c r="C335" s="14" t="s">
        <v>48</v>
      </c>
      <c r="D335" s="14" t="s">
        <v>149</v>
      </c>
      <c r="E335" s="14" t="s">
        <v>150</v>
      </c>
      <c r="F335" s="15" t="s">
        <v>51</v>
      </c>
      <c r="G335" s="14" t="s">
        <v>151</v>
      </c>
      <c r="H335" s="14" t="s">
        <v>152</v>
      </c>
      <c r="I335" s="14" t="s">
        <v>54</v>
      </c>
      <c r="J335" s="14" t="s">
        <v>198</v>
      </c>
      <c r="K335" s="14" t="s">
        <v>210</v>
      </c>
      <c r="L335" s="14" t="s">
        <v>278</v>
      </c>
      <c r="M335" s="14" t="s">
        <v>279</v>
      </c>
      <c r="N335" s="14" t="s">
        <v>280</v>
      </c>
      <c r="O335" s="14">
        <v>100.0</v>
      </c>
      <c r="P335" s="21">
        <v>0.0</v>
      </c>
      <c r="Q335" s="22" t="str">
        <f t="shared" ref="Q335:R335" si="192">"+0"</f>
        <v>+0</v>
      </c>
      <c r="R335" s="18" t="str">
        <f t="shared" si="192"/>
        <v>+0</v>
      </c>
      <c r="S335" s="14" t="s">
        <v>281</v>
      </c>
    </row>
    <row r="336">
      <c r="A336" s="13">
        <v>45901.0</v>
      </c>
      <c r="B336" s="14" t="s">
        <v>47</v>
      </c>
      <c r="C336" s="14" t="s">
        <v>48</v>
      </c>
      <c r="D336" s="14" t="s">
        <v>85</v>
      </c>
      <c r="E336" s="14" t="s">
        <v>86</v>
      </c>
      <c r="F336" s="15" t="s">
        <v>51</v>
      </c>
      <c r="G336" s="14" t="s">
        <v>148</v>
      </c>
      <c r="H336" s="14" t="s">
        <v>85</v>
      </c>
      <c r="I336" s="14" t="s">
        <v>59</v>
      </c>
      <c r="J336" s="14" t="s">
        <v>198</v>
      </c>
      <c r="K336" s="14" t="s">
        <v>205</v>
      </c>
      <c r="L336" s="14" t="s">
        <v>274</v>
      </c>
      <c r="M336" s="14" t="s">
        <v>791</v>
      </c>
      <c r="N336" s="14" t="s">
        <v>792</v>
      </c>
      <c r="O336" s="14">
        <v>100.0</v>
      </c>
      <c r="P336" s="21">
        <v>4.0</v>
      </c>
      <c r="Q336" s="22" t="str">
        <f>"+0"</f>
        <v>+0</v>
      </c>
      <c r="S336" s="14" t="s">
        <v>260</v>
      </c>
    </row>
    <row r="337">
      <c r="A337" s="13">
        <v>45901.0</v>
      </c>
      <c r="B337" s="14" t="s">
        <v>47</v>
      </c>
      <c r="C337" s="14" t="s">
        <v>48</v>
      </c>
      <c r="D337" s="14" t="s">
        <v>85</v>
      </c>
      <c r="E337" s="14" t="s">
        <v>86</v>
      </c>
      <c r="F337" s="15" t="s">
        <v>51</v>
      </c>
      <c r="G337" s="14" t="s">
        <v>148</v>
      </c>
      <c r="H337" s="14" t="s">
        <v>85</v>
      </c>
      <c r="I337" s="14" t="s">
        <v>59</v>
      </c>
      <c r="J337" s="14" t="s">
        <v>200</v>
      </c>
      <c r="K337" s="14" t="s">
        <v>204</v>
      </c>
      <c r="L337" s="14" t="s">
        <v>253</v>
      </c>
      <c r="M337" s="14" t="s">
        <v>793</v>
      </c>
      <c r="N337" s="14" t="s">
        <v>794</v>
      </c>
      <c r="O337" s="14">
        <v>2.0</v>
      </c>
      <c r="P337" s="23">
        <v>0.0264</v>
      </c>
      <c r="Q337" s="22" t="str">
        <f>"-0.41%"</f>
        <v>-0.41%</v>
      </c>
      <c r="R337" s="18" t="str">
        <f>"-1.22%"</f>
        <v>-1.22%</v>
      </c>
      <c r="S337" s="14" t="s">
        <v>795</v>
      </c>
    </row>
    <row r="338">
      <c r="A338" s="13">
        <v>45901.0</v>
      </c>
      <c r="B338" s="14" t="s">
        <v>47</v>
      </c>
      <c r="C338" s="14" t="s">
        <v>48</v>
      </c>
      <c r="D338" s="14" t="s">
        <v>116</v>
      </c>
      <c r="E338" s="14" t="s">
        <v>117</v>
      </c>
      <c r="F338" s="15" t="s">
        <v>51</v>
      </c>
      <c r="G338" s="14" t="s">
        <v>161</v>
      </c>
      <c r="H338" s="14" t="s">
        <v>116</v>
      </c>
      <c r="I338" s="14" t="s">
        <v>54</v>
      </c>
      <c r="J338" s="14" t="s">
        <v>198</v>
      </c>
      <c r="K338" s="14" t="s">
        <v>210</v>
      </c>
      <c r="L338" s="14" t="s">
        <v>458</v>
      </c>
      <c r="M338" s="14" t="s">
        <v>796</v>
      </c>
      <c r="N338" s="14" t="s">
        <v>797</v>
      </c>
      <c r="O338" s="14">
        <v>0.0</v>
      </c>
      <c r="P338" s="21">
        <v>0.0</v>
      </c>
      <c r="Q338" s="22" t="str">
        <f t="shared" ref="Q338:R338" si="193">"+0"</f>
        <v>+0</v>
      </c>
      <c r="R338" s="18" t="str">
        <f t="shared" si="193"/>
        <v>+0</v>
      </c>
      <c r="S338" s="14" t="s">
        <v>277</v>
      </c>
    </row>
    <row r="339">
      <c r="A339" s="13">
        <v>45901.0</v>
      </c>
      <c r="B339" s="14" t="s">
        <v>47</v>
      </c>
      <c r="C339" s="14" t="s">
        <v>48</v>
      </c>
      <c r="D339" s="14" t="s">
        <v>158</v>
      </c>
      <c r="E339" s="14" t="s">
        <v>159</v>
      </c>
      <c r="F339" s="15" t="s">
        <v>51</v>
      </c>
      <c r="G339" s="14" t="s">
        <v>160</v>
      </c>
      <c r="H339" s="14" t="s">
        <v>158</v>
      </c>
      <c r="I339" s="14" t="s">
        <v>54</v>
      </c>
      <c r="J339" s="14" t="s">
        <v>198</v>
      </c>
      <c r="K339" s="14" t="s">
        <v>212</v>
      </c>
      <c r="L339" s="14" t="s">
        <v>344</v>
      </c>
      <c r="M339" s="14" t="s">
        <v>580</v>
      </c>
      <c r="N339" s="14" t="s">
        <v>581</v>
      </c>
      <c r="O339" s="14">
        <v>100.0</v>
      </c>
      <c r="P339" s="21">
        <v>1.0</v>
      </c>
      <c r="Q339" s="22" t="str">
        <f>"+0"</f>
        <v>+0</v>
      </c>
      <c r="S339" s="14" t="s">
        <v>281</v>
      </c>
    </row>
    <row r="340">
      <c r="A340" s="13">
        <v>45901.0</v>
      </c>
      <c r="B340" s="14" t="s">
        <v>47</v>
      </c>
      <c r="C340" s="14" t="s">
        <v>48</v>
      </c>
      <c r="D340" s="14" t="s">
        <v>108</v>
      </c>
      <c r="E340" s="14" t="s">
        <v>109</v>
      </c>
      <c r="F340" s="15" t="s">
        <v>51</v>
      </c>
      <c r="G340" s="14" t="s">
        <v>110</v>
      </c>
      <c r="H340" s="14" t="s">
        <v>108</v>
      </c>
      <c r="I340" s="14" t="s">
        <v>59</v>
      </c>
      <c r="J340" s="14" t="s">
        <v>200</v>
      </c>
      <c r="K340" s="14" t="s">
        <v>213</v>
      </c>
      <c r="L340" s="14" t="s">
        <v>307</v>
      </c>
      <c r="M340" s="14" t="s">
        <v>533</v>
      </c>
      <c r="N340" s="14" t="s">
        <v>534</v>
      </c>
      <c r="O340" s="14">
        <v>0.0</v>
      </c>
      <c r="P340" s="23">
        <v>0.0</v>
      </c>
      <c r="Q340" s="22" t="str">
        <f t="shared" ref="Q340:Q341" si="194">"+0.00%"</f>
        <v>+0.00%</v>
      </c>
      <c r="S340" s="14" t="s">
        <v>798</v>
      </c>
    </row>
    <row r="341">
      <c r="A341" s="13">
        <v>45901.0</v>
      </c>
      <c r="B341" s="14" t="s">
        <v>47</v>
      </c>
      <c r="C341" s="14" t="s">
        <v>48</v>
      </c>
      <c r="D341" s="14" t="s">
        <v>112</v>
      </c>
      <c r="E341" s="14" t="s">
        <v>113</v>
      </c>
      <c r="F341" s="15" t="s">
        <v>51</v>
      </c>
      <c r="G341" s="14" t="s">
        <v>114</v>
      </c>
      <c r="H341" s="14" t="s">
        <v>112</v>
      </c>
      <c r="I341" s="14" t="s">
        <v>59</v>
      </c>
      <c r="J341" s="14" t="s">
        <v>200</v>
      </c>
      <c r="K341" s="14" t="s">
        <v>213</v>
      </c>
      <c r="L341" s="14" t="s">
        <v>307</v>
      </c>
      <c r="M341" s="14" t="s">
        <v>308</v>
      </c>
      <c r="N341" s="14" t="s">
        <v>309</v>
      </c>
      <c r="O341" s="14">
        <v>0.0</v>
      </c>
      <c r="P341" s="23">
        <v>0.0</v>
      </c>
      <c r="Q341" s="22" t="str">
        <f t="shared" si="194"/>
        <v>+0.00%</v>
      </c>
      <c r="R341" s="18" t="str">
        <f>"+0.00%"</f>
        <v>+0.00%</v>
      </c>
      <c r="S341" s="14" t="s">
        <v>285</v>
      </c>
    </row>
    <row r="342">
      <c r="A342" s="13">
        <v>45901.0</v>
      </c>
      <c r="B342" s="14" t="s">
        <v>47</v>
      </c>
      <c r="C342" s="14" t="s">
        <v>48</v>
      </c>
      <c r="D342" s="14" t="s">
        <v>181</v>
      </c>
      <c r="E342" s="14" t="s">
        <v>182</v>
      </c>
      <c r="F342" s="15" t="s">
        <v>51</v>
      </c>
      <c r="G342" s="14" t="s">
        <v>183</v>
      </c>
      <c r="H342" s="14" t="s">
        <v>181</v>
      </c>
      <c r="I342" s="14" t="s">
        <v>59</v>
      </c>
      <c r="J342" s="14" t="s">
        <v>198</v>
      </c>
      <c r="K342" s="14" t="s">
        <v>207</v>
      </c>
      <c r="L342" s="14" t="s">
        <v>318</v>
      </c>
      <c r="M342" s="14" t="s">
        <v>508</v>
      </c>
      <c r="N342" s="14" t="s">
        <v>509</v>
      </c>
      <c r="O342" s="14">
        <v>0.0</v>
      </c>
      <c r="P342" s="21">
        <v>0.0</v>
      </c>
      <c r="Q342" s="22" t="str">
        <f t="shared" ref="Q342:Q344" si="195">"+0"</f>
        <v>+0</v>
      </c>
      <c r="S342" s="14" t="s">
        <v>281</v>
      </c>
    </row>
    <row r="343">
      <c r="A343" s="13">
        <v>45901.0</v>
      </c>
      <c r="B343" s="14" t="s">
        <v>47</v>
      </c>
      <c r="C343" s="14" t="s">
        <v>48</v>
      </c>
      <c r="D343" s="14" t="s">
        <v>60</v>
      </c>
      <c r="E343" s="14" t="s">
        <v>61</v>
      </c>
      <c r="F343" s="15" t="s">
        <v>51</v>
      </c>
      <c r="G343" s="14" t="s">
        <v>62</v>
      </c>
      <c r="H343" s="14" t="s">
        <v>60</v>
      </c>
      <c r="I343" s="14" t="s">
        <v>59</v>
      </c>
      <c r="J343" s="14" t="s">
        <v>200</v>
      </c>
      <c r="K343" s="14" t="s">
        <v>216</v>
      </c>
      <c r="L343" s="14" t="s">
        <v>799</v>
      </c>
      <c r="M343" s="14" t="s">
        <v>800</v>
      </c>
      <c r="N343" s="14" t="s">
        <v>801</v>
      </c>
      <c r="O343" s="14">
        <v>0.0</v>
      </c>
      <c r="P343" s="21">
        <v>0.0</v>
      </c>
      <c r="Q343" s="22" t="str">
        <f t="shared" si="195"/>
        <v>+0</v>
      </c>
      <c r="R343" s="18" t="str">
        <f t="shared" ref="R343:R344" si="196">"+0"</f>
        <v>+0</v>
      </c>
      <c r="S343" s="14" t="s">
        <v>260</v>
      </c>
    </row>
    <row r="344">
      <c r="A344" s="13">
        <v>45901.0</v>
      </c>
      <c r="B344" s="14" t="s">
        <v>47</v>
      </c>
      <c r="C344" s="14" t="s">
        <v>48</v>
      </c>
      <c r="D344" s="14" t="s">
        <v>49</v>
      </c>
      <c r="E344" s="14" t="s">
        <v>50</v>
      </c>
      <c r="F344" s="15" t="s">
        <v>51</v>
      </c>
      <c r="G344" s="14" t="s">
        <v>52</v>
      </c>
      <c r="H344" s="14" t="s">
        <v>53</v>
      </c>
      <c r="I344" s="14" t="s">
        <v>54</v>
      </c>
      <c r="J344" s="14" t="s">
        <v>198</v>
      </c>
      <c r="K344" s="14" t="s">
        <v>210</v>
      </c>
      <c r="L344" s="14" t="s">
        <v>264</v>
      </c>
      <c r="M344" s="14" t="s">
        <v>802</v>
      </c>
      <c r="N344" s="14" t="s">
        <v>803</v>
      </c>
      <c r="O344" s="14">
        <v>0.0</v>
      </c>
      <c r="P344" s="21">
        <v>0.0</v>
      </c>
      <c r="Q344" s="22" t="str">
        <f t="shared" si="195"/>
        <v>+0</v>
      </c>
      <c r="R344" s="18" t="str">
        <f t="shared" si="196"/>
        <v>+0</v>
      </c>
      <c r="S344" s="14" t="s">
        <v>277</v>
      </c>
    </row>
    <row r="345">
      <c r="A345" s="13">
        <v>45901.0</v>
      </c>
      <c r="B345" s="14" t="s">
        <v>47</v>
      </c>
      <c r="C345" s="14" t="s">
        <v>48</v>
      </c>
      <c r="D345" s="14" t="s">
        <v>49</v>
      </c>
      <c r="E345" s="14" t="s">
        <v>50</v>
      </c>
      <c r="F345" s="15" t="s">
        <v>51</v>
      </c>
      <c r="G345" s="14" t="s">
        <v>52</v>
      </c>
      <c r="H345" s="14" t="s">
        <v>53</v>
      </c>
      <c r="I345" s="14" t="s">
        <v>54</v>
      </c>
      <c r="J345" s="14" t="s">
        <v>200</v>
      </c>
      <c r="K345" s="14" t="s">
        <v>227</v>
      </c>
      <c r="L345" s="14" t="s">
        <v>270</v>
      </c>
      <c r="M345" s="14" t="s">
        <v>321</v>
      </c>
      <c r="N345" s="14" t="s">
        <v>322</v>
      </c>
      <c r="O345" s="14">
        <v>51.0</v>
      </c>
      <c r="P345" s="23">
        <v>0.0228</v>
      </c>
      <c r="Q345" s="22" t="str">
        <f>"+2.57%"</f>
        <v>+2.57%</v>
      </c>
      <c r="R345" s="18" t="str">
        <f>"+0.43%"</f>
        <v>+0.43%</v>
      </c>
      <c r="S345" s="14" t="s">
        <v>323</v>
      </c>
    </row>
    <row r="346">
      <c r="A346" s="13">
        <v>45901.0</v>
      </c>
      <c r="B346" s="14" t="s">
        <v>47</v>
      </c>
      <c r="C346" s="14" t="s">
        <v>48</v>
      </c>
      <c r="D346" s="14" t="s">
        <v>49</v>
      </c>
      <c r="E346" s="14" t="s">
        <v>50</v>
      </c>
      <c r="F346" s="15" t="s">
        <v>51</v>
      </c>
      <c r="G346" s="14" t="s">
        <v>52</v>
      </c>
      <c r="H346" s="14" t="s">
        <v>53</v>
      </c>
      <c r="I346" s="14" t="s">
        <v>54</v>
      </c>
      <c r="J346" s="14" t="s">
        <v>200</v>
      </c>
      <c r="K346" s="14" t="s">
        <v>213</v>
      </c>
      <c r="L346" s="14" t="s">
        <v>440</v>
      </c>
      <c r="M346" s="14" t="s">
        <v>510</v>
      </c>
      <c r="N346" s="14" t="s">
        <v>511</v>
      </c>
      <c r="O346" s="14">
        <v>0.0</v>
      </c>
      <c r="P346" s="23">
        <v>0.0</v>
      </c>
      <c r="Q346" s="22" t="str">
        <f t="shared" ref="Q346:R346" si="197">"+0.00%"</f>
        <v>+0.00%</v>
      </c>
      <c r="R346" s="18" t="str">
        <f t="shared" si="197"/>
        <v>+0.00%</v>
      </c>
      <c r="S346" s="14" t="s">
        <v>285</v>
      </c>
    </row>
    <row r="347">
      <c r="A347" s="13">
        <v>45901.0</v>
      </c>
      <c r="B347" s="14" t="s">
        <v>47</v>
      </c>
      <c r="C347" s="14" t="s">
        <v>48</v>
      </c>
      <c r="D347" s="14" t="s">
        <v>91</v>
      </c>
      <c r="E347" s="14" t="s">
        <v>92</v>
      </c>
      <c r="F347" s="14" t="s">
        <v>71</v>
      </c>
      <c r="G347" s="14">
        <v>7295600.0</v>
      </c>
      <c r="H347" s="14" t="s">
        <v>91</v>
      </c>
      <c r="I347" s="14" t="s">
        <v>54</v>
      </c>
      <c r="J347" s="14" t="s">
        <v>199</v>
      </c>
      <c r="K347" s="14" t="s">
        <v>203</v>
      </c>
      <c r="L347" s="14" t="s">
        <v>342</v>
      </c>
      <c r="M347" s="14" t="s">
        <v>342</v>
      </c>
      <c r="N347" s="14" t="s">
        <v>343</v>
      </c>
      <c r="O347" s="14">
        <v>100.0</v>
      </c>
      <c r="P347" s="21">
        <v>163.0</v>
      </c>
      <c r="Q347" s="22" t="str">
        <f t="shared" ref="Q347:R347" si="198">"+0"</f>
        <v>+0</v>
      </c>
      <c r="R347" s="18" t="str">
        <f t="shared" si="198"/>
        <v>+0</v>
      </c>
      <c r="S347" s="14" t="s">
        <v>260</v>
      </c>
    </row>
    <row r="348">
      <c r="A348" s="13">
        <v>45901.0</v>
      </c>
      <c r="B348" s="14" t="s">
        <v>47</v>
      </c>
      <c r="C348" s="14" t="s">
        <v>48</v>
      </c>
      <c r="D348" s="14" t="s">
        <v>99</v>
      </c>
      <c r="E348" s="14" t="s">
        <v>100</v>
      </c>
      <c r="F348" s="15" t="s">
        <v>51</v>
      </c>
      <c r="G348" s="14" t="s">
        <v>101</v>
      </c>
      <c r="H348" s="14" t="s">
        <v>102</v>
      </c>
      <c r="I348" s="14" t="s">
        <v>54</v>
      </c>
      <c r="J348" s="14" t="s">
        <v>198</v>
      </c>
      <c r="K348" s="14" t="s">
        <v>210</v>
      </c>
      <c r="L348" s="14" t="s">
        <v>264</v>
      </c>
      <c r="M348" s="14" t="s">
        <v>804</v>
      </c>
      <c r="N348" s="14" t="s">
        <v>805</v>
      </c>
      <c r="O348" s="14">
        <v>0.0</v>
      </c>
      <c r="P348" s="21">
        <v>0.0</v>
      </c>
      <c r="Q348" s="22" t="str">
        <f t="shared" ref="Q348:R348" si="199">"+0"</f>
        <v>+0</v>
      </c>
      <c r="R348" s="18" t="str">
        <f t="shared" si="199"/>
        <v>+0</v>
      </c>
      <c r="S348" s="14" t="s">
        <v>277</v>
      </c>
    </row>
    <row r="349">
      <c r="A349" s="13">
        <v>45901.0</v>
      </c>
      <c r="B349" s="14" t="s">
        <v>47</v>
      </c>
      <c r="C349" s="14" t="s">
        <v>48</v>
      </c>
      <c r="D349" s="14" t="s">
        <v>192</v>
      </c>
      <c r="E349" s="14" t="s">
        <v>193</v>
      </c>
      <c r="F349" s="15" t="s">
        <v>51</v>
      </c>
      <c r="G349" s="14" t="s">
        <v>194</v>
      </c>
      <c r="H349" s="14" t="s">
        <v>192</v>
      </c>
      <c r="I349" s="14" t="s">
        <v>54</v>
      </c>
      <c r="J349" s="14" t="s">
        <v>200</v>
      </c>
      <c r="K349" s="14" t="s">
        <v>223</v>
      </c>
      <c r="L349" s="14" t="s">
        <v>710</v>
      </c>
      <c r="M349" s="14" t="s">
        <v>806</v>
      </c>
      <c r="N349" s="14" t="s">
        <v>807</v>
      </c>
      <c r="O349" s="14">
        <v>0.0</v>
      </c>
      <c r="P349" s="23">
        <v>0.0</v>
      </c>
      <c r="Q349" s="22" t="str">
        <f t="shared" ref="Q349:R349" si="200">"+0.00%"</f>
        <v>+0.00%</v>
      </c>
      <c r="R349" s="18" t="str">
        <f t="shared" si="200"/>
        <v>+0.00%</v>
      </c>
      <c r="S349" s="14" t="s">
        <v>285</v>
      </c>
    </row>
    <row r="350">
      <c r="A350" s="13">
        <v>45901.0</v>
      </c>
      <c r="B350" s="14" t="s">
        <v>47</v>
      </c>
      <c r="C350" s="14" t="s">
        <v>48</v>
      </c>
      <c r="D350" s="14" t="s">
        <v>66</v>
      </c>
      <c r="E350" s="14" t="s">
        <v>67</v>
      </c>
      <c r="F350" s="15" t="s">
        <v>51</v>
      </c>
      <c r="G350" s="14" t="s">
        <v>68</v>
      </c>
      <c r="H350" s="14" t="s">
        <v>66</v>
      </c>
      <c r="I350" s="14" t="s">
        <v>59</v>
      </c>
      <c r="J350" s="14" t="s">
        <v>200</v>
      </c>
      <c r="K350" s="14" t="s">
        <v>223</v>
      </c>
      <c r="L350" s="14" t="s">
        <v>261</v>
      </c>
      <c r="M350" s="14" t="s">
        <v>808</v>
      </c>
      <c r="N350" s="14" t="s">
        <v>809</v>
      </c>
      <c r="O350" s="14">
        <v>0.0</v>
      </c>
      <c r="P350" s="23">
        <v>0.0</v>
      </c>
      <c r="Q350" s="22" t="str">
        <f t="shared" ref="Q350:R350" si="201">"+0.00%"</f>
        <v>+0.00%</v>
      </c>
      <c r="R350" s="18" t="str">
        <f t="shared" si="201"/>
        <v>+0.00%</v>
      </c>
      <c r="S350" s="14" t="s">
        <v>810</v>
      </c>
    </row>
    <row r="351">
      <c r="A351" s="13">
        <v>45901.0</v>
      </c>
      <c r="B351" s="14" t="s">
        <v>47</v>
      </c>
      <c r="C351" s="14" t="s">
        <v>48</v>
      </c>
      <c r="D351" s="14" t="s">
        <v>143</v>
      </c>
      <c r="E351" s="14" t="s">
        <v>144</v>
      </c>
      <c r="F351" s="15" t="s">
        <v>51</v>
      </c>
      <c r="G351" s="14" t="s">
        <v>145</v>
      </c>
      <c r="H351" s="14" t="s">
        <v>143</v>
      </c>
      <c r="I351" s="14" t="s">
        <v>59</v>
      </c>
      <c r="J351" s="14" t="s">
        <v>200</v>
      </c>
      <c r="K351" s="14" t="s">
        <v>224</v>
      </c>
      <c r="L351" s="14" t="s">
        <v>453</v>
      </c>
      <c r="M351" s="14" t="s">
        <v>665</v>
      </c>
      <c r="N351" s="14" t="s">
        <v>666</v>
      </c>
      <c r="O351" s="14">
        <v>100.0</v>
      </c>
      <c r="P351" s="23">
        <v>1.0</v>
      </c>
      <c r="Q351" s="22" t="str">
        <f>"+0.00%"</f>
        <v>+0.00%</v>
      </c>
      <c r="S351" s="14" t="s">
        <v>667</v>
      </c>
    </row>
    <row r="352">
      <c r="A352" s="13">
        <v>45901.0</v>
      </c>
      <c r="B352" s="14" t="s">
        <v>47</v>
      </c>
      <c r="C352" s="14" t="s">
        <v>48</v>
      </c>
      <c r="D352" s="14" t="s">
        <v>136</v>
      </c>
      <c r="E352" s="14" t="s">
        <v>137</v>
      </c>
      <c r="F352" s="15" t="s">
        <v>51</v>
      </c>
      <c r="G352" s="14" t="s">
        <v>138</v>
      </c>
      <c r="H352" s="14" t="s">
        <v>139</v>
      </c>
      <c r="I352" s="14" t="s">
        <v>59</v>
      </c>
      <c r="J352" s="14" t="s">
        <v>198</v>
      </c>
      <c r="K352" s="14" t="s">
        <v>205</v>
      </c>
      <c r="L352" s="14" t="s">
        <v>274</v>
      </c>
      <c r="M352" s="14" t="s">
        <v>451</v>
      </c>
      <c r="N352" s="14" t="s">
        <v>452</v>
      </c>
      <c r="O352" s="14">
        <v>0.0</v>
      </c>
      <c r="P352" s="21">
        <v>0.0</v>
      </c>
      <c r="Q352" s="22" t="str">
        <f>"+0"</f>
        <v>+0</v>
      </c>
      <c r="S352" s="14" t="s">
        <v>281</v>
      </c>
    </row>
    <row r="353">
      <c r="A353" s="13">
        <v>45901.0</v>
      </c>
      <c r="B353" s="14" t="s">
        <v>47</v>
      </c>
      <c r="C353" s="14" t="s">
        <v>48</v>
      </c>
      <c r="D353" s="14" t="s">
        <v>136</v>
      </c>
      <c r="E353" s="14" t="s">
        <v>137</v>
      </c>
      <c r="F353" s="15" t="s">
        <v>51</v>
      </c>
      <c r="G353" s="14" t="s">
        <v>138</v>
      </c>
      <c r="H353" s="14" t="s">
        <v>139</v>
      </c>
      <c r="I353" s="14" t="s">
        <v>59</v>
      </c>
      <c r="J353" s="14" t="s">
        <v>200</v>
      </c>
      <c r="K353" s="14" t="s">
        <v>201</v>
      </c>
      <c r="L353" s="14" t="s">
        <v>253</v>
      </c>
      <c r="M353" s="14" t="s">
        <v>538</v>
      </c>
      <c r="N353" s="14" t="s">
        <v>539</v>
      </c>
      <c r="O353" s="14">
        <v>9.0</v>
      </c>
      <c r="P353" s="23">
        <v>0.0964</v>
      </c>
      <c r="Q353" s="22" t="str">
        <f>"-0.13%"</f>
        <v>-0.13%</v>
      </c>
      <c r="R353" s="18" t="str">
        <f>"-0.51%"</f>
        <v>-0.51%</v>
      </c>
      <c r="S353" s="14" t="s">
        <v>540</v>
      </c>
    </row>
    <row r="354">
      <c r="A354" s="13">
        <v>45901.0</v>
      </c>
      <c r="B354" s="14" t="s">
        <v>47</v>
      </c>
      <c r="C354" s="14" t="s">
        <v>48</v>
      </c>
      <c r="D354" s="14" t="s">
        <v>149</v>
      </c>
      <c r="E354" s="14" t="s">
        <v>150</v>
      </c>
      <c r="F354" s="15" t="s">
        <v>51</v>
      </c>
      <c r="G354" s="14" t="s">
        <v>151</v>
      </c>
      <c r="H354" s="14" t="s">
        <v>152</v>
      </c>
      <c r="I354" s="14" t="s">
        <v>54</v>
      </c>
      <c r="J354" s="14" t="s">
        <v>200</v>
      </c>
      <c r="K354" s="14" t="s">
        <v>227</v>
      </c>
      <c r="L354" s="14" t="s">
        <v>253</v>
      </c>
      <c r="M354" s="14" t="s">
        <v>811</v>
      </c>
      <c r="N354" s="14" t="s">
        <v>812</v>
      </c>
      <c r="O354" s="14">
        <v>100.0</v>
      </c>
      <c r="P354" s="23">
        <v>1.0</v>
      </c>
      <c r="Q354" s="22" t="str">
        <f t="shared" ref="Q354:R354" si="202">"+0.00%"</f>
        <v>+0.00%</v>
      </c>
      <c r="R354" s="18" t="str">
        <f t="shared" si="202"/>
        <v>+0.00%</v>
      </c>
      <c r="S354" s="14" t="s">
        <v>813</v>
      </c>
    </row>
    <row r="355">
      <c r="A355" s="13">
        <v>45901.0</v>
      </c>
      <c r="B355" s="14" t="s">
        <v>47</v>
      </c>
      <c r="C355" s="14" t="s">
        <v>48</v>
      </c>
      <c r="D355" s="14" t="s">
        <v>136</v>
      </c>
      <c r="E355" s="14" t="s">
        <v>137</v>
      </c>
      <c r="F355" s="15" t="s">
        <v>51</v>
      </c>
      <c r="G355" s="14" t="s">
        <v>138</v>
      </c>
      <c r="H355" s="14" t="s">
        <v>139</v>
      </c>
      <c r="I355" s="14" t="s">
        <v>59</v>
      </c>
      <c r="J355" s="14" t="s">
        <v>200</v>
      </c>
      <c r="K355" s="14" t="s">
        <v>227</v>
      </c>
      <c r="L355" s="14" t="s">
        <v>253</v>
      </c>
      <c r="M355" s="14" t="s">
        <v>254</v>
      </c>
      <c r="N355" s="14" t="s">
        <v>255</v>
      </c>
      <c r="O355" s="14">
        <v>20.0</v>
      </c>
      <c r="P355" s="23">
        <v>0.2</v>
      </c>
      <c r="Q355" s="22" t="str">
        <f>"+0.77%"</f>
        <v>+0.77%</v>
      </c>
      <c r="R355" s="18" t="str">
        <f>"+2.31%"</f>
        <v>+2.31%</v>
      </c>
      <c r="S355" s="14" t="s">
        <v>399</v>
      </c>
    </row>
    <row r="356">
      <c r="A356" s="13">
        <v>45901.0</v>
      </c>
      <c r="B356" s="14" t="s">
        <v>47</v>
      </c>
      <c r="C356" s="14" t="s">
        <v>48</v>
      </c>
      <c r="D356" s="14" t="s">
        <v>96</v>
      </c>
      <c r="E356" s="14" t="s">
        <v>97</v>
      </c>
      <c r="F356" s="15" t="s">
        <v>51</v>
      </c>
      <c r="G356" s="14" t="s">
        <v>98</v>
      </c>
      <c r="H356" s="14" t="s">
        <v>96</v>
      </c>
      <c r="I356" s="14" t="s">
        <v>59</v>
      </c>
      <c r="J356" s="14" t="s">
        <v>200</v>
      </c>
      <c r="K356" s="14" t="s">
        <v>223</v>
      </c>
      <c r="L356" s="14" t="s">
        <v>359</v>
      </c>
      <c r="M356" s="14" t="s">
        <v>519</v>
      </c>
      <c r="N356" s="14" t="s">
        <v>520</v>
      </c>
      <c r="O356" s="14">
        <v>0.0</v>
      </c>
      <c r="P356" s="21">
        <v>0.0</v>
      </c>
      <c r="Q356" s="22" t="str">
        <f t="shared" ref="Q356:R356" si="203">"+0"</f>
        <v>+0</v>
      </c>
      <c r="R356" s="18" t="str">
        <f t="shared" si="203"/>
        <v>+0</v>
      </c>
      <c r="S356" s="14" t="s">
        <v>260</v>
      </c>
    </row>
    <row r="357">
      <c r="A357" s="13">
        <v>45901.0</v>
      </c>
      <c r="B357" s="14" t="s">
        <v>47</v>
      </c>
      <c r="C357" s="14" t="s">
        <v>48</v>
      </c>
      <c r="D357" s="14" t="s">
        <v>96</v>
      </c>
      <c r="E357" s="14" t="s">
        <v>97</v>
      </c>
      <c r="F357" s="15" t="s">
        <v>51</v>
      </c>
      <c r="G357" s="14" t="s">
        <v>98</v>
      </c>
      <c r="H357" s="14" t="s">
        <v>96</v>
      </c>
      <c r="I357" s="14" t="s">
        <v>59</v>
      </c>
      <c r="J357" s="14" t="s">
        <v>200</v>
      </c>
      <c r="K357" s="14" t="s">
        <v>223</v>
      </c>
      <c r="L357" s="14" t="s">
        <v>261</v>
      </c>
      <c r="M357" s="14" t="s">
        <v>814</v>
      </c>
      <c r="N357" s="14" t="s">
        <v>815</v>
      </c>
      <c r="O357" s="14">
        <v>0.0</v>
      </c>
      <c r="P357" s="23">
        <v>-1.0</v>
      </c>
      <c r="Q357" s="22" t="str">
        <f t="shared" ref="Q357:R357" si="204">"+0.00%"</f>
        <v>+0.00%</v>
      </c>
      <c r="R357" s="18" t="str">
        <f t="shared" si="204"/>
        <v>+0.00%</v>
      </c>
      <c r="S357" s="14" t="s">
        <v>816</v>
      </c>
    </row>
    <row r="358">
      <c r="A358" s="13">
        <v>45901.0</v>
      </c>
      <c r="B358" s="14" t="s">
        <v>47</v>
      </c>
      <c r="C358" s="14" t="s">
        <v>48</v>
      </c>
      <c r="D358" s="14" t="s">
        <v>96</v>
      </c>
      <c r="E358" s="14" t="s">
        <v>97</v>
      </c>
      <c r="F358" s="15" t="s">
        <v>51</v>
      </c>
      <c r="G358" s="14" t="s">
        <v>98</v>
      </c>
      <c r="H358" s="14" t="s">
        <v>96</v>
      </c>
      <c r="I358" s="14" t="s">
        <v>59</v>
      </c>
      <c r="J358" s="14" t="s">
        <v>200</v>
      </c>
      <c r="K358" s="14" t="s">
        <v>209</v>
      </c>
      <c r="L358" s="14" t="s">
        <v>253</v>
      </c>
      <c r="M358" s="14" t="s">
        <v>817</v>
      </c>
      <c r="N358" s="14" t="s">
        <v>818</v>
      </c>
      <c r="O358" s="14">
        <v>1.0</v>
      </c>
      <c r="P358" s="23">
        <v>0.0017</v>
      </c>
      <c r="Q358" s="22" t="str">
        <f t="shared" ref="Q358:R358" si="205">"+0.00%"</f>
        <v>+0.00%</v>
      </c>
      <c r="R358" s="18" t="str">
        <f t="shared" si="205"/>
        <v>+0.00%</v>
      </c>
      <c r="S358" s="14" t="s">
        <v>819</v>
      </c>
    </row>
    <row r="359">
      <c r="A359" s="13">
        <v>45901.0</v>
      </c>
      <c r="B359" s="14" t="s">
        <v>47</v>
      </c>
      <c r="C359" s="14" t="s">
        <v>48</v>
      </c>
      <c r="D359" s="14" t="s">
        <v>69</v>
      </c>
      <c r="E359" s="14" t="s">
        <v>70</v>
      </c>
      <c r="F359" s="15" t="s">
        <v>51</v>
      </c>
      <c r="G359" s="14" t="s">
        <v>115</v>
      </c>
      <c r="H359" s="14" t="s">
        <v>72</v>
      </c>
      <c r="I359" s="14" t="s">
        <v>54</v>
      </c>
      <c r="J359" s="14" t="s">
        <v>200</v>
      </c>
      <c r="K359" s="14" t="s">
        <v>245</v>
      </c>
      <c r="L359" s="14" t="s">
        <v>253</v>
      </c>
      <c r="M359" s="14" t="s">
        <v>820</v>
      </c>
      <c r="N359" s="14" t="s">
        <v>821</v>
      </c>
      <c r="O359" s="14">
        <v>0.0</v>
      </c>
      <c r="P359" s="23">
        <v>0.0</v>
      </c>
      <c r="Q359" s="22" t="str">
        <f t="shared" ref="Q359:R359" si="206">"+0.00%"</f>
        <v>+0.00%</v>
      </c>
      <c r="R359" s="18" t="str">
        <f t="shared" si="206"/>
        <v>+0.00%</v>
      </c>
      <c r="S359" s="14" t="s">
        <v>822</v>
      </c>
    </row>
    <row r="360">
      <c r="A360" s="13">
        <v>45901.0</v>
      </c>
      <c r="B360" s="14" t="s">
        <v>47</v>
      </c>
      <c r="C360" s="14" t="s">
        <v>48</v>
      </c>
      <c r="D360" s="14" t="s">
        <v>174</v>
      </c>
      <c r="E360" s="14" t="s">
        <v>175</v>
      </c>
      <c r="F360" s="15" t="s">
        <v>51</v>
      </c>
      <c r="G360" s="14" t="s">
        <v>176</v>
      </c>
      <c r="H360" s="14" t="s">
        <v>174</v>
      </c>
      <c r="I360" s="14" t="s">
        <v>59</v>
      </c>
      <c r="J360" s="14" t="s">
        <v>200</v>
      </c>
      <c r="K360" s="14" t="s">
        <v>204</v>
      </c>
      <c r="L360" s="14" t="s">
        <v>253</v>
      </c>
      <c r="M360" s="14" t="s">
        <v>490</v>
      </c>
      <c r="N360" s="14" t="s">
        <v>491</v>
      </c>
      <c r="O360" s="14">
        <v>0.0</v>
      </c>
      <c r="P360" s="23">
        <v>0.0</v>
      </c>
      <c r="Q360" s="22" t="str">
        <f t="shared" ref="Q360:R360" si="207">"+0.00%"</f>
        <v>+0.00%</v>
      </c>
      <c r="R360" s="18" t="str">
        <f t="shared" si="207"/>
        <v>+0.00%</v>
      </c>
      <c r="S360" s="14" t="s">
        <v>492</v>
      </c>
    </row>
    <row r="361">
      <c r="A361" s="13">
        <v>45901.0</v>
      </c>
      <c r="B361" s="14" t="s">
        <v>47</v>
      </c>
      <c r="C361" s="14" t="s">
        <v>48</v>
      </c>
      <c r="D361" s="14" t="s">
        <v>174</v>
      </c>
      <c r="E361" s="14" t="s">
        <v>175</v>
      </c>
      <c r="F361" s="15" t="s">
        <v>51</v>
      </c>
      <c r="G361" s="14" t="s">
        <v>176</v>
      </c>
      <c r="H361" s="14" t="s">
        <v>174</v>
      </c>
      <c r="I361" s="14" t="s">
        <v>59</v>
      </c>
      <c r="J361" s="14" t="s">
        <v>200</v>
      </c>
      <c r="K361" s="14" t="s">
        <v>213</v>
      </c>
      <c r="L361" s="14" t="s">
        <v>253</v>
      </c>
      <c r="M361" s="14" t="s">
        <v>552</v>
      </c>
      <c r="N361" s="14" t="s">
        <v>553</v>
      </c>
      <c r="O361" s="14">
        <v>44.0</v>
      </c>
      <c r="P361" s="23">
        <v>0.4464</v>
      </c>
      <c r="Q361" s="22" t="str">
        <f>"+3.04%"</f>
        <v>+3.04%</v>
      </c>
      <c r="R361" s="18" t="str">
        <f>"+2.40%"</f>
        <v>+2.40%</v>
      </c>
      <c r="S361" s="14" t="s">
        <v>823</v>
      </c>
    </row>
    <row r="362">
      <c r="A362" s="13">
        <v>45901.0</v>
      </c>
      <c r="B362" s="14" t="s">
        <v>47</v>
      </c>
      <c r="C362" s="14" t="s">
        <v>48</v>
      </c>
      <c r="D362" s="14" t="s">
        <v>108</v>
      </c>
      <c r="E362" s="14" t="s">
        <v>109</v>
      </c>
      <c r="F362" s="14" t="s">
        <v>79</v>
      </c>
      <c r="G362" s="14" t="s">
        <v>153</v>
      </c>
      <c r="H362" s="14" t="s">
        <v>108</v>
      </c>
      <c r="I362" s="14" t="s">
        <v>154</v>
      </c>
      <c r="J362" s="14" t="s">
        <v>199</v>
      </c>
      <c r="K362" s="14" t="s">
        <v>203</v>
      </c>
      <c r="L362" s="14" t="s">
        <v>342</v>
      </c>
      <c r="M362" s="14" t="s">
        <v>342</v>
      </c>
      <c r="N362" s="14" t="s">
        <v>343</v>
      </c>
      <c r="O362" s="14">
        <v>0.0</v>
      </c>
      <c r="P362" s="21">
        <v>0.0</v>
      </c>
      <c r="Q362" s="22" t="str">
        <f t="shared" ref="Q362:Q363" si="208">"+0"</f>
        <v>+0</v>
      </c>
      <c r="S362" s="14" t="s">
        <v>260</v>
      </c>
    </row>
    <row r="363">
      <c r="A363" s="13">
        <v>45901.0</v>
      </c>
      <c r="B363" s="14" t="s">
        <v>47</v>
      </c>
      <c r="C363" s="14" t="s">
        <v>48</v>
      </c>
      <c r="D363" s="14" t="s">
        <v>108</v>
      </c>
      <c r="E363" s="14" t="s">
        <v>109</v>
      </c>
      <c r="F363" s="14" t="s">
        <v>79</v>
      </c>
      <c r="G363" s="14" t="s">
        <v>153</v>
      </c>
      <c r="H363" s="14" t="s">
        <v>108</v>
      </c>
      <c r="I363" s="14" t="s">
        <v>154</v>
      </c>
      <c r="J363" s="14" t="s">
        <v>199</v>
      </c>
      <c r="K363" s="14" t="s">
        <v>206</v>
      </c>
      <c r="L363" s="14" t="s">
        <v>295</v>
      </c>
      <c r="M363" s="14" t="s">
        <v>529</v>
      </c>
      <c r="N363" s="14" t="s">
        <v>530</v>
      </c>
      <c r="O363" s="14">
        <v>0.0</v>
      </c>
      <c r="P363" s="21">
        <v>0.0</v>
      </c>
      <c r="Q363" s="22" t="str">
        <f t="shared" si="208"/>
        <v>+0</v>
      </c>
      <c r="S363" s="14" t="s">
        <v>260</v>
      </c>
    </row>
    <row r="364">
      <c r="A364" s="13">
        <v>45901.0</v>
      </c>
      <c r="B364" s="14" t="s">
        <v>47</v>
      </c>
      <c r="C364" s="14" t="s">
        <v>48</v>
      </c>
      <c r="D364" s="14" t="s">
        <v>77</v>
      </c>
      <c r="E364" s="14" t="s">
        <v>78</v>
      </c>
      <c r="F364" s="15" t="s">
        <v>51</v>
      </c>
      <c r="G364" s="14" t="s">
        <v>128</v>
      </c>
      <c r="H364" s="14" t="s">
        <v>81</v>
      </c>
      <c r="I364" s="14" t="s">
        <v>59</v>
      </c>
      <c r="J364" s="14" t="s">
        <v>200</v>
      </c>
      <c r="K364" s="14" t="s">
        <v>211</v>
      </c>
      <c r="L364" s="14" t="s">
        <v>253</v>
      </c>
      <c r="M364" s="14" t="s">
        <v>366</v>
      </c>
      <c r="N364" s="14" t="s">
        <v>367</v>
      </c>
      <c r="O364" s="14">
        <v>0.0</v>
      </c>
      <c r="P364" s="23">
        <v>0.0</v>
      </c>
      <c r="Q364" s="22" t="str">
        <f t="shared" ref="Q364:R364" si="209">"+0.00%"</f>
        <v>+0.00%</v>
      </c>
      <c r="R364" s="18" t="str">
        <f t="shared" si="209"/>
        <v>+0.00%</v>
      </c>
      <c r="S364" s="14" t="s">
        <v>824</v>
      </c>
    </row>
    <row r="365">
      <c r="A365" s="13">
        <v>45901.0</v>
      </c>
      <c r="B365" s="14" t="s">
        <v>47</v>
      </c>
      <c r="C365" s="14" t="s">
        <v>48</v>
      </c>
      <c r="D365" s="14" t="s">
        <v>108</v>
      </c>
      <c r="E365" s="14" t="s">
        <v>109</v>
      </c>
      <c r="F365" s="15" t="s">
        <v>51</v>
      </c>
      <c r="G365" s="14" t="s">
        <v>110</v>
      </c>
      <c r="H365" s="14" t="s">
        <v>108</v>
      </c>
      <c r="I365" s="14" t="s">
        <v>59</v>
      </c>
      <c r="J365" s="14" t="s">
        <v>200</v>
      </c>
      <c r="K365" s="14" t="s">
        <v>213</v>
      </c>
      <c r="L365" s="14" t="s">
        <v>257</v>
      </c>
      <c r="M365" s="14" t="s">
        <v>622</v>
      </c>
      <c r="N365" s="14" t="s">
        <v>623</v>
      </c>
      <c r="O365" s="14">
        <v>0.0</v>
      </c>
      <c r="P365" s="23">
        <v>-1.0</v>
      </c>
      <c r="Q365" s="22" t="str">
        <f>"+0.00%"</f>
        <v>+0.00%</v>
      </c>
      <c r="S365" s="14" t="s">
        <v>825</v>
      </c>
    </row>
    <row r="366">
      <c r="A366" s="13">
        <v>45901.0</v>
      </c>
      <c r="B366" s="14" t="s">
        <v>47</v>
      </c>
      <c r="C366" s="14" t="s">
        <v>48</v>
      </c>
      <c r="D366" s="14" t="s">
        <v>116</v>
      </c>
      <c r="E366" s="14" t="s">
        <v>117</v>
      </c>
      <c r="F366" s="15" t="s">
        <v>51</v>
      </c>
      <c r="G366" s="14" t="s">
        <v>161</v>
      </c>
      <c r="H366" s="14" t="s">
        <v>116</v>
      </c>
      <c r="I366" s="14" t="s">
        <v>54</v>
      </c>
      <c r="J366" s="14" t="s">
        <v>200</v>
      </c>
      <c r="K366" s="14" t="s">
        <v>224</v>
      </c>
      <c r="L366" s="14" t="s">
        <v>392</v>
      </c>
      <c r="M366" s="14" t="s">
        <v>826</v>
      </c>
      <c r="N366" s="14" t="s">
        <v>827</v>
      </c>
      <c r="O366" s="14">
        <v>0.0</v>
      </c>
      <c r="P366" s="23">
        <v>0.0</v>
      </c>
      <c r="Q366" s="22"/>
      <c r="S366" s="14" t="s">
        <v>828</v>
      </c>
    </row>
    <row r="367">
      <c r="A367" s="13">
        <v>45901.0</v>
      </c>
      <c r="B367" s="14" t="s">
        <v>47</v>
      </c>
      <c r="C367" s="14" t="s">
        <v>48</v>
      </c>
      <c r="D367" s="14" t="s">
        <v>181</v>
      </c>
      <c r="E367" s="14" t="s">
        <v>182</v>
      </c>
      <c r="F367" s="15" t="s">
        <v>51</v>
      </c>
      <c r="G367" s="14" t="s">
        <v>183</v>
      </c>
      <c r="H367" s="14" t="s">
        <v>181</v>
      </c>
      <c r="I367" s="14" t="s">
        <v>59</v>
      </c>
      <c r="J367" s="14" t="s">
        <v>198</v>
      </c>
      <c r="K367" s="14" t="s">
        <v>212</v>
      </c>
      <c r="L367" s="14" t="s">
        <v>249</v>
      </c>
      <c r="M367" s="14" t="s">
        <v>598</v>
      </c>
      <c r="N367" s="14" t="s">
        <v>599</v>
      </c>
      <c r="O367" s="14">
        <v>100.0</v>
      </c>
      <c r="P367" s="21">
        <v>0.0</v>
      </c>
      <c r="Q367" s="22" t="str">
        <f t="shared" ref="Q367:R367" si="210">"+0"</f>
        <v>+0</v>
      </c>
      <c r="R367" s="18" t="str">
        <f t="shared" si="210"/>
        <v>+0</v>
      </c>
      <c r="S367" s="14" t="s">
        <v>281</v>
      </c>
    </row>
    <row r="368">
      <c r="A368" s="13">
        <v>45901.0</v>
      </c>
      <c r="B368" s="14" t="s">
        <v>47</v>
      </c>
      <c r="C368" s="14" t="s">
        <v>48</v>
      </c>
      <c r="D368" s="14" t="s">
        <v>168</v>
      </c>
      <c r="E368" s="14" t="s">
        <v>169</v>
      </c>
      <c r="F368" s="15" t="s">
        <v>51</v>
      </c>
      <c r="G368" s="14" t="s">
        <v>170</v>
      </c>
      <c r="H368" s="14" t="s">
        <v>168</v>
      </c>
      <c r="I368" s="14" t="s">
        <v>59</v>
      </c>
      <c r="J368" s="14" t="s">
        <v>199</v>
      </c>
      <c r="K368" s="14" t="s">
        <v>206</v>
      </c>
      <c r="L368" s="14" t="s">
        <v>531</v>
      </c>
      <c r="M368" s="14" t="s">
        <v>531</v>
      </c>
      <c r="N368" s="14" t="s">
        <v>532</v>
      </c>
      <c r="O368" s="14">
        <v>0.0</v>
      </c>
      <c r="P368" s="21">
        <v>0.0</v>
      </c>
      <c r="Q368" s="22" t="str">
        <f t="shared" ref="Q368:R368" si="211">"+0"</f>
        <v>+0</v>
      </c>
      <c r="R368" s="18" t="str">
        <f t="shared" si="211"/>
        <v>+0</v>
      </c>
      <c r="S368" s="14" t="s">
        <v>260</v>
      </c>
    </row>
    <row r="369">
      <c r="A369" s="13">
        <v>45901.0</v>
      </c>
      <c r="B369" s="14" t="s">
        <v>47</v>
      </c>
      <c r="C369" s="14" t="s">
        <v>48</v>
      </c>
      <c r="D369" s="14" t="s">
        <v>165</v>
      </c>
      <c r="E369" s="14" t="s">
        <v>166</v>
      </c>
      <c r="F369" s="15" t="s">
        <v>51</v>
      </c>
      <c r="G369" s="14" t="s">
        <v>167</v>
      </c>
      <c r="H369" s="14" t="s">
        <v>165</v>
      </c>
      <c r="I369" s="14" t="s">
        <v>54</v>
      </c>
      <c r="J369" s="14" t="s">
        <v>198</v>
      </c>
      <c r="K369" s="14" t="s">
        <v>210</v>
      </c>
      <c r="L369" s="14" t="s">
        <v>458</v>
      </c>
      <c r="M369" s="14" t="s">
        <v>829</v>
      </c>
      <c r="N369" s="14" t="s">
        <v>830</v>
      </c>
      <c r="O369" s="14">
        <v>0.0</v>
      </c>
      <c r="P369" s="21">
        <v>0.0</v>
      </c>
      <c r="Q369" s="22" t="str">
        <f t="shared" ref="Q369:R369" si="212">"+0"</f>
        <v>+0</v>
      </c>
      <c r="R369" s="18" t="str">
        <f t="shared" si="212"/>
        <v>+0</v>
      </c>
      <c r="S369" s="14" t="s">
        <v>277</v>
      </c>
    </row>
    <row r="370">
      <c r="A370" s="13">
        <v>45901.0</v>
      </c>
      <c r="B370" s="14" t="s">
        <v>47</v>
      </c>
      <c r="C370" s="14" t="s">
        <v>48</v>
      </c>
      <c r="D370" s="14" t="s">
        <v>165</v>
      </c>
      <c r="E370" s="14" t="s">
        <v>166</v>
      </c>
      <c r="F370" s="15" t="s">
        <v>51</v>
      </c>
      <c r="G370" s="14" t="s">
        <v>167</v>
      </c>
      <c r="H370" s="14" t="s">
        <v>165</v>
      </c>
      <c r="I370" s="14" t="s">
        <v>54</v>
      </c>
      <c r="J370" s="14" t="s">
        <v>198</v>
      </c>
      <c r="K370" s="14" t="s">
        <v>210</v>
      </c>
      <c r="L370" s="14" t="s">
        <v>505</v>
      </c>
      <c r="M370" s="14" t="s">
        <v>831</v>
      </c>
      <c r="N370" s="14" t="s">
        <v>832</v>
      </c>
      <c r="O370" s="14">
        <v>0.0</v>
      </c>
      <c r="P370" s="21">
        <v>0.0</v>
      </c>
      <c r="Q370" s="22" t="str">
        <f t="shared" ref="Q370:R370" si="213">"+0"</f>
        <v>+0</v>
      </c>
      <c r="R370" s="18" t="str">
        <f t="shared" si="213"/>
        <v>+0</v>
      </c>
      <c r="S370" s="14" t="s">
        <v>277</v>
      </c>
    </row>
    <row r="371">
      <c r="A371" s="13">
        <v>45901.0</v>
      </c>
      <c r="B371" s="14" t="s">
        <v>47</v>
      </c>
      <c r="C371" s="14" t="s">
        <v>48</v>
      </c>
      <c r="D371" s="14" t="s">
        <v>165</v>
      </c>
      <c r="E371" s="14" t="s">
        <v>166</v>
      </c>
      <c r="F371" s="15" t="s">
        <v>51</v>
      </c>
      <c r="G371" s="14" t="s">
        <v>167</v>
      </c>
      <c r="H371" s="14" t="s">
        <v>165</v>
      </c>
      <c r="I371" s="14" t="s">
        <v>54</v>
      </c>
      <c r="J371" s="14" t="s">
        <v>200</v>
      </c>
      <c r="K371" s="14" t="s">
        <v>224</v>
      </c>
      <c r="L371" s="14" t="s">
        <v>392</v>
      </c>
      <c r="M371" s="14" t="s">
        <v>826</v>
      </c>
      <c r="N371" s="14" t="s">
        <v>827</v>
      </c>
      <c r="O371" s="14">
        <v>0.0</v>
      </c>
      <c r="P371" s="23">
        <v>0.0</v>
      </c>
      <c r="Q371" s="22" t="str">
        <f t="shared" ref="Q371:R371" si="214">"+0.00%"</f>
        <v>+0.00%</v>
      </c>
      <c r="R371" s="18" t="str">
        <f t="shared" si="214"/>
        <v>+0.00%</v>
      </c>
      <c r="S371" s="14" t="s">
        <v>833</v>
      </c>
    </row>
    <row r="372">
      <c r="A372" s="13">
        <v>45901.0</v>
      </c>
      <c r="B372" s="14" t="s">
        <v>47</v>
      </c>
      <c r="C372" s="14" t="s">
        <v>48</v>
      </c>
      <c r="D372" s="14" t="s">
        <v>63</v>
      </c>
      <c r="E372" s="14" t="s">
        <v>64</v>
      </c>
      <c r="F372" s="15" t="s">
        <v>51</v>
      </c>
      <c r="G372" s="14" t="s">
        <v>65</v>
      </c>
      <c r="H372" s="14" t="s">
        <v>63</v>
      </c>
      <c r="I372" s="14" t="s">
        <v>54</v>
      </c>
      <c r="J372" s="14" t="s">
        <v>199</v>
      </c>
      <c r="K372" s="14" t="s">
        <v>203</v>
      </c>
      <c r="L372" s="14" t="s">
        <v>536</v>
      </c>
      <c r="M372" s="14" t="s">
        <v>536</v>
      </c>
      <c r="N372" s="14" t="s">
        <v>537</v>
      </c>
      <c r="O372" s="14">
        <v>0.0</v>
      </c>
      <c r="P372" s="21">
        <v>0.0</v>
      </c>
      <c r="Q372" s="22" t="str">
        <f t="shared" ref="Q372:R372" si="215">"+0"</f>
        <v>+0</v>
      </c>
      <c r="R372" s="18" t="str">
        <f t="shared" si="215"/>
        <v>+0</v>
      </c>
      <c r="S372" s="14" t="s">
        <v>260</v>
      </c>
    </row>
    <row r="373">
      <c r="A373" s="13">
        <v>45901.0</v>
      </c>
      <c r="B373" s="14" t="s">
        <v>47</v>
      </c>
      <c r="C373" s="14" t="s">
        <v>48</v>
      </c>
      <c r="D373" s="14" t="s">
        <v>63</v>
      </c>
      <c r="E373" s="14" t="s">
        <v>64</v>
      </c>
      <c r="F373" s="15" t="s">
        <v>51</v>
      </c>
      <c r="G373" s="14" t="s">
        <v>65</v>
      </c>
      <c r="H373" s="14" t="s">
        <v>63</v>
      </c>
      <c r="I373" s="14" t="s">
        <v>54</v>
      </c>
      <c r="J373" s="14" t="s">
        <v>200</v>
      </c>
      <c r="K373" s="14" t="s">
        <v>224</v>
      </c>
      <c r="L373" s="14" t="s">
        <v>453</v>
      </c>
      <c r="M373" s="14" t="s">
        <v>521</v>
      </c>
      <c r="N373" s="14" t="s">
        <v>522</v>
      </c>
      <c r="O373" s="14">
        <v>35.0</v>
      </c>
      <c r="P373" s="23">
        <v>0.3571</v>
      </c>
      <c r="Q373" s="22" t="str">
        <f>"-2.38%"</f>
        <v>-2.38%</v>
      </c>
      <c r="R373" s="18" t="str">
        <f>"-5.19%"</f>
        <v>-5.19%</v>
      </c>
      <c r="S373" s="14" t="s">
        <v>523</v>
      </c>
    </row>
    <row r="374">
      <c r="A374" s="13">
        <v>45901.0</v>
      </c>
      <c r="B374" s="14" t="s">
        <v>47</v>
      </c>
      <c r="C374" s="14" t="s">
        <v>48</v>
      </c>
      <c r="D374" s="14" t="s">
        <v>63</v>
      </c>
      <c r="E374" s="14" t="s">
        <v>64</v>
      </c>
      <c r="F374" s="15" t="s">
        <v>51</v>
      </c>
      <c r="G374" s="14" t="s">
        <v>65</v>
      </c>
      <c r="H374" s="14" t="s">
        <v>63</v>
      </c>
      <c r="I374" s="14" t="s">
        <v>54</v>
      </c>
      <c r="J374" s="14" t="s">
        <v>198</v>
      </c>
      <c r="K374" s="14" t="s">
        <v>210</v>
      </c>
      <c r="L374" s="14" t="s">
        <v>264</v>
      </c>
      <c r="M374" s="14" t="s">
        <v>834</v>
      </c>
      <c r="N374" s="14" t="s">
        <v>835</v>
      </c>
      <c r="O374" s="14">
        <v>0.0</v>
      </c>
      <c r="P374" s="21">
        <v>0.0</v>
      </c>
      <c r="Q374" s="22" t="str">
        <f t="shared" ref="Q374:R374" si="216">"+0"</f>
        <v>+0</v>
      </c>
      <c r="R374" s="18" t="str">
        <f t="shared" si="216"/>
        <v>+0</v>
      </c>
      <c r="S374" s="14" t="s">
        <v>277</v>
      </c>
    </row>
    <row r="375">
      <c r="A375" s="13">
        <v>45901.0</v>
      </c>
      <c r="B375" s="14" t="s">
        <v>47</v>
      </c>
      <c r="C375" s="14" t="s">
        <v>48</v>
      </c>
      <c r="D375" s="14" t="s">
        <v>91</v>
      </c>
      <c r="E375" s="14" t="s">
        <v>92</v>
      </c>
      <c r="F375" s="15" t="s">
        <v>51</v>
      </c>
      <c r="G375" s="14" t="s">
        <v>163</v>
      </c>
      <c r="H375" s="14" t="s">
        <v>91</v>
      </c>
      <c r="I375" s="14" t="s">
        <v>59</v>
      </c>
      <c r="J375" s="14" t="s">
        <v>200</v>
      </c>
      <c r="K375" s="14" t="s">
        <v>223</v>
      </c>
      <c r="L375" s="14" t="s">
        <v>676</v>
      </c>
      <c r="M375" s="14" t="s">
        <v>836</v>
      </c>
      <c r="N375" s="14" t="s">
        <v>837</v>
      </c>
      <c r="O375" s="14">
        <v>0.0</v>
      </c>
      <c r="P375" s="23">
        <v>0.0</v>
      </c>
      <c r="Q375" s="22" t="str">
        <f t="shared" ref="Q375:R375" si="217">"+0.00%"</f>
        <v>+0.00%</v>
      </c>
      <c r="R375" s="18" t="str">
        <f t="shared" si="217"/>
        <v>+0.00%</v>
      </c>
      <c r="S375" s="14" t="s">
        <v>838</v>
      </c>
    </row>
    <row r="376">
      <c r="A376" s="13">
        <v>45901.0</v>
      </c>
      <c r="B376" s="14" t="s">
        <v>47</v>
      </c>
      <c r="C376" s="14" t="s">
        <v>48</v>
      </c>
      <c r="D376" s="14" t="s">
        <v>91</v>
      </c>
      <c r="E376" s="14" t="s">
        <v>92</v>
      </c>
      <c r="F376" s="14" t="s">
        <v>71</v>
      </c>
      <c r="G376" s="14">
        <v>5.00008343E8</v>
      </c>
      <c r="H376" s="14" t="s">
        <v>91</v>
      </c>
      <c r="I376" s="14" t="s">
        <v>59</v>
      </c>
      <c r="J376" s="14" t="s">
        <v>199</v>
      </c>
      <c r="K376" s="14" t="s">
        <v>208</v>
      </c>
      <c r="L376" s="14" t="s">
        <v>352</v>
      </c>
      <c r="M376" s="14" t="s">
        <v>352</v>
      </c>
      <c r="N376" s="14" t="s">
        <v>353</v>
      </c>
      <c r="O376" s="14">
        <v>100.0</v>
      </c>
      <c r="P376" s="21">
        <v>57.0</v>
      </c>
      <c r="Q376" s="22" t="str">
        <f t="shared" ref="Q376:R376" si="218">"+1"</f>
        <v>+1</v>
      </c>
      <c r="R376" s="18" t="str">
        <f t="shared" si="218"/>
        <v>+1</v>
      </c>
      <c r="S376" s="14" t="s">
        <v>260</v>
      </c>
    </row>
    <row r="377">
      <c r="A377" s="13">
        <v>45901.0</v>
      </c>
      <c r="B377" s="14" t="s">
        <v>47</v>
      </c>
      <c r="C377" s="14" t="s">
        <v>48</v>
      </c>
      <c r="D377" s="14" t="s">
        <v>118</v>
      </c>
      <c r="E377" s="14" t="s">
        <v>119</v>
      </c>
      <c r="F377" s="15" t="s">
        <v>51</v>
      </c>
      <c r="G377" s="14" t="s">
        <v>120</v>
      </c>
      <c r="H377" s="14" t="s">
        <v>118</v>
      </c>
      <c r="I377" s="14" t="s">
        <v>59</v>
      </c>
      <c r="J377" s="14" t="s">
        <v>198</v>
      </c>
      <c r="K377" s="14" t="s">
        <v>210</v>
      </c>
      <c r="L377" s="14" t="s">
        <v>278</v>
      </c>
      <c r="M377" s="14" t="s">
        <v>839</v>
      </c>
      <c r="N377" s="14" t="s">
        <v>840</v>
      </c>
      <c r="O377" s="14">
        <v>0.0</v>
      </c>
      <c r="P377" s="21">
        <v>2886.0</v>
      </c>
      <c r="Q377" s="22" t="str">
        <f>"-680"</f>
        <v>-680</v>
      </c>
      <c r="R377" s="18" t="str">
        <f>"-1,307"</f>
        <v>-1,307</v>
      </c>
      <c r="S377" s="14" t="s">
        <v>841</v>
      </c>
    </row>
    <row r="378">
      <c r="A378" s="13">
        <v>45901.0</v>
      </c>
      <c r="B378" s="14" t="s">
        <v>47</v>
      </c>
      <c r="C378" s="14" t="s">
        <v>48</v>
      </c>
      <c r="D378" s="14" t="s">
        <v>91</v>
      </c>
      <c r="E378" s="14" t="s">
        <v>92</v>
      </c>
      <c r="F378" s="15" t="s">
        <v>51</v>
      </c>
      <c r="G378" s="14" t="s">
        <v>163</v>
      </c>
      <c r="H378" s="14" t="s">
        <v>91</v>
      </c>
      <c r="I378" s="14" t="s">
        <v>59</v>
      </c>
      <c r="J378" s="14" t="s">
        <v>200</v>
      </c>
      <c r="K378" s="14" t="s">
        <v>223</v>
      </c>
      <c r="L378" s="14" t="s">
        <v>363</v>
      </c>
      <c r="M378" s="14" t="s">
        <v>842</v>
      </c>
      <c r="N378" s="14" t="s">
        <v>843</v>
      </c>
      <c r="O378" s="14">
        <v>100.0</v>
      </c>
      <c r="P378" s="21">
        <v>175.0</v>
      </c>
      <c r="Q378" s="22" t="str">
        <f t="shared" ref="Q378:R378" si="219">"+0"</f>
        <v>+0</v>
      </c>
      <c r="R378" s="18" t="str">
        <f t="shared" si="219"/>
        <v>+0</v>
      </c>
      <c r="S378" s="14" t="s">
        <v>260</v>
      </c>
    </row>
    <row r="379">
      <c r="A379" s="13">
        <v>45901.0</v>
      </c>
      <c r="B379" s="14" t="s">
        <v>47</v>
      </c>
      <c r="C379" s="14" t="s">
        <v>48</v>
      </c>
      <c r="D379" s="14" t="s">
        <v>63</v>
      </c>
      <c r="E379" s="14" t="s">
        <v>64</v>
      </c>
      <c r="F379" s="15" t="s">
        <v>51</v>
      </c>
      <c r="G379" s="14" t="s">
        <v>65</v>
      </c>
      <c r="H379" s="14" t="s">
        <v>63</v>
      </c>
      <c r="I379" s="14" t="s">
        <v>54</v>
      </c>
      <c r="J379" s="14" t="s">
        <v>198</v>
      </c>
      <c r="K379" s="14" t="s">
        <v>210</v>
      </c>
      <c r="L379" s="14" t="s">
        <v>458</v>
      </c>
      <c r="M379" s="14" t="s">
        <v>829</v>
      </c>
      <c r="N379" s="14" t="s">
        <v>830</v>
      </c>
      <c r="O379" s="14">
        <v>0.0</v>
      </c>
      <c r="P379" s="21">
        <v>0.0</v>
      </c>
      <c r="Q379" s="22" t="str">
        <f t="shared" ref="Q379:R379" si="220">"+0"</f>
        <v>+0</v>
      </c>
      <c r="R379" s="18" t="str">
        <f t="shared" si="220"/>
        <v>+0</v>
      </c>
      <c r="S379" s="14" t="s">
        <v>277</v>
      </c>
    </row>
    <row r="380">
      <c r="A380" s="13">
        <v>45901.0</v>
      </c>
      <c r="B380" s="14" t="s">
        <v>47</v>
      </c>
      <c r="C380" s="14" t="s">
        <v>48</v>
      </c>
      <c r="D380" s="14" t="s">
        <v>66</v>
      </c>
      <c r="E380" s="14" t="s">
        <v>67</v>
      </c>
      <c r="F380" s="15" t="s">
        <v>51</v>
      </c>
      <c r="G380" s="14" t="s">
        <v>68</v>
      </c>
      <c r="H380" s="14" t="s">
        <v>66</v>
      </c>
      <c r="I380" s="14" t="s">
        <v>59</v>
      </c>
      <c r="J380" s="14" t="s">
        <v>200</v>
      </c>
      <c r="K380" s="14" t="s">
        <v>204</v>
      </c>
      <c r="L380" s="14" t="s">
        <v>253</v>
      </c>
      <c r="M380" s="14" t="s">
        <v>844</v>
      </c>
      <c r="N380" s="14" t="s">
        <v>845</v>
      </c>
      <c r="O380" s="14">
        <v>0.0</v>
      </c>
      <c r="P380" s="17"/>
      <c r="Q380" s="22"/>
      <c r="S380" s="14" t="s">
        <v>846</v>
      </c>
    </row>
    <row r="381">
      <c r="A381" s="13">
        <v>45901.0</v>
      </c>
      <c r="B381" s="14" t="s">
        <v>47</v>
      </c>
      <c r="C381" s="14" t="s">
        <v>48</v>
      </c>
      <c r="D381" s="14" t="s">
        <v>82</v>
      </c>
      <c r="E381" s="14" t="s">
        <v>83</v>
      </c>
      <c r="F381" s="15" t="s">
        <v>51</v>
      </c>
      <c r="G381" s="14" t="s">
        <v>84</v>
      </c>
      <c r="H381" s="14" t="s">
        <v>82</v>
      </c>
      <c r="I381" s="14" t="s">
        <v>59</v>
      </c>
      <c r="J381" s="14" t="s">
        <v>200</v>
      </c>
      <c r="K381" s="14" t="s">
        <v>213</v>
      </c>
      <c r="L381" s="14" t="s">
        <v>253</v>
      </c>
      <c r="M381" s="14" t="s">
        <v>389</v>
      </c>
      <c r="N381" s="14" t="s">
        <v>390</v>
      </c>
      <c r="O381" s="14">
        <v>100.0</v>
      </c>
      <c r="P381" s="23">
        <v>1.0</v>
      </c>
      <c r="Q381" s="22" t="str">
        <f>"+5.88%"</f>
        <v>+5.88%</v>
      </c>
      <c r="R381" s="18" t="str">
        <f>"+2.38%"</f>
        <v>+2.38%</v>
      </c>
      <c r="S381" s="14" t="s">
        <v>847</v>
      </c>
    </row>
    <row r="382">
      <c r="A382" s="13">
        <v>45901.0</v>
      </c>
      <c r="B382" s="14" t="s">
        <v>47</v>
      </c>
      <c r="C382" s="14" t="s">
        <v>48</v>
      </c>
      <c r="D382" s="14" t="s">
        <v>66</v>
      </c>
      <c r="E382" s="14" t="s">
        <v>67</v>
      </c>
      <c r="F382" s="15" t="s">
        <v>51</v>
      </c>
      <c r="G382" s="14" t="s">
        <v>68</v>
      </c>
      <c r="H382" s="14" t="s">
        <v>66</v>
      </c>
      <c r="I382" s="14" t="s">
        <v>59</v>
      </c>
      <c r="J382" s="14" t="s">
        <v>200</v>
      </c>
      <c r="K382" s="14" t="s">
        <v>223</v>
      </c>
      <c r="L382" s="14" t="s">
        <v>676</v>
      </c>
      <c r="M382" s="14" t="s">
        <v>836</v>
      </c>
      <c r="N382" s="14" t="s">
        <v>837</v>
      </c>
      <c r="O382" s="14">
        <v>0.0</v>
      </c>
      <c r="P382" s="23">
        <v>0.0</v>
      </c>
      <c r="Q382" s="22" t="str">
        <f t="shared" ref="Q382:R382" si="221">"+0.00%"</f>
        <v>+0.00%</v>
      </c>
      <c r="R382" s="18" t="str">
        <f t="shared" si="221"/>
        <v>+0.00%</v>
      </c>
      <c r="S382" s="14" t="s">
        <v>848</v>
      </c>
    </row>
    <row r="383">
      <c r="A383" s="13">
        <v>45901.0</v>
      </c>
      <c r="B383" s="14" t="s">
        <v>47</v>
      </c>
      <c r="C383" s="14" t="s">
        <v>48</v>
      </c>
      <c r="D383" s="14" t="s">
        <v>184</v>
      </c>
      <c r="E383" s="14" t="s">
        <v>185</v>
      </c>
      <c r="F383" s="15" t="s">
        <v>51</v>
      </c>
      <c r="G383" s="14" t="s">
        <v>186</v>
      </c>
      <c r="H383" s="14" t="s">
        <v>187</v>
      </c>
      <c r="I383" s="14" t="s">
        <v>59</v>
      </c>
      <c r="J383" s="14" t="s">
        <v>200</v>
      </c>
      <c r="K383" s="14" t="s">
        <v>224</v>
      </c>
      <c r="L383" s="14" t="s">
        <v>453</v>
      </c>
      <c r="M383" s="14" t="s">
        <v>611</v>
      </c>
      <c r="N383" s="14" t="s">
        <v>612</v>
      </c>
      <c r="O383" s="14">
        <v>0.0</v>
      </c>
      <c r="P383" s="17"/>
      <c r="Q383" s="22"/>
      <c r="S383" s="14" t="s">
        <v>523</v>
      </c>
    </row>
    <row r="384">
      <c r="A384" s="13">
        <v>45901.0</v>
      </c>
      <c r="B384" s="14" t="s">
        <v>47</v>
      </c>
      <c r="C384" s="14" t="s">
        <v>48</v>
      </c>
      <c r="D384" s="14" t="s">
        <v>143</v>
      </c>
      <c r="E384" s="14" t="s">
        <v>144</v>
      </c>
      <c r="F384" s="15" t="s">
        <v>51</v>
      </c>
      <c r="G384" s="14" t="s">
        <v>145</v>
      </c>
      <c r="H384" s="14" t="s">
        <v>143</v>
      </c>
      <c r="I384" s="14" t="s">
        <v>59</v>
      </c>
      <c r="J384" s="14" t="s">
        <v>200</v>
      </c>
      <c r="K384" s="14" t="s">
        <v>227</v>
      </c>
      <c r="L384" s="14" t="s">
        <v>253</v>
      </c>
      <c r="M384" s="14" t="s">
        <v>849</v>
      </c>
      <c r="N384" s="14" t="s">
        <v>850</v>
      </c>
      <c r="O384" s="14">
        <v>0.0</v>
      </c>
      <c r="P384" s="23">
        <v>0.0</v>
      </c>
      <c r="Q384" s="22" t="str">
        <f t="shared" ref="Q384:R384" si="222">"+0.00%"</f>
        <v>+0.00%</v>
      </c>
      <c r="R384" s="18" t="str">
        <f t="shared" si="222"/>
        <v>+0.00%</v>
      </c>
      <c r="S384" s="14" t="s">
        <v>851</v>
      </c>
    </row>
    <row r="385">
      <c r="A385" s="13">
        <v>45901.0</v>
      </c>
      <c r="B385" s="14" t="s">
        <v>47</v>
      </c>
      <c r="C385" s="14" t="s">
        <v>48</v>
      </c>
      <c r="D385" s="14" t="s">
        <v>103</v>
      </c>
      <c r="E385" s="14" t="s">
        <v>104</v>
      </c>
      <c r="F385" s="15" t="s">
        <v>51</v>
      </c>
      <c r="G385" s="14" t="s">
        <v>105</v>
      </c>
      <c r="H385" s="14" t="s">
        <v>106</v>
      </c>
      <c r="I385" s="14" t="s">
        <v>59</v>
      </c>
      <c r="J385" s="14" t="s">
        <v>200</v>
      </c>
      <c r="K385" s="14" t="s">
        <v>209</v>
      </c>
      <c r="L385" s="14" t="s">
        <v>253</v>
      </c>
      <c r="M385" s="14" t="s">
        <v>402</v>
      </c>
      <c r="N385" s="14" t="s">
        <v>403</v>
      </c>
      <c r="O385" s="14">
        <v>1.0</v>
      </c>
      <c r="P385" s="23">
        <v>0.0135</v>
      </c>
      <c r="Q385" s="22" t="str">
        <f>"+0.00%"</f>
        <v>+0.00%</v>
      </c>
      <c r="R385" s="18" t="str">
        <f>"-0.01%"</f>
        <v>-0.01%</v>
      </c>
      <c r="S385" s="14" t="s">
        <v>852</v>
      </c>
    </row>
    <row r="386">
      <c r="A386" s="13">
        <v>45901.0</v>
      </c>
      <c r="B386" s="14" t="s">
        <v>47</v>
      </c>
      <c r="C386" s="14" t="s">
        <v>48</v>
      </c>
      <c r="D386" s="14" t="s">
        <v>87</v>
      </c>
      <c r="E386" s="14" t="s">
        <v>88</v>
      </c>
      <c r="F386" s="15" t="s">
        <v>51</v>
      </c>
      <c r="G386" s="14" t="s">
        <v>89</v>
      </c>
      <c r="H386" s="14" t="s">
        <v>90</v>
      </c>
      <c r="I386" s="14" t="s">
        <v>59</v>
      </c>
      <c r="J386" s="14" t="s">
        <v>198</v>
      </c>
      <c r="K386" s="14" t="s">
        <v>205</v>
      </c>
      <c r="L386" s="14" t="s">
        <v>274</v>
      </c>
      <c r="M386" s="14" t="s">
        <v>575</v>
      </c>
      <c r="N386" s="14" t="s">
        <v>576</v>
      </c>
      <c r="O386" s="14">
        <v>100.0</v>
      </c>
      <c r="P386" s="21">
        <v>90.0</v>
      </c>
      <c r="Q386" s="22" t="str">
        <f>"+0"</f>
        <v>+0</v>
      </c>
      <c r="S386" s="14" t="s">
        <v>577</v>
      </c>
    </row>
    <row r="387">
      <c r="A387" s="13">
        <v>45901.0</v>
      </c>
      <c r="B387" s="14" t="s">
        <v>47</v>
      </c>
      <c r="C387" s="14" t="s">
        <v>48</v>
      </c>
      <c r="D387" s="14" t="s">
        <v>149</v>
      </c>
      <c r="E387" s="14" t="s">
        <v>150</v>
      </c>
      <c r="F387" s="15" t="s">
        <v>51</v>
      </c>
      <c r="G387" s="14" t="s">
        <v>151</v>
      </c>
      <c r="H387" s="14" t="s">
        <v>152</v>
      </c>
      <c r="I387" s="14" t="s">
        <v>54</v>
      </c>
      <c r="J387" s="14" t="s">
        <v>200</v>
      </c>
      <c r="K387" s="14" t="s">
        <v>223</v>
      </c>
      <c r="L387" s="14" t="s">
        <v>363</v>
      </c>
      <c r="M387" s="14" t="s">
        <v>364</v>
      </c>
      <c r="N387" s="14" t="s">
        <v>365</v>
      </c>
      <c r="O387" s="14">
        <v>100.0</v>
      </c>
      <c r="P387" s="23">
        <v>0.0202</v>
      </c>
      <c r="Q387" s="22" t="str">
        <f>"-0.03%"</f>
        <v>-0.03%</v>
      </c>
      <c r="R387" s="18" t="str">
        <f>"+0.22%"</f>
        <v>+0.22%</v>
      </c>
      <c r="S387" s="14" t="s">
        <v>285</v>
      </c>
    </row>
    <row r="388">
      <c r="A388" s="13">
        <v>45901.0</v>
      </c>
      <c r="B388" s="14" t="s">
        <v>47</v>
      </c>
      <c r="C388" s="14" t="s">
        <v>48</v>
      </c>
      <c r="D388" s="14" t="s">
        <v>69</v>
      </c>
      <c r="E388" s="14" t="s">
        <v>70</v>
      </c>
      <c r="F388" s="15" t="s">
        <v>51</v>
      </c>
      <c r="G388" s="14" t="s">
        <v>115</v>
      </c>
      <c r="H388" s="14" t="s">
        <v>72</v>
      </c>
      <c r="I388" s="14" t="s">
        <v>54</v>
      </c>
      <c r="J388" s="14" t="s">
        <v>198</v>
      </c>
      <c r="K388" s="14" t="s">
        <v>210</v>
      </c>
      <c r="L388" s="14" t="s">
        <v>278</v>
      </c>
      <c r="M388" s="14" t="s">
        <v>853</v>
      </c>
      <c r="N388" s="14" t="s">
        <v>854</v>
      </c>
      <c r="O388" s="14">
        <v>0.0</v>
      </c>
      <c r="P388" s="21">
        <v>0.0</v>
      </c>
      <c r="Q388" s="22" t="str">
        <f t="shared" ref="Q388:R388" si="223">"+0"</f>
        <v>+0</v>
      </c>
      <c r="R388" s="18" t="str">
        <f t="shared" si="223"/>
        <v>+0</v>
      </c>
      <c r="S388" s="14" t="s">
        <v>277</v>
      </c>
    </row>
    <row r="389">
      <c r="A389" s="13">
        <v>45901.0</v>
      </c>
      <c r="B389" s="14" t="s">
        <v>47</v>
      </c>
      <c r="C389" s="14" t="s">
        <v>48</v>
      </c>
      <c r="D389" s="14" t="s">
        <v>96</v>
      </c>
      <c r="E389" s="14" t="s">
        <v>97</v>
      </c>
      <c r="F389" s="15" t="s">
        <v>51</v>
      </c>
      <c r="G389" s="14" t="s">
        <v>98</v>
      </c>
      <c r="H389" s="14" t="s">
        <v>96</v>
      </c>
      <c r="I389" s="14" t="s">
        <v>59</v>
      </c>
      <c r="J389" s="14" t="s">
        <v>200</v>
      </c>
      <c r="K389" s="14" t="s">
        <v>222</v>
      </c>
      <c r="L389" s="14" t="s">
        <v>301</v>
      </c>
      <c r="M389" s="14" t="s">
        <v>302</v>
      </c>
      <c r="N389" s="14" t="s">
        <v>303</v>
      </c>
      <c r="O389" s="14">
        <v>0.0</v>
      </c>
      <c r="P389" s="21">
        <v>0.0</v>
      </c>
      <c r="Q389" s="22" t="str">
        <f t="shared" ref="Q389:R389" si="224">"+0"</f>
        <v>+0</v>
      </c>
      <c r="R389" s="18" t="str">
        <f t="shared" si="224"/>
        <v>+0</v>
      </c>
      <c r="S389" s="14" t="s">
        <v>260</v>
      </c>
    </row>
    <row r="390">
      <c r="A390" s="13">
        <v>45901.0</v>
      </c>
      <c r="B390" s="14" t="s">
        <v>47</v>
      </c>
      <c r="C390" s="14" t="s">
        <v>48</v>
      </c>
      <c r="D390" s="14" t="s">
        <v>69</v>
      </c>
      <c r="E390" s="14" t="s">
        <v>70</v>
      </c>
      <c r="F390" s="15" t="s">
        <v>51</v>
      </c>
      <c r="G390" s="14" t="s">
        <v>115</v>
      </c>
      <c r="H390" s="14" t="s">
        <v>72</v>
      </c>
      <c r="I390" s="14" t="s">
        <v>54</v>
      </c>
      <c r="J390" s="14" t="s">
        <v>200</v>
      </c>
      <c r="K390" s="14" t="s">
        <v>213</v>
      </c>
      <c r="L390" s="14" t="s">
        <v>307</v>
      </c>
      <c r="M390" s="14" t="s">
        <v>533</v>
      </c>
      <c r="N390" s="14" t="s">
        <v>534</v>
      </c>
      <c r="O390" s="14">
        <v>17.0</v>
      </c>
      <c r="P390" s="23">
        <v>0.173</v>
      </c>
      <c r="Q390" s="22" t="str">
        <f>"-5.68%"</f>
        <v>-5.68%</v>
      </c>
      <c r="R390" s="18" t="str">
        <f>"-5.47%"</f>
        <v>-5.47%</v>
      </c>
      <c r="S390" s="14" t="s">
        <v>855</v>
      </c>
    </row>
    <row r="391">
      <c r="A391" s="13">
        <v>45901.0</v>
      </c>
      <c r="B391" s="14" t="s">
        <v>47</v>
      </c>
      <c r="C391" s="14" t="s">
        <v>48</v>
      </c>
      <c r="D391" s="14" t="s">
        <v>108</v>
      </c>
      <c r="E391" s="14" t="s">
        <v>109</v>
      </c>
      <c r="F391" s="14" t="s">
        <v>79</v>
      </c>
      <c r="G391" s="14" t="s">
        <v>153</v>
      </c>
      <c r="H391" s="14" t="s">
        <v>108</v>
      </c>
      <c r="I391" s="14" t="s">
        <v>154</v>
      </c>
      <c r="J391" s="14" t="s">
        <v>199</v>
      </c>
      <c r="K391" s="14" t="s">
        <v>208</v>
      </c>
      <c r="L391" s="14" t="s">
        <v>412</v>
      </c>
      <c r="M391" s="14" t="s">
        <v>412</v>
      </c>
      <c r="N391" s="14" t="s">
        <v>413</v>
      </c>
      <c r="O391" s="14">
        <v>0.0</v>
      </c>
      <c r="P391" s="21">
        <v>0.0</v>
      </c>
      <c r="Q391" s="22" t="str">
        <f>"+0"</f>
        <v>+0</v>
      </c>
      <c r="S391" s="14" t="s">
        <v>260</v>
      </c>
    </row>
    <row r="392">
      <c r="A392" s="13">
        <v>45901.0</v>
      </c>
      <c r="B392" s="14" t="s">
        <v>47</v>
      </c>
      <c r="C392" s="14" t="s">
        <v>48</v>
      </c>
      <c r="D392" s="14" t="s">
        <v>116</v>
      </c>
      <c r="E392" s="14" t="s">
        <v>117</v>
      </c>
      <c r="F392" s="15" t="s">
        <v>51</v>
      </c>
      <c r="G392" s="14" t="s">
        <v>161</v>
      </c>
      <c r="H392" s="14" t="s">
        <v>116</v>
      </c>
      <c r="I392" s="14" t="s">
        <v>54</v>
      </c>
      <c r="J392" s="14" t="s">
        <v>200</v>
      </c>
      <c r="K392" s="14" t="s">
        <v>213</v>
      </c>
      <c r="L392" s="14" t="s">
        <v>307</v>
      </c>
      <c r="M392" s="14" t="s">
        <v>856</v>
      </c>
      <c r="N392" s="14" t="s">
        <v>857</v>
      </c>
      <c r="O392" s="14">
        <v>0.0</v>
      </c>
      <c r="P392" s="23">
        <v>0.0</v>
      </c>
      <c r="Q392" s="22" t="str">
        <f t="shared" ref="Q392:R392" si="225">"+0.00%"</f>
        <v>+0.00%</v>
      </c>
      <c r="R392" s="18" t="str">
        <f t="shared" si="225"/>
        <v>+0.00%</v>
      </c>
      <c r="S392" s="14" t="s">
        <v>285</v>
      </c>
    </row>
    <row r="393">
      <c r="A393" s="13">
        <v>45901.0</v>
      </c>
      <c r="B393" s="14" t="s">
        <v>47</v>
      </c>
      <c r="C393" s="14" t="s">
        <v>48</v>
      </c>
      <c r="D393" s="14" t="s">
        <v>77</v>
      </c>
      <c r="E393" s="14" t="s">
        <v>78</v>
      </c>
      <c r="F393" s="15" t="s">
        <v>51</v>
      </c>
      <c r="G393" s="14" t="s">
        <v>128</v>
      </c>
      <c r="H393" s="14" t="s">
        <v>81</v>
      </c>
      <c r="I393" s="14" t="s">
        <v>59</v>
      </c>
      <c r="J393" s="14" t="s">
        <v>200</v>
      </c>
      <c r="K393" s="14" t="s">
        <v>223</v>
      </c>
      <c r="L393" s="14" t="s">
        <v>676</v>
      </c>
      <c r="M393" s="14" t="s">
        <v>858</v>
      </c>
      <c r="N393" s="14" t="s">
        <v>859</v>
      </c>
      <c r="O393" s="14">
        <v>0.0</v>
      </c>
      <c r="P393" s="23">
        <v>-1.0</v>
      </c>
      <c r="Q393" s="22" t="str">
        <f t="shared" ref="Q393:R393" si="226">"+0.00%"</f>
        <v>+0.00%</v>
      </c>
      <c r="R393" s="18" t="str">
        <f t="shared" si="226"/>
        <v>+0.00%</v>
      </c>
      <c r="S393" s="14" t="s">
        <v>860</v>
      </c>
    </row>
    <row r="394">
      <c r="A394" s="13">
        <v>45901.0</v>
      </c>
      <c r="B394" s="14" t="s">
        <v>47</v>
      </c>
      <c r="C394" s="14" t="s">
        <v>48</v>
      </c>
      <c r="D394" s="14" t="s">
        <v>77</v>
      </c>
      <c r="E394" s="14" t="s">
        <v>78</v>
      </c>
      <c r="F394" s="15" t="s">
        <v>51</v>
      </c>
      <c r="G394" s="14" t="s">
        <v>128</v>
      </c>
      <c r="H394" s="14" t="s">
        <v>81</v>
      </c>
      <c r="I394" s="14" t="s">
        <v>59</v>
      </c>
      <c r="J394" s="14" t="s">
        <v>200</v>
      </c>
      <c r="K394" s="14" t="s">
        <v>223</v>
      </c>
      <c r="L394" s="14" t="s">
        <v>304</v>
      </c>
      <c r="M394" s="14" t="s">
        <v>305</v>
      </c>
      <c r="N394" s="14" t="s">
        <v>306</v>
      </c>
      <c r="O394" s="14">
        <v>0.0</v>
      </c>
      <c r="P394" s="21">
        <v>0.0</v>
      </c>
      <c r="Q394" s="22" t="str">
        <f t="shared" ref="Q394:R394" si="227">"+0"</f>
        <v>+0</v>
      </c>
      <c r="R394" s="18" t="str">
        <f t="shared" si="227"/>
        <v>+0</v>
      </c>
      <c r="S394" s="14" t="s">
        <v>260</v>
      </c>
    </row>
    <row r="395">
      <c r="A395" s="13">
        <v>45901.0</v>
      </c>
      <c r="B395" s="14" t="s">
        <v>47</v>
      </c>
      <c r="C395" s="14" t="s">
        <v>48</v>
      </c>
      <c r="D395" s="14" t="s">
        <v>56</v>
      </c>
      <c r="E395" s="14" t="s">
        <v>57</v>
      </c>
      <c r="F395" s="15" t="s">
        <v>51</v>
      </c>
      <c r="G395" s="14" t="s">
        <v>58</v>
      </c>
      <c r="H395" s="14" t="s">
        <v>56</v>
      </c>
      <c r="I395" s="14" t="s">
        <v>59</v>
      </c>
      <c r="J395" s="14" t="s">
        <v>200</v>
      </c>
      <c r="K395" s="14" t="s">
        <v>202</v>
      </c>
      <c r="L395" s="14" t="s">
        <v>253</v>
      </c>
      <c r="M395" s="14" t="s">
        <v>347</v>
      </c>
      <c r="N395" s="14" t="s">
        <v>348</v>
      </c>
      <c r="O395" s="14">
        <v>43.0</v>
      </c>
      <c r="P395" s="23">
        <v>0.4286</v>
      </c>
      <c r="Q395" s="22" t="str">
        <f t="shared" ref="Q395:R395" si="228">"+0.00%"</f>
        <v>+0.00%</v>
      </c>
      <c r="R395" s="18" t="str">
        <f t="shared" si="228"/>
        <v>+0.00%</v>
      </c>
      <c r="S395" s="14" t="s">
        <v>861</v>
      </c>
    </row>
    <row r="396">
      <c r="A396" s="13">
        <v>45901.0</v>
      </c>
      <c r="B396" s="14" t="s">
        <v>47</v>
      </c>
      <c r="C396" s="14" t="s">
        <v>48</v>
      </c>
      <c r="D396" s="14" t="s">
        <v>60</v>
      </c>
      <c r="E396" s="14" t="s">
        <v>61</v>
      </c>
      <c r="F396" s="15" t="s">
        <v>51</v>
      </c>
      <c r="G396" s="14" t="s">
        <v>62</v>
      </c>
      <c r="H396" s="14" t="s">
        <v>60</v>
      </c>
      <c r="I396" s="14" t="s">
        <v>59</v>
      </c>
      <c r="J396" s="14" t="s">
        <v>200</v>
      </c>
      <c r="K396" s="14" t="s">
        <v>223</v>
      </c>
      <c r="L396" s="14" t="s">
        <v>607</v>
      </c>
      <c r="M396" s="14" t="s">
        <v>765</v>
      </c>
      <c r="N396" s="14" t="s">
        <v>766</v>
      </c>
      <c r="O396" s="14">
        <v>100.0</v>
      </c>
      <c r="P396" s="21">
        <v>2.0</v>
      </c>
      <c r="Q396" s="22" t="str">
        <f t="shared" ref="Q396:R396" si="229">"+0"</f>
        <v>+0</v>
      </c>
      <c r="R396" s="18" t="str">
        <f t="shared" si="229"/>
        <v>+0</v>
      </c>
      <c r="S396" s="14" t="s">
        <v>260</v>
      </c>
    </row>
    <row r="397">
      <c r="A397" s="13">
        <v>45901.0</v>
      </c>
      <c r="B397" s="14" t="s">
        <v>47</v>
      </c>
      <c r="C397" s="14" t="s">
        <v>48</v>
      </c>
      <c r="D397" s="14" t="s">
        <v>60</v>
      </c>
      <c r="E397" s="14" t="s">
        <v>61</v>
      </c>
      <c r="F397" s="15" t="s">
        <v>51</v>
      </c>
      <c r="G397" s="14" t="s">
        <v>62</v>
      </c>
      <c r="H397" s="14" t="s">
        <v>60</v>
      </c>
      <c r="I397" s="14" t="s">
        <v>59</v>
      </c>
      <c r="J397" s="14" t="s">
        <v>200</v>
      </c>
      <c r="K397" s="14" t="s">
        <v>227</v>
      </c>
      <c r="L397" s="14" t="s">
        <v>721</v>
      </c>
      <c r="M397" s="14" t="s">
        <v>722</v>
      </c>
      <c r="N397" s="14" t="s">
        <v>723</v>
      </c>
      <c r="O397" s="14">
        <v>43.0</v>
      </c>
      <c r="P397" s="23">
        <v>-0.122</v>
      </c>
      <c r="Q397" s="22" t="str">
        <f>"+20.69%"</f>
        <v>+20.69%</v>
      </c>
      <c r="R397" s="18" t="str">
        <f>"-17.07%"</f>
        <v>-17.07%</v>
      </c>
      <c r="S397" s="14" t="s">
        <v>724</v>
      </c>
    </row>
    <row r="398">
      <c r="A398" s="13">
        <v>45901.0</v>
      </c>
      <c r="B398" s="14" t="s">
        <v>47</v>
      </c>
      <c r="C398" s="14" t="s">
        <v>48</v>
      </c>
      <c r="D398" s="14" t="s">
        <v>168</v>
      </c>
      <c r="E398" s="14" t="s">
        <v>169</v>
      </c>
      <c r="F398" s="15" t="s">
        <v>51</v>
      </c>
      <c r="G398" s="14" t="s">
        <v>170</v>
      </c>
      <c r="H398" s="14" t="s">
        <v>168</v>
      </c>
      <c r="I398" s="14" t="s">
        <v>59</v>
      </c>
      <c r="J398" s="14" t="s">
        <v>200</v>
      </c>
      <c r="K398" s="14" t="s">
        <v>227</v>
      </c>
      <c r="L398" s="14" t="s">
        <v>270</v>
      </c>
      <c r="M398" s="14" t="s">
        <v>321</v>
      </c>
      <c r="N398" s="14" t="s">
        <v>322</v>
      </c>
      <c r="O398" s="14">
        <v>25.0</v>
      </c>
      <c r="P398" s="23">
        <v>-0.4894</v>
      </c>
      <c r="Q398" s="22" t="str">
        <f>"+51.06%"</f>
        <v>+51.06%</v>
      </c>
      <c r="R398" s="18" t="str">
        <f>"-18.17%"</f>
        <v>-18.17%</v>
      </c>
      <c r="S398" s="14" t="s">
        <v>323</v>
      </c>
    </row>
    <row r="399">
      <c r="A399" s="13">
        <v>45901.0</v>
      </c>
      <c r="B399" s="14" t="s">
        <v>47</v>
      </c>
      <c r="C399" s="14" t="s">
        <v>48</v>
      </c>
      <c r="D399" s="14" t="s">
        <v>165</v>
      </c>
      <c r="E399" s="14" t="s">
        <v>166</v>
      </c>
      <c r="F399" s="15" t="s">
        <v>51</v>
      </c>
      <c r="G399" s="14" t="s">
        <v>167</v>
      </c>
      <c r="H399" s="14" t="s">
        <v>165</v>
      </c>
      <c r="I399" s="14" t="s">
        <v>54</v>
      </c>
      <c r="J399" s="14" t="s">
        <v>198</v>
      </c>
      <c r="K399" s="14" t="s">
        <v>205</v>
      </c>
      <c r="L399" s="14" t="s">
        <v>274</v>
      </c>
      <c r="M399" s="14" t="s">
        <v>451</v>
      </c>
      <c r="N399" s="14" t="s">
        <v>452</v>
      </c>
      <c r="O399" s="14">
        <v>0.0</v>
      </c>
      <c r="P399" s="21">
        <v>0.0</v>
      </c>
      <c r="Q399" s="22" t="str">
        <f t="shared" ref="Q399:Q401" si="230">"+0"</f>
        <v>+0</v>
      </c>
      <c r="S399" s="14" t="s">
        <v>281</v>
      </c>
    </row>
    <row r="400">
      <c r="A400" s="13">
        <v>45901.0</v>
      </c>
      <c r="B400" s="14" t="s">
        <v>47</v>
      </c>
      <c r="C400" s="14" t="s">
        <v>48</v>
      </c>
      <c r="D400" s="14" t="s">
        <v>91</v>
      </c>
      <c r="E400" s="14" t="s">
        <v>92</v>
      </c>
      <c r="F400" s="14" t="s">
        <v>71</v>
      </c>
      <c r="G400" s="14">
        <v>5.10000484E8</v>
      </c>
      <c r="H400" s="14" t="s">
        <v>91</v>
      </c>
      <c r="I400" s="14" t="s">
        <v>54</v>
      </c>
      <c r="J400" s="14" t="s">
        <v>199</v>
      </c>
      <c r="K400" s="14" t="s">
        <v>203</v>
      </c>
      <c r="L400" s="14" t="s">
        <v>862</v>
      </c>
      <c r="M400" s="14" t="s">
        <v>862</v>
      </c>
      <c r="N400" s="14" t="s">
        <v>863</v>
      </c>
      <c r="O400" s="14">
        <v>0.0</v>
      </c>
      <c r="P400" s="21">
        <v>0.0</v>
      </c>
      <c r="Q400" s="22" t="str">
        <f t="shared" si="230"/>
        <v>+0</v>
      </c>
      <c r="R400" s="18" t="str">
        <f t="shared" ref="R400:R401" si="231">"+0"</f>
        <v>+0</v>
      </c>
      <c r="S400" s="14" t="s">
        <v>260</v>
      </c>
    </row>
    <row r="401">
      <c r="A401" s="13">
        <v>45901.0</v>
      </c>
      <c r="B401" s="14" t="s">
        <v>47</v>
      </c>
      <c r="C401" s="14" t="s">
        <v>48</v>
      </c>
      <c r="D401" s="14" t="s">
        <v>91</v>
      </c>
      <c r="E401" s="14" t="s">
        <v>92</v>
      </c>
      <c r="F401" s="14" t="s">
        <v>71</v>
      </c>
      <c r="G401" s="14">
        <v>5.10000484E8</v>
      </c>
      <c r="H401" s="14" t="s">
        <v>91</v>
      </c>
      <c r="I401" s="14" t="s">
        <v>54</v>
      </c>
      <c r="J401" s="14" t="s">
        <v>199</v>
      </c>
      <c r="K401" s="14" t="s">
        <v>203</v>
      </c>
      <c r="L401" s="14" t="s">
        <v>342</v>
      </c>
      <c r="M401" s="14" t="s">
        <v>342</v>
      </c>
      <c r="N401" s="14" t="s">
        <v>343</v>
      </c>
      <c r="O401" s="14">
        <v>100.0</v>
      </c>
      <c r="P401" s="21">
        <v>163.0</v>
      </c>
      <c r="Q401" s="22" t="str">
        <f t="shared" si="230"/>
        <v>+0</v>
      </c>
      <c r="R401" s="18" t="str">
        <f t="shared" si="231"/>
        <v>+0</v>
      </c>
      <c r="S401" s="14" t="s">
        <v>260</v>
      </c>
    </row>
    <row r="402">
      <c r="A402" s="13">
        <v>45901.0</v>
      </c>
      <c r="B402" s="14" t="s">
        <v>47</v>
      </c>
      <c r="C402" s="14" t="s">
        <v>48</v>
      </c>
      <c r="D402" s="14" t="s">
        <v>118</v>
      </c>
      <c r="E402" s="14" t="s">
        <v>119</v>
      </c>
      <c r="F402" s="15" t="s">
        <v>51</v>
      </c>
      <c r="G402" s="14" t="s">
        <v>120</v>
      </c>
      <c r="H402" s="14" t="s">
        <v>118</v>
      </c>
      <c r="I402" s="14" t="s">
        <v>59</v>
      </c>
      <c r="J402" s="14" t="s">
        <v>200</v>
      </c>
      <c r="K402" s="14" t="s">
        <v>213</v>
      </c>
      <c r="L402" s="14" t="s">
        <v>440</v>
      </c>
      <c r="M402" s="14" t="s">
        <v>441</v>
      </c>
      <c r="N402" s="14" t="s">
        <v>442</v>
      </c>
      <c r="O402" s="14">
        <v>0.0</v>
      </c>
      <c r="P402" s="23">
        <v>0.0</v>
      </c>
      <c r="Q402" s="22" t="str">
        <f t="shared" ref="Q402:R402" si="232">"+0.00%"</f>
        <v>+0.00%</v>
      </c>
      <c r="R402" s="18" t="str">
        <f t="shared" si="232"/>
        <v>+0.00%</v>
      </c>
      <c r="S402" s="14" t="s">
        <v>285</v>
      </c>
    </row>
    <row r="403">
      <c r="A403" s="13">
        <v>45901.0</v>
      </c>
      <c r="B403" s="14" t="s">
        <v>47</v>
      </c>
      <c r="C403" s="14" t="s">
        <v>48</v>
      </c>
      <c r="D403" s="14" t="s">
        <v>77</v>
      </c>
      <c r="E403" s="14" t="s">
        <v>78</v>
      </c>
      <c r="F403" s="15" t="s">
        <v>51</v>
      </c>
      <c r="G403" s="14" t="s">
        <v>128</v>
      </c>
      <c r="H403" s="14" t="s">
        <v>81</v>
      </c>
      <c r="I403" s="14" t="s">
        <v>59</v>
      </c>
      <c r="J403" s="14" t="s">
        <v>198</v>
      </c>
      <c r="K403" s="14" t="s">
        <v>205</v>
      </c>
      <c r="L403" s="14" t="s">
        <v>274</v>
      </c>
      <c r="M403" s="14" t="s">
        <v>354</v>
      </c>
      <c r="N403" s="14" t="s">
        <v>355</v>
      </c>
      <c r="O403" s="14">
        <v>28.0</v>
      </c>
      <c r="P403" s="21">
        <v>10.0</v>
      </c>
      <c r="Q403" s="22" t="str">
        <f>"+0"</f>
        <v>+0</v>
      </c>
      <c r="S403" s="14" t="s">
        <v>356</v>
      </c>
    </row>
    <row r="404">
      <c r="A404" s="13">
        <v>45901.0</v>
      </c>
      <c r="B404" s="14" t="s">
        <v>47</v>
      </c>
      <c r="C404" s="14" t="s">
        <v>48</v>
      </c>
      <c r="D404" s="14" t="s">
        <v>103</v>
      </c>
      <c r="E404" s="14" t="s">
        <v>104</v>
      </c>
      <c r="F404" s="15" t="s">
        <v>51</v>
      </c>
      <c r="G404" s="14" t="s">
        <v>105</v>
      </c>
      <c r="H404" s="14" t="s">
        <v>106</v>
      </c>
      <c r="I404" s="14" t="s">
        <v>59</v>
      </c>
      <c r="J404" s="14" t="s">
        <v>200</v>
      </c>
      <c r="K404" s="14" t="s">
        <v>232</v>
      </c>
      <c r="L404" s="14" t="s">
        <v>261</v>
      </c>
      <c r="M404" s="14" t="s">
        <v>864</v>
      </c>
      <c r="N404" s="14" t="s">
        <v>865</v>
      </c>
      <c r="O404" s="14">
        <v>0.0</v>
      </c>
      <c r="P404" s="23">
        <v>0.0</v>
      </c>
      <c r="Q404" s="22" t="str">
        <f t="shared" ref="Q404:R404" si="233">"+0.00%"</f>
        <v>+0.00%</v>
      </c>
      <c r="R404" s="18" t="str">
        <f t="shared" si="233"/>
        <v>+0.00%</v>
      </c>
      <c r="S404" s="14" t="s">
        <v>285</v>
      </c>
    </row>
    <row r="405">
      <c r="A405" s="13">
        <v>45901.0</v>
      </c>
      <c r="B405" s="14" t="s">
        <v>47</v>
      </c>
      <c r="C405" s="14" t="s">
        <v>48</v>
      </c>
      <c r="D405" s="14" t="s">
        <v>60</v>
      </c>
      <c r="E405" s="14" t="s">
        <v>61</v>
      </c>
      <c r="F405" s="15" t="s">
        <v>51</v>
      </c>
      <c r="G405" s="14" t="s">
        <v>62</v>
      </c>
      <c r="H405" s="14" t="s">
        <v>60</v>
      </c>
      <c r="I405" s="14" t="s">
        <v>59</v>
      </c>
      <c r="J405" s="14" t="s">
        <v>200</v>
      </c>
      <c r="K405" s="14" t="s">
        <v>223</v>
      </c>
      <c r="L405" s="14" t="s">
        <v>307</v>
      </c>
      <c r="M405" s="14" t="s">
        <v>308</v>
      </c>
      <c r="N405" s="14" t="s">
        <v>309</v>
      </c>
      <c r="O405" s="14">
        <v>0.0</v>
      </c>
      <c r="P405" s="23">
        <v>0.0</v>
      </c>
      <c r="Q405" s="22" t="str">
        <f t="shared" ref="Q405:R405" si="234">"+0.00%"</f>
        <v>+0.00%</v>
      </c>
      <c r="R405" s="18" t="str">
        <f t="shared" si="234"/>
        <v>+0.00%</v>
      </c>
      <c r="S405" s="14" t="s">
        <v>285</v>
      </c>
    </row>
    <row r="406">
      <c r="A406" s="13">
        <v>45901.0</v>
      </c>
      <c r="B406" s="14" t="s">
        <v>47</v>
      </c>
      <c r="C406" s="14" t="s">
        <v>48</v>
      </c>
      <c r="D406" s="14" t="s">
        <v>108</v>
      </c>
      <c r="E406" s="14" t="s">
        <v>109</v>
      </c>
      <c r="F406" s="15" t="s">
        <v>51</v>
      </c>
      <c r="G406" s="14" t="s">
        <v>110</v>
      </c>
      <c r="H406" s="14" t="s">
        <v>108</v>
      </c>
      <c r="I406" s="14" t="s">
        <v>59</v>
      </c>
      <c r="J406" s="14" t="s">
        <v>200</v>
      </c>
      <c r="K406" s="14" t="s">
        <v>227</v>
      </c>
      <c r="L406" s="14" t="s">
        <v>253</v>
      </c>
      <c r="M406" s="14" t="s">
        <v>254</v>
      </c>
      <c r="N406" s="14" t="s">
        <v>255</v>
      </c>
      <c r="O406" s="14">
        <v>2.0</v>
      </c>
      <c r="P406" s="23">
        <v>0.0261</v>
      </c>
      <c r="Q406" s="22" t="str">
        <f>"+0.00%"</f>
        <v>+0.00%</v>
      </c>
      <c r="R406" s="18" t="str">
        <f>"+0.87%"</f>
        <v>+0.87%</v>
      </c>
      <c r="S406" s="14" t="s">
        <v>866</v>
      </c>
    </row>
    <row r="407">
      <c r="A407" s="13">
        <v>45901.0</v>
      </c>
      <c r="B407" s="14" t="s">
        <v>47</v>
      </c>
      <c r="C407" s="14" t="s">
        <v>48</v>
      </c>
      <c r="D407" s="14" t="s">
        <v>165</v>
      </c>
      <c r="E407" s="14" t="s">
        <v>166</v>
      </c>
      <c r="F407" s="15" t="s">
        <v>51</v>
      </c>
      <c r="G407" s="14" t="s">
        <v>167</v>
      </c>
      <c r="H407" s="14" t="s">
        <v>165</v>
      </c>
      <c r="I407" s="14" t="s">
        <v>54</v>
      </c>
      <c r="J407" s="14" t="s">
        <v>198</v>
      </c>
      <c r="K407" s="14" t="s">
        <v>210</v>
      </c>
      <c r="L407" s="14" t="s">
        <v>264</v>
      </c>
      <c r="M407" s="14" t="s">
        <v>867</v>
      </c>
      <c r="N407" s="14" t="s">
        <v>868</v>
      </c>
      <c r="O407" s="14">
        <v>0.0</v>
      </c>
      <c r="P407" s="21">
        <v>0.0</v>
      </c>
      <c r="Q407" s="22" t="str">
        <f t="shared" ref="Q407:R407" si="235">"+0"</f>
        <v>+0</v>
      </c>
      <c r="R407" s="18" t="str">
        <f t="shared" si="235"/>
        <v>+0</v>
      </c>
      <c r="S407" s="14" t="s">
        <v>277</v>
      </c>
    </row>
    <row r="408">
      <c r="A408" s="13">
        <v>45901.0</v>
      </c>
      <c r="B408" s="14" t="s">
        <v>47</v>
      </c>
      <c r="C408" s="14" t="s">
        <v>48</v>
      </c>
      <c r="D408" s="14" t="s">
        <v>192</v>
      </c>
      <c r="E408" s="14" t="s">
        <v>193</v>
      </c>
      <c r="F408" s="15" t="s">
        <v>51</v>
      </c>
      <c r="G408" s="14" t="s">
        <v>194</v>
      </c>
      <c r="H408" s="14" t="s">
        <v>192</v>
      </c>
      <c r="I408" s="14" t="s">
        <v>54</v>
      </c>
      <c r="J408" s="14" t="s">
        <v>200</v>
      </c>
      <c r="K408" s="14" t="s">
        <v>227</v>
      </c>
      <c r="L408" s="14" t="s">
        <v>253</v>
      </c>
      <c r="M408" s="14" t="s">
        <v>811</v>
      </c>
      <c r="N408" s="14" t="s">
        <v>812</v>
      </c>
      <c r="O408" s="14">
        <v>0.0</v>
      </c>
      <c r="P408" s="23">
        <v>0.0</v>
      </c>
      <c r="Q408" s="22" t="str">
        <f t="shared" ref="Q408:R408" si="236">"+0.00%"</f>
        <v>+0.00%</v>
      </c>
      <c r="R408" s="18" t="str">
        <f t="shared" si="236"/>
        <v>+0.00%</v>
      </c>
      <c r="S408" s="14" t="s">
        <v>813</v>
      </c>
    </row>
    <row r="409">
      <c r="A409" s="13">
        <v>45901.0</v>
      </c>
      <c r="B409" s="14" t="s">
        <v>47</v>
      </c>
      <c r="C409" s="14" t="s">
        <v>48</v>
      </c>
      <c r="D409" s="14" t="s">
        <v>66</v>
      </c>
      <c r="E409" s="14" t="s">
        <v>67</v>
      </c>
      <c r="F409" s="15" t="s">
        <v>51</v>
      </c>
      <c r="G409" s="14" t="s">
        <v>68</v>
      </c>
      <c r="H409" s="14" t="s">
        <v>66</v>
      </c>
      <c r="I409" s="14" t="s">
        <v>59</v>
      </c>
      <c r="J409" s="14" t="s">
        <v>200</v>
      </c>
      <c r="K409" s="14" t="s">
        <v>223</v>
      </c>
      <c r="L409" s="14" t="s">
        <v>607</v>
      </c>
      <c r="M409" s="14" t="s">
        <v>869</v>
      </c>
      <c r="N409" s="14" t="s">
        <v>870</v>
      </c>
      <c r="O409" s="14">
        <v>0.0</v>
      </c>
      <c r="P409" s="23">
        <v>-1.0</v>
      </c>
      <c r="Q409" s="22" t="str">
        <f>"+0.00%"</f>
        <v>+0.00%</v>
      </c>
      <c r="R409" s="18" t="str">
        <f>"-33.62%"</f>
        <v>-33.62%</v>
      </c>
      <c r="S409" s="14" t="s">
        <v>871</v>
      </c>
    </row>
    <row r="410">
      <c r="A410" s="13">
        <v>45901.0</v>
      </c>
      <c r="B410" s="14" t="s">
        <v>47</v>
      </c>
      <c r="C410" s="14" t="s">
        <v>48</v>
      </c>
      <c r="D410" s="14" t="s">
        <v>82</v>
      </c>
      <c r="E410" s="14" t="s">
        <v>83</v>
      </c>
      <c r="F410" s="15" t="s">
        <v>51</v>
      </c>
      <c r="G410" s="14" t="s">
        <v>84</v>
      </c>
      <c r="H410" s="14" t="s">
        <v>82</v>
      </c>
      <c r="I410" s="14" t="s">
        <v>59</v>
      </c>
      <c r="J410" s="14" t="s">
        <v>199</v>
      </c>
      <c r="K410" s="14" t="s">
        <v>203</v>
      </c>
      <c r="L410" s="14" t="s">
        <v>601</v>
      </c>
      <c r="M410" s="14" t="s">
        <v>601</v>
      </c>
      <c r="N410" s="14" t="s">
        <v>602</v>
      </c>
      <c r="O410" s="14">
        <v>0.0</v>
      </c>
      <c r="P410" s="21">
        <v>0.0</v>
      </c>
      <c r="Q410" s="22" t="str">
        <f t="shared" ref="Q410:R410" si="237">"+0"</f>
        <v>+0</v>
      </c>
      <c r="R410" s="18" t="str">
        <f t="shared" si="237"/>
        <v>+0</v>
      </c>
      <c r="S410" s="14" t="s">
        <v>260</v>
      </c>
    </row>
    <row r="411">
      <c r="A411" s="13">
        <v>45901.0</v>
      </c>
      <c r="B411" s="14" t="s">
        <v>47</v>
      </c>
      <c r="C411" s="14" t="s">
        <v>48</v>
      </c>
      <c r="D411" s="14" t="s">
        <v>82</v>
      </c>
      <c r="E411" s="14" t="s">
        <v>83</v>
      </c>
      <c r="F411" s="15" t="s">
        <v>51</v>
      </c>
      <c r="G411" s="14" t="s">
        <v>84</v>
      </c>
      <c r="H411" s="14" t="s">
        <v>82</v>
      </c>
      <c r="I411" s="14" t="s">
        <v>59</v>
      </c>
      <c r="J411" s="14" t="s">
        <v>200</v>
      </c>
      <c r="K411" s="14" t="s">
        <v>227</v>
      </c>
      <c r="L411" s="14" t="s">
        <v>328</v>
      </c>
      <c r="M411" s="14" t="s">
        <v>329</v>
      </c>
      <c r="N411" s="14" t="s">
        <v>330</v>
      </c>
      <c r="O411" s="14">
        <v>0.0</v>
      </c>
      <c r="P411" s="21">
        <v>0.0</v>
      </c>
      <c r="Q411" s="22" t="str">
        <f t="shared" ref="Q411:R411" si="238">"-1"</f>
        <v>-1</v>
      </c>
      <c r="R411" s="18" t="str">
        <f t="shared" si="238"/>
        <v>-1</v>
      </c>
      <c r="S411" s="14" t="s">
        <v>260</v>
      </c>
    </row>
    <row r="412">
      <c r="A412" s="13">
        <v>45901.0</v>
      </c>
      <c r="B412" s="14" t="s">
        <v>47</v>
      </c>
      <c r="C412" s="14" t="s">
        <v>48</v>
      </c>
      <c r="D412" s="14" t="s">
        <v>192</v>
      </c>
      <c r="E412" s="14" t="s">
        <v>193</v>
      </c>
      <c r="F412" s="15" t="s">
        <v>51</v>
      </c>
      <c r="G412" s="14" t="s">
        <v>194</v>
      </c>
      <c r="H412" s="14" t="s">
        <v>192</v>
      </c>
      <c r="I412" s="14" t="s">
        <v>54</v>
      </c>
      <c r="J412" s="14" t="s">
        <v>200</v>
      </c>
      <c r="K412" s="14" t="s">
        <v>223</v>
      </c>
      <c r="L412" s="14" t="s">
        <v>607</v>
      </c>
      <c r="M412" s="14" t="s">
        <v>692</v>
      </c>
      <c r="N412" s="14" t="s">
        <v>693</v>
      </c>
      <c r="O412" s="14">
        <v>0.0</v>
      </c>
      <c r="P412" s="23">
        <v>0.0</v>
      </c>
      <c r="Q412" s="22" t="str">
        <f t="shared" ref="Q412:R412" si="239">"+0.00%"</f>
        <v>+0.00%</v>
      </c>
      <c r="R412" s="18" t="str">
        <f t="shared" si="239"/>
        <v>+0.00%</v>
      </c>
      <c r="S412" s="14" t="s">
        <v>285</v>
      </c>
    </row>
    <row r="413">
      <c r="A413" s="13">
        <v>45901.0</v>
      </c>
      <c r="B413" s="14" t="s">
        <v>47</v>
      </c>
      <c r="C413" s="14" t="s">
        <v>48</v>
      </c>
      <c r="D413" s="14" t="s">
        <v>66</v>
      </c>
      <c r="E413" s="14" t="s">
        <v>67</v>
      </c>
      <c r="F413" s="15" t="s">
        <v>51</v>
      </c>
      <c r="G413" s="14" t="s">
        <v>68</v>
      </c>
      <c r="H413" s="14" t="s">
        <v>66</v>
      </c>
      <c r="I413" s="14" t="s">
        <v>59</v>
      </c>
      <c r="J413" s="14" t="s">
        <v>200</v>
      </c>
      <c r="K413" s="14" t="s">
        <v>231</v>
      </c>
      <c r="L413" s="14" t="s">
        <v>751</v>
      </c>
      <c r="M413" s="14" t="s">
        <v>872</v>
      </c>
      <c r="N413" s="14" t="s">
        <v>873</v>
      </c>
      <c r="O413" s="14">
        <v>0.0</v>
      </c>
      <c r="P413" s="21">
        <v>0.0</v>
      </c>
      <c r="Q413" s="22" t="str">
        <f t="shared" ref="Q413:R413" si="240">"+0"</f>
        <v>+0</v>
      </c>
      <c r="R413" s="18" t="str">
        <f t="shared" si="240"/>
        <v>+0</v>
      </c>
      <c r="S413" s="14" t="s">
        <v>260</v>
      </c>
    </row>
    <row r="414">
      <c r="A414" s="13">
        <v>45901.0</v>
      </c>
      <c r="B414" s="14" t="s">
        <v>47</v>
      </c>
      <c r="C414" s="14" t="s">
        <v>48</v>
      </c>
      <c r="D414" s="14" t="s">
        <v>192</v>
      </c>
      <c r="E414" s="14" t="s">
        <v>193</v>
      </c>
      <c r="F414" s="15" t="s">
        <v>51</v>
      </c>
      <c r="G414" s="14" t="s">
        <v>194</v>
      </c>
      <c r="H414" s="14" t="s">
        <v>192</v>
      </c>
      <c r="I414" s="14" t="s">
        <v>54</v>
      </c>
      <c r="J414" s="14" t="s">
        <v>200</v>
      </c>
      <c r="K414" s="14" t="s">
        <v>202</v>
      </c>
      <c r="L414" s="14" t="s">
        <v>253</v>
      </c>
      <c r="M414" s="14" t="s">
        <v>874</v>
      </c>
      <c r="N414" s="14" t="s">
        <v>875</v>
      </c>
      <c r="O414" s="14">
        <v>92.0</v>
      </c>
      <c r="P414" s="23">
        <v>0.9216</v>
      </c>
      <c r="Q414" s="22" t="str">
        <f>"+2.11%"</f>
        <v>+2.11%</v>
      </c>
      <c r="R414" s="18" t="str">
        <f>"-0.23%"</f>
        <v>-0.23%</v>
      </c>
      <c r="S414" s="14" t="s">
        <v>876</v>
      </c>
    </row>
    <row r="415">
      <c r="A415" s="13">
        <v>45901.0</v>
      </c>
      <c r="B415" s="14" t="s">
        <v>47</v>
      </c>
      <c r="C415" s="14" t="s">
        <v>48</v>
      </c>
      <c r="D415" s="14" t="s">
        <v>192</v>
      </c>
      <c r="E415" s="14" t="s">
        <v>193</v>
      </c>
      <c r="F415" s="15" t="s">
        <v>51</v>
      </c>
      <c r="G415" s="14" t="s">
        <v>194</v>
      </c>
      <c r="H415" s="14" t="s">
        <v>192</v>
      </c>
      <c r="I415" s="14" t="s">
        <v>54</v>
      </c>
      <c r="J415" s="14" t="s">
        <v>200</v>
      </c>
      <c r="K415" s="14" t="s">
        <v>223</v>
      </c>
      <c r="L415" s="14" t="s">
        <v>304</v>
      </c>
      <c r="M415" s="14" t="s">
        <v>877</v>
      </c>
      <c r="N415" s="14" t="s">
        <v>878</v>
      </c>
      <c r="O415" s="14">
        <v>0.0</v>
      </c>
      <c r="P415" s="23">
        <v>0.0</v>
      </c>
      <c r="Q415" s="22" t="str">
        <f t="shared" ref="Q415:R415" si="241">"+0.00%"</f>
        <v>+0.00%</v>
      </c>
      <c r="R415" s="18" t="str">
        <f t="shared" si="241"/>
        <v>+0.00%</v>
      </c>
      <c r="S415" s="14" t="s">
        <v>879</v>
      </c>
    </row>
    <row r="416">
      <c r="A416" s="13">
        <v>45901.0</v>
      </c>
      <c r="B416" s="14" t="s">
        <v>47</v>
      </c>
      <c r="C416" s="14" t="s">
        <v>48</v>
      </c>
      <c r="D416" s="14" t="s">
        <v>192</v>
      </c>
      <c r="E416" s="14" t="s">
        <v>193</v>
      </c>
      <c r="F416" s="15" t="s">
        <v>51</v>
      </c>
      <c r="G416" s="14" t="s">
        <v>194</v>
      </c>
      <c r="H416" s="14" t="s">
        <v>192</v>
      </c>
      <c r="I416" s="14" t="s">
        <v>54</v>
      </c>
      <c r="J416" s="14" t="s">
        <v>198</v>
      </c>
      <c r="K416" s="14" t="s">
        <v>210</v>
      </c>
      <c r="L416" s="14" t="s">
        <v>505</v>
      </c>
      <c r="M416" s="14" t="s">
        <v>880</v>
      </c>
      <c r="N416" s="14" t="s">
        <v>881</v>
      </c>
      <c r="O416" s="14">
        <v>0.0</v>
      </c>
      <c r="P416" s="21">
        <v>0.0</v>
      </c>
      <c r="Q416" s="22" t="str">
        <f t="shared" ref="Q416:R416" si="242">"+0"</f>
        <v>+0</v>
      </c>
      <c r="R416" s="18" t="str">
        <f t="shared" si="242"/>
        <v>+0</v>
      </c>
      <c r="S416" s="14" t="s">
        <v>277</v>
      </c>
    </row>
    <row r="417">
      <c r="A417" s="13">
        <v>45901.0</v>
      </c>
      <c r="B417" s="14" t="s">
        <v>47</v>
      </c>
      <c r="C417" s="14" t="s">
        <v>48</v>
      </c>
      <c r="D417" s="14" t="s">
        <v>66</v>
      </c>
      <c r="E417" s="14" t="s">
        <v>67</v>
      </c>
      <c r="F417" s="15" t="s">
        <v>51</v>
      </c>
      <c r="G417" s="14" t="s">
        <v>68</v>
      </c>
      <c r="H417" s="14" t="s">
        <v>66</v>
      </c>
      <c r="I417" s="14" t="s">
        <v>59</v>
      </c>
      <c r="J417" s="14" t="s">
        <v>200</v>
      </c>
      <c r="K417" s="14" t="s">
        <v>223</v>
      </c>
      <c r="L417" s="14" t="s">
        <v>487</v>
      </c>
      <c r="M417" s="14" t="s">
        <v>488</v>
      </c>
      <c r="N417" s="14" t="s">
        <v>489</v>
      </c>
      <c r="O417" s="14">
        <v>0.0</v>
      </c>
      <c r="P417" s="21">
        <v>0.0</v>
      </c>
      <c r="Q417" s="22" t="str">
        <f t="shared" ref="Q417:R417" si="243">"+0"</f>
        <v>+0</v>
      </c>
      <c r="R417" s="18" t="str">
        <f t="shared" si="243"/>
        <v>+0</v>
      </c>
      <c r="S417" s="14" t="s">
        <v>260</v>
      </c>
    </row>
    <row r="418">
      <c r="A418" s="13">
        <v>45901.0</v>
      </c>
      <c r="B418" s="14" t="s">
        <v>47</v>
      </c>
      <c r="C418" s="14" t="s">
        <v>48</v>
      </c>
      <c r="D418" s="14" t="s">
        <v>73</v>
      </c>
      <c r="E418" s="14" t="s">
        <v>74</v>
      </c>
      <c r="F418" s="15" t="s">
        <v>51</v>
      </c>
      <c r="G418" s="14" t="s">
        <v>75</v>
      </c>
      <c r="H418" s="14" t="s">
        <v>76</v>
      </c>
      <c r="I418" s="14" t="s">
        <v>59</v>
      </c>
      <c r="J418" s="14" t="s">
        <v>200</v>
      </c>
      <c r="K418" s="14" t="s">
        <v>232</v>
      </c>
      <c r="L418" s="14" t="s">
        <v>286</v>
      </c>
      <c r="M418" s="14" t="s">
        <v>730</v>
      </c>
      <c r="N418" s="14" t="s">
        <v>731</v>
      </c>
      <c r="O418" s="14">
        <v>0.0</v>
      </c>
      <c r="P418" s="23">
        <v>0.0</v>
      </c>
      <c r="Q418" s="22" t="str">
        <f t="shared" ref="Q418:R418" si="244">"+0.00%"</f>
        <v>+0.00%</v>
      </c>
      <c r="R418" s="18" t="str">
        <f t="shared" si="244"/>
        <v>+0.00%</v>
      </c>
      <c r="S418" s="14" t="s">
        <v>285</v>
      </c>
    </row>
    <row r="419">
      <c r="A419" s="13">
        <v>45901.0</v>
      </c>
      <c r="B419" s="14" t="s">
        <v>47</v>
      </c>
      <c r="C419" s="14" t="s">
        <v>48</v>
      </c>
      <c r="D419" s="14" t="s">
        <v>73</v>
      </c>
      <c r="E419" s="14" t="s">
        <v>74</v>
      </c>
      <c r="F419" s="15" t="s">
        <v>51</v>
      </c>
      <c r="G419" s="14" t="s">
        <v>75</v>
      </c>
      <c r="H419" s="14" t="s">
        <v>76</v>
      </c>
      <c r="I419" s="14" t="s">
        <v>59</v>
      </c>
      <c r="J419" s="14" t="s">
        <v>200</v>
      </c>
      <c r="K419" s="14" t="s">
        <v>232</v>
      </c>
      <c r="L419" s="14" t="s">
        <v>261</v>
      </c>
      <c r="M419" s="14" t="s">
        <v>808</v>
      </c>
      <c r="N419" s="14" t="s">
        <v>809</v>
      </c>
      <c r="O419" s="14">
        <v>0.0</v>
      </c>
      <c r="P419" s="23">
        <v>0.0</v>
      </c>
      <c r="Q419" s="22" t="str">
        <f t="shared" ref="Q419:R419" si="245">"+0.00%"</f>
        <v>+0.00%</v>
      </c>
      <c r="R419" s="18" t="str">
        <f t="shared" si="245"/>
        <v>+0.00%</v>
      </c>
      <c r="S419" s="14" t="s">
        <v>882</v>
      </c>
    </row>
    <row r="420">
      <c r="A420" s="13">
        <v>45901.0</v>
      </c>
      <c r="B420" s="14" t="s">
        <v>47</v>
      </c>
      <c r="C420" s="14" t="s">
        <v>48</v>
      </c>
      <c r="D420" s="14" t="s">
        <v>143</v>
      </c>
      <c r="E420" s="14" t="s">
        <v>144</v>
      </c>
      <c r="F420" s="15" t="s">
        <v>51</v>
      </c>
      <c r="G420" s="14" t="s">
        <v>145</v>
      </c>
      <c r="H420" s="14" t="s">
        <v>143</v>
      </c>
      <c r="I420" s="14" t="s">
        <v>59</v>
      </c>
      <c r="J420" s="14" t="s">
        <v>200</v>
      </c>
      <c r="K420" s="14" t="s">
        <v>232</v>
      </c>
      <c r="L420" s="14" t="s">
        <v>883</v>
      </c>
      <c r="M420" s="14" t="s">
        <v>884</v>
      </c>
      <c r="N420" s="14" t="s">
        <v>885</v>
      </c>
      <c r="O420" s="14">
        <v>100.0</v>
      </c>
      <c r="P420" s="23">
        <v>0.3462</v>
      </c>
      <c r="Q420" s="22" t="str">
        <f>"+21.57%"</f>
        <v>+21.57%</v>
      </c>
      <c r="R420" s="18" t="str">
        <f>"+2.36%"</f>
        <v>+2.36%</v>
      </c>
      <c r="S420" s="14" t="s">
        <v>285</v>
      </c>
    </row>
    <row r="421">
      <c r="A421" s="13">
        <v>45901.0</v>
      </c>
      <c r="B421" s="14" t="s">
        <v>47</v>
      </c>
      <c r="C421" s="14" t="s">
        <v>48</v>
      </c>
      <c r="D421" s="14" t="s">
        <v>73</v>
      </c>
      <c r="E421" s="14" t="s">
        <v>74</v>
      </c>
      <c r="F421" s="15" t="s">
        <v>51</v>
      </c>
      <c r="G421" s="14" t="s">
        <v>75</v>
      </c>
      <c r="H421" s="14" t="s">
        <v>76</v>
      </c>
      <c r="I421" s="14" t="s">
        <v>59</v>
      </c>
      <c r="J421" s="14" t="s">
        <v>200</v>
      </c>
      <c r="K421" s="14" t="s">
        <v>232</v>
      </c>
      <c r="L421" s="14" t="s">
        <v>487</v>
      </c>
      <c r="M421" s="14" t="s">
        <v>670</v>
      </c>
      <c r="N421" s="14" t="s">
        <v>671</v>
      </c>
      <c r="O421" s="14">
        <v>100.0</v>
      </c>
      <c r="P421" s="21">
        <v>1.0</v>
      </c>
      <c r="Q421" s="22" t="str">
        <f t="shared" ref="Q421:R421" si="246">"+0"</f>
        <v>+0</v>
      </c>
      <c r="R421" s="18" t="str">
        <f t="shared" si="246"/>
        <v>+0</v>
      </c>
      <c r="S421" s="14" t="s">
        <v>260</v>
      </c>
    </row>
    <row r="422">
      <c r="A422" s="13">
        <v>45901.0</v>
      </c>
      <c r="B422" s="14" t="s">
        <v>47</v>
      </c>
      <c r="C422" s="14" t="s">
        <v>48</v>
      </c>
      <c r="D422" s="14" t="s">
        <v>103</v>
      </c>
      <c r="E422" s="14" t="s">
        <v>104</v>
      </c>
      <c r="F422" s="15" t="s">
        <v>51</v>
      </c>
      <c r="G422" s="14" t="s">
        <v>105</v>
      </c>
      <c r="H422" s="14" t="s">
        <v>106</v>
      </c>
      <c r="I422" s="14" t="s">
        <v>59</v>
      </c>
      <c r="J422" s="14" t="s">
        <v>200</v>
      </c>
      <c r="K422" s="14" t="s">
        <v>232</v>
      </c>
      <c r="L422" s="14" t="s">
        <v>607</v>
      </c>
      <c r="M422" s="14" t="s">
        <v>886</v>
      </c>
      <c r="N422" s="14" t="s">
        <v>887</v>
      </c>
      <c r="O422" s="14">
        <v>0.0</v>
      </c>
      <c r="P422" s="23">
        <v>0.0</v>
      </c>
      <c r="Q422" s="22" t="str">
        <f t="shared" ref="Q422:R422" si="247">"+0.00%"</f>
        <v>+0.00%</v>
      </c>
      <c r="R422" s="18" t="str">
        <f t="shared" si="247"/>
        <v>+0.00%</v>
      </c>
      <c r="S422" s="14" t="s">
        <v>888</v>
      </c>
    </row>
    <row r="423">
      <c r="A423" s="13">
        <v>45901.0</v>
      </c>
      <c r="B423" s="14" t="s">
        <v>47</v>
      </c>
      <c r="C423" s="14" t="s">
        <v>48</v>
      </c>
      <c r="D423" s="14" t="s">
        <v>129</v>
      </c>
      <c r="E423" s="14" t="s">
        <v>130</v>
      </c>
      <c r="F423" s="15" t="s">
        <v>51</v>
      </c>
      <c r="G423" s="14" t="s">
        <v>131</v>
      </c>
      <c r="H423" s="14" t="s">
        <v>129</v>
      </c>
      <c r="I423" s="14" t="s">
        <v>59</v>
      </c>
      <c r="J423" s="14" t="s">
        <v>199</v>
      </c>
      <c r="K423" s="14" t="s">
        <v>206</v>
      </c>
      <c r="L423" s="14" t="s">
        <v>295</v>
      </c>
      <c r="M423" s="14" t="s">
        <v>461</v>
      </c>
      <c r="N423" s="14" t="s">
        <v>462</v>
      </c>
      <c r="O423" s="14">
        <v>0.0</v>
      </c>
      <c r="P423" s="21">
        <v>0.0</v>
      </c>
      <c r="Q423" s="22" t="str">
        <f t="shared" ref="Q423:R423" si="248">"+0"</f>
        <v>+0</v>
      </c>
      <c r="R423" s="18" t="str">
        <f t="shared" si="248"/>
        <v>+0</v>
      </c>
      <c r="S423" s="14" t="s">
        <v>260</v>
      </c>
    </row>
    <row r="424">
      <c r="A424" s="13">
        <v>45901.0</v>
      </c>
      <c r="B424" s="14" t="s">
        <v>47</v>
      </c>
      <c r="C424" s="14" t="s">
        <v>48</v>
      </c>
      <c r="D424" s="14" t="s">
        <v>87</v>
      </c>
      <c r="E424" s="14" t="s">
        <v>88</v>
      </c>
      <c r="F424" s="15" t="s">
        <v>51</v>
      </c>
      <c r="G424" s="14" t="s">
        <v>89</v>
      </c>
      <c r="H424" s="14" t="s">
        <v>90</v>
      </c>
      <c r="I424" s="14" t="s">
        <v>59</v>
      </c>
      <c r="J424" s="14" t="s">
        <v>200</v>
      </c>
      <c r="K424" s="14" t="s">
        <v>211</v>
      </c>
      <c r="L424" s="14" t="s">
        <v>889</v>
      </c>
      <c r="M424" s="14" t="s">
        <v>890</v>
      </c>
      <c r="N424" s="14" t="s">
        <v>891</v>
      </c>
      <c r="O424" s="14">
        <v>0.0</v>
      </c>
      <c r="P424" s="23">
        <v>-1.0</v>
      </c>
      <c r="Q424" s="22" t="str">
        <f>"-32.00%"</f>
        <v>-32.00%</v>
      </c>
      <c r="R424" s="18" t="str">
        <f>"-16.22%"</f>
        <v>-16.22%</v>
      </c>
      <c r="S424" s="14" t="s">
        <v>892</v>
      </c>
    </row>
    <row r="425">
      <c r="A425" s="13">
        <v>45901.0</v>
      </c>
      <c r="B425" s="14" t="s">
        <v>47</v>
      </c>
      <c r="C425" s="14" t="s">
        <v>48</v>
      </c>
      <c r="D425" s="14" t="s">
        <v>87</v>
      </c>
      <c r="E425" s="14" t="s">
        <v>88</v>
      </c>
      <c r="F425" s="15" t="s">
        <v>51</v>
      </c>
      <c r="G425" s="14" t="s">
        <v>89</v>
      </c>
      <c r="H425" s="14" t="s">
        <v>90</v>
      </c>
      <c r="I425" s="14" t="s">
        <v>59</v>
      </c>
      <c r="J425" s="14" t="s">
        <v>200</v>
      </c>
      <c r="K425" s="14" t="s">
        <v>209</v>
      </c>
      <c r="L425" s="14" t="s">
        <v>253</v>
      </c>
      <c r="M425" s="14" t="s">
        <v>817</v>
      </c>
      <c r="N425" s="14" t="s">
        <v>818</v>
      </c>
      <c r="O425" s="14">
        <v>36.0</v>
      </c>
      <c r="P425" s="23">
        <v>0.3618</v>
      </c>
      <c r="Q425" s="22" t="str">
        <f>"+0.87%"</f>
        <v>+0.87%</v>
      </c>
      <c r="R425" s="18" t="str">
        <f>"+3.10%"</f>
        <v>+3.10%</v>
      </c>
      <c r="S425" s="14" t="s">
        <v>893</v>
      </c>
    </row>
    <row r="426">
      <c r="A426" s="13">
        <v>45901.0</v>
      </c>
      <c r="B426" s="14" t="s">
        <v>47</v>
      </c>
      <c r="C426" s="14" t="s">
        <v>48</v>
      </c>
      <c r="D426" s="14" t="s">
        <v>129</v>
      </c>
      <c r="E426" s="14" t="s">
        <v>130</v>
      </c>
      <c r="F426" s="15" t="s">
        <v>51</v>
      </c>
      <c r="G426" s="14" t="s">
        <v>131</v>
      </c>
      <c r="H426" s="14" t="s">
        <v>129</v>
      </c>
      <c r="I426" s="14" t="s">
        <v>59</v>
      </c>
      <c r="J426" s="14" t="s">
        <v>200</v>
      </c>
      <c r="K426" s="14" t="s">
        <v>213</v>
      </c>
      <c r="L426" s="14" t="s">
        <v>307</v>
      </c>
      <c r="M426" s="14" t="s">
        <v>856</v>
      </c>
      <c r="N426" s="14" t="s">
        <v>857</v>
      </c>
      <c r="O426" s="14">
        <v>0.0</v>
      </c>
      <c r="P426" s="23">
        <v>0.0</v>
      </c>
      <c r="Q426" s="22" t="str">
        <f t="shared" ref="Q426:R426" si="249">"+0.00%"</f>
        <v>+0.00%</v>
      </c>
      <c r="R426" s="18" t="str">
        <f t="shared" si="249"/>
        <v>+0.00%</v>
      </c>
      <c r="S426" s="14" t="s">
        <v>285</v>
      </c>
    </row>
    <row r="427">
      <c r="A427" s="13">
        <v>45901.0</v>
      </c>
      <c r="B427" s="14" t="s">
        <v>47</v>
      </c>
      <c r="C427" s="14" t="s">
        <v>48</v>
      </c>
      <c r="D427" s="14" t="s">
        <v>87</v>
      </c>
      <c r="E427" s="14" t="s">
        <v>88</v>
      </c>
      <c r="F427" s="15" t="s">
        <v>51</v>
      </c>
      <c r="G427" s="14" t="s">
        <v>89</v>
      </c>
      <c r="H427" s="14" t="s">
        <v>90</v>
      </c>
      <c r="I427" s="14" t="s">
        <v>59</v>
      </c>
      <c r="J427" s="14" t="s">
        <v>200</v>
      </c>
      <c r="K427" s="14" t="s">
        <v>223</v>
      </c>
      <c r="L427" s="14" t="s">
        <v>307</v>
      </c>
      <c r="M427" s="14" t="s">
        <v>533</v>
      </c>
      <c r="N427" s="14" t="s">
        <v>534</v>
      </c>
      <c r="O427" s="14">
        <v>1.0</v>
      </c>
      <c r="P427" s="23">
        <v>0.011</v>
      </c>
      <c r="Q427" s="22" t="str">
        <f>"+0.56%"</f>
        <v>+0.56%</v>
      </c>
      <c r="R427" s="18" t="str">
        <f>"+1.10%"</f>
        <v>+1.10%</v>
      </c>
      <c r="S427" s="14" t="s">
        <v>894</v>
      </c>
    </row>
    <row r="428">
      <c r="A428" s="13">
        <v>45901.0</v>
      </c>
      <c r="B428" s="14" t="s">
        <v>47</v>
      </c>
      <c r="C428" s="14" t="s">
        <v>48</v>
      </c>
      <c r="D428" s="14" t="s">
        <v>69</v>
      </c>
      <c r="E428" s="14" t="s">
        <v>70</v>
      </c>
      <c r="F428" s="15" t="s">
        <v>51</v>
      </c>
      <c r="G428" s="14" t="s">
        <v>115</v>
      </c>
      <c r="H428" s="14" t="s">
        <v>72</v>
      </c>
      <c r="I428" s="14" t="s">
        <v>54</v>
      </c>
      <c r="J428" s="14" t="s">
        <v>200</v>
      </c>
      <c r="K428" s="14" t="s">
        <v>224</v>
      </c>
      <c r="L428" s="14" t="s">
        <v>427</v>
      </c>
      <c r="M428" s="14" t="s">
        <v>895</v>
      </c>
      <c r="N428" s="14" t="s">
        <v>896</v>
      </c>
      <c r="O428" s="14">
        <v>0.0</v>
      </c>
      <c r="P428" s="23">
        <v>0.0</v>
      </c>
      <c r="Q428" s="22" t="str">
        <f t="shared" ref="Q428:R428" si="250">"+0.00%"</f>
        <v>+0.00%</v>
      </c>
      <c r="R428" s="18" t="str">
        <f t="shared" si="250"/>
        <v>+0.00%</v>
      </c>
      <c r="S428" s="14" t="s">
        <v>897</v>
      </c>
    </row>
    <row r="429">
      <c r="A429" s="13">
        <v>45901.0</v>
      </c>
      <c r="B429" s="14" t="s">
        <v>47</v>
      </c>
      <c r="C429" s="14" t="s">
        <v>48</v>
      </c>
      <c r="D429" s="14" t="s">
        <v>85</v>
      </c>
      <c r="E429" s="14" t="s">
        <v>86</v>
      </c>
      <c r="F429" s="15" t="s">
        <v>51</v>
      </c>
      <c r="G429" s="14" t="s">
        <v>148</v>
      </c>
      <c r="H429" s="14" t="s">
        <v>85</v>
      </c>
      <c r="I429" s="14" t="s">
        <v>59</v>
      </c>
      <c r="J429" s="14" t="s">
        <v>200</v>
      </c>
      <c r="K429" s="14" t="s">
        <v>201</v>
      </c>
      <c r="L429" s="14" t="s">
        <v>253</v>
      </c>
      <c r="M429" s="14" t="s">
        <v>409</v>
      </c>
      <c r="N429" s="14" t="s">
        <v>410</v>
      </c>
      <c r="O429" s="14">
        <v>14.0</v>
      </c>
      <c r="P429" s="23">
        <v>0.145</v>
      </c>
      <c r="Q429" s="22" t="str">
        <f>"-0.34%"</f>
        <v>-0.34%</v>
      </c>
      <c r="R429" s="18" t="str">
        <f>"-0.36%"</f>
        <v>-0.36%</v>
      </c>
      <c r="S429" s="14" t="s">
        <v>898</v>
      </c>
    </row>
    <row r="430">
      <c r="A430" s="13">
        <v>45901.0</v>
      </c>
      <c r="B430" s="14" t="s">
        <v>47</v>
      </c>
      <c r="C430" s="14" t="s">
        <v>48</v>
      </c>
      <c r="D430" s="14" t="s">
        <v>96</v>
      </c>
      <c r="E430" s="14" t="s">
        <v>97</v>
      </c>
      <c r="F430" s="15" t="s">
        <v>51</v>
      </c>
      <c r="G430" s="14" t="s">
        <v>98</v>
      </c>
      <c r="H430" s="14" t="s">
        <v>96</v>
      </c>
      <c r="I430" s="14" t="s">
        <v>59</v>
      </c>
      <c r="J430" s="14" t="s">
        <v>200</v>
      </c>
      <c r="K430" s="14" t="s">
        <v>223</v>
      </c>
      <c r="L430" s="14" t="s">
        <v>591</v>
      </c>
      <c r="M430" s="14" t="s">
        <v>592</v>
      </c>
      <c r="N430" s="14" t="s">
        <v>593</v>
      </c>
      <c r="O430" s="14">
        <v>0.0</v>
      </c>
      <c r="P430" s="23">
        <v>0.0</v>
      </c>
      <c r="Q430" s="22" t="str">
        <f t="shared" ref="Q430:R430" si="251">"+0.00%"</f>
        <v>+0.00%</v>
      </c>
      <c r="R430" s="18" t="str">
        <f t="shared" si="251"/>
        <v>+0.00%</v>
      </c>
      <c r="S430" s="14" t="s">
        <v>285</v>
      </c>
    </row>
    <row r="431">
      <c r="A431" s="13">
        <v>45901.0</v>
      </c>
      <c r="B431" s="14" t="s">
        <v>47</v>
      </c>
      <c r="C431" s="14" t="s">
        <v>48</v>
      </c>
      <c r="D431" s="14" t="s">
        <v>69</v>
      </c>
      <c r="E431" s="14" t="s">
        <v>70</v>
      </c>
      <c r="F431" s="15" t="s">
        <v>51</v>
      </c>
      <c r="G431" s="14" t="s">
        <v>115</v>
      </c>
      <c r="H431" s="14" t="s">
        <v>72</v>
      </c>
      <c r="I431" s="14" t="s">
        <v>54</v>
      </c>
      <c r="J431" s="14" t="s">
        <v>198</v>
      </c>
      <c r="K431" s="14" t="s">
        <v>210</v>
      </c>
      <c r="L431" s="14" t="s">
        <v>264</v>
      </c>
      <c r="M431" s="14" t="s">
        <v>350</v>
      </c>
      <c r="N431" s="14" t="s">
        <v>351</v>
      </c>
      <c r="O431" s="14">
        <v>0.0</v>
      </c>
      <c r="P431" s="21">
        <v>0.0</v>
      </c>
      <c r="Q431" s="22" t="str">
        <f t="shared" ref="Q431:Q432" si="252">"+0"</f>
        <v>+0</v>
      </c>
      <c r="R431" s="18" t="str">
        <f>"-1"</f>
        <v>-1</v>
      </c>
      <c r="S431" s="14" t="s">
        <v>277</v>
      </c>
    </row>
    <row r="432">
      <c r="A432" s="13">
        <v>45901.0</v>
      </c>
      <c r="B432" s="14" t="s">
        <v>47</v>
      </c>
      <c r="C432" s="14" t="s">
        <v>48</v>
      </c>
      <c r="D432" s="14" t="s">
        <v>85</v>
      </c>
      <c r="E432" s="14" t="s">
        <v>86</v>
      </c>
      <c r="F432" s="15" t="s">
        <v>51</v>
      </c>
      <c r="G432" s="14" t="s">
        <v>148</v>
      </c>
      <c r="H432" s="14" t="s">
        <v>85</v>
      </c>
      <c r="I432" s="14" t="s">
        <v>59</v>
      </c>
      <c r="J432" s="14" t="s">
        <v>199</v>
      </c>
      <c r="K432" s="14" t="s">
        <v>203</v>
      </c>
      <c r="L432" s="14" t="s">
        <v>340</v>
      </c>
      <c r="M432" s="14" t="s">
        <v>340</v>
      </c>
      <c r="N432" s="14" t="s">
        <v>341</v>
      </c>
      <c r="O432" s="14">
        <v>0.0</v>
      </c>
      <c r="P432" s="21">
        <v>0.0</v>
      </c>
      <c r="Q432" s="22" t="str">
        <f t="shared" si="252"/>
        <v>+0</v>
      </c>
      <c r="R432" s="18" t="str">
        <f>"+0"</f>
        <v>+0</v>
      </c>
      <c r="S432" s="14" t="s">
        <v>260</v>
      </c>
    </row>
    <row r="433">
      <c r="A433" s="13">
        <v>45901.0</v>
      </c>
      <c r="B433" s="14" t="s">
        <v>47</v>
      </c>
      <c r="C433" s="14" t="s">
        <v>48</v>
      </c>
      <c r="D433" s="14" t="s">
        <v>69</v>
      </c>
      <c r="E433" s="14" t="s">
        <v>70</v>
      </c>
      <c r="F433" s="15" t="s">
        <v>51</v>
      </c>
      <c r="G433" s="14" t="s">
        <v>115</v>
      </c>
      <c r="H433" s="14" t="s">
        <v>72</v>
      </c>
      <c r="I433" s="14" t="s">
        <v>54</v>
      </c>
      <c r="J433" s="14" t="s">
        <v>200</v>
      </c>
      <c r="K433" s="14" t="s">
        <v>219</v>
      </c>
      <c r="L433" s="14" t="s">
        <v>253</v>
      </c>
      <c r="M433" s="14" t="s">
        <v>899</v>
      </c>
      <c r="N433" s="14" t="s">
        <v>900</v>
      </c>
      <c r="O433" s="14">
        <v>100.0</v>
      </c>
      <c r="P433" s="23">
        <v>0.0</v>
      </c>
      <c r="Q433" s="22" t="str">
        <f t="shared" ref="Q433:R433" si="253">"+0.00%"</f>
        <v>+0.00%</v>
      </c>
      <c r="R433" s="18" t="str">
        <f t="shared" si="253"/>
        <v>+0.00%</v>
      </c>
      <c r="S433" s="14" t="s">
        <v>285</v>
      </c>
    </row>
    <row r="434">
      <c r="A434" s="13">
        <v>45901.0</v>
      </c>
      <c r="B434" s="14" t="s">
        <v>47</v>
      </c>
      <c r="C434" s="14" t="s">
        <v>48</v>
      </c>
      <c r="D434" s="14" t="s">
        <v>69</v>
      </c>
      <c r="E434" s="14" t="s">
        <v>70</v>
      </c>
      <c r="F434" s="14" t="s">
        <v>71</v>
      </c>
      <c r="G434" s="14">
        <v>1.00002092E8</v>
      </c>
      <c r="H434" s="14" t="s">
        <v>72</v>
      </c>
      <c r="I434" s="14" t="s">
        <v>54</v>
      </c>
      <c r="J434" s="14" t="s">
        <v>199</v>
      </c>
      <c r="K434" s="14" t="s">
        <v>203</v>
      </c>
      <c r="L434" s="14" t="s">
        <v>679</v>
      </c>
      <c r="M434" s="14" t="s">
        <v>679</v>
      </c>
      <c r="N434" s="14" t="s">
        <v>680</v>
      </c>
      <c r="O434" s="14">
        <v>100.0</v>
      </c>
      <c r="P434" s="21">
        <v>1.0</v>
      </c>
      <c r="Q434" s="22" t="str">
        <f t="shared" ref="Q434:R434" si="254">"+0"</f>
        <v>+0</v>
      </c>
      <c r="R434" s="18" t="str">
        <f t="shared" si="254"/>
        <v>+0</v>
      </c>
      <c r="S434" s="14" t="s">
        <v>260</v>
      </c>
    </row>
    <row r="435">
      <c r="A435" s="13">
        <v>45901.0</v>
      </c>
      <c r="B435" s="14" t="s">
        <v>47</v>
      </c>
      <c r="C435" s="14" t="s">
        <v>48</v>
      </c>
      <c r="D435" s="14" t="s">
        <v>96</v>
      </c>
      <c r="E435" s="14" t="s">
        <v>97</v>
      </c>
      <c r="F435" s="15" t="s">
        <v>51</v>
      </c>
      <c r="G435" s="14" t="s">
        <v>98</v>
      </c>
      <c r="H435" s="14" t="s">
        <v>96</v>
      </c>
      <c r="I435" s="14" t="s">
        <v>59</v>
      </c>
      <c r="J435" s="14" t="s">
        <v>200</v>
      </c>
      <c r="K435" s="14" t="s">
        <v>202</v>
      </c>
      <c r="L435" s="14" t="s">
        <v>253</v>
      </c>
      <c r="M435" s="14" t="s">
        <v>874</v>
      </c>
      <c r="N435" s="14" t="s">
        <v>875</v>
      </c>
      <c r="O435" s="14">
        <v>39.0</v>
      </c>
      <c r="P435" s="23">
        <v>0.4</v>
      </c>
      <c r="Q435" s="22" t="str">
        <f>"+0.00%"</f>
        <v>+0.00%</v>
      </c>
      <c r="R435" s="18" t="str">
        <f>"-2.86%"</f>
        <v>-2.86%</v>
      </c>
      <c r="S435" s="14" t="s">
        <v>901</v>
      </c>
    </row>
    <row r="436">
      <c r="A436" s="13">
        <v>45901.0</v>
      </c>
      <c r="B436" s="14" t="s">
        <v>47</v>
      </c>
      <c r="C436" s="14" t="s">
        <v>48</v>
      </c>
      <c r="D436" s="14" t="s">
        <v>174</v>
      </c>
      <c r="E436" s="14" t="s">
        <v>175</v>
      </c>
      <c r="F436" s="15" t="s">
        <v>51</v>
      </c>
      <c r="G436" s="14" t="s">
        <v>176</v>
      </c>
      <c r="H436" s="14" t="s">
        <v>174</v>
      </c>
      <c r="I436" s="14" t="s">
        <v>59</v>
      </c>
      <c r="J436" s="14" t="s">
        <v>200</v>
      </c>
      <c r="K436" s="14" t="s">
        <v>227</v>
      </c>
      <c r="L436" s="14" t="s">
        <v>721</v>
      </c>
      <c r="M436" s="14" t="s">
        <v>722</v>
      </c>
      <c r="N436" s="14" t="s">
        <v>723</v>
      </c>
      <c r="O436" s="14">
        <v>45.0</v>
      </c>
      <c r="P436" s="23">
        <v>-0.0948</v>
      </c>
      <c r="Q436" s="22" t="str">
        <f>"-0.08%"</f>
        <v>-0.08%</v>
      </c>
      <c r="R436" s="18" t="str">
        <f>"-8.75%"</f>
        <v>-8.75%</v>
      </c>
      <c r="S436" s="14" t="s">
        <v>724</v>
      </c>
    </row>
    <row r="437">
      <c r="A437" s="13">
        <v>45901.0</v>
      </c>
      <c r="B437" s="14" t="s">
        <v>47</v>
      </c>
      <c r="C437" s="14" t="s">
        <v>48</v>
      </c>
      <c r="D437" s="14" t="s">
        <v>77</v>
      </c>
      <c r="E437" s="14" t="s">
        <v>78</v>
      </c>
      <c r="F437" s="15" t="s">
        <v>51</v>
      </c>
      <c r="G437" s="14" t="s">
        <v>128</v>
      </c>
      <c r="H437" s="14" t="s">
        <v>81</v>
      </c>
      <c r="I437" s="14" t="s">
        <v>59</v>
      </c>
      <c r="J437" s="14" t="s">
        <v>200</v>
      </c>
      <c r="K437" s="14" t="s">
        <v>216</v>
      </c>
      <c r="L437" s="14" t="s">
        <v>779</v>
      </c>
      <c r="M437" s="14" t="s">
        <v>780</v>
      </c>
      <c r="N437" s="14" t="s">
        <v>781</v>
      </c>
      <c r="O437" s="14">
        <v>0.0</v>
      </c>
      <c r="P437" s="17"/>
      <c r="Q437" s="22"/>
      <c r="S437" s="14" t="s">
        <v>782</v>
      </c>
    </row>
    <row r="438">
      <c r="A438" s="13">
        <v>45901.0</v>
      </c>
      <c r="B438" s="14" t="s">
        <v>47</v>
      </c>
      <c r="C438" s="14" t="s">
        <v>48</v>
      </c>
      <c r="D438" s="14" t="s">
        <v>77</v>
      </c>
      <c r="E438" s="14" t="s">
        <v>78</v>
      </c>
      <c r="F438" s="15" t="s">
        <v>51</v>
      </c>
      <c r="G438" s="14" t="s">
        <v>128</v>
      </c>
      <c r="H438" s="14" t="s">
        <v>81</v>
      </c>
      <c r="I438" s="14" t="s">
        <v>59</v>
      </c>
      <c r="J438" s="14" t="s">
        <v>200</v>
      </c>
      <c r="K438" s="14" t="s">
        <v>223</v>
      </c>
      <c r="L438" s="14" t="s">
        <v>375</v>
      </c>
      <c r="M438" s="14" t="s">
        <v>902</v>
      </c>
      <c r="N438" s="14" t="s">
        <v>903</v>
      </c>
      <c r="O438" s="14">
        <v>0.0</v>
      </c>
      <c r="P438" s="23">
        <v>0.0</v>
      </c>
      <c r="Q438" s="22" t="str">
        <f t="shared" ref="Q438:R438" si="255">"+0.00%"</f>
        <v>+0.00%</v>
      </c>
      <c r="R438" s="18" t="str">
        <f t="shared" si="255"/>
        <v>+0.00%</v>
      </c>
      <c r="S438" s="14" t="s">
        <v>285</v>
      </c>
    </row>
    <row r="439">
      <c r="A439" s="13">
        <v>45901.0</v>
      </c>
      <c r="B439" s="14" t="s">
        <v>47</v>
      </c>
      <c r="C439" s="14" t="s">
        <v>48</v>
      </c>
      <c r="D439" s="14" t="s">
        <v>108</v>
      </c>
      <c r="E439" s="14" t="s">
        <v>109</v>
      </c>
      <c r="F439" s="15" t="s">
        <v>51</v>
      </c>
      <c r="G439" s="14" t="s">
        <v>110</v>
      </c>
      <c r="H439" s="14" t="s">
        <v>108</v>
      </c>
      <c r="I439" s="14" t="s">
        <v>59</v>
      </c>
      <c r="J439" s="14" t="s">
        <v>199</v>
      </c>
      <c r="K439" s="14" t="s">
        <v>206</v>
      </c>
      <c r="L439" s="14" t="s">
        <v>295</v>
      </c>
      <c r="M439" s="14" t="s">
        <v>529</v>
      </c>
      <c r="N439" s="14" t="s">
        <v>530</v>
      </c>
      <c r="O439" s="14">
        <v>0.0</v>
      </c>
      <c r="P439" s="21">
        <v>0.0</v>
      </c>
      <c r="Q439" s="22" t="str">
        <f t="shared" ref="Q439:R439" si="256">"+0"</f>
        <v>+0</v>
      </c>
      <c r="R439" s="18" t="str">
        <f t="shared" si="256"/>
        <v>+0</v>
      </c>
      <c r="S439" s="14" t="s">
        <v>260</v>
      </c>
    </row>
    <row r="440">
      <c r="A440" s="13">
        <v>45901.0</v>
      </c>
      <c r="B440" s="14" t="s">
        <v>47</v>
      </c>
      <c r="C440" s="14" t="s">
        <v>48</v>
      </c>
      <c r="D440" s="14" t="s">
        <v>181</v>
      </c>
      <c r="E440" s="14" t="s">
        <v>182</v>
      </c>
      <c r="F440" s="15" t="s">
        <v>51</v>
      </c>
      <c r="G440" s="14" t="s">
        <v>183</v>
      </c>
      <c r="H440" s="14" t="s">
        <v>181</v>
      </c>
      <c r="I440" s="14" t="s">
        <v>59</v>
      </c>
      <c r="J440" s="14" t="s">
        <v>200</v>
      </c>
      <c r="K440" s="14" t="s">
        <v>232</v>
      </c>
      <c r="L440" s="14" t="s">
        <v>487</v>
      </c>
      <c r="M440" s="14" t="s">
        <v>904</v>
      </c>
      <c r="N440" s="14" t="s">
        <v>905</v>
      </c>
      <c r="O440" s="14">
        <v>0.0</v>
      </c>
      <c r="P440" s="21">
        <v>0.0</v>
      </c>
      <c r="Q440" s="22" t="str">
        <f t="shared" ref="Q440:R440" si="257">"+0"</f>
        <v>+0</v>
      </c>
      <c r="R440" s="18" t="str">
        <f t="shared" si="257"/>
        <v>+0</v>
      </c>
      <c r="S440" s="14" t="s">
        <v>260</v>
      </c>
    </row>
    <row r="441">
      <c r="A441" s="13">
        <v>45901.0</v>
      </c>
      <c r="B441" s="14" t="s">
        <v>47</v>
      </c>
      <c r="C441" s="14" t="s">
        <v>48</v>
      </c>
      <c r="D441" s="14" t="s">
        <v>60</v>
      </c>
      <c r="E441" s="14" t="s">
        <v>61</v>
      </c>
      <c r="F441" s="15" t="s">
        <v>51</v>
      </c>
      <c r="G441" s="14" t="s">
        <v>62</v>
      </c>
      <c r="H441" s="14" t="s">
        <v>60</v>
      </c>
      <c r="I441" s="14" t="s">
        <v>59</v>
      </c>
      <c r="J441" s="14" t="s">
        <v>200</v>
      </c>
      <c r="K441" s="14" t="s">
        <v>223</v>
      </c>
      <c r="L441" s="14" t="s">
        <v>261</v>
      </c>
      <c r="M441" s="14" t="s">
        <v>906</v>
      </c>
      <c r="N441" s="14" t="s">
        <v>907</v>
      </c>
      <c r="O441" s="14">
        <v>1.0</v>
      </c>
      <c r="P441" s="23">
        <v>0.0196</v>
      </c>
      <c r="Q441" s="22" t="str">
        <f>"-0.74%"</f>
        <v>-0.74%</v>
      </c>
      <c r="R441" s="18" t="str">
        <f>"-5.45%"</f>
        <v>-5.45%</v>
      </c>
      <c r="S441" s="14" t="s">
        <v>908</v>
      </c>
    </row>
    <row r="442">
      <c r="A442" s="13">
        <v>45901.0</v>
      </c>
      <c r="B442" s="14" t="s">
        <v>47</v>
      </c>
      <c r="C442" s="14" t="s">
        <v>48</v>
      </c>
      <c r="D442" s="14" t="s">
        <v>56</v>
      </c>
      <c r="E442" s="14" t="s">
        <v>57</v>
      </c>
      <c r="F442" s="15" t="s">
        <v>51</v>
      </c>
      <c r="G442" s="14" t="s">
        <v>58</v>
      </c>
      <c r="H442" s="14" t="s">
        <v>56</v>
      </c>
      <c r="I442" s="14" t="s">
        <v>59</v>
      </c>
      <c r="J442" s="14" t="s">
        <v>200</v>
      </c>
      <c r="K442" s="14" t="s">
        <v>223</v>
      </c>
      <c r="L442" s="14" t="s">
        <v>591</v>
      </c>
      <c r="M442" s="14" t="s">
        <v>592</v>
      </c>
      <c r="N442" s="14" t="s">
        <v>593</v>
      </c>
      <c r="O442" s="14">
        <v>100.0</v>
      </c>
      <c r="P442" s="23">
        <v>0.08</v>
      </c>
      <c r="Q442" s="22" t="str">
        <f>"+3.00%"</f>
        <v>+3.00%</v>
      </c>
      <c r="R442" s="18" t="str">
        <f>"+3.83%"</f>
        <v>+3.83%</v>
      </c>
      <c r="S442" s="14" t="s">
        <v>285</v>
      </c>
    </row>
    <row r="443">
      <c r="A443" s="13">
        <v>45901.0</v>
      </c>
      <c r="B443" s="14" t="s">
        <v>47</v>
      </c>
      <c r="C443" s="14" t="s">
        <v>48</v>
      </c>
      <c r="D443" s="14" t="s">
        <v>168</v>
      </c>
      <c r="E443" s="14" t="s">
        <v>169</v>
      </c>
      <c r="F443" s="15" t="s">
        <v>51</v>
      </c>
      <c r="G443" s="14" t="s">
        <v>170</v>
      </c>
      <c r="H443" s="14" t="s">
        <v>168</v>
      </c>
      <c r="I443" s="14" t="s">
        <v>59</v>
      </c>
      <c r="J443" s="14" t="s">
        <v>198</v>
      </c>
      <c r="K443" s="14" t="s">
        <v>205</v>
      </c>
      <c r="L443" s="14" t="s">
        <v>274</v>
      </c>
      <c r="M443" s="14" t="s">
        <v>482</v>
      </c>
      <c r="N443" s="14" t="s">
        <v>483</v>
      </c>
      <c r="O443" s="14">
        <v>100.0</v>
      </c>
      <c r="P443" s="21">
        <v>8.0</v>
      </c>
      <c r="Q443" s="22" t="str">
        <f t="shared" ref="Q443:Q446" si="258">"+0"</f>
        <v>+0</v>
      </c>
      <c r="S443" s="14" t="s">
        <v>484</v>
      </c>
    </row>
    <row r="444">
      <c r="A444" s="13">
        <v>45901.0</v>
      </c>
      <c r="B444" s="14" t="s">
        <v>47</v>
      </c>
      <c r="C444" s="14" t="s">
        <v>48</v>
      </c>
      <c r="D444" s="14" t="s">
        <v>181</v>
      </c>
      <c r="E444" s="14" t="s">
        <v>182</v>
      </c>
      <c r="F444" s="15" t="s">
        <v>51</v>
      </c>
      <c r="G444" s="14" t="s">
        <v>183</v>
      </c>
      <c r="H444" s="14" t="s">
        <v>181</v>
      </c>
      <c r="I444" s="14" t="s">
        <v>59</v>
      </c>
      <c r="J444" s="14" t="s">
        <v>198</v>
      </c>
      <c r="K444" s="14" t="s">
        <v>210</v>
      </c>
      <c r="L444" s="14" t="s">
        <v>278</v>
      </c>
      <c r="M444" s="14" t="s">
        <v>839</v>
      </c>
      <c r="N444" s="14" t="s">
        <v>840</v>
      </c>
      <c r="O444" s="14">
        <v>100.0</v>
      </c>
      <c r="P444" s="21">
        <v>0.0</v>
      </c>
      <c r="Q444" s="22" t="str">
        <f t="shared" si="258"/>
        <v>+0</v>
      </c>
      <c r="R444" s="18" t="str">
        <f>"-1,793"</f>
        <v>-1,793</v>
      </c>
      <c r="S444" s="14" t="s">
        <v>281</v>
      </c>
    </row>
    <row r="445">
      <c r="A445" s="13">
        <v>45901.0</v>
      </c>
      <c r="B445" s="14" t="s">
        <v>47</v>
      </c>
      <c r="C445" s="14" t="s">
        <v>48</v>
      </c>
      <c r="D445" s="14" t="s">
        <v>140</v>
      </c>
      <c r="E445" s="14" t="s">
        <v>141</v>
      </c>
      <c r="F445" s="15" t="s">
        <v>51</v>
      </c>
      <c r="G445" s="14" t="s">
        <v>142</v>
      </c>
      <c r="H445" s="14" t="s">
        <v>140</v>
      </c>
      <c r="I445" s="14" t="s">
        <v>59</v>
      </c>
      <c r="J445" s="14" t="s">
        <v>198</v>
      </c>
      <c r="K445" s="14" t="s">
        <v>210</v>
      </c>
      <c r="L445" s="14" t="s">
        <v>264</v>
      </c>
      <c r="M445" s="14" t="s">
        <v>470</v>
      </c>
      <c r="N445" s="14" t="s">
        <v>471</v>
      </c>
      <c r="O445" s="14">
        <v>100.0</v>
      </c>
      <c r="P445" s="21">
        <v>0.0</v>
      </c>
      <c r="Q445" s="22" t="str">
        <f t="shared" si="258"/>
        <v>+0</v>
      </c>
      <c r="R445" s="18" t="str">
        <f t="shared" ref="R445:R446" si="259">"+0"</f>
        <v>+0</v>
      </c>
      <c r="S445" s="14" t="s">
        <v>281</v>
      </c>
    </row>
    <row r="446">
      <c r="A446" s="13">
        <v>45901.0</v>
      </c>
      <c r="B446" s="14" t="s">
        <v>47</v>
      </c>
      <c r="C446" s="14" t="s">
        <v>48</v>
      </c>
      <c r="D446" s="14" t="s">
        <v>56</v>
      </c>
      <c r="E446" s="14" t="s">
        <v>57</v>
      </c>
      <c r="F446" s="15" t="s">
        <v>51</v>
      </c>
      <c r="G446" s="14" t="s">
        <v>58</v>
      </c>
      <c r="H446" s="14" t="s">
        <v>56</v>
      </c>
      <c r="I446" s="14" t="s">
        <v>59</v>
      </c>
      <c r="J446" s="14" t="s">
        <v>198</v>
      </c>
      <c r="K446" s="14" t="s">
        <v>210</v>
      </c>
      <c r="L446" s="14" t="s">
        <v>264</v>
      </c>
      <c r="M446" s="14" t="s">
        <v>407</v>
      </c>
      <c r="N446" s="14" t="s">
        <v>408</v>
      </c>
      <c r="O446" s="14">
        <v>100.0</v>
      </c>
      <c r="P446" s="21">
        <v>0.0</v>
      </c>
      <c r="Q446" s="22" t="str">
        <f t="shared" si="258"/>
        <v>+0</v>
      </c>
      <c r="R446" s="18" t="str">
        <f t="shared" si="259"/>
        <v>+0</v>
      </c>
      <c r="S446" s="14" t="s">
        <v>281</v>
      </c>
    </row>
    <row r="447">
      <c r="A447" s="13">
        <v>45901.0</v>
      </c>
      <c r="B447" s="14" t="s">
        <v>47</v>
      </c>
      <c r="C447" s="14" t="s">
        <v>48</v>
      </c>
      <c r="D447" s="14" t="s">
        <v>121</v>
      </c>
      <c r="E447" s="14" t="s">
        <v>122</v>
      </c>
      <c r="F447" s="15" t="s">
        <v>51</v>
      </c>
      <c r="G447" s="14" t="s">
        <v>123</v>
      </c>
      <c r="H447" s="14" t="s">
        <v>124</v>
      </c>
      <c r="I447" s="14" t="s">
        <v>59</v>
      </c>
      <c r="J447" s="14" t="s">
        <v>200</v>
      </c>
      <c r="K447" s="14" t="s">
        <v>232</v>
      </c>
      <c r="L447" s="14" t="s">
        <v>710</v>
      </c>
      <c r="M447" s="14" t="s">
        <v>806</v>
      </c>
      <c r="N447" s="14" t="s">
        <v>807</v>
      </c>
      <c r="O447" s="14">
        <v>0.0</v>
      </c>
      <c r="P447" s="23">
        <v>0.0</v>
      </c>
      <c r="Q447" s="22" t="str">
        <f t="shared" ref="Q447:R447" si="260">"+0.00%"</f>
        <v>+0.00%</v>
      </c>
      <c r="R447" s="18" t="str">
        <f t="shared" si="260"/>
        <v>+0.00%</v>
      </c>
      <c r="S447" s="14" t="s">
        <v>285</v>
      </c>
    </row>
    <row r="448">
      <c r="A448" s="13">
        <v>45901.0</v>
      </c>
      <c r="B448" s="14" t="s">
        <v>47</v>
      </c>
      <c r="C448" s="14" t="s">
        <v>48</v>
      </c>
      <c r="D448" s="14" t="s">
        <v>121</v>
      </c>
      <c r="E448" s="14" t="s">
        <v>122</v>
      </c>
      <c r="F448" s="15" t="s">
        <v>51</v>
      </c>
      <c r="G448" s="14" t="s">
        <v>123</v>
      </c>
      <c r="H448" s="14" t="s">
        <v>124</v>
      </c>
      <c r="I448" s="14" t="s">
        <v>59</v>
      </c>
      <c r="J448" s="14" t="s">
        <v>199</v>
      </c>
      <c r="K448" s="14" t="s">
        <v>203</v>
      </c>
      <c r="L448" s="14" t="s">
        <v>431</v>
      </c>
      <c r="M448" s="14" t="s">
        <v>431</v>
      </c>
      <c r="N448" s="14" t="s">
        <v>432</v>
      </c>
      <c r="O448" s="14">
        <v>0.0</v>
      </c>
      <c r="P448" s="21">
        <v>0.0</v>
      </c>
      <c r="Q448" s="22" t="str">
        <f t="shared" ref="Q448:R448" si="261">"+0"</f>
        <v>+0</v>
      </c>
      <c r="R448" s="18" t="str">
        <f t="shared" si="261"/>
        <v>+0</v>
      </c>
      <c r="S448" s="14" t="s">
        <v>260</v>
      </c>
    </row>
    <row r="449">
      <c r="A449" s="13">
        <v>45901.0</v>
      </c>
      <c r="B449" s="14" t="s">
        <v>47</v>
      </c>
      <c r="C449" s="14" t="s">
        <v>48</v>
      </c>
      <c r="D449" s="14" t="s">
        <v>49</v>
      </c>
      <c r="E449" s="14" t="s">
        <v>50</v>
      </c>
      <c r="F449" s="15" t="s">
        <v>51</v>
      </c>
      <c r="G449" s="14" t="s">
        <v>52</v>
      </c>
      <c r="H449" s="14" t="s">
        <v>53</v>
      </c>
      <c r="I449" s="14" t="s">
        <v>54</v>
      </c>
      <c r="J449" s="14" t="s">
        <v>200</v>
      </c>
      <c r="K449" s="14" t="s">
        <v>224</v>
      </c>
      <c r="L449" s="14" t="s">
        <v>453</v>
      </c>
      <c r="M449" s="14" t="s">
        <v>454</v>
      </c>
      <c r="N449" s="14" t="s">
        <v>455</v>
      </c>
      <c r="O449" s="14">
        <v>100.0</v>
      </c>
      <c r="P449" s="23">
        <v>1.0</v>
      </c>
      <c r="Q449" s="22" t="str">
        <f t="shared" ref="Q449:R449" si="262">"+0.00%"</f>
        <v>+0.00%</v>
      </c>
      <c r="R449" s="18" t="str">
        <f t="shared" si="262"/>
        <v>+0.00%</v>
      </c>
      <c r="S449" s="14" t="s">
        <v>371</v>
      </c>
    </row>
    <row r="450">
      <c r="A450" s="13">
        <v>45901.0</v>
      </c>
      <c r="B450" s="14" t="s">
        <v>47</v>
      </c>
      <c r="C450" s="14" t="s">
        <v>48</v>
      </c>
      <c r="D450" s="14" t="s">
        <v>165</v>
      </c>
      <c r="E450" s="14" t="s">
        <v>166</v>
      </c>
      <c r="F450" s="14" t="s">
        <v>111</v>
      </c>
      <c r="G450" s="14">
        <v>7116371.0</v>
      </c>
      <c r="H450" s="14" t="s">
        <v>165</v>
      </c>
      <c r="I450" s="14" t="s">
        <v>59</v>
      </c>
      <c r="J450" s="14" t="s">
        <v>199</v>
      </c>
      <c r="K450" s="14" t="s">
        <v>206</v>
      </c>
      <c r="L450" s="14" t="s">
        <v>531</v>
      </c>
      <c r="M450" s="14" t="s">
        <v>531</v>
      </c>
      <c r="N450" s="14" t="s">
        <v>532</v>
      </c>
      <c r="O450" s="14">
        <v>100.0</v>
      </c>
      <c r="P450" s="21">
        <v>7.0</v>
      </c>
      <c r="Q450" s="22" t="str">
        <f t="shared" ref="Q450:R450" si="263">"+0"</f>
        <v>+0</v>
      </c>
      <c r="R450" s="18" t="str">
        <f t="shared" si="263"/>
        <v>+0</v>
      </c>
      <c r="S450" s="14" t="s">
        <v>260</v>
      </c>
    </row>
    <row r="451">
      <c r="A451" s="13">
        <v>45901.0</v>
      </c>
      <c r="B451" s="14" t="s">
        <v>47</v>
      </c>
      <c r="C451" s="14" t="s">
        <v>48</v>
      </c>
      <c r="D451" s="14" t="s">
        <v>63</v>
      </c>
      <c r="E451" s="14" t="s">
        <v>64</v>
      </c>
      <c r="F451" s="15" t="s">
        <v>51</v>
      </c>
      <c r="G451" s="14" t="s">
        <v>65</v>
      </c>
      <c r="H451" s="14" t="s">
        <v>63</v>
      </c>
      <c r="I451" s="14" t="s">
        <v>54</v>
      </c>
      <c r="J451" s="14" t="s">
        <v>200</v>
      </c>
      <c r="K451" s="14" t="s">
        <v>227</v>
      </c>
      <c r="L451" s="14" t="s">
        <v>270</v>
      </c>
      <c r="M451" s="14" t="s">
        <v>400</v>
      </c>
      <c r="N451" s="14" t="s">
        <v>401</v>
      </c>
      <c r="O451" s="14">
        <v>8.0</v>
      </c>
      <c r="P451" s="21">
        <v>3.0</v>
      </c>
      <c r="Q451" s="22" t="str">
        <f t="shared" ref="Q451:R451" si="264">"+0"</f>
        <v>+0</v>
      </c>
      <c r="R451" s="18" t="str">
        <f t="shared" si="264"/>
        <v>+0</v>
      </c>
      <c r="S451" s="14" t="s">
        <v>260</v>
      </c>
    </row>
    <row r="452">
      <c r="A452" s="13">
        <v>45901.0</v>
      </c>
      <c r="B452" s="14" t="s">
        <v>47</v>
      </c>
      <c r="C452" s="14" t="s">
        <v>48</v>
      </c>
      <c r="D452" s="14" t="s">
        <v>91</v>
      </c>
      <c r="E452" s="14" t="s">
        <v>92</v>
      </c>
      <c r="F452" s="14" t="s">
        <v>71</v>
      </c>
      <c r="G452" s="14">
        <v>5.00008613E8</v>
      </c>
      <c r="H452" s="14" t="s">
        <v>91</v>
      </c>
      <c r="I452" s="14" t="s">
        <v>59</v>
      </c>
      <c r="J452" s="14" t="s">
        <v>200</v>
      </c>
      <c r="K452" s="14" t="s">
        <v>218</v>
      </c>
      <c r="L452" s="14" t="s">
        <v>253</v>
      </c>
      <c r="M452" s="14" t="s">
        <v>463</v>
      </c>
      <c r="N452" s="14" t="s">
        <v>464</v>
      </c>
      <c r="O452" s="14">
        <v>38.0</v>
      </c>
      <c r="P452" s="23">
        <v>0.385</v>
      </c>
      <c r="Q452" s="22" t="str">
        <f t="shared" ref="Q452:R452" si="265">"+0.00%"</f>
        <v>+0.00%</v>
      </c>
      <c r="R452" s="18" t="str">
        <f t="shared" si="265"/>
        <v>+0.00%</v>
      </c>
      <c r="S452" s="14" t="s">
        <v>909</v>
      </c>
    </row>
    <row r="453">
      <c r="A453" s="13">
        <v>45901.0</v>
      </c>
      <c r="B453" s="14" t="s">
        <v>47</v>
      </c>
      <c r="C453" s="14" t="s">
        <v>48</v>
      </c>
      <c r="D453" s="14" t="s">
        <v>91</v>
      </c>
      <c r="E453" s="14" t="s">
        <v>92</v>
      </c>
      <c r="F453" s="14" t="s">
        <v>71</v>
      </c>
      <c r="G453" s="14">
        <v>5.10011769E8</v>
      </c>
      <c r="H453" s="14" t="s">
        <v>91</v>
      </c>
      <c r="I453" s="14" t="s">
        <v>59</v>
      </c>
      <c r="J453" s="14" t="s">
        <v>199</v>
      </c>
      <c r="K453" s="14" t="s">
        <v>203</v>
      </c>
      <c r="L453" s="14" t="s">
        <v>340</v>
      </c>
      <c r="M453" s="14" t="s">
        <v>340</v>
      </c>
      <c r="N453" s="14" t="s">
        <v>341</v>
      </c>
      <c r="O453" s="14">
        <v>0.0</v>
      </c>
      <c r="P453" s="21">
        <v>0.0</v>
      </c>
      <c r="Q453" s="22" t="str">
        <f t="shared" ref="Q453:R453" si="266">"+0"</f>
        <v>+0</v>
      </c>
      <c r="R453" s="18" t="str">
        <f t="shared" si="266"/>
        <v>+0</v>
      </c>
      <c r="S453" s="14" t="s">
        <v>260</v>
      </c>
    </row>
    <row r="454">
      <c r="A454" s="13">
        <v>45901.0</v>
      </c>
      <c r="B454" s="14" t="s">
        <v>47</v>
      </c>
      <c r="C454" s="14" t="s">
        <v>48</v>
      </c>
      <c r="D454" s="14" t="s">
        <v>63</v>
      </c>
      <c r="E454" s="14" t="s">
        <v>64</v>
      </c>
      <c r="F454" s="15" t="s">
        <v>51</v>
      </c>
      <c r="G454" s="14" t="s">
        <v>65</v>
      </c>
      <c r="H454" s="14" t="s">
        <v>63</v>
      </c>
      <c r="I454" s="14" t="s">
        <v>54</v>
      </c>
      <c r="J454" s="14" t="s">
        <v>200</v>
      </c>
      <c r="K454" s="14" t="s">
        <v>213</v>
      </c>
      <c r="L454" s="14" t="s">
        <v>440</v>
      </c>
      <c r="M454" s="14" t="s">
        <v>441</v>
      </c>
      <c r="N454" s="14" t="s">
        <v>442</v>
      </c>
      <c r="O454" s="14">
        <v>0.0</v>
      </c>
      <c r="P454" s="23">
        <v>0.0</v>
      </c>
      <c r="Q454" s="22" t="str">
        <f t="shared" ref="Q454:R454" si="267">"+0.00%"</f>
        <v>+0.00%</v>
      </c>
      <c r="R454" s="18" t="str">
        <f t="shared" si="267"/>
        <v>+0.00%</v>
      </c>
      <c r="S454" s="14" t="s">
        <v>285</v>
      </c>
    </row>
    <row r="455">
      <c r="A455" s="13">
        <v>45901.0</v>
      </c>
      <c r="B455" s="14" t="s">
        <v>47</v>
      </c>
      <c r="C455" s="14" t="s">
        <v>48</v>
      </c>
      <c r="D455" s="14" t="s">
        <v>91</v>
      </c>
      <c r="E455" s="14" t="s">
        <v>92</v>
      </c>
      <c r="F455" s="14" t="s">
        <v>71</v>
      </c>
      <c r="G455" s="14">
        <v>5.00008612E8</v>
      </c>
      <c r="H455" s="14" t="s">
        <v>91</v>
      </c>
      <c r="I455" s="14" t="s">
        <v>59</v>
      </c>
      <c r="J455" s="14" t="s">
        <v>199</v>
      </c>
      <c r="K455" s="14" t="s">
        <v>206</v>
      </c>
      <c r="L455" s="14" t="s">
        <v>295</v>
      </c>
      <c r="M455" s="14" t="s">
        <v>461</v>
      </c>
      <c r="N455" s="14" t="s">
        <v>462</v>
      </c>
      <c r="O455" s="14">
        <v>0.0</v>
      </c>
      <c r="P455" s="21">
        <v>0.0</v>
      </c>
      <c r="Q455" s="22" t="str">
        <f t="shared" ref="Q455:R455" si="268">"+0"</f>
        <v>+0</v>
      </c>
      <c r="R455" s="18" t="str">
        <f t="shared" si="268"/>
        <v>+0</v>
      </c>
      <c r="S455" s="14" t="s">
        <v>260</v>
      </c>
    </row>
    <row r="456">
      <c r="A456" s="13">
        <v>45901.0</v>
      </c>
      <c r="B456" s="14" t="s">
        <v>47</v>
      </c>
      <c r="C456" s="14" t="s">
        <v>48</v>
      </c>
      <c r="D456" s="14" t="s">
        <v>63</v>
      </c>
      <c r="E456" s="14" t="s">
        <v>64</v>
      </c>
      <c r="F456" s="15" t="s">
        <v>51</v>
      </c>
      <c r="G456" s="14" t="s">
        <v>65</v>
      </c>
      <c r="H456" s="14" t="s">
        <v>63</v>
      </c>
      <c r="I456" s="14" t="s">
        <v>54</v>
      </c>
      <c r="J456" s="14" t="s">
        <v>198</v>
      </c>
      <c r="K456" s="14" t="s">
        <v>210</v>
      </c>
      <c r="L456" s="14" t="s">
        <v>264</v>
      </c>
      <c r="M456" s="14" t="s">
        <v>910</v>
      </c>
      <c r="N456" s="14" t="s">
        <v>911</v>
      </c>
      <c r="O456" s="14">
        <v>0.0</v>
      </c>
      <c r="P456" s="21">
        <v>0.0</v>
      </c>
      <c r="Q456" s="22" t="str">
        <f t="shared" ref="Q456:R456" si="269">"+0"</f>
        <v>+0</v>
      </c>
      <c r="R456" s="18" t="str">
        <f t="shared" si="269"/>
        <v>+0</v>
      </c>
      <c r="S456" s="14" t="s">
        <v>277</v>
      </c>
    </row>
    <row r="457">
      <c r="A457" s="13">
        <v>45901.0</v>
      </c>
      <c r="B457" s="14" t="s">
        <v>47</v>
      </c>
      <c r="C457" s="14" t="s">
        <v>48</v>
      </c>
      <c r="D457" s="14" t="s">
        <v>91</v>
      </c>
      <c r="E457" s="14" t="s">
        <v>92</v>
      </c>
      <c r="F457" s="15" t="s">
        <v>51</v>
      </c>
      <c r="G457" s="14" t="s">
        <v>163</v>
      </c>
      <c r="H457" s="14" t="s">
        <v>91</v>
      </c>
      <c r="I457" s="14" t="s">
        <v>59</v>
      </c>
      <c r="J457" s="14" t="s">
        <v>200</v>
      </c>
      <c r="K457" s="14" t="s">
        <v>227</v>
      </c>
      <c r="L457" s="14" t="s">
        <v>721</v>
      </c>
      <c r="M457" s="14" t="s">
        <v>722</v>
      </c>
      <c r="N457" s="14" t="s">
        <v>723</v>
      </c>
      <c r="O457" s="14">
        <v>52.0</v>
      </c>
      <c r="P457" s="23">
        <v>0.0473</v>
      </c>
      <c r="Q457" s="22" t="str">
        <f>"+27.03%"</f>
        <v>+27.03%</v>
      </c>
      <c r="R457" s="18" t="str">
        <f>"+0.02%"</f>
        <v>+0.02%</v>
      </c>
      <c r="S457" s="14" t="s">
        <v>724</v>
      </c>
    </row>
    <row r="458">
      <c r="A458" s="13">
        <v>45901.0</v>
      </c>
      <c r="B458" s="14" t="s">
        <v>47</v>
      </c>
      <c r="C458" s="14" t="s">
        <v>48</v>
      </c>
      <c r="D458" s="14" t="s">
        <v>77</v>
      </c>
      <c r="E458" s="14" t="s">
        <v>78</v>
      </c>
      <c r="F458" s="15" t="s">
        <v>51</v>
      </c>
      <c r="G458" s="14" t="s">
        <v>128</v>
      </c>
      <c r="H458" s="14" t="s">
        <v>81</v>
      </c>
      <c r="I458" s="14" t="s">
        <v>59</v>
      </c>
      <c r="J458" s="14" t="s">
        <v>199</v>
      </c>
      <c r="K458" s="14" t="s">
        <v>208</v>
      </c>
      <c r="L458" s="14" t="s">
        <v>412</v>
      </c>
      <c r="M458" s="14" t="s">
        <v>412</v>
      </c>
      <c r="N458" s="14" t="s">
        <v>413</v>
      </c>
      <c r="O458" s="14">
        <v>75.0</v>
      </c>
      <c r="P458" s="21">
        <v>1.0</v>
      </c>
      <c r="Q458" s="22" t="str">
        <f t="shared" ref="Q458:R458" si="270">"+0"</f>
        <v>+0</v>
      </c>
      <c r="R458" s="18" t="str">
        <f t="shared" si="270"/>
        <v>+0</v>
      </c>
      <c r="S458" s="14" t="s">
        <v>260</v>
      </c>
    </row>
    <row r="459">
      <c r="A459" s="13">
        <v>45901.0</v>
      </c>
      <c r="B459" s="14" t="s">
        <v>47</v>
      </c>
      <c r="C459" s="14" t="s">
        <v>48</v>
      </c>
      <c r="D459" s="14" t="s">
        <v>192</v>
      </c>
      <c r="E459" s="14" t="s">
        <v>193</v>
      </c>
      <c r="F459" s="15" t="s">
        <v>51</v>
      </c>
      <c r="G459" s="14" t="s">
        <v>194</v>
      </c>
      <c r="H459" s="14" t="s">
        <v>192</v>
      </c>
      <c r="I459" s="14" t="s">
        <v>54</v>
      </c>
      <c r="J459" s="14" t="s">
        <v>200</v>
      </c>
      <c r="K459" s="14" t="s">
        <v>231</v>
      </c>
      <c r="L459" s="14" t="s">
        <v>751</v>
      </c>
      <c r="M459" s="14" t="s">
        <v>912</v>
      </c>
      <c r="N459" s="14" t="s">
        <v>913</v>
      </c>
      <c r="O459" s="14">
        <v>100.0</v>
      </c>
      <c r="P459" s="21">
        <v>220.0</v>
      </c>
      <c r="Q459" s="22" t="str">
        <f>"+10"</f>
        <v>+10</v>
      </c>
      <c r="R459" s="18" t="str">
        <f>"+71"</f>
        <v>+71</v>
      </c>
      <c r="S459" s="14" t="s">
        <v>260</v>
      </c>
    </row>
    <row r="460">
      <c r="A460" s="13">
        <v>45901.0</v>
      </c>
      <c r="B460" s="14" t="s">
        <v>47</v>
      </c>
      <c r="C460" s="14" t="s">
        <v>48</v>
      </c>
      <c r="D460" s="14" t="s">
        <v>82</v>
      </c>
      <c r="E460" s="14" t="s">
        <v>83</v>
      </c>
      <c r="F460" s="15" t="s">
        <v>51</v>
      </c>
      <c r="G460" s="14" t="s">
        <v>84</v>
      </c>
      <c r="H460" s="14" t="s">
        <v>82</v>
      </c>
      <c r="I460" s="14" t="s">
        <v>59</v>
      </c>
      <c r="J460" s="14" t="s">
        <v>198</v>
      </c>
      <c r="K460" s="14" t="s">
        <v>205</v>
      </c>
      <c r="L460" s="14" t="s">
        <v>274</v>
      </c>
      <c r="M460" s="14" t="s">
        <v>575</v>
      </c>
      <c r="N460" s="14" t="s">
        <v>576</v>
      </c>
      <c r="O460" s="14">
        <v>100.0</v>
      </c>
      <c r="P460" s="21">
        <v>0.0</v>
      </c>
      <c r="Q460" s="22" t="str">
        <f t="shared" ref="Q460:Q464" si="271">"+0"</f>
        <v>+0</v>
      </c>
      <c r="S460" s="14" t="s">
        <v>577</v>
      </c>
    </row>
    <row r="461">
      <c r="A461" s="13">
        <v>45901.0</v>
      </c>
      <c r="B461" s="14" t="s">
        <v>47</v>
      </c>
      <c r="C461" s="14" t="s">
        <v>48</v>
      </c>
      <c r="D461" s="14" t="s">
        <v>192</v>
      </c>
      <c r="E461" s="14" t="s">
        <v>193</v>
      </c>
      <c r="F461" s="15" t="s">
        <v>51</v>
      </c>
      <c r="G461" s="14" t="s">
        <v>194</v>
      </c>
      <c r="H461" s="14" t="s">
        <v>192</v>
      </c>
      <c r="I461" s="14" t="s">
        <v>54</v>
      </c>
      <c r="J461" s="14" t="s">
        <v>198</v>
      </c>
      <c r="K461" s="14" t="s">
        <v>205</v>
      </c>
      <c r="L461" s="14" t="s">
        <v>274</v>
      </c>
      <c r="M461" s="14" t="s">
        <v>791</v>
      </c>
      <c r="N461" s="14" t="s">
        <v>792</v>
      </c>
      <c r="O461" s="14">
        <v>100.0</v>
      </c>
      <c r="P461" s="21">
        <v>5.0</v>
      </c>
      <c r="Q461" s="22" t="str">
        <f t="shared" si="271"/>
        <v>+0</v>
      </c>
      <c r="S461" s="14" t="s">
        <v>260</v>
      </c>
    </row>
    <row r="462">
      <c r="A462" s="13">
        <v>45901.0</v>
      </c>
      <c r="B462" s="14" t="s">
        <v>47</v>
      </c>
      <c r="C462" s="14" t="s">
        <v>48</v>
      </c>
      <c r="D462" s="14" t="s">
        <v>192</v>
      </c>
      <c r="E462" s="14" t="s">
        <v>193</v>
      </c>
      <c r="F462" s="15" t="s">
        <v>51</v>
      </c>
      <c r="G462" s="14" t="s">
        <v>194</v>
      </c>
      <c r="H462" s="14" t="s">
        <v>192</v>
      </c>
      <c r="I462" s="14" t="s">
        <v>54</v>
      </c>
      <c r="J462" s="14" t="s">
        <v>200</v>
      </c>
      <c r="K462" s="14" t="s">
        <v>227</v>
      </c>
      <c r="L462" s="14" t="s">
        <v>270</v>
      </c>
      <c r="M462" s="14" t="s">
        <v>400</v>
      </c>
      <c r="N462" s="14" t="s">
        <v>401</v>
      </c>
      <c r="O462" s="14">
        <v>55.0</v>
      </c>
      <c r="P462" s="21">
        <v>10.0</v>
      </c>
      <c r="Q462" s="22" t="str">
        <f t="shared" si="271"/>
        <v>+0</v>
      </c>
      <c r="R462" s="18" t="str">
        <f>"+1"</f>
        <v>+1</v>
      </c>
      <c r="S462" s="14" t="s">
        <v>260</v>
      </c>
    </row>
    <row r="463">
      <c r="A463" s="13">
        <v>45901.0</v>
      </c>
      <c r="B463" s="14" t="s">
        <v>47</v>
      </c>
      <c r="C463" s="14" t="s">
        <v>48</v>
      </c>
      <c r="D463" s="14" t="s">
        <v>103</v>
      </c>
      <c r="E463" s="14" t="s">
        <v>104</v>
      </c>
      <c r="F463" s="15" t="s">
        <v>51</v>
      </c>
      <c r="G463" s="14" t="s">
        <v>105</v>
      </c>
      <c r="H463" s="14" t="s">
        <v>106</v>
      </c>
      <c r="I463" s="14" t="s">
        <v>59</v>
      </c>
      <c r="J463" s="14" t="s">
        <v>200</v>
      </c>
      <c r="K463" s="14" t="s">
        <v>232</v>
      </c>
      <c r="L463" s="14" t="s">
        <v>282</v>
      </c>
      <c r="M463" s="14" t="s">
        <v>914</v>
      </c>
      <c r="N463" s="14" t="s">
        <v>915</v>
      </c>
      <c r="O463" s="14">
        <v>0.0</v>
      </c>
      <c r="P463" s="21">
        <v>0.0</v>
      </c>
      <c r="Q463" s="22" t="str">
        <f t="shared" si="271"/>
        <v>+0</v>
      </c>
      <c r="R463" s="18" t="str">
        <f t="shared" ref="R463:R464" si="272">"+0"</f>
        <v>+0</v>
      </c>
      <c r="S463" s="14" t="s">
        <v>260</v>
      </c>
    </row>
    <row r="464">
      <c r="A464" s="13">
        <v>45901.0</v>
      </c>
      <c r="B464" s="14" t="s">
        <v>47</v>
      </c>
      <c r="C464" s="14" t="s">
        <v>48</v>
      </c>
      <c r="D464" s="14" t="s">
        <v>103</v>
      </c>
      <c r="E464" s="14" t="s">
        <v>104</v>
      </c>
      <c r="F464" s="15" t="s">
        <v>51</v>
      </c>
      <c r="G464" s="14" t="s">
        <v>105</v>
      </c>
      <c r="H464" s="14" t="s">
        <v>106</v>
      </c>
      <c r="I464" s="14" t="s">
        <v>59</v>
      </c>
      <c r="J464" s="14" t="s">
        <v>200</v>
      </c>
      <c r="K464" s="14" t="s">
        <v>232</v>
      </c>
      <c r="L464" s="14" t="s">
        <v>607</v>
      </c>
      <c r="M464" s="14" t="s">
        <v>765</v>
      </c>
      <c r="N464" s="14" t="s">
        <v>766</v>
      </c>
      <c r="O464" s="14">
        <v>0.0</v>
      </c>
      <c r="P464" s="21">
        <v>0.0</v>
      </c>
      <c r="Q464" s="22" t="str">
        <f t="shared" si="271"/>
        <v>+0</v>
      </c>
      <c r="R464" s="18" t="str">
        <f t="shared" si="272"/>
        <v>+0</v>
      </c>
      <c r="S464" s="14" t="s">
        <v>260</v>
      </c>
    </row>
    <row r="465">
      <c r="A465" s="13">
        <v>45901.0</v>
      </c>
      <c r="B465" s="14" t="s">
        <v>47</v>
      </c>
      <c r="C465" s="14" t="s">
        <v>48</v>
      </c>
      <c r="D465" s="14" t="s">
        <v>143</v>
      </c>
      <c r="E465" s="14" t="s">
        <v>144</v>
      </c>
      <c r="F465" s="15" t="s">
        <v>51</v>
      </c>
      <c r="G465" s="14" t="s">
        <v>145</v>
      </c>
      <c r="H465" s="14" t="s">
        <v>143</v>
      </c>
      <c r="I465" s="14" t="s">
        <v>59</v>
      </c>
      <c r="J465" s="14" t="s">
        <v>200</v>
      </c>
      <c r="K465" s="14" t="s">
        <v>227</v>
      </c>
      <c r="L465" s="14" t="s">
        <v>253</v>
      </c>
      <c r="M465" s="14" t="s">
        <v>396</v>
      </c>
      <c r="N465" s="14" t="s">
        <v>397</v>
      </c>
      <c r="O465" s="14">
        <v>0.0</v>
      </c>
      <c r="P465" s="23">
        <v>0.0</v>
      </c>
      <c r="Q465" s="22" t="str">
        <f t="shared" ref="Q465:R465" si="273">"+0.00%"</f>
        <v>+0.00%</v>
      </c>
      <c r="R465" s="18" t="str">
        <f t="shared" si="273"/>
        <v>+0.00%</v>
      </c>
      <c r="S465" s="14" t="s">
        <v>916</v>
      </c>
    </row>
    <row r="466">
      <c r="A466" s="13">
        <v>45901.0</v>
      </c>
      <c r="B466" s="14" t="s">
        <v>47</v>
      </c>
      <c r="C466" s="14" t="s">
        <v>48</v>
      </c>
      <c r="D466" s="14" t="s">
        <v>136</v>
      </c>
      <c r="E466" s="14" t="s">
        <v>137</v>
      </c>
      <c r="F466" s="15" t="s">
        <v>51</v>
      </c>
      <c r="G466" s="14" t="s">
        <v>138</v>
      </c>
      <c r="H466" s="14" t="s">
        <v>139</v>
      </c>
      <c r="I466" s="14" t="s">
        <v>59</v>
      </c>
      <c r="J466" s="14" t="s">
        <v>198</v>
      </c>
      <c r="K466" s="14" t="s">
        <v>212</v>
      </c>
      <c r="L466" s="14" t="s">
        <v>249</v>
      </c>
      <c r="M466" s="14" t="s">
        <v>598</v>
      </c>
      <c r="N466" s="14" t="s">
        <v>599</v>
      </c>
      <c r="O466" s="14">
        <v>89.0</v>
      </c>
      <c r="P466" s="21">
        <v>1860.0</v>
      </c>
      <c r="Q466" s="22" t="str">
        <f>"-62"</f>
        <v>-62</v>
      </c>
      <c r="R466" s="18" t="str">
        <f>"+0"</f>
        <v>+0</v>
      </c>
      <c r="S466" s="14" t="s">
        <v>917</v>
      </c>
    </row>
    <row r="467">
      <c r="A467" s="13">
        <v>45901.0</v>
      </c>
      <c r="B467" s="14" t="s">
        <v>47</v>
      </c>
      <c r="C467" s="14" t="s">
        <v>48</v>
      </c>
      <c r="D467" s="14" t="s">
        <v>69</v>
      </c>
      <c r="E467" s="14" t="s">
        <v>70</v>
      </c>
      <c r="F467" s="15" t="s">
        <v>51</v>
      </c>
      <c r="G467" s="14" t="s">
        <v>115</v>
      </c>
      <c r="H467" s="14" t="s">
        <v>72</v>
      </c>
      <c r="I467" s="14" t="s">
        <v>54</v>
      </c>
      <c r="J467" s="14" t="s">
        <v>199</v>
      </c>
      <c r="K467" s="14" t="s">
        <v>203</v>
      </c>
      <c r="L467" s="14" t="s">
        <v>601</v>
      </c>
      <c r="M467" s="14" t="s">
        <v>601</v>
      </c>
      <c r="N467" s="14" t="s">
        <v>602</v>
      </c>
      <c r="O467" s="14">
        <v>0.0</v>
      </c>
      <c r="P467" s="21">
        <v>0.0</v>
      </c>
      <c r="Q467" s="22" t="str">
        <f t="shared" ref="Q467:R467" si="274">"+0"</f>
        <v>+0</v>
      </c>
      <c r="R467" s="18" t="str">
        <f t="shared" si="274"/>
        <v>+0</v>
      </c>
      <c r="S467" s="14" t="s">
        <v>260</v>
      </c>
    </row>
    <row r="468">
      <c r="A468" s="13">
        <v>45901.0</v>
      </c>
      <c r="B468" s="14" t="s">
        <v>47</v>
      </c>
      <c r="C468" s="14" t="s">
        <v>48</v>
      </c>
      <c r="D468" s="14" t="s">
        <v>96</v>
      </c>
      <c r="E468" s="14" t="s">
        <v>97</v>
      </c>
      <c r="F468" s="15" t="s">
        <v>51</v>
      </c>
      <c r="G468" s="14" t="s">
        <v>98</v>
      </c>
      <c r="H468" s="14" t="s">
        <v>96</v>
      </c>
      <c r="I468" s="14" t="s">
        <v>59</v>
      </c>
      <c r="J468" s="14" t="s">
        <v>200</v>
      </c>
      <c r="K468" s="14" t="s">
        <v>223</v>
      </c>
      <c r="L468" s="14" t="s">
        <v>607</v>
      </c>
      <c r="M468" s="14" t="s">
        <v>765</v>
      </c>
      <c r="N468" s="14" t="s">
        <v>766</v>
      </c>
      <c r="O468" s="14">
        <v>100.0</v>
      </c>
      <c r="P468" s="21">
        <v>10.0</v>
      </c>
      <c r="Q468" s="22" t="str">
        <f t="shared" ref="Q468:R468" si="275">"+0"</f>
        <v>+0</v>
      </c>
      <c r="R468" s="18" t="str">
        <f t="shared" si="275"/>
        <v>+0</v>
      </c>
      <c r="S468" s="14" t="s">
        <v>260</v>
      </c>
    </row>
    <row r="469">
      <c r="A469" s="13">
        <v>45901.0</v>
      </c>
      <c r="B469" s="14" t="s">
        <v>47</v>
      </c>
      <c r="C469" s="14" t="s">
        <v>48</v>
      </c>
      <c r="D469" s="14" t="s">
        <v>195</v>
      </c>
      <c r="E469" s="14" t="s">
        <v>196</v>
      </c>
      <c r="F469" s="14" t="s">
        <v>111</v>
      </c>
      <c r="G469" s="14">
        <v>5252823.0</v>
      </c>
      <c r="H469" s="14" t="s">
        <v>197</v>
      </c>
      <c r="I469" s="14" t="s">
        <v>59</v>
      </c>
      <c r="J469" s="14" t="s">
        <v>199</v>
      </c>
      <c r="K469" s="14" t="s">
        <v>203</v>
      </c>
      <c r="L469" s="14" t="s">
        <v>736</v>
      </c>
      <c r="M469" s="14" t="s">
        <v>736</v>
      </c>
      <c r="N469" s="14" t="s">
        <v>737</v>
      </c>
      <c r="O469" s="14">
        <v>0.0</v>
      </c>
      <c r="P469" s="21">
        <v>0.0</v>
      </c>
      <c r="Q469" s="22" t="str">
        <f t="shared" ref="Q469:R469" si="276">"+0"</f>
        <v>+0</v>
      </c>
      <c r="R469" s="18" t="str">
        <f t="shared" si="276"/>
        <v>+0</v>
      </c>
      <c r="S469" s="14" t="s">
        <v>260</v>
      </c>
    </row>
    <row r="470">
      <c r="A470" s="13">
        <v>45901.0</v>
      </c>
      <c r="B470" s="14" t="s">
        <v>47</v>
      </c>
      <c r="C470" s="14" t="s">
        <v>48</v>
      </c>
      <c r="D470" s="14" t="s">
        <v>69</v>
      </c>
      <c r="E470" s="14" t="s">
        <v>70</v>
      </c>
      <c r="F470" s="15" t="s">
        <v>51</v>
      </c>
      <c r="G470" s="14" t="s">
        <v>115</v>
      </c>
      <c r="H470" s="14" t="s">
        <v>72</v>
      </c>
      <c r="I470" s="14" t="s">
        <v>54</v>
      </c>
      <c r="J470" s="14" t="s">
        <v>198</v>
      </c>
      <c r="K470" s="14" t="s">
        <v>210</v>
      </c>
      <c r="L470" s="14" t="s">
        <v>264</v>
      </c>
      <c r="M470" s="14" t="s">
        <v>918</v>
      </c>
      <c r="N470" s="14" t="s">
        <v>919</v>
      </c>
      <c r="O470" s="14">
        <v>0.0</v>
      </c>
      <c r="P470" s="21">
        <v>0.0</v>
      </c>
      <c r="Q470" s="22" t="str">
        <f t="shared" ref="Q470:R470" si="277">"+0"</f>
        <v>+0</v>
      </c>
      <c r="R470" s="18" t="str">
        <f t="shared" si="277"/>
        <v>+0</v>
      </c>
      <c r="S470" s="14" t="s">
        <v>277</v>
      </c>
    </row>
    <row r="471">
      <c r="A471" s="13">
        <v>45901.0</v>
      </c>
      <c r="B471" s="14" t="s">
        <v>47</v>
      </c>
      <c r="C471" s="14" t="s">
        <v>48</v>
      </c>
      <c r="D471" s="14" t="s">
        <v>112</v>
      </c>
      <c r="E471" s="14" t="s">
        <v>113</v>
      </c>
      <c r="F471" s="15" t="s">
        <v>51</v>
      </c>
      <c r="G471" s="14" t="s">
        <v>114</v>
      </c>
      <c r="H471" s="14" t="s">
        <v>112</v>
      </c>
      <c r="I471" s="14" t="s">
        <v>59</v>
      </c>
      <c r="J471" s="14" t="s">
        <v>200</v>
      </c>
      <c r="K471" s="14" t="s">
        <v>213</v>
      </c>
      <c r="L471" s="14" t="s">
        <v>253</v>
      </c>
      <c r="M471" s="14" t="s">
        <v>552</v>
      </c>
      <c r="N471" s="14" t="s">
        <v>553</v>
      </c>
      <c r="O471" s="14">
        <v>17.0</v>
      </c>
      <c r="P471" s="23">
        <v>0.1764</v>
      </c>
      <c r="Q471" s="22" t="str">
        <f>"+0.47%"</f>
        <v>+0.47%</v>
      </c>
      <c r="R471" s="18" t="str">
        <f>"+2.67%"</f>
        <v>+2.67%</v>
      </c>
      <c r="S471" s="14" t="s">
        <v>920</v>
      </c>
    </row>
    <row r="472">
      <c r="A472" s="13">
        <v>45901.0</v>
      </c>
      <c r="B472" s="14" t="s">
        <v>47</v>
      </c>
      <c r="C472" s="14" t="s">
        <v>48</v>
      </c>
      <c r="D472" s="14" t="s">
        <v>116</v>
      </c>
      <c r="E472" s="14" t="s">
        <v>117</v>
      </c>
      <c r="F472" s="15" t="s">
        <v>51</v>
      </c>
      <c r="G472" s="14" t="s">
        <v>161</v>
      </c>
      <c r="H472" s="14" t="s">
        <v>116</v>
      </c>
      <c r="I472" s="14" t="s">
        <v>54</v>
      </c>
      <c r="J472" s="14" t="s">
        <v>200</v>
      </c>
      <c r="K472" s="14" t="s">
        <v>224</v>
      </c>
      <c r="L472" s="14" t="s">
        <v>427</v>
      </c>
      <c r="M472" s="14" t="s">
        <v>921</v>
      </c>
      <c r="N472" s="14" t="s">
        <v>922</v>
      </c>
      <c r="O472" s="14">
        <v>0.0</v>
      </c>
      <c r="P472" s="23">
        <v>0.0</v>
      </c>
      <c r="Q472" s="22"/>
      <c r="S472" s="14" t="s">
        <v>923</v>
      </c>
    </row>
    <row r="473">
      <c r="A473" s="13">
        <v>45901.0</v>
      </c>
      <c r="B473" s="14" t="s">
        <v>47</v>
      </c>
      <c r="C473" s="14" t="s">
        <v>48</v>
      </c>
      <c r="D473" s="14" t="s">
        <v>158</v>
      </c>
      <c r="E473" s="14" t="s">
        <v>159</v>
      </c>
      <c r="F473" s="15" t="s">
        <v>51</v>
      </c>
      <c r="G473" s="14" t="s">
        <v>160</v>
      </c>
      <c r="H473" s="14" t="s">
        <v>158</v>
      </c>
      <c r="I473" s="14" t="s">
        <v>54</v>
      </c>
      <c r="J473" s="14" t="s">
        <v>199</v>
      </c>
      <c r="K473" s="14" t="s">
        <v>203</v>
      </c>
      <c r="L473" s="14" t="s">
        <v>679</v>
      </c>
      <c r="M473" s="14" t="s">
        <v>679</v>
      </c>
      <c r="N473" s="14" t="s">
        <v>680</v>
      </c>
      <c r="O473" s="14">
        <v>0.0</v>
      </c>
      <c r="P473" s="21">
        <v>0.0</v>
      </c>
      <c r="Q473" s="22" t="str">
        <f t="shared" ref="Q473:R473" si="278">"+0"</f>
        <v>+0</v>
      </c>
      <c r="R473" s="18" t="str">
        <f t="shared" si="278"/>
        <v>+0</v>
      </c>
      <c r="S473" s="14" t="s">
        <v>260</v>
      </c>
    </row>
    <row r="474">
      <c r="A474" s="13">
        <v>45901.0</v>
      </c>
      <c r="B474" s="14" t="s">
        <v>47</v>
      </c>
      <c r="C474" s="14" t="s">
        <v>48</v>
      </c>
      <c r="D474" s="14" t="s">
        <v>116</v>
      </c>
      <c r="E474" s="14" t="s">
        <v>117</v>
      </c>
      <c r="F474" s="15" t="s">
        <v>51</v>
      </c>
      <c r="G474" s="14" t="s">
        <v>161</v>
      </c>
      <c r="H474" s="14" t="s">
        <v>116</v>
      </c>
      <c r="I474" s="14" t="s">
        <v>54</v>
      </c>
      <c r="J474" s="14" t="s">
        <v>200</v>
      </c>
      <c r="K474" s="14" t="s">
        <v>227</v>
      </c>
      <c r="L474" s="14" t="s">
        <v>253</v>
      </c>
      <c r="M474" s="14" t="s">
        <v>396</v>
      </c>
      <c r="N474" s="14" t="s">
        <v>397</v>
      </c>
      <c r="O474" s="14">
        <v>100.0</v>
      </c>
      <c r="P474" s="23">
        <v>1.0</v>
      </c>
      <c r="Q474" s="22" t="str">
        <f t="shared" ref="Q474:R474" si="279">"+0.00%"</f>
        <v>+0.00%</v>
      </c>
      <c r="R474" s="18" t="str">
        <f t="shared" si="279"/>
        <v>+0.00%</v>
      </c>
      <c r="S474" s="14" t="s">
        <v>916</v>
      </c>
    </row>
    <row r="475">
      <c r="A475" s="13">
        <v>45901.0</v>
      </c>
      <c r="B475" s="14" t="s">
        <v>47</v>
      </c>
      <c r="C475" s="14" t="s">
        <v>48</v>
      </c>
      <c r="D475" s="14" t="s">
        <v>121</v>
      </c>
      <c r="E475" s="14" t="s">
        <v>122</v>
      </c>
      <c r="F475" s="15" t="s">
        <v>51</v>
      </c>
      <c r="G475" s="14" t="s">
        <v>123</v>
      </c>
      <c r="H475" s="14" t="s">
        <v>124</v>
      </c>
      <c r="I475" s="14" t="s">
        <v>59</v>
      </c>
      <c r="J475" s="14" t="s">
        <v>200</v>
      </c>
      <c r="K475" s="14" t="s">
        <v>232</v>
      </c>
      <c r="L475" s="14" t="s">
        <v>487</v>
      </c>
      <c r="M475" s="14" t="s">
        <v>670</v>
      </c>
      <c r="N475" s="14" t="s">
        <v>671</v>
      </c>
      <c r="O475" s="14">
        <v>0.0</v>
      </c>
      <c r="P475" s="21">
        <v>0.0</v>
      </c>
      <c r="Q475" s="22" t="str">
        <f t="shared" ref="Q475:R475" si="280">"+0"</f>
        <v>+0</v>
      </c>
      <c r="R475" s="18" t="str">
        <f t="shared" si="280"/>
        <v>+0</v>
      </c>
      <c r="S475" s="14" t="s">
        <v>260</v>
      </c>
    </row>
    <row r="476">
      <c r="A476" s="13">
        <v>45901.0</v>
      </c>
      <c r="B476" s="14" t="s">
        <v>47</v>
      </c>
      <c r="C476" s="14" t="s">
        <v>48</v>
      </c>
      <c r="D476" s="14" t="s">
        <v>181</v>
      </c>
      <c r="E476" s="14" t="s">
        <v>182</v>
      </c>
      <c r="F476" s="15" t="s">
        <v>51</v>
      </c>
      <c r="G476" s="14" t="s">
        <v>183</v>
      </c>
      <c r="H476" s="14" t="s">
        <v>181</v>
      </c>
      <c r="I476" s="14" t="s">
        <v>59</v>
      </c>
      <c r="J476" s="14" t="s">
        <v>200</v>
      </c>
      <c r="K476" s="14" t="s">
        <v>232</v>
      </c>
      <c r="L476" s="14" t="s">
        <v>883</v>
      </c>
      <c r="M476" s="14" t="s">
        <v>884</v>
      </c>
      <c r="N476" s="14" t="s">
        <v>885</v>
      </c>
      <c r="O476" s="14">
        <v>0.0</v>
      </c>
      <c r="P476" s="23">
        <v>0.0</v>
      </c>
      <c r="Q476" s="22" t="str">
        <f t="shared" ref="Q476:R476" si="281">"+0.00%"</f>
        <v>+0.00%</v>
      </c>
      <c r="R476" s="18" t="str">
        <f t="shared" si="281"/>
        <v>+0.00%</v>
      </c>
      <c r="S476" s="14" t="s">
        <v>285</v>
      </c>
    </row>
    <row r="477">
      <c r="A477" s="13">
        <v>45901.0</v>
      </c>
      <c r="B477" s="14" t="s">
        <v>47</v>
      </c>
      <c r="C477" s="14" t="s">
        <v>48</v>
      </c>
      <c r="D477" s="14" t="s">
        <v>181</v>
      </c>
      <c r="E477" s="14" t="s">
        <v>182</v>
      </c>
      <c r="F477" s="15" t="s">
        <v>51</v>
      </c>
      <c r="G477" s="14" t="s">
        <v>183</v>
      </c>
      <c r="H477" s="14" t="s">
        <v>181</v>
      </c>
      <c r="I477" s="14" t="s">
        <v>59</v>
      </c>
      <c r="J477" s="14" t="s">
        <v>198</v>
      </c>
      <c r="K477" s="14" t="s">
        <v>205</v>
      </c>
      <c r="L477" s="14" t="s">
        <v>274</v>
      </c>
      <c r="M477" s="14" t="s">
        <v>473</v>
      </c>
      <c r="N477" s="14" t="s">
        <v>474</v>
      </c>
      <c r="O477" s="14">
        <v>50.0</v>
      </c>
      <c r="P477" s="21">
        <v>15.0</v>
      </c>
      <c r="Q477" s="22" t="str">
        <f t="shared" ref="Q477:Q479" si="282">"+0"</f>
        <v>+0</v>
      </c>
      <c r="S477" s="14" t="s">
        <v>475</v>
      </c>
    </row>
    <row r="478">
      <c r="A478" s="13">
        <v>45901.0</v>
      </c>
      <c r="B478" s="14" t="s">
        <v>47</v>
      </c>
      <c r="C478" s="14" t="s">
        <v>48</v>
      </c>
      <c r="D478" s="14" t="s">
        <v>155</v>
      </c>
      <c r="E478" s="14" t="s">
        <v>156</v>
      </c>
      <c r="F478" s="15" t="s">
        <v>51</v>
      </c>
      <c r="G478" s="14" t="s">
        <v>157</v>
      </c>
      <c r="H478" s="14" t="s">
        <v>155</v>
      </c>
      <c r="I478" s="14" t="s">
        <v>59</v>
      </c>
      <c r="J478" s="14" t="s">
        <v>200</v>
      </c>
      <c r="K478" s="14" t="s">
        <v>223</v>
      </c>
      <c r="L478" s="14" t="s">
        <v>359</v>
      </c>
      <c r="M478" s="14" t="s">
        <v>628</v>
      </c>
      <c r="N478" s="14" t="s">
        <v>629</v>
      </c>
      <c r="O478" s="14">
        <v>0.0</v>
      </c>
      <c r="P478" s="21">
        <v>0.0</v>
      </c>
      <c r="Q478" s="22" t="str">
        <f t="shared" si="282"/>
        <v>+0</v>
      </c>
      <c r="R478" s="18" t="str">
        <f t="shared" ref="R478:R479" si="283">"+0"</f>
        <v>+0</v>
      </c>
      <c r="S478" s="14" t="s">
        <v>260</v>
      </c>
    </row>
    <row r="479">
      <c r="A479" s="13">
        <v>45901.0</v>
      </c>
      <c r="B479" s="14" t="s">
        <v>47</v>
      </c>
      <c r="C479" s="14" t="s">
        <v>48</v>
      </c>
      <c r="D479" s="14" t="s">
        <v>49</v>
      </c>
      <c r="E479" s="14" t="s">
        <v>50</v>
      </c>
      <c r="F479" s="15" t="s">
        <v>51</v>
      </c>
      <c r="G479" s="14" t="s">
        <v>52</v>
      </c>
      <c r="H479" s="14" t="s">
        <v>53</v>
      </c>
      <c r="I479" s="14" t="s">
        <v>54</v>
      </c>
      <c r="J479" s="14" t="s">
        <v>198</v>
      </c>
      <c r="K479" s="14" t="s">
        <v>210</v>
      </c>
      <c r="L479" s="14" t="s">
        <v>264</v>
      </c>
      <c r="M479" s="14" t="s">
        <v>638</v>
      </c>
      <c r="N479" s="14" t="s">
        <v>639</v>
      </c>
      <c r="O479" s="14">
        <v>0.0</v>
      </c>
      <c r="P479" s="21">
        <v>0.0</v>
      </c>
      <c r="Q479" s="22" t="str">
        <f t="shared" si="282"/>
        <v>+0</v>
      </c>
      <c r="R479" s="18" t="str">
        <f t="shared" si="283"/>
        <v>+0</v>
      </c>
      <c r="S479" s="14" t="s">
        <v>277</v>
      </c>
    </row>
    <row r="480">
      <c r="A480" s="13">
        <v>45901.0</v>
      </c>
      <c r="B480" s="14" t="s">
        <v>47</v>
      </c>
      <c r="C480" s="14" t="s">
        <v>48</v>
      </c>
      <c r="D480" s="14" t="s">
        <v>165</v>
      </c>
      <c r="E480" s="14" t="s">
        <v>166</v>
      </c>
      <c r="F480" s="15" t="s">
        <v>51</v>
      </c>
      <c r="G480" s="14" t="s">
        <v>167</v>
      </c>
      <c r="H480" s="14" t="s">
        <v>165</v>
      </c>
      <c r="I480" s="14" t="s">
        <v>54</v>
      </c>
      <c r="J480" s="14" t="s">
        <v>200</v>
      </c>
      <c r="K480" s="14" t="s">
        <v>209</v>
      </c>
      <c r="L480" s="14" t="s">
        <v>253</v>
      </c>
      <c r="M480" s="14" t="s">
        <v>817</v>
      </c>
      <c r="N480" s="14" t="s">
        <v>818</v>
      </c>
      <c r="O480" s="14">
        <v>97.0</v>
      </c>
      <c r="P480" s="23">
        <v>0.9733</v>
      </c>
      <c r="Q480" s="22" t="str">
        <f>"+1.15%"</f>
        <v>+1.15%</v>
      </c>
      <c r="R480" s="18" t="str">
        <f>"+3.40%"</f>
        <v>+3.40%</v>
      </c>
      <c r="S480" s="14" t="s">
        <v>924</v>
      </c>
    </row>
    <row r="481">
      <c r="A481" s="13">
        <v>45901.0</v>
      </c>
      <c r="B481" s="14" t="s">
        <v>47</v>
      </c>
      <c r="C481" s="14" t="s">
        <v>48</v>
      </c>
      <c r="D481" s="14" t="s">
        <v>49</v>
      </c>
      <c r="E481" s="14" t="s">
        <v>50</v>
      </c>
      <c r="F481" s="15" t="s">
        <v>51</v>
      </c>
      <c r="G481" s="14" t="s">
        <v>52</v>
      </c>
      <c r="H481" s="14" t="s">
        <v>53</v>
      </c>
      <c r="I481" s="14" t="s">
        <v>54</v>
      </c>
      <c r="J481" s="14" t="s">
        <v>200</v>
      </c>
      <c r="K481" s="14" t="s">
        <v>227</v>
      </c>
      <c r="L481" s="14" t="s">
        <v>253</v>
      </c>
      <c r="M481" s="14" t="s">
        <v>396</v>
      </c>
      <c r="N481" s="14" t="s">
        <v>397</v>
      </c>
      <c r="O481" s="14">
        <v>100.0</v>
      </c>
      <c r="P481" s="23">
        <v>1.0</v>
      </c>
      <c r="Q481" s="22" t="str">
        <f t="shared" ref="Q481:R481" si="284">"+0.00%"</f>
        <v>+0.00%</v>
      </c>
      <c r="R481" s="18" t="str">
        <f t="shared" si="284"/>
        <v>+0.00%</v>
      </c>
      <c r="S481" s="14" t="s">
        <v>916</v>
      </c>
    </row>
    <row r="482">
      <c r="A482" s="13">
        <v>45901.0</v>
      </c>
      <c r="B482" s="14" t="s">
        <v>47</v>
      </c>
      <c r="C482" s="14" t="s">
        <v>48</v>
      </c>
      <c r="D482" s="14" t="s">
        <v>118</v>
      </c>
      <c r="E482" s="14" t="s">
        <v>119</v>
      </c>
      <c r="F482" s="15" t="s">
        <v>51</v>
      </c>
      <c r="G482" s="14" t="s">
        <v>120</v>
      </c>
      <c r="H482" s="14" t="s">
        <v>118</v>
      </c>
      <c r="I482" s="14" t="s">
        <v>59</v>
      </c>
      <c r="J482" s="14" t="s">
        <v>198</v>
      </c>
      <c r="K482" s="14" t="s">
        <v>205</v>
      </c>
      <c r="L482" s="14" t="s">
        <v>274</v>
      </c>
      <c r="M482" s="14" t="s">
        <v>451</v>
      </c>
      <c r="N482" s="14" t="s">
        <v>452</v>
      </c>
      <c r="O482" s="14">
        <v>0.0</v>
      </c>
      <c r="P482" s="21">
        <v>0.0</v>
      </c>
      <c r="Q482" s="22" t="str">
        <f>"+0"</f>
        <v>+0</v>
      </c>
      <c r="S482" s="14" t="s">
        <v>281</v>
      </c>
    </row>
    <row r="483">
      <c r="A483" s="13">
        <v>45901.0</v>
      </c>
      <c r="B483" s="14" t="s">
        <v>47</v>
      </c>
      <c r="C483" s="14" t="s">
        <v>48</v>
      </c>
      <c r="D483" s="14" t="s">
        <v>63</v>
      </c>
      <c r="E483" s="14" t="s">
        <v>64</v>
      </c>
      <c r="F483" s="15" t="s">
        <v>51</v>
      </c>
      <c r="G483" s="14" t="s">
        <v>65</v>
      </c>
      <c r="H483" s="14" t="s">
        <v>63</v>
      </c>
      <c r="I483" s="14" t="s">
        <v>54</v>
      </c>
      <c r="J483" s="14" t="s">
        <v>200</v>
      </c>
      <c r="K483" s="14" t="s">
        <v>224</v>
      </c>
      <c r="L483" s="14" t="s">
        <v>427</v>
      </c>
      <c r="M483" s="14" t="s">
        <v>925</v>
      </c>
      <c r="N483" s="14" t="s">
        <v>926</v>
      </c>
      <c r="O483" s="14">
        <v>3.0</v>
      </c>
      <c r="P483" s="23">
        <v>0.0357</v>
      </c>
      <c r="Q483" s="22" t="str">
        <f t="shared" ref="Q483:R483" si="285">"+3.57%"</f>
        <v>+3.57%</v>
      </c>
      <c r="R483" s="18" t="str">
        <f t="shared" si="285"/>
        <v>+3.57%</v>
      </c>
      <c r="S483" s="14" t="s">
        <v>927</v>
      </c>
    </row>
    <row r="484">
      <c r="A484" s="13">
        <v>45901.0</v>
      </c>
      <c r="B484" s="14" t="s">
        <v>47</v>
      </c>
      <c r="C484" s="14" t="s">
        <v>48</v>
      </c>
      <c r="D484" s="14" t="s">
        <v>91</v>
      </c>
      <c r="E484" s="14" t="s">
        <v>92</v>
      </c>
      <c r="F484" s="15" t="s">
        <v>51</v>
      </c>
      <c r="G484" s="14" t="s">
        <v>163</v>
      </c>
      <c r="H484" s="14" t="s">
        <v>91</v>
      </c>
      <c r="I484" s="14" t="s">
        <v>59</v>
      </c>
      <c r="J484" s="14" t="s">
        <v>200</v>
      </c>
      <c r="K484" s="14" t="s">
        <v>223</v>
      </c>
      <c r="L484" s="14" t="s">
        <v>304</v>
      </c>
      <c r="M484" s="14" t="s">
        <v>305</v>
      </c>
      <c r="N484" s="14" t="s">
        <v>306</v>
      </c>
      <c r="O484" s="14">
        <v>0.0</v>
      </c>
      <c r="P484" s="21">
        <v>0.0</v>
      </c>
      <c r="Q484" s="22" t="str">
        <f t="shared" ref="Q484:R484" si="286">"+0"</f>
        <v>+0</v>
      </c>
      <c r="R484" s="18" t="str">
        <f t="shared" si="286"/>
        <v>+0</v>
      </c>
      <c r="S484" s="14" t="s">
        <v>260</v>
      </c>
    </row>
    <row r="485">
      <c r="A485" s="13">
        <v>45901.0</v>
      </c>
      <c r="B485" s="14" t="s">
        <v>47</v>
      </c>
      <c r="C485" s="14" t="s">
        <v>48</v>
      </c>
      <c r="D485" s="14" t="s">
        <v>63</v>
      </c>
      <c r="E485" s="14" t="s">
        <v>64</v>
      </c>
      <c r="F485" s="15" t="s">
        <v>51</v>
      </c>
      <c r="G485" s="14" t="s">
        <v>65</v>
      </c>
      <c r="H485" s="14" t="s">
        <v>63</v>
      </c>
      <c r="I485" s="14" t="s">
        <v>54</v>
      </c>
      <c r="J485" s="14" t="s">
        <v>200</v>
      </c>
      <c r="K485" s="14" t="s">
        <v>211</v>
      </c>
      <c r="L485" s="14" t="s">
        <v>889</v>
      </c>
      <c r="M485" s="14" t="s">
        <v>928</v>
      </c>
      <c r="N485" s="14" t="s">
        <v>929</v>
      </c>
      <c r="O485" s="14">
        <v>29.0</v>
      </c>
      <c r="P485" s="23">
        <v>-0.4085</v>
      </c>
      <c r="Q485" s="22" t="str">
        <f>"+6.03%"</f>
        <v>+6.03%</v>
      </c>
      <c r="R485" s="18" t="str">
        <f>"+3.10%"</f>
        <v>+3.10%</v>
      </c>
      <c r="S485" s="14" t="s">
        <v>336</v>
      </c>
    </row>
    <row r="486">
      <c r="A486" s="13">
        <v>45901.0</v>
      </c>
      <c r="B486" s="14" t="s">
        <v>47</v>
      </c>
      <c r="C486" s="14" t="s">
        <v>48</v>
      </c>
      <c r="D486" s="14" t="s">
        <v>63</v>
      </c>
      <c r="E486" s="14" t="s">
        <v>64</v>
      </c>
      <c r="F486" s="15" t="s">
        <v>51</v>
      </c>
      <c r="G486" s="14" t="s">
        <v>65</v>
      </c>
      <c r="H486" s="14" t="s">
        <v>63</v>
      </c>
      <c r="I486" s="14" t="s">
        <v>54</v>
      </c>
      <c r="J486" s="14" t="s">
        <v>200</v>
      </c>
      <c r="K486" s="14" t="s">
        <v>224</v>
      </c>
      <c r="L486" s="14" t="s">
        <v>427</v>
      </c>
      <c r="M486" s="14" t="s">
        <v>617</v>
      </c>
      <c r="N486" s="14" t="s">
        <v>618</v>
      </c>
      <c r="O486" s="14">
        <v>0.0</v>
      </c>
      <c r="P486" s="23">
        <v>0.0</v>
      </c>
      <c r="Q486" s="22" t="str">
        <f t="shared" ref="Q486:R486" si="287">"+0.00%"</f>
        <v>+0.00%</v>
      </c>
      <c r="R486" s="18" t="str">
        <f t="shared" si="287"/>
        <v>+0.00%</v>
      </c>
      <c r="S486" s="14" t="s">
        <v>619</v>
      </c>
    </row>
    <row r="487">
      <c r="A487" s="13">
        <v>45901.0</v>
      </c>
      <c r="B487" s="14" t="s">
        <v>47</v>
      </c>
      <c r="C487" s="14" t="s">
        <v>48</v>
      </c>
      <c r="D487" s="14" t="s">
        <v>99</v>
      </c>
      <c r="E487" s="14" t="s">
        <v>100</v>
      </c>
      <c r="F487" s="15" t="s">
        <v>51</v>
      </c>
      <c r="G487" s="14" t="s">
        <v>101</v>
      </c>
      <c r="H487" s="14" t="s">
        <v>102</v>
      </c>
      <c r="I487" s="14" t="s">
        <v>54</v>
      </c>
      <c r="J487" s="14" t="s">
        <v>198</v>
      </c>
      <c r="K487" s="14" t="s">
        <v>205</v>
      </c>
      <c r="L487" s="14" t="s">
        <v>274</v>
      </c>
      <c r="M487" s="14" t="s">
        <v>387</v>
      </c>
      <c r="N487" s="14" t="s">
        <v>388</v>
      </c>
      <c r="O487" s="14">
        <v>0.0</v>
      </c>
      <c r="P487" s="21">
        <v>0.0</v>
      </c>
      <c r="Q487" s="22" t="str">
        <f t="shared" ref="Q487:Q489" si="288">"+0"</f>
        <v>+0</v>
      </c>
      <c r="S487" s="14" t="s">
        <v>281</v>
      </c>
    </row>
    <row r="488">
      <c r="A488" s="13">
        <v>45901.0</v>
      </c>
      <c r="B488" s="14" t="s">
        <v>47</v>
      </c>
      <c r="C488" s="14" t="s">
        <v>48</v>
      </c>
      <c r="D488" s="14" t="s">
        <v>99</v>
      </c>
      <c r="E488" s="14" t="s">
        <v>100</v>
      </c>
      <c r="F488" s="15" t="s">
        <v>51</v>
      </c>
      <c r="G488" s="14" t="s">
        <v>101</v>
      </c>
      <c r="H488" s="14" t="s">
        <v>102</v>
      </c>
      <c r="I488" s="14" t="s">
        <v>54</v>
      </c>
      <c r="J488" s="14" t="s">
        <v>198</v>
      </c>
      <c r="K488" s="14" t="s">
        <v>207</v>
      </c>
      <c r="L488" s="14" t="s">
        <v>318</v>
      </c>
      <c r="M488" s="14" t="s">
        <v>319</v>
      </c>
      <c r="N488" s="14" t="s">
        <v>320</v>
      </c>
      <c r="O488" s="14">
        <v>0.0</v>
      </c>
      <c r="P488" s="21">
        <v>0.0</v>
      </c>
      <c r="Q488" s="22" t="str">
        <f t="shared" si="288"/>
        <v>+0</v>
      </c>
      <c r="S488" s="14" t="s">
        <v>281</v>
      </c>
    </row>
    <row r="489">
      <c r="A489" s="13">
        <v>45901.0</v>
      </c>
      <c r="B489" s="14" t="s">
        <v>47</v>
      </c>
      <c r="C489" s="14" t="s">
        <v>48</v>
      </c>
      <c r="D489" s="14" t="s">
        <v>99</v>
      </c>
      <c r="E489" s="14" t="s">
        <v>100</v>
      </c>
      <c r="F489" s="15" t="s">
        <v>51</v>
      </c>
      <c r="G489" s="14" t="s">
        <v>101</v>
      </c>
      <c r="H489" s="14" t="s">
        <v>102</v>
      </c>
      <c r="I489" s="14" t="s">
        <v>54</v>
      </c>
      <c r="J489" s="14" t="s">
        <v>198</v>
      </c>
      <c r="K489" s="14" t="s">
        <v>210</v>
      </c>
      <c r="L489" s="14" t="s">
        <v>264</v>
      </c>
      <c r="M489" s="14" t="s">
        <v>930</v>
      </c>
      <c r="N489" s="14" t="s">
        <v>931</v>
      </c>
      <c r="O489" s="14">
        <v>0.0</v>
      </c>
      <c r="P489" s="21">
        <v>0.0</v>
      </c>
      <c r="Q489" s="22" t="str">
        <f t="shared" si="288"/>
        <v>+0</v>
      </c>
      <c r="R489" s="18" t="str">
        <f>"+0"</f>
        <v>+0</v>
      </c>
      <c r="S489" s="14" t="s">
        <v>277</v>
      </c>
    </row>
    <row r="490">
      <c r="A490" s="13">
        <v>45901.0</v>
      </c>
      <c r="B490" s="14" t="s">
        <v>47</v>
      </c>
      <c r="C490" s="14" t="s">
        <v>48</v>
      </c>
      <c r="D490" s="14" t="s">
        <v>73</v>
      </c>
      <c r="E490" s="14" t="s">
        <v>74</v>
      </c>
      <c r="F490" s="15" t="s">
        <v>51</v>
      </c>
      <c r="G490" s="14" t="s">
        <v>75</v>
      </c>
      <c r="H490" s="14" t="s">
        <v>76</v>
      </c>
      <c r="I490" s="14" t="s">
        <v>59</v>
      </c>
      <c r="J490" s="14" t="s">
        <v>200</v>
      </c>
      <c r="K490" s="14" t="s">
        <v>232</v>
      </c>
      <c r="L490" s="14" t="s">
        <v>607</v>
      </c>
      <c r="M490" s="14" t="s">
        <v>932</v>
      </c>
      <c r="N490" s="14" t="s">
        <v>933</v>
      </c>
      <c r="O490" s="14">
        <v>0.0</v>
      </c>
      <c r="P490" s="23">
        <v>0.0</v>
      </c>
      <c r="Q490" s="22" t="str">
        <f t="shared" ref="Q490:R490" si="289">"+0.00%"</f>
        <v>+0.00%</v>
      </c>
      <c r="R490" s="18" t="str">
        <f t="shared" si="289"/>
        <v>+0.00%</v>
      </c>
      <c r="S490" s="14" t="s">
        <v>285</v>
      </c>
    </row>
    <row r="491">
      <c r="A491" s="13">
        <v>45901.0</v>
      </c>
      <c r="B491" s="14" t="s">
        <v>47</v>
      </c>
      <c r="C491" s="14" t="s">
        <v>48</v>
      </c>
      <c r="D491" s="14" t="s">
        <v>149</v>
      </c>
      <c r="E491" s="14" t="s">
        <v>150</v>
      </c>
      <c r="F491" s="15" t="s">
        <v>51</v>
      </c>
      <c r="G491" s="14" t="s">
        <v>151</v>
      </c>
      <c r="H491" s="14" t="s">
        <v>152</v>
      </c>
      <c r="I491" s="14" t="s">
        <v>54</v>
      </c>
      <c r="J491" s="14" t="s">
        <v>200</v>
      </c>
      <c r="K491" s="14" t="s">
        <v>223</v>
      </c>
      <c r="L491" s="14" t="s">
        <v>359</v>
      </c>
      <c r="M491" s="14" t="s">
        <v>628</v>
      </c>
      <c r="N491" s="14" t="s">
        <v>629</v>
      </c>
      <c r="O491" s="14">
        <v>100.0</v>
      </c>
      <c r="P491" s="21">
        <v>490.0</v>
      </c>
      <c r="Q491" s="22" t="str">
        <f>"+3"</f>
        <v>+3</v>
      </c>
      <c r="R491" s="18" t="str">
        <f>"+27"</f>
        <v>+27</v>
      </c>
      <c r="S491" s="14" t="s">
        <v>260</v>
      </c>
    </row>
    <row r="492">
      <c r="A492" s="13">
        <v>45901.0</v>
      </c>
      <c r="B492" s="14" t="s">
        <v>47</v>
      </c>
      <c r="C492" s="14" t="s">
        <v>48</v>
      </c>
      <c r="D492" s="14" t="s">
        <v>149</v>
      </c>
      <c r="E492" s="14" t="s">
        <v>150</v>
      </c>
      <c r="F492" s="15" t="s">
        <v>51</v>
      </c>
      <c r="G492" s="14" t="s">
        <v>151</v>
      </c>
      <c r="H492" s="14" t="s">
        <v>152</v>
      </c>
      <c r="I492" s="14" t="s">
        <v>54</v>
      </c>
      <c r="J492" s="14" t="s">
        <v>198</v>
      </c>
      <c r="K492" s="14" t="s">
        <v>207</v>
      </c>
      <c r="L492" s="14" t="s">
        <v>318</v>
      </c>
      <c r="M492" s="14" t="s">
        <v>508</v>
      </c>
      <c r="N492" s="14" t="s">
        <v>509</v>
      </c>
      <c r="O492" s="14">
        <v>100.0</v>
      </c>
      <c r="P492" s="21">
        <v>1.0</v>
      </c>
      <c r="Q492" s="22" t="str">
        <f t="shared" ref="Q492:Q493" si="290">"+0"</f>
        <v>+0</v>
      </c>
      <c r="S492" s="14" t="s">
        <v>281</v>
      </c>
    </row>
    <row r="493">
      <c r="A493" s="13">
        <v>45901.0</v>
      </c>
      <c r="B493" s="14" t="s">
        <v>47</v>
      </c>
      <c r="C493" s="14" t="s">
        <v>48</v>
      </c>
      <c r="D493" s="14" t="s">
        <v>87</v>
      </c>
      <c r="E493" s="14" t="s">
        <v>88</v>
      </c>
      <c r="F493" s="15" t="s">
        <v>51</v>
      </c>
      <c r="G493" s="14" t="s">
        <v>89</v>
      </c>
      <c r="H493" s="14" t="s">
        <v>90</v>
      </c>
      <c r="I493" s="14" t="s">
        <v>59</v>
      </c>
      <c r="J493" s="14" t="s">
        <v>198</v>
      </c>
      <c r="K493" s="14" t="s">
        <v>205</v>
      </c>
      <c r="L493" s="14" t="s">
        <v>274</v>
      </c>
      <c r="M493" s="14" t="s">
        <v>354</v>
      </c>
      <c r="N493" s="14" t="s">
        <v>355</v>
      </c>
      <c r="O493" s="14">
        <v>50.0</v>
      </c>
      <c r="P493" s="21">
        <v>5.0</v>
      </c>
      <c r="Q493" s="22" t="str">
        <f t="shared" si="290"/>
        <v>+0</v>
      </c>
      <c r="S493" s="14" t="s">
        <v>356</v>
      </c>
    </row>
    <row r="494">
      <c r="A494" s="13">
        <v>45901.0</v>
      </c>
      <c r="B494" s="14" t="s">
        <v>47</v>
      </c>
      <c r="C494" s="14" t="s">
        <v>48</v>
      </c>
      <c r="D494" s="14" t="s">
        <v>149</v>
      </c>
      <c r="E494" s="14" t="s">
        <v>150</v>
      </c>
      <c r="F494" s="15" t="s">
        <v>51</v>
      </c>
      <c r="G494" s="14" t="s">
        <v>151</v>
      </c>
      <c r="H494" s="14" t="s">
        <v>152</v>
      </c>
      <c r="I494" s="14" t="s">
        <v>54</v>
      </c>
      <c r="J494" s="14" t="s">
        <v>200</v>
      </c>
      <c r="K494" s="14" t="s">
        <v>231</v>
      </c>
      <c r="L494" s="14" t="s">
        <v>512</v>
      </c>
      <c r="M494" s="14" t="s">
        <v>934</v>
      </c>
      <c r="N494" s="14" t="s">
        <v>935</v>
      </c>
      <c r="O494" s="14">
        <v>100.0</v>
      </c>
      <c r="P494" s="21">
        <v>1151.0</v>
      </c>
      <c r="Q494" s="22" t="str">
        <f>"-695"</f>
        <v>-695</v>
      </c>
      <c r="R494" s="18" t="str">
        <f>"-215"</f>
        <v>-215</v>
      </c>
      <c r="S494" s="14" t="s">
        <v>260</v>
      </c>
    </row>
    <row r="495">
      <c r="A495" s="13">
        <v>45901.0</v>
      </c>
      <c r="B495" s="14" t="s">
        <v>47</v>
      </c>
      <c r="C495" s="14" t="s">
        <v>48</v>
      </c>
      <c r="D495" s="14" t="s">
        <v>116</v>
      </c>
      <c r="E495" s="14" t="s">
        <v>117</v>
      </c>
      <c r="F495" s="14" t="s">
        <v>111</v>
      </c>
      <c r="G495" s="14">
        <v>5298600.0</v>
      </c>
      <c r="H495" s="14" t="s">
        <v>116</v>
      </c>
      <c r="I495" s="14" t="s">
        <v>59</v>
      </c>
      <c r="J495" s="14" t="s">
        <v>199</v>
      </c>
      <c r="K495" s="14" t="s">
        <v>203</v>
      </c>
      <c r="L495" s="14" t="s">
        <v>736</v>
      </c>
      <c r="M495" s="14" t="s">
        <v>736</v>
      </c>
      <c r="N495" s="14" t="s">
        <v>737</v>
      </c>
      <c r="O495" s="14">
        <v>0.0</v>
      </c>
      <c r="P495" s="21">
        <v>0.0</v>
      </c>
      <c r="Q495" s="22" t="str">
        <f t="shared" ref="Q495:R495" si="291">"+0"</f>
        <v>+0</v>
      </c>
      <c r="R495" s="18" t="str">
        <f t="shared" si="291"/>
        <v>+0</v>
      </c>
      <c r="S495" s="14" t="s">
        <v>260</v>
      </c>
    </row>
    <row r="496">
      <c r="A496" s="13">
        <v>45901.0</v>
      </c>
      <c r="B496" s="14" t="s">
        <v>47</v>
      </c>
      <c r="C496" s="14" t="s">
        <v>48</v>
      </c>
      <c r="D496" s="14" t="s">
        <v>116</v>
      </c>
      <c r="E496" s="14" t="s">
        <v>117</v>
      </c>
      <c r="F496" s="14" t="s">
        <v>111</v>
      </c>
      <c r="G496" s="14">
        <v>5298600.0</v>
      </c>
      <c r="H496" s="14" t="s">
        <v>116</v>
      </c>
      <c r="I496" s="14" t="s">
        <v>59</v>
      </c>
      <c r="J496" s="14" t="s">
        <v>199</v>
      </c>
      <c r="K496" s="14" t="s">
        <v>206</v>
      </c>
      <c r="L496" s="14" t="s">
        <v>295</v>
      </c>
      <c r="M496" s="14" t="s">
        <v>651</v>
      </c>
      <c r="N496" s="14" t="s">
        <v>652</v>
      </c>
      <c r="O496" s="14">
        <v>0.0</v>
      </c>
      <c r="P496" s="21">
        <v>0.0</v>
      </c>
      <c r="Q496" s="22" t="str">
        <f t="shared" ref="Q496:R496" si="292">"+0"</f>
        <v>+0</v>
      </c>
      <c r="R496" s="18" t="str">
        <f t="shared" si="292"/>
        <v>+0</v>
      </c>
      <c r="S496" s="14" t="s">
        <v>260</v>
      </c>
    </row>
    <row r="497">
      <c r="A497" s="13">
        <v>45901.0</v>
      </c>
      <c r="B497" s="14" t="s">
        <v>47</v>
      </c>
      <c r="C497" s="14" t="s">
        <v>48</v>
      </c>
      <c r="D497" s="14" t="s">
        <v>108</v>
      </c>
      <c r="E497" s="14" t="s">
        <v>109</v>
      </c>
      <c r="F497" s="14" t="s">
        <v>146</v>
      </c>
      <c r="G497" s="14" t="s">
        <v>180</v>
      </c>
      <c r="H497" s="14" t="s">
        <v>108</v>
      </c>
      <c r="I497" s="14" t="s">
        <v>59</v>
      </c>
      <c r="J497" s="14" t="s">
        <v>199</v>
      </c>
      <c r="K497" s="14" t="s">
        <v>203</v>
      </c>
      <c r="L497" s="14" t="s">
        <v>342</v>
      </c>
      <c r="M497" s="14" t="s">
        <v>342</v>
      </c>
      <c r="N497" s="14" t="s">
        <v>343</v>
      </c>
      <c r="O497" s="14">
        <v>0.0</v>
      </c>
      <c r="P497" s="21">
        <v>0.0</v>
      </c>
      <c r="Q497" s="22" t="str">
        <f>"+0"</f>
        <v>+0</v>
      </c>
      <c r="S497" s="14" t="s">
        <v>260</v>
      </c>
    </row>
    <row r="498">
      <c r="A498" s="13">
        <v>45901.0</v>
      </c>
      <c r="B498" s="14" t="s">
        <v>47</v>
      </c>
      <c r="C498" s="14" t="s">
        <v>48</v>
      </c>
      <c r="D498" s="14" t="s">
        <v>108</v>
      </c>
      <c r="E498" s="14" t="s">
        <v>109</v>
      </c>
      <c r="F498" s="14" t="s">
        <v>146</v>
      </c>
      <c r="G498" s="14" t="s">
        <v>180</v>
      </c>
      <c r="H498" s="14" t="s">
        <v>108</v>
      </c>
      <c r="I498" s="14" t="s">
        <v>59</v>
      </c>
      <c r="J498" s="14" t="s">
        <v>200</v>
      </c>
      <c r="K498" s="14" t="s">
        <v>226</v>
      </c>
      <c r="L498" s="14" t="s">
        <v>672</v>
      </c>
      <c r="M498" s="14" t="s">
        <v>936</v>
      </c>
      <c r="N498" s="14" t="s">
        <v>937</v>
      </c>
      <c r="O498" s="14">
        <v>100.0</v>
      </c>
      <c r="P498" s="23">
        <v>1.0</v>
      </c>
      <c r="Q498" s="22" t="str">
        <f>"+50.00%"</f>
        <v>+50.00%</v>
      </c>
      <c r="S498" s="14" t="s">
        <v>938</v>
      </c>
    </row>
    <row r="499">
      <c r="A499" s="13">
        <v>45901.0</v>
      </c>
      <c r="B499" s="14" t="s">
        <v>47</v>
      </c>
      <c r="C499" s="14" t="s">
        <v>48</v>
      </c>
      <c r="D499" s="14" t="s">
        <v>108</v>
      </c>
      <c r="E499" s="14" t="s">
        <v>109</v>
      </c>
      <c r="F499" s="15" t="s">
        <v>51</v>
      </c>
      <c r="G499" s="14" t="s">
        <v>110</v>
      </c>
      <c r="H499" s="14" t="s">
        <v>108</v>
      </c>
      <c r="I499" s="14" t="s">
        <v>59</v>
      </c>
      <c r="J499" s="14" t="s">
        <v>198</v>
      </c>
      <c r="K499" s="14" t="s">
        <v>210</v>
      </c>
      <c r="L499" s="14" t="s">
        <v>264</v>
      </c>
      <c r="M499" s="14" t="s">
        <v>470</v>
      </c>
      <c r="N499" s="14" t="s">
        <v>471</v>
      </c>
      <c r="O499" s="14">
        <v>100.0</v>
      </c>
      <c r="P499" s="21">
        <v>0.0</v>
      </c>
      <c r="Q499" s="22" t="str">
        <f t="shared" ref="Q499:R499" si="293">"+0"</f>
        <v>+0</v>
      </c>
      <c r="R499" s="18" t="str">
        <f t="shared" si="293"/>
        <v>+0</v>
      </c>
      <c r="S499" s="14" t="s">
        <v>281</v>
      </c>
    </row>
    <row r="500">
      <c r="A500" s="13">
        <v>45901.0</v>
      </c>
      <c r="B500" s="14" t="s">
        <v>47</v>
      </c>
      <c r="C500" s="14" t="s">
        <v>48</v>
      </c>
      <c r="D500" s="14" t="s">
        <v>108</v>
      </c>
      <c r="E500" s="14" t="s">
        <v>109</v>
      </c>
      <c r="F500" s="15" t="s">
        <v>51</v>
      </c>
      <c r="G500" s="14" t="s">
        <v>110</v>
      </c>
      <c r="H500" s="14" t="s">
        <v>108</v>
      </c>
      <c r="I500" s="14" t="s">
        <v>59</v>
      </c>
      <c r="J500" s="14" t="s">
        <v>200</v>
      </c>
      <c r="K500" s="14" t="s">
        <v>213</v>
      </c>
      <c r="L500" s="14" t="s">
        <v>676</v>
      </c>
      <c r="M500" s="14" t="s">
        <v>858</v>
      </c>
      <c r="N500" s="14" t="s">
        <v>859</v>
      </c>
      <c r="O500" s="14">
        <v>0.0</v>
      </c>
      <c r="P500" s="23">
        <v>-1.0</v>
      </c>
      <c r="Q500" s="22" t="str">
        <f t="shared" ref="Q500:Q501" si="294">"+0.00%"</f>
        <v>+0.00%</v>
      </c>
      <c r="S500" s="14" t="s">
        <v>939</v>
      </c>
    </row>
    <row r="501">
      <c r="A501" s="13">
        <v>45901.0</v>
      </c>
      <c r="B501" s="14" t="s">
        <v>47</v>
      </c>
      <c r="C501" s="14" t="s">
        <v>48</v>
      </c>
      <c r="D501" s="14" t="s">
        <v>112</v>
      </c>
      <c r="E501" s="14" t="s">
        <v>113</v>
      </c>
      <c r="F501" s="15" t="s">
        <v>51</v>
      </c>
      <c r="G501" s="14" t="s">
        <v>114</v>
      </c>
      <c r="H501" s="14" t="s">
        <v>112</v>
      </c>
      <c r="I501" s="14" t="s">
        <v>59</v>
      </c>
      <c r="J501" s="14" t="s">
        <v>200</v>
      </c>
      <c r="K501" s="14" t="s">
        <v>209</v>
      </c>
      <c r="L501" s="14" t="s">
        <v>253</v>
      </c>
      <c r="M501" s="14" t="s">
        <v>817</v>
      </c>
      <c r="N501" s="14" t="s">
        <v>818</v>
      </c>
      <c r="O501" s="14">
        <v>8.0</v>
      </c>
      <c r="P501" s="23">
        <v>0.085</v>
      </c>
      <c r="Q501" s="22" t="str">
        <f t="shared" si="294"/>
        <v>+0.00%</v>
      </c>
      <c r="R501" s="18" t="str">
        <f>"+0.47%"</f>
        <v>+0.47%</v>
      </c>
      <c r="S501" s="14" t="s">
        <v>940</v>
      </c>
    </row>
    <row r="502">
      <c r="A502" s="13">
        <v>45901.0</v>
      </c>
      <c r="B502" s="14" t="s">
        <v>47</v>
      </c>
      <c r="C502" s="14" t="s">
        <v>48</v>
      </c>
      <c r="D502" s="14" t="s">
        <v>155</v>
      </c>
      <c r="E502" s="14" t="s">
        <v>156</v>
      </c>
      <c r="F502" s="15" t="s">
        <v>51</v>
      </c>
      <c r="G502" s="14" t="s">
        <v>157</v>
      </c>
      <c r="H502" s="14" t="s">
        <v>155</v>
      </c>
      <c r="I502" s="14" t="s">
        <v>59</v>
      </c>
      <c r="J502" s="14" t="s">
        <v>199</v>
      </c>
      <c r="K502" s="14" t="s">
        <v>203</v>
      </c>
      <c r="L502" s="14" t="s">
        <v>431</v>
      </c>
      <c r="M502" s="14" t="s">
        <v>431</v>
      </c>
      <c r="N502" s="14" t="s">
        <v>432</v>
      </c>
      <c r="O502" s="14">
        <v>0.0</v>
      </c>
      <c r="P502" s="21">
        <v>0.0</v>
      </c>
      <c r="Q502" s="22" t="str">
        <f t="shared" ref="Q502:R502" si="295">"+0"</f>
        <v>+0</v>
      </c>
      <c r="R502" s="18" t="str">
        <f t="shared" si="295"/>
        <v>+0</v>
      </c>
      <c r="S502" s="14" t="s">
        <v>260</v>
      </c>
    </row>
    <row r="503">
      <c r="A503" s="13">
        <v>45901.0</v>
      </c>
      <c r="B503" s="14" t="s">
        <v>47</v>
      </c>
      <c r="C503" s="14" t="s">
        <v>48</v>
      </c>
      <c r="D503" s="14" t="s">
        <v>181</v>
      </c>
      <c r="E503" s="14" t="s">
        <v>182</v>
      </c>
      <c r="F503" s="15" t="s">
        <v>51</v>
      </c>
      <c r="G503" s="14" t="s">
        <v>183</v>
      </c>
      <c r="H503" s="14" t="s">
        <v>181</v>
      </c>
      <c r="I503" s="14" t="s">
        <v>59</v>
      </c>
      <c r="J503" s="14" t="s">
        <v>200</v>
      </c>
      <c r="K503" s="14" t="s">
        <v>232</v>
      </c>
      <c r="L503" s="14" t="s">
        <v>261</v>
      </c>
      <c r="M503" s="14" t="s">
        <v>906</v>
      </c>
      <c r="N503" s="14" t="s">
        <v>907</v>
      </c>
      <c r="O503" s="14">
        <v>0.0</v>
      </c>
      <c r="P503" s="23">
        <v>0.0</v>
      </c>
      <c r="Q503" s="22" t="str">
        <f t="shared" ref="Q503:R503" si="296">"+0.00%"</f>
        <v>+0.00%</v>
      </c>
      <c r="R503" s="18" t="str">
        <f t="shared" si="296"/>
        <v>+0.00%</v>
      </c>
      <c r="S503" s="14" t="s">
        <v>941</v>
      </c>
    </row>
    <row r="504">
      <c r="A504" s="13">
        <v>45901.0</v>
      </c>
      <c r="B504" s="14" t="s">
        <v>47</v>
      </c>
      <c r="C504" s="14" t="s">
        <v>48</v>
      </c>
      <c r="D504" s="14" t="s">
        <v>56</v>
      </c>
      <c r="E504" s="14" t="s">
        <v>57</v>
      </c>
      <c r="F504" s="15" t="s">
        <v>51</v>
      </c>
      <c r="G504" s="14" t="s">
        <v>58</v>
      </c>
      <c r="H504" s="14" t="s">
        <v>56</v>
      </c>
      <c r="I504" s="14" t="s">
        <v>59</v>
      </c>
      <c r="J504" s="14" t="s">
        <v>200</v>
      </c>
      <c r="K504" s="14" t="s">
        <v>227</v>
      </c>
      <c r="L504" s="14" t="s">
        <v>270</v>
      </c>
      <c r="M504" s="14" t="s">
        <v>321</v>
      </c>
      <c r="N504" s="14" t="s">
        <v>322</v>
      </c>
      <c r="O504" s="14">
        <v>78.0</v>
      </c>
      <c r="P504" s="23">
        <v>0.5789</v>
      </c>
      <c r="Q504" s="22" t="str">
        <f>"+60.60%"</f>
        <v>+60.60%</v>
      </c>
      <c r="R504" s="18" t="str">
        <f>"-42.11%"</f>
        <v>-42.11%</v>
      </c>
      <c r="S504" s="14" t="s">
        <v>323</v>
      </c>
    </row>
    <row r="505">
      <c r="A505" s="13">
        <v>45901.0</v>
      </c>
      <c r="B505" s="14" t="s">
        <v>47</v>
      </c>
      <c r="C505" s="14" t="s">
        <v>48</v>
      </c>
      <c r="D505" s="14" t="s">
        <v>60</v>
      </c>
      <c r="E505" s="14" t="s">
        <v>61</v>
      </c>
      <c r="F505" s="15" t="s">
        <v>51</v>
      </c>
      <c r="G505" s="14" t="s">
        <v>62</v>
      </c>
      <c r="H505" s="14" t="s">
        <v>60</v>
      </c>
      <c r="I505" s="14" t="s">
        <v>59</v>
      </c>
      <c r="J505" s="14" t="s">
        <v>200</v>
      </c>
      <c r="K505" s="14" t="s">
        <v>223</v>
      </c>
      <c r="L505" s="14" t="s">
        <v>261</v>
      </c>
      <c r="M505" s="14" t="s">
        <v>808</v>
      </c>
      <c r="N505" s="14" t="s">
        <v>809</v>
      </c>
      <c r="O505" s="14">
        <v>15.0</v>
      </c>
      <c r="P505" s="23">
        <v>0.1569</v>
      </c>
      <c r="Q505" s="22" t="str">
        <f>"+10.28%"</f>
        <v>+10.28%</v>
      </c>
      <c r="R505" s="18" t="str">
        <f>"+10.13%"</f>
        <v>+10.13%</v>
      </c>
      <c r="S505" s="14" t="s">
        <v>942</v>
      </c>
    </row>
    <row r="506">
      <c r="A506" s="13">
        <v>45901.0</v>
      </c>
      <c r="B506" s="14" t="s">
        <v>47</v>
      </c>
      <c r="C506" s="14" t="s">
        <v>48</v>
      </c>
      <c r="D506" s="14" t="s">
        <v>60</v>
      </c>
      <c r="E506" s="14" t="s">
        <v>61</v>
      </c>
      <c r="F506" s="15" t="s">
        <v>51</v>
      </c>
      <c r="G506" s="14" t="s">
        <v>62</v>
      </c>
      <c r="H506" s="14" t="s">
        <v>60</v>
      </c>
      <c r="I506" s="14" t="s">
        <v>59</v>
      </c>
      <c r="J506" s="14" t="s">
        <v>200</v>
      </c>
      <c r="K506" s="14" t="s">
        <v>223</v>
      </c>
      <c r="L506" s="14" t="s">
        <v>307</v>
      </c>
      <c r="M506" s="14" t="s">
        <v>561</v>
      </c>
      <c r="N506" s="14" t="s">
        <v>562</v>
      </c>
      <c r="O506" s="14">
        <v>0.0</v>
      </c>
      <c r="P506" s="23">
        <v>0.0</v>
      </c>
      <c r="Q506" s="22" t="str">
        <f t="shared" ref="Q506:R506" si="297">"+0.00%"</f>
        <v>+0.00%</v>
      </c>
      <c r="R506" s="18" t="str">
        <f t="shared" si="297"/>
        <v>+0.00%</v>
      </c>
      <c r="S506" s="14" t="s">
        <v>285</v>
      </c>
    </row>
    <row r="507">
      <c r="A507" s="13">
        <v>45901.0</v>
      </c>
      <c r="B507" s="14" t="s">
        <v>47</v>
      </c>
      <c r="C507" s="14" t="s">
        <v>48</v>
      </c>
      <c r="D507" s="14" t="s">
        <v>91</v>
      </c>
      <c r="E507" s="14" t="s">
        <v>92</v>
      </c>
      <c r="F507" s="15" t="s">
        <v>51</v>
      </c>
      <c r="G507" s="14" t="s">
        <v>163</v>
      </c>
      <c r="H507" s="14" t="s">
        <v>91</v>
      </c>
      <c r="I507" s="14" t="s">
        <v>59</v>
      </c>
      <c r="J507" s="14" t="s">
        <v>200</v>
      </c>
      <c r="K507" s="14" t="s">
        <v>204</v>
      </c>
      <c r="L507" s="14" t="s">
        <v>253</v>
      </c>
      <c r="M507" s="14" t="s">
        <v>844</v>
      </c>
      <c r="N507" s="14" t="s">
        <v>845</v>
      </c>
      <c r="O507" s="14">
        <v>0.0</v>
      </c>
      <c r="P507" s="17"/>
      <c r="Q507" s="22"/>
      <c r="S507" s="14" t="s">
        <v>846</v>
      </c>
    </row>
    <row r="508">
      <c r="A508" s="13">
        <v>45901.0</v>
      </c>
      <c r="B508" s="14" t="s">
        <v>47</v>
      </c>
      <c r="C508" s="14" t="s">
        <v>48</v>
      </c>
      <c r="D508" s="14" t="s">
        <v>99</v>
      </c>
      <c r="E508" s="14" t="s">
        <v>100</v>
      </c>
      <c r="F508" s="15" t="s">
        <v>51</v>
      </c>
      <c r="G508" s="14" t="s">
        <v>101</v>
      </c>
      <c r="H508" s="14" t="s">
        <v>102</v>
      </c>
      <c r="I508" s="14" t="s">
        <v>54</v>
      </c>
      <c r="J508" s="14" t="s">
        <v>198</v>
      </c>
      <c r="K508" s="14" t="s">
        <v>210</v>
      </c>
      <c r="L508" s="14" t="s">
        <v>264</v>
      </c>
      <c r="M508" s="14" t="s">
        <v>802</v>
      </c>
      <c r="N508" s="14" t="s">
        <v>803</v>
      </c>
      <c r="O508" s="14">
        <v>0.0</v>
      </c>
      <c r="P508" s="21">
        <v>0.0</v>
      </c>
      <c r="Q508" s="22" t="str">
        <f t="shared" ref="Q508:R508" si="298">"+0"</f>
        <v>+0</v>
      </c>
      <c r="R508" s="18" t="str">
        <f t="shared" si="298"/>
        <v>+0</v>
      </c>
      <c r="S508" s="14" t="s">
        <v>277</v>
      </c>
    </row>
    <row r="509">
      <c r="A509" s="13">
        <v>45901.0</v>
      </c>
      <c r="B509" s="14" t="s">
        <v>47</v>
      </c>
      <c r="C509" s="14" t="s">
        <v>48</v>
      </c>
      <c r="D509" s="14" t="s">
        <v>63</v>
      </c>
      <c r="E509" s="14" t="s">
        <v>64</v>
      </c>
      <c r="F509" s="15" t="s">
        <v>51</v>
      </c>
      <c r="G509" s="14" t="s">
        <v>65</v>
      </c>
      <c r="H509" s="14" t="s">
        <v>63</v>
      </c>
      <c r="I509" s="14" t="s">
        <v>54</v>
      </c>
      <c r="J509" s="14" t="s">
        <v>200</v>
      </c>
      <c r="K509" s="14" t="s">
        <v>213</v>
      </c>
      <c r="L509" s="14" t="s">
        <v>359</v>
      </c>
      <c r="M509" s="14" t="s">
        <v>519</v>
      </c>
      <c r="N509" s="14" t="s">
        <v>520</v>
      </c>
      <c r="O509" s="14">
        <v>0.0</v>
      </c>
      <c r="P509" s="21">
        <v>0.0</v>
      </c>
      <c r="Q509" s="22" t="str">
        <f t="shared" ref="Q509:R509" si="299">"+0"</f>
        <v>+0</v>
      </c>
      <c r="R509" s="18" t="str">
        <f t="shared" si="299"/>
        <v>+0</v>
      </c>
      <c r="S509" s="14" t="s">
        <v>260</v>
      </c>
    </row>
    <row r="510">
      <c r="A510" s="13">
        <v>45901.0</v>
      </c>
      <c r="B510" s="14" t="s">
        <v>47</v>
      </c>
      <c r="C510" s="14" t="s">
        <v>48</v>
      </c>
      <c r="D510" s="14" t="s">
        <v>63</v>
      </c>
      <c r="E510" s="14" t="s">
        <v>64</v>
      </c>
      <c r="F510" s="15" t="s">
        <v>51</v>
      </c>
      <c r="G510" s="14" t="s">
        <v>65</v>
      </c>
      <c r="H510" s="14" t="s">
        <v>63</v>
      </c>
      <c r="I510" s="14" t="s">
        <v>54</v>
      </c>
      <c r="J510" s="14" t="s">
        <v>198</v>
      </c>
      <c r="K510" s="14" t="s">
        <v>210</v>
      </c>
      <c r="L510" s="14" t="s">
        <v>264</v>
      </c>
      <c r="M510" s="14" t="s">
        <v>943</v>
      </c>
      <c r="N510" s="14" t="s">
        <v>944</v>
      </c>
      <c r="O510" s="14">
        <v>0.0</v>
      </c>
      <c r="P510" s="21">
        <v>0.0</v>
      </c>
      <c r="Q510" s="22" t="str">
        <f t="shared" ref="Q510:R510" si="300">"+0"</f>
        <v>+0</v>
      </c>
      <c r="R510" s="18" t="str">
        <f t="shared" si="300"/>
        <v>+0</v>
      </c>
      <c r="S510" s="14" t="s">
        <v>277</v>
      </c>
    </row>
    <row r="511">
      <c r="A511" s="13">
        <v>45901.0</v>
      </c>
      <c r="B511" s="14" t="s">
        <v>47</v>
      </c>
      <c r="C511" s="14" t="s">
        <v>48</v>
      </c>
      <c r="D511" s="14" t="s">
        <v>63</v>
      </c>
      <c r="E511" s="14" t="s">
        <v>64</v>
      </c>
      <c r="F511" s="15" t="s">
        <v>51</v>
      </c>
      <c r="G511" s="14" t="s">
        <v>65</v>
      </c>
      <c r="H511" s="14" t="s">
        <v>63</v>
      </c>
      <c r="I511" s="14" t="s">
        <v>54</v>
      </c>
      <c r="J511" s="14" t="s">
        <v>198</v>
      </c>
      <c r="K511" s="14" t="s">
        <v>210</v>
      </c>
      <c r="L511" s="14" t="s">
        <v>458</v>
      </c>
      <c r="M511" s="14" t="s">
        <v>945</v>
      </c>
      <c r="N511" s="14" t="s">
        <v>946</v>
      </c>
      <c r="O511" s="14">
        <v>0.0</v>
      </c>
      <c r="P511" s="21">
        <v>0.0</v>
      </c>
      <c r="Q511" s="22" t="str">
        <f t="shared" ref="Q511:R511" si="301">"+0"</f>
        <v>+0</v>
      </c>
      <c r="R511" s="18" t="str">
        <f t="shared" si="301"/>
        <v>+0</v>
      </c>
      <c r="S511" s="14" t="s">
        <v>277</v>
      </c>
    </row>
    <row r="512">
      <c r="A512" s="13">
        <v>45901.0</v>
      </c>
      <c r="B512" s="14" t="s">
        <v>47</v>
      </c>
      <c r="C512" s="14" t="s">
        <v>48</v>
      </c>
      <c r="D512" s="14" t="s">
        <v>63</v>
      </c>
      <c r="E512" s="14" t="s">
        <v>64</v>
      </c>
      <c r="F512" s="15" t="s">
        <v>51</v>
      </c>
      <c r="G512" s="14" t="s">
        <v>65</v>
      </c>
      <c r="H512" s="14" t="s">
        <v>63</v>
      </c>
      <c r="I512" s="14" t="s">
        <v>54</v>
      </c>
      <c r="J512" s="14" t="s">
        <v>200</v>
      </c>
      <c r="K512" s="14" t="s">
        <v>222</v>
      </c>
      <c r="L512" s="14" t="s">
        <v>253</v>
      </c>
      <c r="M512" s="14" t="s">
        <v>732</v>
      </c>
      <c r="N512" s="14" t="s">
        <v>733</v>
      </c>
      <c r="O512" s="14">
        <v>100.0</v>
      </c>
      <c r="P512" s="21">
        <v>2.0</v>
      </c>
      <c r="Q512" s="22" t="str">
        <f t="shared" ref="Q512:R512" si="302">"+0"</f>
        <v>+0</v>
      </c>
      <c r="R512" s="18" t="str">
        <f t="shared" si="302"/>
        <v>+0</v>
      </c>
      <c r="S512" s="14" t="s">
        <v>450</v>
      </c>
    </row>
    <row r="513">
      <c r="A513" s="13">
        <v>45901.0</v>
      </c>
      <c r="B513" s="14" t="s">
        <v>47</v>
      </c>
      <c r="C513" s="14" t="s">
        <v>48</v>
      </c>
      <c r="D513" s="14" t="s">
        <v>93</v>
      </c>
      <c r="E513" s="14" t="s">
        <v>94</v>
      </c>
      <c r="F513" s="15" t="s">
        <v>51</v>
      </c>
      <c r="G513" s="14" t="s">
        <v>191</v>
      </c>
      <c r="H513" s="14" t="s">
        <v>95</v>
      </c>
      <c r="I513" s="14" t="s">
        <v>59</v>
      </c>
      <c r="J513" s="14" t="s">
        <v>199</v>
      </c>
      <c r="K513" s="14" t="s">
        <v>206</v>
      </c>
      <c r="L513" s="14" t="s">
        <v>295</v>
      </c>
      <c r="M513" s="14" t="s">
        <v>296</v>
      </c>
      <c r="N513" s="14" t="s">
        <v>297</v>
      </c>
      <c r="O513" s="14">
        <v>0.0</v>
      </c>
      <c r="P513" s="21">
        <v>0.0</v>
      </c>
      <c r="Q513" s="22" t="str">
        <f t="shared" ref="Q513:R513" si="303">"+0"</f>
        <v>+0</v>
      </c>
      <c r="R513" s="18" t="str">
        <f t="shared" si="303"/>
        <v>+0</v>
      </c>
      <c r="S513" s="14" t="s">
        <v>260</v>
      </c>
    </row>
    <row r="514">
      <c r="A514" s="13">
        <v>45901.0</v>
      </c>
      <c r="B514" s="14" t="s">
        <v>47</v>
      </c>
      <c r="C514" s="14" t="s">
        <v>48</v>
      </c>
      <c r="D514" s="14" t="s">
        <v>192</v>
      </c>
      <c r="E514" s="14" t="s">
        <v>193</v>
      </c>
      <c r="F514" s="15" t="s">
        <v>51</v>
      </c>
      <c r="G514" s="14" t="s">
        <v>194</v>
      </c>
      <c r="H514" s="14" t="s">
        <v>192</v>
      </c>
      <c r="I514" s="14" t="s">
        <v>54</v>
      </c>
      <c r="J514" s="14" t="s">
        <v>198</v>
      </c>
      <c r="K514" s="14" t="s">
        <v>210</v>
      </c>
      <c r="L514" s="14" t="s">
        <v>278</v>
      </c>
      <c r="M514" s="14" t="s">
        <v>947</v>
      </c>
      <c r="N514" s="14" t="s">
        <v>948</v>
      </c>
      <c r="O514" s="14">
        <v>0.0</v>
      </c>
      <c r="P514" s="21">
        <v>0.0</v>
      </c>
      <c r="Q514" s="22" t="str">
        <f t="shared" ref="Q514:R514" si="304">"+0"</f>
        <v>+0</v>
      </c>
      <c r="R514" s="18" t="str">
        <f t="shared" si="304"/>
        <v>+0</v>
      </c>
      <c r="S514" s="14" t="s">
        <v>277</v>
      </c>
    </row>
    <row r="515">
      <c r="A515" s="13">
        <v>45901.0</v>
      </c>
      <c r="B515" s="14" t="s">
        <v>47</v>
      </c>
      <c r="C515" s="14" t="s">
        <v>48</v>
      </c>
      <c r="D515" s="14" t="s">
        <v>192</v>
      </c>
      <c r="E515" s="14" t="s">
        <v>193</v>
      </c>
      <c r="F515" s="15" t="s">
        <v>51</v>
      </c>
      <c r="G515" s="14" t="s">
        <v>194</v>
      </c>
      <c r="H515" s="14" t="s">
        <v>192</v>
      </c>
      <c r="I515" s="14" t="s">
        <v>54</v>
      </c>
      <c r="J515" s="14" t="s">
        <v>200</v>
      </c>
      <c r="K515" s="14" t="s">
        <v>223</v>
      </c>
      <c r="L515" s="14" t="s">
        <v>257</v>
      </c>
      <c r="M515" s="14" t="s">
        <v>258</v>
      </c>
      <c r="N515" s="14" t="s">
        <v>259</v>
      </c>
      <c r="O515" s="14">
        <v>100.0</v>
      </c>
      <c r="P515" s="21">
        <v>113.0</v>
      </c>
      <c r="Q515" s="22" t="str">
        <f t="shared" ref="Q515:R515" si="305">"+0"</f>
        <v>+0</v>
      </c>
      <c r="R515" s="18" t="str">
        <f t="shared" si="305"/>
        <v>+0</v>
      </c>
      <c r="S515" s="14" t="s">
        <v>260</v>
      </c>
    </row>
    <row r="516">
      <c r="A516" s="13">
        <v>45901.0</v>
      </c>
      <c r="B516" s="14" t="s">
        <v>47</v>
      </c>
      <c r="C516" s="14" t="s">
        <v>48</v>
      </c>
      <c r="D516" s="14" t="s">
        <v>93</v>
      </c>
      <c r="E516" s="14" t="s">
        <v>94</v>
      </c>
      <c r="F516" s="15" t="s">
        <v>51</v>
      </c>
      <c r="G516" s="14" t="s">
        <v>191</v>
      </c>
      <c r="H516" s="14" t="s">
        <v>95</v>
      </c>
      <c r="I516" s="14" t="s">
        <v>59</v>
      </c>
      <c r="J516" s="14" t="s">
        <v>198</v>
      </c>
      <c r="K516" s="14" t="s">
        <v>212</v>
      </c>
      <c r="L516" s="14" t="s">
        <v>249</v>
      </c>
      <c r="M516" s="14" t="s">
        <v>598</v>
      </c>
      <c r="N516" s="14" t="s">
        <v>599</v>
      </c>
      <c r="O516" s="14">
        <v>100.0</v>
      </c>
      <c r="P516" s="21">
        <v>0.0</v>
      </c>
      <c r="Q516" s="22" t="str">
        <f t="shared" ref="Q516:R516" si="306">"+0"</f>
        <v>+0</v>
      </c>
      <c r="R516" s="18" t="str">
        <f t="shared" si="306"/>
        <v>+0</v>
      </c>
      <c r="S516" s="14" t="s">
        <v>281</v>
      </c>
    </row>
    <row r="517">
      <c r="A517" s="13">
        <v>45901.0</v>
      </c>
      <c r="B517" s="14" t="s">
        <v>47</v>
      </c>
      <c r="C517" s="14" t="s">
        <v>48</v>
      </c>
      <c r="D517" s="14" t="s">
        <v>132</v>
      </c>
      <c r="E517" s="14" t="s">
        <v>133</v>
      </c>
      <c r="F517" s="15" t="s">
        <v>51</v>
      </c>
      <c r="G517" s="14" t="s">
        <v>134</v>
      </c>
      <c r="H517" s="14" t="s">
        <v>135</v>
      </c>
      <c r="I517" s="14" t="s">
        <v>59</v>
      </c>
      <c r="J517" s="14" t="s">
        <v>198</v>
      </c>
      <c r="K517" s="14" t="s">
        <v>205</v>
      </c>
      <c r="L517" s="14" t="s">
        <v>274</v>
      </c>
      <c r="M517" s="14" t="s">
        <v>425</v>
      </c>
      <c r="N517" s="14" t="s">
        <v>426</v>
      </c>
      <c r="O517" s="14">
        <v>0.0</v>
      </c>
      <c r="P517" s="21">
        <v>0.0</v>
      </c>
      <c r="Q517" s="22" t="str">
        <f>"+0"</f>
        <v>+0</v>
      </c>
      <c r="S517" s="14" t="s">
        <v>281</v>
      </c>
    </row>
    <row r="518">
      <c r="A518" s="13">
        <v>45901.0</v>
      </c>
      <c r="B518" s="14" t="s">
        <v>47</v>
      </c>
      <c r="C518" s="14" t="s">
        <v>48</v>
      </c>
      <c r="D518" s="14" t="s">
        <v>143</v>
      </c>
      <c r="E518" s="14" t="s">
        <v>144</v>
      </c>
      <c r="F518" s="15" t="s">
        <v>51</v>
      </c>
      <c r="G518" s="14" t="s">
        <v>145</v>
      </c>
      <c r="H518" s="14" t="s">
        <v>143</v>
      </c>
      <c r="I518" s="14" t="s">
        <v>59</v>
      </c>
      <c r="J518" s="14" t="s">
        <v>200</v>
      </c>
      <c r="K518" s="14" t="s">
        <v>224</v>
      </c>
      <c r="L518" s="14" t="s">
        <v>453</v>
      </c>
      <c r="M518" s="14" t="s">
        <v>949</v>
      </c>
      <c r="N518" s="14" t="s">
        <v>950</v>
      </c>
      <c r="O518" s="14">
        <v>0.0</v>
      </c>
      <c r="P518" s="23">
        <v>0.0</v>
      </c>
      <c r="Q518" s="22" t="str">
        <f t="shared" ref="Q518:Q519" si="307">"+0.00%"</f>
        <v>+0.00%</v>
      </c>
      <c r="S518" s="14" t="s">
        <v>951</v>
      </c>
    </row>
    <row r="519">
      <c r="A519" s="13">
        <v>45901.0</v>
      </c>
      <c r="B519" s="14" t="s">
        <v>47</v>
      </c>
      <c r="C519" s="14" t="s">
        <v>48</v>
      </c>
      <c r="D519" s="14" t="s">
        <v>125</v>
      </c>
      <c r="E519" s="14" t="s">
        <v>126</v>
      </c>
      <c r="F519" s="15" t="s">
        <v>51</v>
      </c>
      <c r="G519" s="14" t="s">
        <v>127</v>
      </c>
      <c r="H519" s="14" t="s">
        <v>125</v>
      </c>
      <c r="I519" s="14" t="s">
        <v>59</v>
      </c>
      <c r="J519" s="14" t="s">
        <v>200</v>
      </c>
      <c r="K519" s="14" t="s">
        <v>224</v>
      </c>
      <c r="L519" s="14" t="s">
        <v>253</v>
      </c>
      <c r="M519" s="14" t="s">
        <v>952</v>
      </c>
      <c r="N519" s="14" t="s">
        <v>953</v>
      </c>
      <c r="O519" s="14">
        <v>0.0</v>
      </c>
      <c r="P519" s="23">
        <v>0.0</v>
      </c>
      <c r="Q519" s="22" t="str">
        <f t="shared" si="307"/>
        <v>+0.00%</v>
      </c>
      <c r="R519" s="18" t="str">
        <f>"+0.00%"</f>
        <v>+0.00%</v>
      </c>
      <c r="S519" s="14" t="s">
        <v>954</v>
      </c>
    </row>
    <row r="520">
      <c r="A520" s="13">
        <v>45901.0</v>
      </c>
      <c r="B520" s="14" t="s">
        <v>47</v>
      </c>
      <c r="C520" s="14" t="s">
        <v>48</v>
      </c>
      <c r="D520" s="14" t="s">
        <v>69</v>
      </c>
      <c r="E520" s="14" t="s">
        <v>70</v>
      </c>
      <c r="F520" s="15" t="s">
        <v>51</v>
      </c>
      <c r="G520" s="14" t="s">
        <v>115</v>
      </c>
      <c r="H520" s="14" t="s">
        <v>72</v>
      </c>
      <c r="I520" s="14" t="s">
        <v>54</v>
      </c>
      <c r="J520" s="14" t="s">
        <v>198</v>
      </c>
      <c r="K520" s="14" t="s">
        <v>205</v>
      </c>
      <c r="L520" s="14" t="s">
        <v>274</v>
      </c>
      <c r="M520" s="14" t="s">
        <v>275</v>
      </c>
      <c r="N520" s="14" t="s">
        <v>276</v>
      </c>
      <c r="O520" s="14">
        <v>0.0</v>
      </c>
      <c r="P520" s="21">
        <v>1.0</v>
      </c>
      <c r="Q520" s="22" t="str">
        <f t="shared" ref="Q520:Q522" si="308">"+0"</f>
        <v>+0</v>
      </c>
      <c r="S520" s="14" t="s">
        <v>277</v>
      </c>
    </row>
    <row r="521">
      <c r="A521" s="13">
        <v>45901.0</v>
      </c>
      <c r="B521" s="14" t="s">
        <v>47</v>
      </c>
      <c r="C521" s="14" t="s">
        <v>48</v>
      </c>
      <c r="D521" s="14" t="s">
        <v>85</v>
      </c>
      <c r="E521" s="14" t="s">
        <v>86</v>
      </c>
      <c r="F521" s="15" t="s">
        <v>51</v>
      </c>
      <c r="G521" s="14" t="s">
        <v>148</v>
      </c>
      <c r="H521" s="14" t="s">
        <v>85</v>
      </c>
      <c r="I521" s="14" t="s">
        <v>59</v>
      </c>
      <c r="J521" s="14" t="s">
        <v>198</v>
      </c>
      <c r="K521" s="14" t="s">
        <v>205</v>
      </c>
      <c r="L521" s="14" t="s">
        <v>274</v>
      </c>
      <c r="M521" s="14" t="s">
        <v>738</v>
      </c>
      <c r="N521" s="14" t="s">
        <v>739</v>
      </c>
      <c r="O521" s="14">
        <v>0.0</v>
      </c>
      <c r="P521" s="21">
        <v>0.0</v>
      </c>
      <c r="Q521" s="22" t="str">
        <f t="shared" si="308"/>
        <v>+0</v>
      </c>
      <c r="S521" s="14" t="s">
        <v>281</v>
      </c>
    </row>
    <row r="522">
      <c r="A522" s="13">
        <v>45901.0</v>
      </c>
      <c r="B522" s="14" t="s">
        <v>47</v>
      </c>
      <c r="C522" s="14" t="s">
        <v>48</v>
      </c>
      <c r="D522" s="14" t="s">
        <v>77</v>
      </c>
      <c r="E522" s="14" t="s">
        <v>78</v>
      </c>
      <c r="F522" s="14" t="s">
        <v>79</v>
      </c>
      <c r="G522" s="14" t="s">
        <v>80</v>
      </c>
      <c r="H522" s="14" t="s">
        <v>81</v>
      </c>
      <c r="J522" s="14" t="s">
        <v>198</v>
      </c>
      <c r="K522" s="14" t="s">
        <v>210</v>
      </c>
      <c r="L522" s="14" t="s">
        <v>458</v>
      </c>
      <c r="M522" s="14" t="s">
        <v>955</v>
      </c>
      <c r="N522" s="14" t="s">
        <v>956</v>
      </c>
      <c r="O522" s="14">
        <v>100.0</v>
      </c>
      <c r="P522" s="21">
        <v>0.0</v>
      </c>
      <c r="Q522" s="22" t="str">
        <f t="shared" si="308"/>
        <v>+0</v>
      </c>
      <c r="S522" s="14" t="s">
        <v>277</v>
      </c>
    </row>
    <row r="523">
      <c r="A523" s="13">
        <v>45901.0</v>
      </c>
      <c r="B523" s="14" t="s">
        <v>47</v>
      </c>
      <c r="C523" s="14" t="s">
        <v>48</v>
      </c>
      <c r="D523" s="14" t="s">
        <v>77</v>
      </c>
      <c r="E523" s="14" t="s">
        <v>78</v>
      </c>
      <c r="F523" s="15" t="s">
        <v>51</v>
      </c>
      <c r="G523" s="14" t="s">
        <v>128</v>
      </c>
      <c r="H523" s="14" t="s">
        <v>81</v>
      </c>
      <c r="I523" s="14" t="s">
        <v>59</v>
      </c>
      <c r="J523" s="14" t="s">
        <v>200</v>
      </c>
      <c r="K523" s="14" t="s">
        <v>223</v>
      </c>
      <c r="L523" s="14" t="s">
        <v>286</v>
      </c>
      <c r="M523" s="14" t="s">
        <v>644</v>
      </c>
      <c r="N523" s="14" t="s">
        <v>645</v>
      </c>
      <c r="O523" s="14">
        <v>0.0</v>
      </c>
      <c r="P523" s="23">
        <v>-1.0</v>
      </c>
      <c r="Q523" s="22" t="str">
        <f t="shared" ref="Q523:R523" si="309">"+0.00%"</f>
        <v>+0.00%</v>
      </c>
      <c r="R523" s="18" t="str">
        <f t="shared" si="309"/>
        <v>+0.00%</v>
      </c>
      <c r="S523" s="14" t="s">
        <v>957</v>
      </c>
    </row>
    <row r="524">
      <c r="A524" s="13">
        <v>45901.0</v>
      </c>
      <c r="B524" s="14" t="s">
        <v>47</v>
      </c>
      <c r="C524" s="14" t="s">
        <v>48</v>
      </c>
      <c r="D524" s="14" t="s">
        <v>77</v>
      </c>
      <c r="E524" s="14" t="s">
        <v>78</v>
      </c>
      <c r="F524" s="15" t="s">
        <v>51</v>
      </c>
      <c r="G524" s="14" t="s">
        <v>128</v>
      </c>
      <c r="H524" s="14" t="s">
        <v>81</v>
      </c>
      <c r="I524" s="14" t="s">
        <v>59</v>
      </c>
      <c r="J524" s="14" t="s">
        <v>200</v>
      </c>
      <c r="K524" s="14" t="s">
        <v>202</v>
      </c>
      <c r="L524" s="14" t="s">
        <v>253</v>
      </c>
      <c r="M524" s="14" t="s">
        <v>347</v>
      </c>
      <c r="N524" s="14" t="s">
        <v>348</v>
      </c>
      <c r="O524" s="14">
        <v>33.0</v>
      </c>
      <c r="P524" s="23">
        <v>0.3333</v>
      </c>
      <c r="Q524" s="22" t="str">
        <f>"+33.33%"</f>
        <v>+33.33%</v>
      </c>
      <c r="R524" s="18" t="str">
        <f>"+0.00%"</f>
        <v>+0.00%</v>
      </c>
      <c r="S524" s="14" t="s">
        <v>958</v>
      </c>
    </row>
    <row r="525">
      <c r="A525" s="13">
        <v>45901.0</v>
      </c>
      <c r="B525" s="14" t="s">
        <v>47</v>
      </c>
      <c r="C525" s="14" t="s">
        <v>48</v>
      </c>
      <c r="D525" s="14" t="s">
        <v>158</v>
      </c>
      <c r="E525" s="14" t="s">
        <v>159</v>
      </c>
      <c r="F525" s="15" t="s">
        <v>51</v>
      </c>
      <c r="G525" s="14" t="s">
        <v>160</v>
      </c>
      <c r="H525" s="14" t="s">
        <v>158</v>
      </c>
      <c r="I525" s="14" t="s">
        <v>54</v>
      </c>
      <c r="J525" s="14" t="s">
        <v>198</v>
      </c>
      <c r="K525" s="14" t="s">
        <v>205</v>
      </c>
      <c r="L525" s="14" t="s">
        <v>274</v>
      </c>
      <c r="M525" s="14" t="s">
        <v>791</v>
      </c>
      <c r="N525" s="14" t="s">
        <v>792</v>
      </c>
      <c r="O525" s="14">
        <v>100.0</v>
      </c>
      <c r="P525" s="21">
        <v>4.0</v>
      </c>
      <c r="Q525" s="22" t="str">
        <f t="shared" ref="Q525:Q529" si="310">"+0"</f>
        <v>+0</v>
      </c>
      <c r="S525" s="14" t="s">
        <v>260</v>
      </c>
    </row>
    <row r="526">
      <c r="A526" s="13">
        <v>45901.0</v>
      </c>
      <c r="B526" s="14" t="s">
        <v>47</v>
      </c>
      <c r="C526" s="14" t="s">
        <v>48</v>
      </c>
      <c r="D526" s="14" t="s">
        <v>158</v>
      </c>
      <c r="E526" s="14" t="s">
        <v>159</v>
      </c>
      <c r="F526" s="15" t="s">
        <v>51</v>
      </c>
      <c r="G526" s="14" t="s">
        <v>160</v>
      </c>
      <c r="H526" s="14" t="s">
        <v>158</v>
      </c>
      <c r="I526" s="14" t="s">
        <v>54</v>
      </c>
      <c r="J526" s="14" t="s">
        <v>198</v>
      </c>
      <c r="K526" s="14" t="s">
        <v>210</v>
      </c>
      <c r="L526" s="14" t="s">
        <v>264</v>
      </c>
      <c r="M526" s="14" t="s">
        <v>527</v>
      </c>
      <c r="N526" s="14" t="s">
        <v>528</v>
      </c>
      <c r="O526" s="14">
        <v>0.0</v>
      </c>
      <c r="P526" s="21">
        <v>0.0</v>
      </c>
      <c r="Q526" s="22" t="str">
        <f t="shared" si="310"/>
        <v>+0</v>
      </c>
      <c r="R526" s="18" t="str">
        <f t="shared" ref="R526:R527" si="311">"+0"</f>
        <v>+0</v>
      </c>
      <c r="S526" s="14" t="s">
        <v>277</v>
      </c>
    </row>
    <row r="527">
      <c r="A527" s="13">
        <v>45901.0</v>
      </c>
      <c r="B527" s="14" t="s">
        <v>47</v>
      </c>
      <c r="C527" s="14" t="s">
        <v>48</v>
      </c>
      <c r="D527" s="14" t="s">
        <v>158</v>
      </c>
      <c r="E527" s="14" t="s">
        <v>159</v>
      </c>
      <c r="F527" s="15" t="s">
        <v>51</v>
      </c>
      <c r="G527" s="14" t="s">
        <v>160</v>
      </c>
      <c r="H527" s="14" t="s">
        <v>158</v>
      </c>
      <c r="I527" s="14" t="s">
        <v>54</v>
      </c>
      <c r="J527" s="14" t="s">
        <v>198</v>
      </c>
      <c r="K527" s="14" t="s">
        <v>210</v>
      </c>
      <c r="L527" s="14" t="s">
        <v>264</v>
      </c>
      <c r="M527" s="14" t="s">
        <v>959</v>
      </c>
      <c r="N527" s="14" t="s">
        <v>960</v>
      </c>
      <c r="O527" s="14">
        <v>0.0</v>
      </c>
      <c r="P527" s="21">
        <v>0.0</v>
      </c>
      <c r="Q527" s="22" t="str">
        <f t="shared" si="310"/>
        <v>+0</v>
      </c>
      <c r="R527" s="18" t="str">
        <f t="shared" si="311"/>
        <v>+0</v>
      </c>
      <c r="S527" s="14" t="s">
        <v>277</v>
      </c>
    </row>
    <row r="528">
      <c r="A528" s="13">
        <v>45901.0</v>
      </c>
      <c r="B528" s="14" t="s">
        <v>47</v>
      </c>
      <c r="C528" s="14" t="s">
        <v>48</v>
      </c>
      <c r="D528" s="14" t="s">
        <v>158</v>
      </c>
      <c r="E528" s="14" t="s">
        <v>159</v>
      </c>
      <c r="F528" s="15" t="s">
        <v>51</v>
      </c>
      <c r="G528" s="14" t="s">
        <v>160</v>
      </c>
      <c r="H528" s="14" t="s">
        <v>158</v>
      </c>
      <c r="I528" s="14" t="s">
        <v>54</v>
      </c>
      <c r="J528" s="14" t="s">
        <v>198</v>
      </c>
      <c r="K528" s="14" t="s">
        <v>205</v>
      </c>
      <c r="L528" s="14" t="s">
        <v>274</v>
      </c>
      <c r="M528" s="14" t="s">
        <v>738</v>
      </c>
      <c r="N528" s="14" t="s">
        <v>739</v>
      </c>
      <c r="O528" s="14">
        <v>0.0</v>
      </c>
      <c r="P528" s="21">
        <v>0.0</v>
      </c>
      <c r="Q528" s="22" t="str">
        <f t="shared" si="310"/>
        <v>+0</v>
      </c>
      <c r="S528" s="14" t="s">
        <v>281</v>
      </c>
    </row>
    <row r="529">
      <c r="A529" s="13">
        <v>45901.0</v>
      </c>
      <c r="B529" s="14" t="s">
        <v>47</v>
      </c>
      <c r="C529" s="14" t="s">
        <v>48</v>
      </c>
      <c r="D529" s="14" t="s">
        <v>174</v>
      </c>
      <c r="E529" s="14" t="s">
        <v>175</v>
      </c>
      <c r="F529" s="15" t="s">
        <v>51</v>
      </c>
      <c r="G529" s="14" t="s">
        <v>176</v>
      </c>
      <c r="H529" s="14" t="s">
        <v>174</v>
      </c>
      <c r="I529" s="14" t="s">
        <v>59</v>
      </c>
      <c r="J529" s="14" t="s">
        <v>198</v>
      </c>
      <c r="K529" s="14" t="s">
        <v>205</v>
      </c>
      <c r="L529" s="14" t="s">
        <v>274</v>
      </c>
      <c r="M529" s="14" t="s">
        <v>575</v>
      </c>
      <c r="N529" s="14" t="s">
        <v>576</v>
      </c>
      <c r="O529" s="14">
        <v>100.0</v>
      </c>
      <c r="P529" s="21">
        <v>90.0</v>
      </c>
      <c r="Q529" s="22" t="str">
        <f t="shared" si="310"/>
        <v>+0</v>
      </c>
      <c r="S529" s="14" t="s">
        <v>577</v>
      </c>
    </row>
    <row r="530">
      <c r="A530" s="13">
        <v>45901.0</v>
      </c>
      <c r="B530" s="14" t="s">
        <v>47</v>
      </c>
      <c r="C530" s="14" t="s">
        <v>48</v>
      </c>
      <c r="D530" s="14" t="s">
        <v>108</v>
      </c>
      <c r="E530" s="14" t="s">
        <v>109</v>
      </c>
      <c r="F530" s="15" t="s">
        <v>51</v>
      </c>
      <c r="G530" s="14" t="s">
        <v>110</v>
      </c>
      <c r="H530" s="14" t="s">
        <v>108</v>
      </c>
      <c r="I530" s="14" t="s">
        <v>59</v>
      </c>
      <c r="J530" s="14" t="s">
        <v>198</v>
      </c>
      <c r="K530" s="14" t="s">
        <v>210</v>
      </c>
      <c r="L530" s="14" t="s">
        <v>264</v>
      </c>
      <c r="M530" s="14" t="s">
        <v>265</v>
      </c>
      <c r="N530" s="14" t="s">
        <v>266</v>
      </c>
      <c r="O530" s="14">
        <v>49.0</v>
      </c>
      <c r="P530" s="21">
        <v>148.0</v>
      </c>
      <c r="Q530" s="22" t="str">
        <f>"-55"</f>
        <v>-55</v>
      </c>
      <c r="R530" s="18" t="str">
        <f>"-199"</f>
        <v>-199</v>
      </c>
      <c r="S530" s="14" t="s">
        <v>961</v>
      </c>
    </row>
    <row r="531">
      <c r="A531" s="13">
        <v>45901.0</v>
      </c>
      <c r="B531" s="14" t="s">
        <v>47</v>
      </c>
      <c r="C531" s="14" t="s">
        <v>48</v>
      </c>
      <c r="D531" s="14" t="s">
        <v>108</v>
      </c>
      <c r="E531" s="14" t="s">
        <v>109</v>
      </c>
      <c r="F531" s="15" t="s">
        <v>51</v>
      </c>
      <c r="G531" s="14" t="s">
        <v>110</v>
      </c>
      <c r="H531" s="14" t="s">
        <v>108</v>
      </c>
      <c r="I531" s="14" t="s">
        <v>59</v>
      </c>
      <c r="J531" s="14" t="s">
        <v>200</v>
      </c>
      <c r="K531" s="14" t="s">
        <v>213</v>
      </c>
      <c r="L531" s="14" t="s">
        <v>307</v>
      </c>
      <c r="M531" s="14" t="s">
        <v>561</v>
      </c>
      <c r="N531" s="14" t="s">
        <v>562</v>
      </c>
      <c r="O531" s="14">
        <v>0.0</v>
      </c>
      <c r="P531" s="23">
        <v>0.0</v>
      </c>
      <c r="Q531" s="22" t="str">
        <f>"+0.00%"</f>
        <v>+0.00%</v>
      </c>
      <c r="S531" s="14" t="s">
        <v>285</v>
      </c>
    </row>
    <row r="532">
      <c r="A532" s="13">
        <v>45901.0</v>
      </c>
      <c r="B532" s="14" t="s">
        <v>47</v>
      </c>
      <c r="C532" s="14" t="s">
        <v>48</v>
      </c>
      <c r="D532" s="14" t="s">
        <v>56</v>
      </c>
      <c r="E532" s="14" t="s">
        <v>57</v>
      </c>
      <c r="F532" s="15" t="s">
        <v>51</v>
      </c>
      <c r="G532" s="14" t="s">
        <v>58</v>
      </c>
      <c r="H532" s="14" t="s">
        <v>56</v>
      </c>
      <c r="I532" s="14" t="s">
        <v>59</v>
      </c>
      <c r="J532" s="14" t="s">
        <v>199</v>
      </c>
      <c r="K532" s="14" t="s">
        <v>206</v>
      </c>
      <c r="L532" s="14" t="s">
        <v>268</v>
      </c>
      <c r="M532" s="14" t="s">
        <v>268</v>
      </c>
      <c r="N532" s="14" t="s">
        <v>269</v>
      </c>
      <c r="O532" s="14">
        <v>0.0</v>
      </c>
      <c r="P532" s="21">
        <v>0.0</v>
      </c>
      <c r="Q532" s="22" t="str">
        <f t="shared" ref="Q532:R532" si="312">"+0"</f>
        <v>+0</v>
      </c>
      <c r="R532" s="18" t="str">
        <f t="shared" si="312"/>
        <v>+0</v>
      </c>
      <c r="S532" s="14" t="s">
        <v>260</v>
      </c>
    </row>
    <row r="533">
      <c r="A533" s="13">
        <v>45901.0</v>
      </c>
      <c r="B533" s="14" t="s">
        <v>47</v>
      </c>
      <c r="C533" s="14" t="s">
        <v>48</v>
      </c>
      <c r="D533" s="14" t="s">
        <v>56</v>
      </c>
      <c r="E533" s="14" t="s">
        <v>57</v>
      </c>
      <c r="F533" s="15" t="s">
        <v>51</v>
      </c>
      <c r="G533" s="14" t="s">
        <v>58</v>
      </c>
      <c r="H533" s="14" t="s">
        <v>56</v>
      </c>
      <c r="I533" s="14" t="s">
        <v>59</v>
      </c>
      <c r="J533" s="14" t="s">
        <v>200</v>
      </c>
      <c r="K533" s="14" t="s">
        <v>223</v>
      </c>
      <c r="L533" s="14" t="s">
        <v>487</v>
      </c>
      <c r="M533" s="14" t="s">
        <v>962</v>
      </c>
      <c r="N533" s="14" t="s">
        <v>963</v>
      </c>
      <c r="O533" s="14">
        <v>0.0</v>
      </c>
      <c r="P533" s="23">
        <v>0.0</v>
      </c>
      <c r="Q533" s="22" t="str">
        <f t="shared" ref="Q533:R533" si="313">"+0.00%"</f>
        <v>+0.00%</v>
      </c>
      <c r="R533" s="18" t="str">
        <f t="shared" si="313"/>
        <v>+0.00%</v>
      </c>
      <c r="S533" s="14" t="s">
        <v>285</v>
      </c>
    </row>
    <row r="534">
      <c r="A534" s="13">
        <v>45901.0</v>
      </c>
      <c r="B534" s="14" t="s">
        <v>47</v>
      </c>
      <c r="C534" s="14" t="s">
        <v>48</v>
      </c>
      <c r="D534" s="14" t="s">
        <v>165</v>
      </c>
      <c r="E534" s="14" t="s">
        <v>166</v>
      </c>
      <c r="F534" s="15" t="s">
        <v>51</v>
      </c>
      <c r="G534" s="14" t="s">
        <v>167</v>
      </c>
      <c r="H534" s="14" t="s">
        <v>165</v>
      </c>
      <c r="I534" s="14" t="s">
        <v>54</v>
      </c>
      <c r="J534" s="14" t="s">
        <v>200</v>
      </c>
      <c r="K534" s="14" t="s">
        <v>227</v>
      </c>
      <c r="L534" s="14" t="s">
        <v>253</v>
      </c>
      <c r="M534" s="14" t="s">
        <v>396</v>
      </c>
      <c r="N534" s="14" t="s">
        <v>397</v>
      </c>
      <c r="O534" s="14">
        <v>100.0</v>
      </c>
      <c r="P534" s="23">
        <v>1.0</v>
      </c>
      <c r="Q534" s="22" t="str">
        <f t="shared" ref="Q534:R534" si="314">"+0.00%"</f>
        <v>+0.00%</v>
      </c>
      <c r="R534" s="18" t="str">
        <f t="shared" si="314"/>
        <v>+0.00%</v>
      </c>
      <c r="S534" s="14" t="s">
        <v>916</v>
      </c>
    </row>
    <row r="535">
      <c r="A535" s="13">
        <v>45901.0</v>
      </c>
      <c r="B535" s="14" t="s">
        <v>47</v>
      </c>
      <c r="C535" s="14" t="s">
        <v>48</v>
      </c>
      <c r="D535" s="14" t="s">
        <v>165</v>
      </c>
      <c r="E535" s="14" t="s">
        <v>166</v>
      </c>
      <c r="F535" s="15" t="s">
        <v>51</v>
      </c>
      <c r="G535" s="14" t="s">
        <v>167</v>
      </c>
      <c r="H535" s="14" t="s">
        <v>165</v>
      </c>
      <c r="I535" s="14" t="s">
        <v>54</v>
      </c>
      <c r="J535" s="14" t="s">
        <v>198</v>
      </c>
      <c r="K535" s="14" t="s">
        <v>210</v>
      </c>
      <c r="L535" s="14" t="s">
        <v>458</v>
      </c>
      <c r="M535" s="14" t="s">
        <v>459</v>
      </c>
      <c r="N535" s="14" t="s">
        <v>460</v>
      </c>
      <c r="O535" s="14">
        <v>100.0</v>
      </c>
      <c r="P535" s="21">
        <v>0.0</v>
      </c>
      <c r="Q535" s="22" t="str">
        <f t="shared" ref="Q535:R535" si="315">"+0"</f>
        <v>+0</v>
      </c>
      <c r="R535" s="18" t="str">
        <f t="shared" si="315"/>
        <v>+0</v>
      </c>
      <c r="S535" s="14" t="s">
        <v>281</v>
      </c>
    </row>
    <row r="536">
      <c r="A536" s="13">
        <v>45901.0</v>
      </c>
      <c r="B536" s="14" t="s">
        <v>47</v>
      </c>
      <c r="C536" s="14" t="s">
        <v>48</v>
      </c>
      <c r="D536" s="14" t="s">
        <v>165</v>
      </c>
      <c r="E536" s="14" t="s">
        <v>166</v>
      </c>
      <c r="F536" s="15" t="s">
        <v>51</v>
      </c>
      <c r="G536" s="14" t="s">
        <v>167</v>
      </c>
      <c r="H536" s="14" t="s">
        <v>165</v>
      </c>
      <c r="I536" s="14" t="s">
        <v>54</v>
      </c>
      <c r="J536" s="14" t="s">
        <v>200</v>
      </c>
      <c r="K536" s="14" t="s">
        <v>224</v>
      </c>
      <c r="L536" s="14" t="s">
        <v>964</v>
      </c>
      <c r="M536" s="14" t="s">
        <v>965</v>
      </c>
      <c r="N536" s="14" t="s">
        <v>966</v>
      </c>
      <c r="O536" s="14">
        <v>0.0</v>
      </c>
      <c r="P536" s="23">
        <v>0.0</v>
      </c>
      <c r="Q536" s="22" t="str">
        <f t="shared" ref="Q536:R536" si="316">"+0.00%"</f>
        <v>+0.00%</v>
      </c>
      <c r="R536" s="18" t="str">
        <f t="shared" si="316"/>
        <v>+0.00%</v>
      </c>
      <c r="S536" s="14" t="s">
        <v>967</v>
      </c>
    </row>
    <row r="537">
      <c r="A537" s="13">
        <v>45901.0</v>
      </c>
      <c r="B537" s="14" t="s">
        <v>47</v>
      </c>
      <c r="C537" s="14" t="s">
        <v>48</v>
      </c>
      <c r="D537" s="14" t="s">
        <v>165</v>
      </c>
      <c r="E537" s="14" t="s">
        <v>166</v>
      </c>
      <c r="F537" s="15" t="s">
        <v>51</v>
      </c>
      <c r="G537" s="14" t="s">
        <v>167</v>
      </c>
      <c r="H537" s="14" t="s">
        <v>165</v>
      </c>
      <c r="I537" s="14" t="s">
        <v>54</v>
      </c>
      <c r="J537" s="14" t="s">
        <v>199</v>
      </c>
      <c r="K537" s="14" t="s">
        <v>203</v>
      </c>
      <c r="L537" s="14" t="s">
        <v>342</v>
      </c>
      <c r="M537" s="14" t="s">
        <v>342</v>
      </c>
      <c r="N537" s="14" t="s">
        <v>343</v>
      </c>
      <c r="O537" s="14">
        <v>100.0</v>
      </c>
      <c r="P537" s="21">
        <v>15.0</v>
      </c>
      <c r="Q537" s="22" t="str">
        <f t="shared" ref="Q537:R537" si="317">"+0"</f>
        <v>+0</v>
      </c>
      <c r="R537" s="18" t="str">
        <f t="shared" si="317"/>
        <v>+0</v>
      </c>
      <c r="S537" s="14" t="s">
        <v>260</v>
      </c>
    </row>
    <row r="538">
      <c r="A538" s="13">
        <v>45901.0</v>
      </c>
      <c r="B538" s="14" t="s">
        <v>47</v>
      </c>
      <c r="C538" s="14" t="s">
        <v>48</v>
      </c>
      <c r="D538" s="14" t="s">
        <v>49</v>
      </c>
      <c r="E538" s="14" t="s">
        <v>50</v>
      </c>
      <c r="F538" s="15" t="s">
        <v>51</v>
      </c>
      <c r="G538" s="14" t="s">
        <v>52</v>
      </c>
      <c r="H538" s="14" t="s">
        <v>53</v>
      </c>
      <c r="I538" s="14" t="s">
        <v>54</v>
      </c>
      <c r="J538" s="14" t="s">
        <v>200</v>
      </c>
      <c r="K538" s="14" t="s">
        <v>213</v>
      </c>
      <c r="L538" s="14" t="s">
        <v>257</v>
      </c>
      <c r="M538" s="14" t="s">
        <v>493</v>
      </c>
      <c r="N538" s="14" t="s">
        <v>494</v>
      </c>
      <c r="O538" s="14">
        <v>72.0</v>
      </c>
      <c r="P538" s="23">
        <v>0.4408</v>
      </c>
      <c r="Q538" s="22" t="str">
        <f>"+30.89%"</f>
        <v>+30.89%</v>
      </c>
      <c r="R538" s="18" t="str">
        <f>"+144.08%"</f>
        <v>+144.08%</v>
      </c>
      <c r="S538" s="14" t="s">
        <v>968</v>
      </c>
    </row>
    <row r="539">
      <c r="A539" s="13">
        <v>45901.0</v>
      </c>
      <c r="B539" s="14" t="s">
        <v>47</v>
      </c>
      <c r="C539" s="14" t="s">
        <v>48</v>
      </c>
      <c r="D539" s="14" t="s">
        <v>63</v>
      </c>
      <c r="E539" s="14" t="s">
        <v>64</v>
      </c>
      <c r="F539" s="15" t="s">
        <v>51</v>
      </c>
      <c r="G539" s="14" t="s">
        <v>65</v>
      </c>
      <c r="H539" s="14" t="s">
        <v>63</v>
      </c>
      <c r="I539" s="14" t="s">
        <v>54</v>
      </c>
      <c r="J539" s="14" t="s">
        <v>198</v>
      </c>
      <c r="K539" s="14" t="s">
        <v>205</v>
      </c>
      <c r="L539" s="14" t="s">
        <v>274</v>
      </c>
      <c r="M539" s="14" t="s">
        <v>466</v>
      </c>
      <c r="N539" s="14" t="s">
        <v>467</v>
      </c>
      <c r="O539" s="14">
        <v>100.0</v>
      </c>
      <c r="P539" s="21">
        <v>1.0</v>
      </c>
      <c r="Q539" s="22" t="str">
        <f>"+0"</f>
        <v>+0</v>
      </c>
      <c r="S539" s="14" t="s">
        <v>281</v>
      </c>
    </row>
    <row r="540">
      <c r="A540" s="13">
        <v>45901.0</v>
      </c>
      <c r="B540" s="14" t="s">
        <v>47</v>
      </c>
      <c r="C540" s="14" t="s">
        <v>48</v>
      </c>
      <c r="D540" s="14" t="s">
        <v>63</v>
      </c>
      <c r="E540" s="14" t="s">
        <v>64</v>
      </c>
      <c r="F540" s="15" t="s">
        <v>51</v>
      </c>
      <c r="G540" s="14" t="s">
        <v>65</v>
      </c>
      <c r="H540" s="14" t="s">
        <v>63</v>
      </c>
      <c r="I540" s="14" t="s">
        <v>54</v>
      </c>
      <c r="J540" s="14" t="s">
        <v>200</v>
      </c>
      <c r="K540" s="14" t="s">
        <v>215</v>
      </c>
      <c r="L540" s="14" t="s">
        <v>253</v>
      </c>
      <c r="M540" s="14" t="s">
        <v>969</v>
      </c>
      <c r="N540" s="14" t="s">
        <v>970</v>
      </c>
      <c r="O540" s="14">
        <v>1.0</v>
      </c>
      <c r="P540" s="23">
        <v>0.0</v>
      </c>
      <c r="Q540" s="22" t="str">
        <f t="shared" ref="Q540:R540" si="318">"+0.00%"</f>
        <v>+0.00%</v>
      </c>
      <c r="R540" s="18" t="str">
        <f t="shared" si="318"/>
        <v>+0.00%</v>
      </c>
      <c r="S540" s="14" t="s">
        <v>971</v>
      </c>
    </row>
    <row r="541">
      <c r="A541" s="13">
        <v>45901.0</v>
      </c>
      <c r="B541" s="14" t="s">
        <v>47</v>
      </c>
      <c r="C541" s="14" t="s">
        <v>48</v>
      </c>
      <c r="D541" s="14" t="s">
        <v>91</v>
      </c>
      <c r="E541" s="14" t="s">
        <v>92</v>
      </c>
      <c r="F541" s="14" t="s">
        <v>146</v>
      </c>
      <c r="G541" s="14" t="s">
        <v>147</v>
      </c>
      <c r="H541" s="14" t="s">
        <v>91</v>
      </c>
      <c r="I541" s="14" t="s">
        <v>107</v>
      </c>
      <c r="J541" s="14" t="s">
        <v>200</v>
      </c>
      <c r="K541" s="14" t="s">
        <v>226</v>
      </c>
      <c r="L541" s="14" t="s">
        <v>672</v>
      </c>
      <c r="M541" s="14" t="s">
        <v>972</v>
      </c>
      <c r="N541" s="14" t="s">
        <v>973</v>
      </c>
      <c r="O541" s="14">
        <v>0.0</v>
      </c>
      <c r="P541" s="23">
        <v>-1.0</v>
      </c>
      <c r="Q541" s="22" t="str">
        <f t="shared" ref="Q541:R541" si="319">"+0.00%"</f>
        <v>+0.00%</v>
      </c>
      <c r="R541" s="18" t="str">
        <f t="shared" si="319"/>
        <v>+0.00%</v>
      </c>
      <c r="S541" s="14" t="s">
        <v>974</v>
      </c>
    </row>
    <row r="542">
      <c r="A542" s="13">
        <v>45901.0</v>
      </c>
      <c r="B542" s="14" t="s">
        <v>47</v>
      </c>
      <c r="C542" s="14" t="s">
        <v>48</v>
      </c>
      <c r="D542" s="14" t="s">
        <v>63</v>
      </c>
      <c r="E542" s="14" t="s">
        <v>64</v>
      </c>
      <c r="F542" s="15" t="s">
        <v>51</v>
      </c>
      <c r="G542" s="14" t="s">
        <v>65</v>
      </c>
      <c r="H542" s="14" t="s">
        <v>63</v>
      </c>
      <c r="I542" s="14" t="s">
        <v>54</v>
      </c>
      <c r="J542" s="14" t="s">
        <v>198</v>
      </c>
      <c r="K542" s="14" t="s">
        <v>210</v>
      </c>
      <c r="L542" s="14" t="s">
        <v>505</v>
      </c>
      <c r="M542" s="14" t="s">
        <v>975</v>
      </c>
      <c r="N542" s="14" t="s">
        <v>976</v>
      </c>
      <c r="O542" s="14">
        <v>0.0</v>
      </c>
      <c r="P542" s="21">
        <v>0.0</v>
      </c>
      <c r="Q542" s="22" t="str">
        <f t="shared" ref="Q542:R542" si="320">"+0"</f>
        <v>+0</v>
      </c>
      <c r="R542" s="18" t="str">
        <f t="shared" si="320"/>
        <v>+0</v>
      </c>
      <c r="S542" s="14" t="s">
        <v>277</v>
      </c>
    </row>
    <row r="543">
      <c r="A543" s="13">
        <v>45901.0</v>
      </c>
      <c r="B543" s="14" t="s">
        <v>47</v>
      </c>
      <c r="C543" s="14" t="s">
        <v>48</v>
      </c>
      <c r="D543" s="14" t="s">
        <v>99</v>
      </c>
      <c r="E543" s="14" t="s">
        <v>100</v>
      </c>
      <c r="F543" s="15" t="s">
        <v>51</v>
      </c>
      <c r="G543" s="14" t="s">
        <v>101</v>
      </c>
      <c r="H543" s="14" t="s">
        <v>102</v>
      </c>
      <c r="I543" s="14" t="s">
        <v>54</v>
      </c>
      <c r="J543" s="14" t="s">
        <v>198</v>
      </c>
      <c r="K543" s="14" t="s">
        <v>205</v>
      </c>
      <c r="L543" s="14" t="s">
        <v>274</v>
      </c>
      <c r="M543" s="14" t="s">
        <v>448</v>
      </c>
      <c r="N543" s="14" t="s">
        <v>449</v>
      </c>
      <c r="O543" s="14">
        <v>100.0</v>
      </c>
      <c r="P543" s="21">
        <v>3.0</v>
      </c>
      <c r="Q543" s="22" t="str">
        <f t="shared" ref="Q543:Q544" si="321">"+0"</f>
        <v>+0</v>
      </c>
      <c r="S543" s="14" t="s">
        <v>450</v>
      </c>
    </row>
    <row r="544">
      <c r="A544" s="13">
        <v>45901.0</v>
      </c>
      <c r="B544" s="14" t="s">
        <v>47</v>
      </c>
      <c r="C544" s="14" t="s">
        <v>48</v>
      </c>
      <c r="D544" s="14" t="s">
        <v>91</v>
      </c>
      <c r="E544" s="14" t="s">
        <v>92</v>
      </c>
      <c r="F544" s="14" t="s">
        <v>71</v>
      </c>
      <c r="G544" s="14">
        <v>7295600.0</v>
      </c>
      <c r="H544" s="14" t="s">
        <v>91</v>
      </c>
      <c r="I544" s="14" t="s">
        <v>54</v>
      </c>
      <c r="J544" s="14" t="s">
        <v>199</v>
      </c>
      <c r="K544" s="14" t="s">
        <v>203</v>
      </c>
      <c r="L544" s="14" t="s">
        <v>536</v>
      </c>
      <c r="M544" s="14" t="s">
        <v>536</v>
      </c>
      <c r="N544" s="14" t="s">
        <v>537</v>
      </c>
      <c r="O544" s="14">
        <v>0.0</v>
      </c>
      <c r="P544" s="21">
        <v>0.0</v>
      </c>
      <c r="Q544" s="22" t="str">
        <f t="shared" si="321"/>
        <v>+0</v>
      </c>
      <c r="R544" s="18" t="str">
        <f>"+0"</f>
        <v>+0</v>
      </c>
      <c r="S544" s="14" t="s">
        <v>260</v>
      </c>
    </row>
    <row r="545">
      <c r="A545" s="13">
        <v>45901.0</v>
      </c>
      <c r="B545" s="14" t="s">
        <v>47</v>
      </c>
      <c r="C545" s="14" t="s">
        <v>48</v>
      </c>
      <c r="D545" s="14" t="s">
        <v>192</v>
      </c>
      <c r="E545" s="14" t="s">
        <v>193</v>
      </c>
      <c r="F545" s="15" t="s">
        <v>51</v>
      </c>
      <c r="G545" s="14" t="s">
        <v>194</v>
      </c>
      <c r="H545" s="14" t="s">
        <v>192</v>
      </c>
      <c r="I545" s="14" t="s">
        <v>54</v>
      </c>
      <c r="J545" s="14" t="s">
        <v>200</v>
      </c>
      <c r="K545" s="14" t="s">
        <v>209</v>
      </c>
      <c r="L545" s="14" t="s">
        <v>253</v>
      </c>
      <c r="M545" s="14" t="s">
        <v>402</v>
      </c>
      <c r="N545" s="14" t="s">
        <v>403</v>
      </c>
      <c r="O545" s="14">
        <v>66.0</v>
      </c>
      <c r="P545" s="23">
        <v>0.6672</v>
      </c>
      <c r="Q545" s="22" t="str">
        <f>"+1.05%"</f>
        <v>+1.05%</v>
      </c>
      <c r="R545" s="18" t="str">
        <f>"+5.96%"</f>
        <v>+5.96%</v>
      </c>
      <c r="S545" s="14" t="s">
        <v>977</v>
      </c>
    </row>
    <row r="546">
      <c r="A546" s="13">
        <v>45901.0</v>
      </c>
      <c r="B546" s="14" t="s">
        <v>47</v>
      </c>
      <c r="C546" s="14" t="s">
        <v>48</v>
      </c>
      <c r="D546" s="14" t="s">
        <v>66</v>
      </c>
      <c r="E546" s="14" t="s">
        <v>67</v>
      </c>
      <c r="F546" s="15" t="s">
        <v>51</v>
      </c>
      <c r="G546" s="14" t="s">
        <v>68</v>
      </c>
      <c r="H546" s="14" t="s">
        <v>66</v>
      </c>
      <c r="I546" s="14" t="s">
        <v>59</v>
      </c>
      <c r="J546" s="14" t="s">
        <v>200</v>
      </c>
      <c r="K546" s="14" t="s">
        <v>223</v>
      </c>
      <c r="L546" s="14" t="s">
        <v>307</v>
      </c>
      <c r="M546" s="14" t="s">
        <v>533</v>
      </c>
      <c r="N546" s="14" t="s">
        <v>534</v>
      </c>
      <c r="O546" s="14">
        <v>0.0</v>
      </c>
      <c r="P546" s="23">
        <v>0.0</v>
      </c>
      <c r="Q546" s="22" t="str">
        <f>"+0.00%"</f>
        <v>+0.00%</v>
      </c>
      <c r="R546" s="18" t="str">
        <f>"-7.69%"</f>
        <v>-7.69%</v>
      </c>
      <c r="S546" s="14" t="s">
        <v>978</v>
      </c>
    </row>
    <row r="547">
      <c r="A547" s="13">
        <v>45901.0</v>
      </c>
      <c r="B547" s="14" t="s">
        <v>47</v>
      </c>
      <c r="C547" s="14" t="s">
        <v>48</v>
      </c>
      <c r="D547" s="14" t="s">
        <v>143</v>
      </c>
      <c r="E547" s="14" t="s">
        <v>144</v>
      </c>
      <c r="F547" s="15" t="s">
        <v>51</v>
      </c>
      <c r="G547" s="14" t="s">
        <v>145</v>
      </c>
      <c r="H547" s="14" t="s">
        <v>143</v>
      </c>
      <c r="I547" s="14" t="s">
        <v>59</v>
      </c>
      <c r="J547" s="14" t="s">
        <v>200</v>
      </c>
      <c r="K547" s="14" t="s">
        <v>232</v>
      </c>
      <c r="L547" s="14" t="s">
        <v>286</v>
      </c>
      <c r="M547" s="14" t="s">
        <v>979</v>
      </c>
      <c r="N547" s="14" t="s">
        <v>980</v>
      </c>
      <c r="O547" s="14">
        <v>38.0</v>
      </c>
      <c r="P547" s="23">
        <v>0.3846</v>
      </c>
      <c r="Q547" s="22" t="str">
        <f>"+3.68%"</f>
        <v>+3.68%</v>
      </c>
      <c r="R547" s="18" t="str">
        <f>"-9.93%"</f>
        <v>-9.93%</v>
      </c>
      <c r="S547" s="14" t="s">
        <v>981</v>
      </c>
    </row>
    <row r="548">
      <c r="A548" s="13">
        <v>45901.0</v>
      </c>
      <c r="B548" s="14" t="s">
        <v>47</v>
      </c>
      <c r="C548" s="14" t="s">
        <v>48</v>
      </c>
      <c r="D548" s="14" t="s">
        <v>129</v>
      </c>
      <c r="E548" s="14" t="s">
        <v>130</v>
      </c>
      <c r="F548" s="15" t="s">
        <v>51</v>
      </c>
      <c r="G548" s="14" t="s">
        <v>131</v>
      </c>
      <c r="H548" s="14" t="s">
        <v>129</v>
      </c>
      <c r="I548" s="14" t="s">
        <v>59</v>
      </c>
      <c r="J548" s="14" t="s">
        <v>200</v>
      </c>
      <c r="K548" s="14" t="s">
        <v>231</v>
      </c>
      <c r="L548" s="14" t="s">
        <v>751</v>
      </c>
      <c r="M548" s="14" t="s">
        <v>872</v>
      </c>
      <c r="N548" s="14" t="s">
        <v>873</v>
      </c>
      <c r="O548" s="14">
        <v>0.0</v>
      </c>
      <c r="P548" s="21">
        <v>0.0</v>
      </c>
      <c r="Q548" s="22" t="str">
        <f t="shared" ref="Q548:R548" si="322">"+0"</f>
        <v>+0</v>
      </c>
      <c r="R548" s="18" t="str">
        <f t="shared" si="322"/>
        <v>+0</v>
      </c>
      <c r="S548" s="14" t="s">
        <v>260</v>
      </c>
    </row>
    <row r="549">
      <c r="A549" s="13">
        <v>45901.0</v>
      </c>
      <c r="B549" s="14" t="s">
        <v>47</v>
      </c>
      <c r="C549" s="14" t="s">
        <v>48</v>
      </c>
      <c r="D549" s="14" t="s">
        <v>149</v>
      </c>
      <c r="E549" s="14" t="s">
        <v>150</v>
      </c>
      <c r="F549" s="15" t="s">
        <v>51</v>
      </c>
      <c r="G549" s="14" t="s">
        <v>151</v>
      </c>
      <c r="H549" s="14" t="s">
        <v>152</v>
      </c>
      <c r="I549" s="14" t="s">
        <v>54</v>
      </c>
      <c r="J549" s="14" t="s">
        <v>200</v>
      </c>
      <c r="K549" s="14" t="s">
        <v>231</v>
      </c>
      <c r="L549" s="14" t="s">
        <v>512</v>
      </c>
      <c r="M549" s="14" t="s">
        <v>982</v>
      </c>
      <c r="N549" s="14" t="s">
        <v>983</v>
      </c>
      <c r="O549" s="14">
        <v>0.0</v>
      </c>
      <c r="P549" s="21">
        <v>0.0</v>
      </c>
      <c r="Q549" s="22" t="str">
        <f t="shared" ref="Q549:R549" si="323">"+0"</f>
        <v>+0</v>
      </c>
      <c r="R549" s="18" t="str">
        <f t="shared" si="323"/>
        <v>+0</v>
      </c>
      <c r="S549" s="14" t="s">
        <v>260</v>
      </c>
    </row>
    <row r="550">
      <c r="A550" s="13">
        <v>45901.0</v>
      </c>
      <c r="B550" s="14" t="s">
        <v>47</v>
      </c>
      <c r="C550" s="14" t="s">
        <v>48</v>
      </c>
      <c r="D550" s="14" t="s">
        <v>171</v>
      </c>
      <c r="E550" s="14" t="s">
        <v>172</v>
      </c>
      <c r="F550" s="15" t="s">
        <v>51</v>
      </c>
      <c r="G550" s="14" t="s">
        <v>173</v>
      </c>
      <c r="H550" s="14" t="s">
        <v>171</v>
      </c>
      <c r="I550" s="14" t="s">
        <v>59</v>
      </c>
      <c r="J550" s="14" t="s">
        <v>200</v>
      </c>
      <c r="K550" s="14" t="s">
        <v>213</v>
      </c>
      <c r="L550" s="14" t="s">
        <v>289</v>
      </c>
      <c r="M550" s="14" t="s">
        <v>984</v>
      </c>
      <c r="N550" s="14" t="s">
        <v>985</v>
      </c>
      <c r="O550" s="14">
        <v>0.0</v>
      </c>
      <c r="P550" s="23">
        <v>0.0</v>
      </c>
      <c r="Q550" s="22" t="str">
        <f t="shared" ref="Q550:R550" si="324">"+0.00%"</f>
        <v>+0.00%</v>
      </c>
      <c r="R550" s="18" t="str">
        <f t="shared" si="324"/>
        <v>+0.00%</v>
      </c>
      <c r="S550" s="14" t="s">
        <v>285</v>
      </c>
    </row>
    <row r="551">
      <c r="A551" s="13">
        <v>45901.0</v>
      </c>
      <c r="B551" s="14" t="s">
        <v>47</v>
      </c>
      <c r="C551" s="14" t="s">
        <v>48</v>
      </c>
      <c r="D551" s="14" t="s">
        <v>96</v>
      </c>
      <c r="E551" s="14" t="s">
        <v>97</v>
      </c>
      <c r="F551" s="15" t="s">
        <v>51</v>
      </c>
      <c r="G551" s="14" t="s">
        <v>98</v>
      </c>
      <c r="H551" s="14" t="s">
        <v>96</v>
      </c>
      <c r="I551" s="14" t="s">
        <v>59</v>
      </c>
      <c r="J551" s="14" t="s">
        <v>200</v>
      </c>
      <c r="K551" s="14" t="s">
        <v>204</v>
      </c>
      <c r="L551" s="14" t="s">
        <v>253</v>
      </c>
      <c r="M551" s="14" t="s">
        <v>490</v>
      </c>
      <c r="N551" s="14" t="s">
        <v>491</v>
      </c>
      <c r="O551" s="14">
        <v>0.0</v>
      </c>
      <c r="P551" s="23">
        <v>0.0</v>
      </c>
      <c r="Q551" s="22" t="str">
        <f t="shared" ref="Q551:R551" si="325">"+0.00%"</f>
        <v>+0.00%</v>
      </c>
      <c r="R551" s="18" t="str">
        <f t="shared" si="325"/>
        <v>+0.00%</v>
      </c>
      <c r="S551" s="14" t="s">
        <v>492</v>
      </c>
    </row>
    <row r="552">
      <c r="A552" s="13">
        <v>45901.0</v>
      </c>
      <c r="B552" s="14" t="s">
        <v>47</v>
      </c>
      <c r="C552" s="14" t="s">
        <v>48</v>
      </c>
      <c r="D552" s="14" t="s">
        <v>116</v>
      </c>
      <c r="E552" s="14" t="s">
        <v>117</v>
      </c>
      <c r="F552" s="15" t="s">
        <v>51</v>
      </c>
      <c r="G552" s="14" t="s">
        <v>161</v>
      </c>
      <c r="H552" s="14" t="s">
        <v>116</v>
      </c>
      <c r="I552" s="14" t="s">
        <v>54</v>
      </c>
      <c r="J552" s="14" t="s">
        <v>200</v>
      </c>
      <c r="K552" s="14" t="s">
        <v>219</v>
      </c>
      <c r="L552" s="14" t="s">
        <v>253</v>
      </c>
      <c r="M552" s="14" t="s">
        <v>899</v>
      </c>
      <c r="N552" s="14" t="s">
        <v>900</v>
      </c>
      <c r="O552" s="14">
        <v>100.0</v>
      </c>
      <c r="P552" s="23">
        <v>1.0E-4</v>
      </c>
      <c r="Q552" s="22" t="str">
        <f t="shared" ref="Q552:R552" si="326">"+0.00%"</f>
        <v>+0.00%</v>
      </c>
      <c r="R552" s="18" t="str">
        <f t="shared" si="326"/>
        <v>+0.00%</v>
      </c>
      <c r="S552" s="14" t="s">
        <v>285</v>
      </c>
    </row>
    <row r="553">
      <c r="A553" s="13">
        <v>45901.0</v>
      </c>
      <c r="B553" s="14" t="s">
        <v>47</v>
      </c>
      <c r="C553" s="14" t="s">
        <v>48</v>
      </c>
      <c r="D553" s="14" t="s">
        <v>77</v>
      </c>
      <c r="E553" s="14" t="s">
        <v>78</v>
      </c>
      <c r="F553" s="14" t="s">
        <v>71</v>
      </c>
      <c r="G553" s="14">
        <v>5.36009043E8</v>
      </c>
      <c r="H553" s="14" t="s">
        <v>81</v>
      </c>
      <c r="J553" s="14" t="s">
        <v>199</v>
      </c>
      <c r="K553" s="14" t="s">
        <v>206</v>
      </c>
      <c r="L553" s="14" t="s">
        <v>295</v>
      </c>
      <c r="M553" s="14" t="s">
        <v>986</v>
      </c>
      <c r="N553" s="14" t="s">
        <v>987</v>
      </c>
      <c r="O553" s="14">
        <v>0.0</v>
      </c>
      <c r="P553" s="21">
        <v>0.0</v>
      </c>
      <c r="Q553" s="22" t="str">
        <f>"+0"</f>
        <v>+0</v>
      </c>
      <c r="S553" s="14" t="s">
        <v>260</v>
      </c>
    </row>
    <row r="554">
      <c r="A554" s="13">
        <v>45901.0</v>
      </c>
      <c r="B554" s="14" t="s">
        <v>47</v>
      </c>
      <c r="C554" s="14" t="s">
        <v>48</v>
      </c>
      <c r="D554" s="14" t="s">
        <v>155</v>
      </c>
      <c r="E554" s="14" t="s">
        <v>156</v>
      </c>
      <c r="F554" s="15" t="s">
        <v>51</v>
      </c>
      <c r="G554" s="14" t="s">
        <v>157</v>
      </c>
      <c r="H554" s="14" t="s">
        <v>155</v>
      </c>
      <c r="I554" s="14" t="s">
        <v>59</v>
      </c>
      <c r="J554" s="14" t="s">
        <v>200</v>
      </c>
      <c r="K554" s="14" t="s">
        <v>223</v>
      </c>
      <c r="L554" s="14" t="s">
        <v>257</v>
      </c>
      <c r="M554" s="14" t="s">
        <v>499</v>
      </c>
      <c r="N554" s="14" t="s">
        <v>500</v>
      </c>
      <c r="O554" s="14">
        <v>0.0</v>
      </c>
      <c r="P554" s="17"/>
      <c r="Q554" s="22"/>
      <c r="S554" s="14" t="s">
        <v>988</v>
      </c>
    </row>
    <row r="555">
      <c r="A555" s="13">
        <v>45901.0</v>
      </c>
      <c r="B555" s="14" t="s">
        <v>47</v>
      </c>
      <c r="C555" s="14" t="s">
        <v>48</v>
      </c>
      <c r="D555" s="14" t="s">
        <v>121</v>
      </c>
      <c r="E555" s="14" t="s">
        <v>122</v>
      </c>
      <c r="F555" s="15" t="s">
        <v>51</v>
      </c>
      <c r="G555" s="14" t="s">
        <v>123</v>
      </c>
      <c r="H555" s="14" t="s">
        <v>124</v>
      </c>
      <c r="I555" s="14" t="s">
        <v>59</v>
      </c>
      <c r="J555" s="14" t="s">
        <v>199</v>
      </c>
      <c r="K555" s="14" t="s">
        <v>206</v>
      </c>
      <c r="L555" s="14" t="s">
        <v>295</v>
      </c>
      <c r="M555" s="14" t="s">
        <v>461</v>
      </c>
      <c r="N555" s="14" t="s">
        <v>462</v>
      </c>
      <c r="O555" s="14">
        <v>0.0</v>
      </c>
      <c r="P555" s="21">
        <v>0.0</v>
      </c>
      <c r="Q555" s="22" t="str">
        <f t="shared" ref="Q555:R555" si="327">"+0"</f>
        <v>+0</v>
      </c>
      <c r="R555" s="18" t="str">
        <f t="shared" si="327"/>
        <v>+0</v>
      </c>
      <c r="S555" s="14" t="s">
        <v>260</v>
      </c>
    </row>
    <row r="556">
      <c r="A556" s="13">
        <v>45901.0</v>
      </c>
      <c r="B556" s="14" t="s">
        <v>47</v>
      </c>
      <c r="C556" s="14" t="s">
        <v>48</v>
      </c>
      <c r="D556" s="14" t="s">
        <v>155</v>
      </c>
      <c r="E556" s="14" t="s">
        <v>156</v>
      </c>
      <c r="F556" s="15" t="s">
        <v>51</v>
      </c>
      <c r="G556" s="14" t="s">
        <v>157</v>
      </c>
      <c r="H556" s="14" t="s">
        <v>155</v>
      </c>
      <c r="I556" s="14" t="s">
        <v>59</v>
      </c>
      <c r="J556" s="14" t="s">
        <v>200</v>
      </c>
      <c r="K556" s="14" t="s">
        <v>223</v>
      </c>
      <c r="L556" s="14" t="s">
        <v>286</v>
      </c>
      <c r="M556" s="14" t="s">
        <v>588</v>
      </c>
      <c r="N556" s="14" t="s">
        <v>589</v>
      </c>
      <c r="O556" s="14">
        <v>0.0</v>
      </c>
      <c r="P556" s="17"/>
      <c r="Q556" s="22"/>
      <c r="S556" s="14" t="s">
        <v>285</v>
      </c>
    </row>
    <row r="557">
      <c r="A557" s="13">
        <v>45901.0</v>
      </c>
      <c r="B557" s="14" t="s">
        <v>47</v>
      </c>
      <c r="C557" s="14" t="s">
        <v>48</v>
      </c>
      <c r="D557" s="14" t="s">
        <v>181</v>
      </c>
      <c r="E557" s="14" t="s">
        <v>182</v>
      </c>
      <c r="F557" s="15" t="s">
        <v>51</v>
      </c>
      <c r="G557" s="14" t="s">
        <v>183</v>
      </c>
      <c r="H557" s="14" t="s">
        <v>181</v>
      </c>
      <c r="I557" s="14" t="s">
        <v>59</v>
      </c>
      <c r="J557" s="14" t="s">
        <v>200</v>
      </c>
      <c r="K557" s="14" t="s">
        <v>232</v>
      </c>
      <c r="L557" s="14" t="s">
        <v>286</v>
      </c>
      <c r="M557" s="14" t="s">
        <v>644</v>
      </c>
      <c r="N557" s="14" t="s">
        <v>645</v>
      </c>
      <c r="O557" s="14">
        <v>0.0</v>
      </c>
      <c r="P557" s="23">
        <v>-1.0</v>
      </c>
      <c r="Q557" s="22" t="str">
        <f t="shared" ref="Q557:R557" si="328">"+0.00%"</f>
        <v>+0.00%</v>
      </c>
      <c r="R557" s="18" t="str">
        <f t="shared" si="328"/>
        <v>+0.00%</v>
      </c>
      <c r="S557" s="14" t="s">
        <v>939</v>
      </c>
    </row>
    <row r="558">
      <c r="A558" s="13">
        <v>45901.0</v>
      </c>
      <c r="B558" s="14" t="s">
        <v>47</v>
      </c>
      <c r="C558" s="14" t="s">
        <v>48</v>
      </c>
      <c r="D558" s="14" t="s">
        <v>49</v>
      </c>
      <c r="E558" s="14" t="s">
        <v>50</v>
      </c>
      <c r="F558" s="15" t="s">
        <v>51</v>
      </c>
      <c r="G558" s="14" t="s">
        <v>52</v>
      </c>
      <c r="H558" s="14" t="s">
        <v>53</v>
      </c>
      <c r="I558" s="14" t="s">
        <v>54</v>
      </c>
      <c r="J558" s="14" t="s">
        <v>198</v>
      </c>
      <c r="K558" s="14" t="s">
        <v>210</v>
      </c>
      <c r="L558" s="14" t="s">
        <v>264</v>
      </c>
      <c r="M558" s="14" t="s">
        <v>989</v>
      </c>
      <c r="N558" s="14" t="s">
        <v>990</v>
      </c>
      <c r="O558" s="14">
        <v>0.0</v>
      </c>
      <c r="P558" s="21">
        <v>0.0</v>
      </c>
      <c r="Q558" s="22" t="str">
        <f t="shared" ref="Q558:R558" si="329">"+0"</f>
        <v>+0</v>
      </c>
      <c r="R558" s="18" t="str">
        <f t="shared" si="329"/>
        <v>+0</v>
      </c>
      <c r="S558" s="14" t="s">
        <v>277</v>
      </c>
    </row>
    <row r="559">
      <c r="A559" s="13">
        <v>45901.0</v>
      </c>
      <c r="B559" s="14" t="s">
        <v>47</v>
      </c>
      <c r="C559" s="14" t="s">
        <v>48</v>
      </c>
      <c r="D559" s="14" t="s">
        <v>165</v>
      </c>
      <c r="E559" s="14" t="s">
        <v>166</v>
      </c>
      <c r="F559" s="15" t="s">
        <v>51</v>
      </c>
      <c r="G559" s="14" t="s">
        <v>167</v>
      </c>
      <c r="H559" s="14" t="s">
        <v>165</v>
      </c>
      <c r="I559" s="14" t="s">
        <v>54</v>
      </c>
      <c r="J559" s="14" t="s">
        <v>200</v>
      </c>
      <c r="K559" s="14" t="s">
        <v>211</v>
      </c>
      <c r="L559" s="14" t="s">
        <v>991</v>
      </c>
      <c r="M559" s="14" t="s">
        <v>992</v>
      </c>
      <c r="N559" s="14" t="s">
        <v>993</v>
      </c>
      <c r="O559" s="14">
        <v>0.0</v>
      </c>
      <c r="P559" s="23">
        <v>-1.0</v>
      </c>
      <c r="Q559" s="22" t="str">
        <f t="shared" ref="Q559:R559" si="330">"+0.00%"</f>
        <v>+0.00%</v>
      </c>
      <c r="R559" s="18" t="str">
        <f t="shared" si="330"/>
        <v>+0.00%</v>
      </c>
      <c r="S559" s="14" t="s">
        <v>994</v>
      </c>
    </row>
    <row r="560">
      <c r="A560" s="13">
        <v>45901.0</v>
      </c>
      <c r="B560" s="14" t="s">
        <v>47</v>
      </c>
      <c r="C560" s="14" t="s">
        <v>48</v>
      </c>
      <c r="D560" s="14" t="s">
        <v>165</v>
      </c>
      <c r="E560" s="14" t="s">
        <v>166</v>
      </c>
      <c r="F560" s="15" t="s">
        <v>51</v>
      </c>
      <c r="G560" s="14" t="s">
        <v>167</v>
      </c>
      <c r="H560" s="14" t="s">
        <v>165</v>
      </c>
      <c r="I560" s="14" t="s">
        <v>54</v>
      </c>
      <c r="J560" s="14" t="s">
        <v>200</v>
      </c>
      <c r="K560" s="14" t="s">
        <v>214</v>
      </c>
      <c r="L560" s="14" t="s">
        <v>253</v>
      </c>
      <c r="M560" s="14" t="s">
        <v>366</v>
      </c>
      <c r="N560" s="14" t="s">
        <v>367</v>
      </c>
      <c r="O560" s="14">
        <v>78.0</v>
      </c>
      <c r="P560" s="23">
        <v>0.7846</v>
      </c>
      <c r="Q560" s="22" t="str">
        <f>"-0.14%"</f>
        <v>-0.14%</v>
      </c>
      <c r="R560" s="18" t="str">
        <f>"-0.22%"</f>
        <v>-0.22%</v>
      </c>
      <c r="S560" s="14" t="s">
        <v>995</v>
      </c>
    </row>
    <row r="561">
      <c r="A561" s="13">
        <v>45901.0</v>
      </c>
      <c r="B561" s="14" t="s">
        <v>47</v>
      </c>
      <c r="C561" s="14" t="s">
        <v>48</v>
      </c>
      <c r="D561" s="14" t="s">
        <v>49</v>
      </c>
      <c r="E561" s="14" t="s">
        <v>50</v>
      </c>
      <c r="F561" s="15" t="s">
        <v>51</v>
      </c>
      <c r="G561" s="14" t="s">
        <v>52</v>
      </c>
      <c r="H561" s="14" t="s">
        <v>53</v>
      </c>
      <c r="I561" s="14" t="s">
        <v>54</v>
      </c>
      <c r="J561" s="14" t="s">
        <v>199</v>
      </c>
      <c r="K561" s="14" t="s">
        <v>203</v>
      </c>
      <c r="L561" s="14" t="s">
        <v>485</v>
      </c>
      <c r="M561" s="14" t="s">
        <v>485</v>
      </c>
      <c r="N561" s="14" t="s">
        <v>486</v>
      </c>
      <c r="O561" s="14">
        <v>100.0</v>
      </c>
      <c r="P561" s="21">
        <v>3.0</v>
      </c>
      <c r="Q561" s="22" t="str">
        <f t="shared" ref="Q561:R561" si="331">"+0"</f>
        <v>+0</v>
      </c>
      <c r="R561" s="18" t="str">
        <f t="shared" si="331"/>
        <v>+0</v>
      </c>
      <c r="S561" s="14" t="s">
        <v>260</v>
      </c>
    </row>
    <row r="562">
      <c r="A562" s="13">
        <v>45901.0</v>
      </c>
      <c r="B562" s="14" t="s">
        <v>47</v>
      </c>
      <c r="C562" s="14" t="s">
        <v>48</v>
      </c>
      <c r="D562" s="14" t="s">
        <v>49</v>
      </c>
      <c r="E562" s="14" t="s">
        <v>50</v>
      </c>
      <c r="F562" s="15" t="s">
        <v>51</v>
      </c>
      <c r="G562" s="14" t="s">
        <v>52</v>
      </c>
      <c r="H562" s="14" t="s">
        <v>53</v>
      </c>
      <c r="I562" s="14" t="s">
        <v>54</v>
      </c>
      <c r="J562" s="14" t="s">
        <v>198</v>
      </c>
      <c r="K562" s="14" t="s">
        <v>210</v>
      </c>
      <c r="L562" s="14" t="s">
        <v>458</v>
      </c>
      <c r="M562" s="14" t="s">
        <v>620</v>
      </c>
      <c r="N562" s="14" t="s">
        <v>621</v>
      </c>
      <c r="O562" s="14">
        <v>0.0</v>
      </c>
      <c r="P562" s="21">
        <v>0.0</v>
      </c>
      <c r="Q562" s="22" t="str">
        <f t="shared" ref="Q562:R562" si="332">"+0"</f>
        <v>+0</v>
      </c>
      <c r="R562" s="18" t="str">
        <f t="shared" si="332"/>
        <v>+0</v>
      </c>
      <c r="S562" s="14" t="s">
        <v>277</v>
      </c>
    </row>
    <row r="563">
      <c r="A563" s="13">
        <v>45901.0</v>
      </c>
      <c r="B563" s="14" t="s">
        <v>47</v>
      </c>
      <c r="C563" s="14" t="s">
        <v>48</v>
      </c>
      <c r="D563" s="14" t="s">
        <v>91</v>
      </c>
      <c r="E563" s="14" t="s">
        <v>92</v>
      </c>
      <c r="F563" s="15" t="s">
        <v>51</v>
      </c>
      <c r="G563" s="14" t="s">
        <v>163</v>
      </c>
      <c r="H563" s="14" t="s">
        <v>91</v>
      </c>
      <c r="I563" s="14" t="s">
        <v>59</v>
      </c>
      <c r="J563" s="14" t="s">
        <v>198</v>
      </c>
      <c r="K563" s="14" t="s">
        <v>210</v>
      </c>
      <c r="L563" s="14" t="s">
        <v>278</v>
      </c>
      <c r="M563" s="14" t="s">
        <v>279</v>
      </c>
      <c r="N563" s="14" t="s">
        <v>280</v>
      </c>
      <c r="O563" s="14">
        <v>100.0</v>
      </c>
      <c r="P563" s="21">
        <v>0.0</v>
      </c>
      <c r="Q563" s="22" t="str">
        <f t="shared" ref="Q563:R563" si="333">"+0"</f>
        <v>+0</v>
      </c>
      <c r="R563" s="18" t="str">
        <f t="shared" si="333"/>
        <v>+0</v>
      </c>
      <c r="S563" s="14" t="s">
        <v>281</v>
      </c>
    </row>
    <row r="564">
      <c r="A564" s="13">
        <v>45901.0</v>
      </c>
      <c r="B564" s="14" t="s">
        <v>47</v>
      </c>
      <c r="C564" s="14" t="s">
        <v>48</v>
      </c>
      <c r="D564" s="14" t="s">
        <v>63</v>
      </c>
      <c r="E564" s="14" t="s">
        <v>64</v>
      </c>
      <c r="F564" s="15" t="s">
        <v>51</v>
      </c>
      <c r="G564" s="14" t="s">
        <v>65</v>
      </c>
      <c r="H564" s="14" t="s">
        <v>63</v>
      </c>
      <c r="I564" s="14" t="s">
        <v>54</v>
      </c>
      <c r="J564" s="14" t="s">
        <v>200</v>
      </c>
      <c r="K564" s="14" t="s">
        <v>227</v>
      </c>
      <c r="L564" s="14" t="s">
        <v>253</v>
      </c>
      <c r="M564" s="14" t="s">
        <v>396</v>
      </c>
      <c r="N564" s="14" t="s">
        <v>397</v>
      </c>
      <c r="O564" s="14">
        <v>50.0</v>
      </c>
      <c r="P564" s="23">
        <v>0.5</v>
      </c>
      <c r="Q564" s="22" t="str">
        <f t="shared" ref="Q564:R564" si="334">"+0.00%"</f>
        <v>+0.00%</v>
      </c>
      <c r="R564" s="18" t="str">
        <f t="shared" si="334"/>
        <v>+0.00%</v>
      </c>
      <c r="S564" s="14" t="s">
        <v>916</v>
      </c>
    </row>
    <row r="565">
      <c r="A565" s="13">
        <v>45901.0</v>
      </c>
      <c r="B565" s="14" t="s">
        <v>47</v>
      </c>
      <c r="C565" s="14" t="s">
        <v>48</v>
      </c>
      <c r="D565" s="14" t="s">
        <v>63</v>
      </c>
      <c r="E565" s="14" t="s">
        <v>64</v>
      </c>
      <c r="F565" s="15" t="s">
        <v>51</v>
      </c>
      <c r="G565" s="14" t="s">
        <v>65</v>
      </c>
      <c r="H565" s="14" t="s">
        <v>63</v>
      </c>
      <c r="I565" s="14" t="s">
        <v>54</v>
      </c>
      <c r="J565" s="14" t="s">
        <v>198</v>
      </c>
      <c r="K565" s="14" t="s">
        <v>205</v>
      </c>
      <c r="L565" s="14" t="s">
        <v>274</v>
      </c>
      <c r="M565" s="14" t="s">
        <v>767</v>
      </c>
      <c r="N565" s="14" t="s">
        <v>768</v>
      </c>
      <c r="O565" s="14">
        <v>100.0</v>
      </c>
      <c r="P565" s="21">
        <v>1.0</v>
      </c>
      <c r="Q565" s="22" t="str">
        <f>"+0"</f>
        <v>+0</v>
      </c>
      <c r="S565" s="14" t="s">
        <v>281</v>
      </c>
    </row>
    <row r="566">
      <c r="A566" s="13">
        <v>45901.0</v>
      </c>
      <c r="B566" s="14" t="s">
        <v>47</v>
      </c>
      <c r="C566" s="14" t="s">
        <v>48</v>
      </c>
      <c r="D566" s="14" t="s">
        <v>91</v>
      </c>
      <c r="E566" s="14" t="s">
        <v>92</v>
      </c>
      <c r="F566" s="14" t="s">
        <v>79</v>
      </c>
      <c r="G566" s="14" t="s">
        <v>164</v>
      </c>
      <c r="H566" s="14" t="s">
        <v>91</v>
      </c>
      <c r="I566" s="14" t="s">
        <v>154</v>
      </c>
      <c r="J566" s="14" t="s">
        <v>200</v>
      </c>
      <c r="K566" s="14" t="s">
        <v>237</v>
      </c>
      <c r="L566" s="14" t="s">
        <v>253</v>
      </c>
      <c r="M566" s="14" t="s">
        <v>996</v>
      </c>
      <c r="N566" s="14" t="s">
        <v>997</v>
      </c>
      <c r="O566" s="14">
        <v>0.0</v>
      </c>
      <c r="P566" s="23">
        <v>0.0</v>
      </c>
      <c r="Q566" s="22" t="str">
        <f t="shared" ref="Q566:R566" si="335">"+0.00%"</f>
        <v>+0.00%</v>
      </c>
      <c r="R566" s="18" t="str">
        <f t="shared" si="335"/>
        <v>+0.00%</v>
      </c>
      <c r="S566" s="14" t="s">
        <v>998</v>
      </c>
    </row>
    <row r="567">
      <c r="A567" s="13">
        <v>45901.0</v>
      </c>
      <c r="B567" s="14" t="s">
        <v>47</v>
      </c>
      <c r="C567" s="14" t="s">
        <v>48</v>
      </c>
      <c r="D567" s="14" t="s">
        <v>73</v>
      </c>
      <c r="E567" s="14" t="s">
        <v>74</v>
      </c>
      <c r="F567" s="15" t="s">
        <v>51</v>
      </c>
      <c r="G567" s="14" t="s">
        <v>75</v>
      </c>
      <c r="H567" s="14" t="s">
        <v>76</v>
      </c>
      <c r="I567" s="14" t="s">
        <v>59</v>
      </c>
      <c r="J567" s="14" t="s">
        <v>200</v>
      </c>
      <c r="K567" s="14" t="s">
        <v>232</v>
      </c>
      <c r="L567" s="14" t="s">
        <v>286</v>
      </c>
      <c r="M567" s="14" t="s">
        <v>287</v>
      </c>
      <c r="N567" s="14" t="s">
        <v>288</v>
      </c>
      <c r="O567" s="14">
        <v>0.0</v>
      </c>
      <c r="P567" s="23">
        <v>0.0</v>
      </c>
      <c r="Q567" s="22" t="str">
        <f t="shared" ref="Q567:R567" si="336">"+0.00%"</f>
        <v>+0.00%</v>
      </c>
      <c r="R567" s="18" t="str">
        <f t="shared" si="336"/>
        <v>+0.00%</v>
      </c>
      <c r="S567" s="14" t="s">
        <v>285</v>
      </c>
    </row>
    <row r="568">
      <c r="A568" s="13">
        <v>45901.0</v>
      </c>
      <c r="B568" s="14" t="s">
        <v>47</v>
      </c>
      <c r="C568" s="14" t="s">
        <v>48</v>
      </c>
      <c r="D568" s="14" t="s">
        <v>192</v>
      </c>
      <c r="E568" s="14" t="s">
        <v>193</v>
      </c>
      <c r="F568" s="15" t="s">
        <v>51</v>
      </c>
      <c r="G568" s="14" t="s">
        <v>194</v>
      </c>
      <c r="H568" s="14" t="s">
        <v>192</v>
      </c>
      <c r="I568" s="14" t="s">
        <v>54</v>
      </c>
      <c r="J568" s="14" t="s">
        <v>200</v>
      </c>
      <c r="K568" s="14" t="s">
        <v>223</v>
      </c>
      <c r="L568" s="14" t="s">
        <v>607</v>
      </c>
      <c r="M568" s="14" t="s">
        <v>608</v>
      </c>
      <c r="N568" s="14" t="s">
        <v>609</v>
      </c>
      <c r="O568" s="14">
        <v>18.0</v>
      </c>
      <c r="P568" s="23">
        <v>0.1868</v>
      </c>
      <c r="Q568" s="22" t="str">
        <f>"+0.27%"</f>
        <v>+0.27%</v>
      </c>
      <c r="R568" s="18" t="str">
        <f>"-2.18%"</f>
        <v>-2.18%</v>
      </c>
      <c r="S568" s="14" t="s">
        <v>999</v>
      </c>
    </row>
    <row r="569">
      <c r="A569" s="13">
        <v>45901.0</v>
      </c>
      <c r="B569" s="14" t="s">
        <v>47</v>
      </c>
      <c r="C569" s="14" t="s">
        <v>48</v>
      </c>
      <c r="D569" s="14" t="s">
        <v>56</v>
      </c>
      <c r="E569" s="14" t="s">
        <v>57</v>
      </c>
      <c r="F569" s="15" t="s">
        <v>51</v>
      </c>
      <c r="G569" s="14" t="s">
        <v>58</v>
      </c>
      <c r="H569" s="14" t="s">
        <v>56</v>
      </c>
      <c r="I569" s="14" t="s">
        <v>59</v>
      </c>
      <c r="J569" s="14" t="s">
        <v>200</v>
      </c>
      <c r="K569" s="14" t="s">
        <v>223</v>
      </c>
      <c r="L569" s="14" t="s">
        <v>289</v>
      </c>
      <c r="M569" s="14" t="s">
        <v>331</v>
      </c>
      <c r="N569" s="14" t="s">
        <v>332</v>
      </c>
      <c r="O569" s="14">
        <v>0.0</v>
      </c>
      <c r="P569" s="23">
        <v>0.0</v>
      </c>
      <c r="Q569" s="22" t="str">
        <f t="shared" ref="Q569:R569" si="337">"+0.00%"</f>
        <v>+0.00%</v>
      </c>
      <c r="R569" s="18" t="str">
        <f t="shared" si="337"/>
        <v>+0.00%</v>
      </c>
      <c r="S569" s="14" t="s">
        <v>285</v>
      </c>
    </row>
    <row r="570">
      <c r="A570" s="13">
        <v>45901.0</v>
      </c>
      <c r="B570" s="14" t="s">
        <v>47</v>
      </c>
      <c r="C570" s="14" t="s">
        <v>48</v>
      </c>
      <c r="D570" s="14" t="s">
        <v>192</v>
      </c>
      <c r="E570" s="14" t="s">
        <v>193</v>
      </c>
      <c r="F570" s="15" t="s">
        <v>51</v>
      </c>
      <c r="G570" s="14" t="s">
        <v>194</v>
      </c>
      <c r="H570" s="14" t="s">
        <v>192</v>
      </c>
      <c r="I570" s="14" t="s">
        <v>54</v>
      </c>
      <c r="J570" s="14" t="s">
        <v>200</v>
      </c>
      <c r="K570" s="14" t="s">
        <v>231</v>
      </c>
      <c r="L570" s="14" t="s">
        <v>372</v>
      </c>
      <c r="M570" s="14" t="s">
        <v>373</v>
      </c>
      <c r="N570" s="14" t="s">
        <v>374</v>
      </c>
      <c r="O570" s="14">
        <v>0.0</v>
      </c>
      <c r="P570" s="21">
        <v>0.0</v>
      </c>
      <c r="Q570" s="22" t="str">
        <f t="shared" ref="Q570:R570" si="338">"+0"</f>
        <v>+0</v>
      </c>
      <c r="R570" s="18" t="str">
        <f t="shared" si="338"/>
        <v>+0</v>
      </c>
      <c r="S570" s="14" t="s">
        <v>260</v>
      </c>
    </row>
    <row r="571">
      <c r="A571" s="13">
        <v>45901.0</v>
      </c>
      <c r="B571" s="14" t="s">
        <v>47</v>
      </c>
      <c r="C571" s="14" t="s">
        <v>48</v>
      </c>
      <c r="D571" s="14" t="s">
        <v>168</v>
      </c>
      <c r="E571" s="14" t="s">
        <v>169</v>
      </c>
      <c r="F571" s="15" t="s">
        <v>51</v>
      </c>
      <c r="G571" s="14" t="s">
        <v>170</v>
      </c>
      <c r="H571" s="14" t="s">
        <v>168</v>
      </c>
      <c r="I571" s="14" t="s">
        <v>59</v>
      </c>
      <c r="J571" s="14" t="s">
        <v>200</v>
      </c>
      <c r="K571" s="14" t="s">
        <v>222</v>
      </c>
      <c r="L571" s="14" t="s">
        <v>337</v>
      </c>
      <c r="M571" s="14" t="s">
        <v>1000</v>
      </c>
      <c r="N571" s="14" t="s">
        <v>1001</v>
      </c>
      <c r="O571" s="14">
        <v>0.0</v>
      </c>
      <c r="P571" s="21">
        <v>0.0</v>
      </c>
      <c r="Q571" s="22" t="str">
        <f>"+0"</f>
        <v>+0</v>
      </c>
      <c r="S571" s="14" t="s">
        <v>260</v>
      </c>
    </row>
    <row r="572">
      <c r="A572" s="13">
        <v>45901.0</v>
      </c>
      <c r="B572" s="14" t="s">
        <v>47</v>
      </c>
      <c r="C572" s="14" t="s">
        <v>48</v>
      </c>
      <c r="D572" s="14" t="s">
        <v>66</v>
      </c>
      <c r="E572" s="14" t="s">
        <v>67</v>
      </c>
      <c r="F572" s="15" t="s">
        <v>51</v>
      </c>
      <c r="G572" s="14" t="s">
        <v>68</v>
      </c>
      <c r="H572" s="14" t="s">
        <v>66</v>
      </c>
      <c r="I572" s="14" t="s">
        <v>59</v>
      </c>
      <c r="J572" s="14" t="s">
        <v>200</v>
      </c>
      <c r="K572" s="14" t="s">
        <v>227</v>
      </c>
      <c r="L572" s="14" t="s">
        <v>270</v>
      </c>
      <c r="M572" s="14" t="s">
        <v>321</v>
      </c>
      <c r="N572" s="14" t="s">
        <v>322</v>
      </c>
      <c r="O572" s="14">
        <v>0.0</v>
      </c>
      <c r="P572" s="23">
        <v>-1.0</v>
      </c>
      <c r="Q572" s="22" t="str">
        <f t="shared" ref="Q572:R572" si="339">"+0.00%"</f>
        <v>+0.00%</v>
      </c>
      <c r="R572" s="18" t="str">
        <f t="shared" si="339"/>
        <v>+0.00%</v>
      </c>
      <c r="S572" s="14" t="s">
        <v>323</v>
      </c>
    </row>
    <row r="573">
      <c r="A573" s="13">
        <v>45901.0</v>
      </c>
      <c r="B573" s="14" t="s">
        <v>47</v>
      </c>
      <c r="C573" s="14" t="s">
        <v>48</v>
      </c>
      <c r="D573" s="14" t="s">
        <v>192</v>
      </c>
      <c r="E573" s="14" t="s">
        <v>193</v>
      </c>
      <c r="F573" s="15" t="s">
        <v>51</v>
      </c>
      <c r="G573" s="14" t="s">
        <v>194</v>
      </c>
      <c r="H573" s="14" t="s">
        <v>192</v>
      </c>
      <c r="I573" s="14" t="s">
        <v>54</v>
      </c>
      <c r="J573" s="14" t="s">
        <v>198</v>
      </c>
      <c r="K573" s="14" t="s">
        <v>210</v>
      </c>
      <c r="L573" s="14" t="s">
        <v>264</v>
      </c>
      <c r="M573" s="14" t="s">
        <v>638</v>
      </c>
      <c r="N573" s="14" t="s">
        <v>639</v>
      </c>
      <c r="O573" s="14">
        <v>0.0</v>
      </c>
      <c r="P573" s="21">
        <v>0.0</v>
      </c>
      <c r="Q573" s="22" t="str">
        <f t="shared" ref="Q573:R573" si="340">"+0"</f>
        <v>+0</v>
      </c>
      <c r="R573" s="18" t="str">
        <f t="shared" si="340"/>
        <v>+0</v>
      </c>
      <c r="S573" s="14" t="s">
        <v>277</v>
      </c>
    </row>
    <row r="574">
      <c r="A574" s="13">
        <v>45901.0</v>
      </c>
      <c r="B574" s="14" t="s">
        <v>47</v>
      </c>
      <c r="C574" s="14" t="s">
        <v>48</v>
      </c>
      <c r="D574" s="14" t="s">
        <v>66</v>
      </c>
      <c r="E574" s="14" t="s">
        <v>67</v>
      </c>
      <c r="F574" s="15" t="s">
        <v>51</v>
      </c>
      <c r="G574" s="14" t="s">
        <v>68</v>
      </c>
      <c r="H574" s="14" t="s">
        <v>66</v>
      </c>
      <c r="I574" s="14" t="s">
        <v>59</v>
      </c>
      <c r="J574" s="14" t="s">
        <v>200</v>
      </c>
      <c r="K574" s="14" t="s">
        <v>223</v>
      </c>
      <c r="L574" s="14" t="s">
        <v>440</v>
      </c>
      <c r="M574" s="14" t="s">
        <v>510</v>
      </c>
      <c r="N574" s="14" t="s">
        <v>511</v>
      </c>
      <c r="O574" s="14">
        <v>0.0</v>
      </c>
      <c r="P574" s="23">
        <v>0.0</v>
      </c>
      <c r="Q574" s="22" t="str">
        <f t="shared" ref="Q574:R574" si="341">"+0.00%"</f>
        <v>+0.00%</v>
      </c>
      <c r="R574" s="18" t="str">
        <f t="shared" si="341"/>
        <v>+0.00%</v>
      </c>
      <c r="S574" s="14" t="s">
        <v>285</v>
      </c>
    </row>
    <row r="575">
      <c r="A575" s="13">
        <v>45901.0</v>
      </c>
      <c r="B575" s="14" t="s">
        <v>47</v>
      </c>
      <c r="C575" s="14" t="s">
        <v>48</v>
      </c>
      <c r="D575" s="14" t="s">
        <v>73</v>
      </c>
      <c r="E575" s="14" t="s">
        <v>74</v>
      </c>
      <c r="F575" s="15" t="s">
        <v>51</v>
      </c>
      <c r="G575" s="14" t="s">
        <v>75</v>
      </c>
      <c r="H575" s="14" t="s">
        <v>76</v>
      </c>
      <c r="I575" s="14" t="s">
        <v>59</v>
      </c>
      <c r="J575" s="14" t="s">
        <v>200</v>
      </c>
      <c r="K575" s="14" t="s">
        <v>232</v>
      </c>
      <c r="L575" s="14" t="s">
        <v>607</v>
      </c>
      <c r="M575" s="14" t="s">
        <v>692</v>
      </c>
      <c r="N575" s="14" t="s">
        <v>693</v>
      </c>
      <c r="O575" s="14">
        <v>0.0</v>
      </c>
      <c r="P575" s="23">
        <v>0.0</v>
      </c>
      <c r="Q575" s="22" t="str">
        <f t="shared" ref="Q575:R575" si="342">"+0.00%"</f>
        <v>+0.00%</v>
      </c>
      <c r="R575" s="18" t="str">
        <f t="shared" si="342"/>
        <v>+0.00%</v>
      </c>
      <c r="S575" s="14" t="s">
        <v>285</v>
      </c>
    </row>
    <row r="576">
      <c r="A576" s="13">
        <v>45901.0</v>
      </c>
      <c r="B576" s="14" t="s">
        <v>47</v>
      </c>
      <c r="C576" s="14" t="s">
        <v>48</v>
      </c>
      <c r="D576" s="14" t="s">
        <v>149</v>
      </c>
      <c r="E576" s="14" t="s">
        <v>150</v>
      </c>
      <c r="F576" s="15" t="s">
        <v>51</v>
      </c>
      <c r="G576" s="14" t="s">
        <v>151</v>
      </c>
      <c r="H576" s="14" t="s">
        <v>152</v>
      </c>
      <c r="I576" s="14" t="s">
        <v>54</v>
      </c>
      <c r="J576" s="14" t="s">
        <v>198</v>
      </c>
      <c r="K576" s="14" t="s">
        <v>205</v>
      </c>
      <c r="L576" s="14" t="s">
        <v>274</v>
      </c>
      <c r="M576" s="14" t="s">
        <v>575</v>
      </c>
      <c r="N576" s="14" t="s">
        <v>576</v>
      </c>
      <c r="O576" s="14">
        <v>100.0</v>
      </c>
      <c r="P576" s="21">
        <v>90.0</v>
      </c>
      <c r="Q576" s="22" t="str">
        <f t="shared" ref="Q576:Q578" si="343">"+0"</f>
        <v>+0</v>
      </c>
      <c r="S576" s="14" t="s">
        <v>577</v>
      </c>
    </row>
    <row r="577">
      <c r="A577" s="13">
        <v>45901.0</v>
      </c>
      <c r="B577" s="14" t="s">
        <v>47</v>
      </c>
      <c r="C577" s="14" t="s">
        <v>48</v>
      </c>
      <c r="D577" s="14" t="s">
        <v>149</v>
      </c>
      <c r="E577" s="14" t="s">
        <v>150</v>
      </c>
      <c r="F577" s="15" t="s">
        <v>51</v>
      </c>
      <c r="G577" s="14" t="s">
        <v>151</v>
      </c>
      <c r="H577" s="14" t="s">
        <v>152</v>
      </c>
      <c r="I577" s="14" t="s">
        <v>54</v>
      </c>
      <c r="J577" s="14" t="s">
        <v>198</v>
      </c>
      <c r="K577" s="14" t="s">
        <v>210</v>
      </c>
      <c r="L577" s="14" t="s">
        <v>278</v>
      </c>
      <c r="M577" s="14" t="s">
        <v>853</v>
      </c>
      <c r="N577" s="14" t="s">
        <v>854</v>
      </c>
      <c r="O577" s="14">
        <v>0.0</v>
      </c>
      <c r="P577" s="21">
        <v>0.0</v>
      </c>
      <c r="Q577" s="22" t="str">
        <f t="shared" si="343"/>
        <v>+0</v>
      </c>
      <c r="R577" s="18" t="str">
        <f t="shared" ref="R577:R578" si="344">"+0"</f>
        <v>+0</v>
      </c>
      <c r="S577" s="14" t="s">
        <v>277</v>
      </c>
    </row>
    <row r="578">
      <c r="A578" s="13">
        <v>45901.0</v>
      </c>
      <c r="B578" s="14" t="s">
        <v>47</v>
      </c>
      <c r="C578" s="14" t="s">
        <v>48</v>
      </c>
      <c r="D578" s="14" t="s">
        <v>87</v>
      </c>
      <c r="E578" s="14" t="s">
        <v>88</v>
      </c>
      <c r="F578" s="15" t="s">
        <v>51</v>
      </c>
      <c r="G578" s="14" t="s">
        <v>89</v>
      </c>
      <c r="H578" s="14" t="s">
        <v>90</v>
      </c>
      <c r="I578" s="14" t="s">
        <v>59</v>
      </c>
      <c r="J578" s="14" t="s">
        <v>199</v>
      </c>
      <c r="K578" s="14" t="s">
        <v>203</v>
      </c>
      <c r="L578" s="14" t="s">
        <v>736</v>
      </c>
      <c r="M578" s="14" t="s">
        <v>736</v>
      </c>
      <c r="N578" s="14" t="s">
        <v>737</v>
      </c>
      <c r="O578" s="14">
        <v>0.0</v>
      </c>
      <c r="P578" s="21">
        <v>0.0</v>
      </c>
      <c r="Q578" s="22" t="str">
        <f t="shared" si="343"/>
        <v>+0</v>
      </c>
      <c r="R578" s="18" t="str">
        <f t="shared" si="344"/>
        <v>+0</v>
      </c>
      <c r="S578" s="14" t="s">
        <v>260</v>
      </c>
    </row>
    <row r="579">
      <c r="A579" s="13">
        <v>45901.0</v>
      </c>
      <c r="B579" s="14" t="s">
        <v>47</v>
      </c>
      <c r="C579" s="14" t="s">
        <v>48</v>
      </c>
      <c r="D579" s="14" t="s">
        <v>87</v>
      </c>
      <c r="E579" s="14" t="s">
        <v>88</v>
      </c>
      <c r="F579" s="15" t="s">
        <v>51</v>
      </c>
      <c r="G579" s="14" t="s">
        <v>89</v>
      </c>
      <c r="H579" s="14" t="s">
        <v>90</v>
      </c>
      <c r="I579" s="14" t="s">
        <v>59</v>
      </c>
      <c r="J579" s="14" t="s">
        <v>200</v>
      </c>
      <c r="K579" s="14" t="s">
        <v>219</v>
      </c>
      <c r="L579" s="14" t="s">
        <v>253</v>
      </c>
      <c r="M579" s="14" t="s">
        <v>899</v>
      </c>
      <c r="N579" s="14" t="s">
        <v>900</v>
      </c>
      <c r="O579" s="14">
        <v>100.0</v>
      </c>
      <c r="P579" s="23">
        <v>0.0</v>
      </c>
      <c r="Q579" s="22" t="str">
        <f t="shared" ref="Q579:R579" si="345">"+0.00%"</f>
        <v>+0.00%</v>
      </c>
      <c r="R579" s="18" t="str">
        <f t="shared" si="345"/>
        <v>+0.00%</v>
      </c>
      <c r="S579" s="14" t="s">
        <v>285</v>
      </c>
    </row>
    <row r="580">
      <c r="A580" s="13">
        <v>45901.0</v>
      </c>
      <c r="B580" s="14" t="s">
        <v>47</v>
      </c>
      <c r="C580" s="14" t="s">
        <v>48</v>
      </c>
      <c r="D580" s="14" t="s">
        <v>149</v>
      </c>
      <c r="E580" s="14" t="s">
        <v>150</v>
      </c>
      <c r="F580" s="15" t="s">
        <v>51</v>
      </c>
      <c r="G580" s="14" t="s">
        <v>151</v>
      </c>
      <c r="H580" s="14" t="s">
        <v>152</v>
      </c>
      <c r="I580" s="14" t="s">
        <v>54</v>
      </c>
      <c r="J580" s="14" t="s">
        <v>199</v>
      </c>
      <c r="K580" s="14" t="s">
        <v>203</v>
      </c>
      <c r="L580" s="14" t="s">
        <v>862</v>
      </c>
      <c r="M580" s="14" t="s">
        <v>862</v>
      </c>
      <c r="N580" s="14" t="s">
        <v>863</v>
      </c>
      <c r="O580" s="14">
        <v>100.0</v>
      </c>
      <c r="P580" s="21">
        <v>2.0</v>
      </c>
      <c r="Q580" s="22" t="str">
        <f t="shared" ref="Q580:R580" si="346">"+1"</f>
        <v>+1</v>
      </c>
      <c r="R580" s="18" t="str">
        <f t="shared" si="346"/>
        <v>+1</v>
      </c>
      <c r="S580" s="14" t="s">
        <v>260</v>
      </c>
    </row>
    <row r="581">
      <c r="A581" s="13">
        <v>45901.0</v>
      </c>
      <c r="B581" s="14" t="s">
        <v>47</v>
      </c>
      <c r="C581" s="14" t="s">
        <v>48</v>
      </c>
      <c r="D581" s="14" t="s">
        <v>149</v>
      </c>
      <c r="E581" s="14" t="s">
        <v>150</v>
      </c>
      <c r="F581" s="15" t="s">
        <v>51</v>
      </c>
      <c r="G581" s="14" t="s">
        <v>151</v>
      </c>
      <c r="H581" s="14" t="s">
        <v>152</v>
      </c>
      <c r="I581" s="14" t="s">
        <v>54</v>
      </c>
      <c r="J581" s="14" t="s">
        <v>200</v>
      </c>
      <c r="K581" s="14" t="s">
        <v>211</v>
      </c>
      <c r="L581" s="14" t="s">
        <v>991</v>
      </c>
      <c r="M581" s="14" t="s">
        <v>1002</v>
      </c>
      <c r="N581" s="14" t="s">
        <v>1003</v>
      </c>
      <c r="O581" s="14">
        <v>27.0</v>
      </c>
      <c r="P581" s="23">
        <v>-0.4467</v>
      </c>
      <c r="Q581" s="22" t="str">
        <f>"-9.84%"</f>
        <v>-9.84%</v>
      </c>
      <c r="R581" s="18" t="str">
        <f>"-56.53%"</f>
        <v>-56.53%</v>
      </c>
      <c r="S581" s="14" t="s">
        <v>336</v>
      </c>
    </row>
    <row r="582">
      <c r="A582" s="13">
        <v>45901.0</v>
      </c>
      <c r="B582" s="14" t="s">
        <v>47</v>
      </c>
      <c r="C582" s="14" t="s">
        <v>48</v>
      </c>
      <c r="D582" s="14" t="s">
        <v>136</v>
      </c>
      <c r="E582" s="14" t="s">
        <v>137</v>
      </c>
      <c r="F582" s="15" t="s">
        <v>51</v>
      </c>
      <c r="G582" s="14" t="s">
        <v>138</v>
      </c>
      <c r="H582" s="14" t="s">
        <v>139</v>
      </c>
      <c r="I582" s="14" t="s">
        <v>59</v>
      </c>
      <c r="J582" s="14" t="s">
        <v>200</v>
      </c>
      <c r="K582" s="14" t="s">
        <v>224</v>
      </c>
      <c r="L582" s="14" t="s">
        <v>594</v>
      </c>
      <c r="M582" s="14" t="s">
        <v>595</v>
      </c>
      <c r="N582" s="14" t="s">
        <v>596</v>
      </c>
      <c r="O582" s="14">
        <v>0.0</v>
      </c>
      <c r="P582" s="23">
        <v>0.0</v>
      </c>
      <c r="Q582" s="22" t="str">
        <f>"+0.00%"</f>
        <v>+0.00%</v>
      </c>
      <c r="S582" s="14" t="s">
        <v>1004</v>
      </c>
    </row>
    <row r="583">
      <c r="A583" s="13">
        <v>45901.0</v>
      </c>
      <c r="B583" s="14" t="s">
        <v>47</v>
      </c>
      <c r="C583" s="14" t="s">
        <v>48</v>
      </c>
      <c r="D583" s="14" t="s">
        <v>149</v>
      </c>
      <c r="E583" s="14" t="s">
        <v>150</v>
      </c>
      <c r="F583" s="15" t="s">
        <v>51</v>
      </c>
      <c r="G583" s="14" t="s">
        <v>151</v>
      </c>
      <c r="H583" s="14" t="s">
        <v>152</v>
      </c>
      <c r="I583" s="14" t="s">
        <v>54</v>
      </c>
      <c r="J583" s="14" t="s">
        <v>200</v>
      </c>
      <c r="K583" s="14" t="s">
        <v>222</v>
      </c>
      <c r="L583" s="14" t="s">
        <v>337</v>
      </c>
      <c r="M583" s="14" t="s">
        <v>1000</v>
      </c>
      <c r="N583" s="14" t="s">
        <v>1001</v>
      </c>
      <c r="O583" s="14">
        <v>0.0</v>
      </c>
      <c r="P583" s="21">
        <v>0.0</v>
      </c>
      <c r="Q583" s="22" t="str">
        <f t="shared" ref="Q583:R583" si="347">"+0"</f>
        <v>+0</v>
      </c>
      <c r="R583" s="18" t="str">
        <f t="shared" si="347"/>
        <v>+0</v>
      </c>
      <c r="S583" s="14" t="s">
        <v>260</v>
      </c>
    </row>
    <row r="584">
      <c r="A584" s="13">
        <v>45901.0</v>
      </c>
      <c r="B584" s="14" t="s">
        <v>47</v>
      </c>
      <c r="C584" s="14" t="s">
        <v>48</v>
      </c>
      <c r="D584" s="14" t="s">
        <v>87</v>
      </c>
      <c r="E584" s="14" t="s">
        <v>88</v>
      </c>
      <c r="F584" s="14" t="s">
        <v>71</v>
      </c>
      <c r="G584" s="14">
        <v>5.46000941E8</v>
      </c>
      <c r="H584" s="14" t="s">
        <v>90</v>
      </c>
      <c r="I584" s="14" t="s">
        <v>107</v>
      </c>
      <c r="J584" s="14" t="s">
        <v>199</v>
      </c>
      <c r="K584" s="14" t="s">
        <v>206</v>
      </c>
      <c r="L584" s="14" t="s">
        <v>295</v>
      </c>
      <c r="M584" s="14" t="s">
        <v>296</v>
      </c>
      <c r="N584" s="14" t="s">
        <v>297</v>
      </c>
      <c r="O584" s="14">
        <v>0.0</v>
      </c>
      <c r="P584" s="21">
        <v>0.0</v>
      </c>
      <c r="Q584" s="22" t="str">
        <f t="shared" ref="Q584:R584" si="348">"+0"</f>
        <v>+0</v>
      </c>
      <c r="R584" s="18" t="str">
        <f t="shared" si="348"/>
        <v>+0</v>
      </c>
      <c r="S584" s="14" t="s">
        <v>260</v>
      </c>
    </row>
    <row r="585">
      <c r="A585" s="13">
        <v>45901.0</v>
      </c>
      <c r="B585" s="14" t="s">
        <v>47</v>
      </c>
      <c r="C585" s="14" t="s">
        <v>48</v>
      </c>
      <c r="D585" s="14" t="s">
        <v>87</v>
      </c>
      <c r="E585" s="14" t="s">
        <v>88</v>
      </c>
      <c r="F585" s="15" t="s">
        <v>51</v>
      </c>
      <c r="G585" s="14" t="s">
        <v>89</v>
      </c>
      <c r="H585" s="14" t="s">
        <v>90</v>
      </c>
      <c r="I585" s="14" t="s">
        <v>59</v>
      </c>
      <c r="J585" s="14" t="s">
        <v>200</v>
      </c>
      <c r="K585" s="14" t="s">
        <v>223</v>
      </c>
      <c r="L585" s="14" t="s">
        <v>363</v>
      </c>
      <c r="M585" s="14" t="s">
        <v>842</v>
      </c>
      <c r="N585" s="14" t="s">
        <v>843</v>
      </c>
      <c r="O585" s="14">
        <v>100.0</v>
      </c>
      <c r="P585" s="21">
        <v>323.0</v>
      </c>
      <c r="Q585" s="22" t="str">
        <f t="shared" ref="Q585:Q586" si="349">"+0"</f>
        <v>+0</v>
      </c>
      <c r="R585" s="18" t="str">
        <f>"+3"</f>
        <v>+3</v>
      </c>
      <c r="S585" s="14" t="s">
        <v>260</v>
      </c>
    </row>
    <row r="586">
      <c r="A586" s="13">
        <v>45901.0</v>
      </c>
      <c r="B586" s="14" t="s">
        <v>47</v>
      </c>
      <c r="C586" s="14" t="s">
        <v>48</v>
      </c>
      <c r="D586" s="14" t="s">
        <v>149</v>
      </c>
      <c r="E586" s="14" t="s">
        <v>150</v>
      </c>
      <c r="F586" s="15" t="s">
        <v>51</v>
      </c>
      <c r="G586" s="14" t="s">
        <v>151</v>
      </c>
      <c r="H586" s="14" t="s">
        <v>152</v>
      </c>
      <c r="I586" s="14" t="s">
        <v>54</v>
      </c>
      <c r="J586" s="14" t="s">
        <v>198</v>
      </c>
      <c r="K586" s="14" t="s">
        <v>210</v>
      </c>
      <c r="L586" s="14" t="s">
        <v>278</v>
      </c>
      <c r="M586" s="14" t="s">
        <v>1005</v>
      </c>
      <c r="N586" s="14" t="s">
        <v>1006</v>
      </c>
      <c r="O586" s="14">
        <v>0.0</v>
      </c>
      <c r="P586" s="21">
        <v>0.0</v>
      </c>
      <c r="Q586" s="22" t="str">
        <f t="shared" si="349"/>
        <v>+0</v>
      </c>
      <c r="R586" s="18" t="str">
        <f>"+0"</f>
        <v>+0</v>
      </c>
      <c r="S586" s="14" t="s">
        <v>277</v>
      </c>
    </row>
    <row r="587">
      <c r="A587" s="13">
        <v>45901.0</v>
      </c>
      <c r="B587" s="14" t="s">
        <v>47</v>
      </c>
      <c r="C587" s="14" t="s">
        <v>48</v>
      </c>
      <c r="D587" s="14" t="s">
        <v>85</v>
      </c>
      <c r="E587" s="14" t="s">
        <v>86</v>
      </c>
      <c r="F587" s="15" t="s">
        <v>51</v>
      </c>
      <c r="G587" s="14" t="s">
        <v>148</v>
      </c>
      <c r="H587" s="14" t="s">
        <v>85</v>
      </c>
      <c r="I587" s="14" t="s">
        <v>59</v>
      </c>
      <c r="J587" s="14" t="s">
        <v>200</v>
      </c>
      <c r="K587" s="14" t="s">
        <v>227</v>
      </c>
      <c r="L587" s="14" t="s">
        <v>270</v>
      </c>
      <c r="M587" s="14" t="s">
        <v>271</v>
      </c>
      <c r="N587" s="14" t="s">
        <v>272</v>
      </c>
      <c r="O587" s="14">
        <v>22.0</v>
      </c>
      <c r="P587" s="23">
        <v>-0.5556</v>
      </c>
      <c r="Q587" s="22" t="str">
        <f>"-18.71%"</f>
        <v>-18.71%</v>
      </c>
      <c r="R587" s="18" t="str">
        <f>"-57.25%"</f>
        <v>-57.25%</v>
      </c>
      <c r="S587" s="14" t="s">
        <v>273</v>
      </c>
    </row>
    <row r="588">
      <c r="A588" s="13">
        <v>45901.0</v>
      </c>
      <c r="B588" s="14" t="s">
        <v>47</v>
      </c>
      <c r="C588" s="14" t="s">
        <v>48</v>
      </c>
      <c r="D588" s="14" t="s">
        <v>108</v>
      </c>
      <c r="E588" s="14" t="s">
        <v>109</v>
      </c>
      <c r="F588" s="14" t="s">
        <v>146</v>
      </c>
      <c r="G588" s="14" t="s">
        <v>180</v>
      </c>
      <c r="H588" s="14" t="s">
        <v>108</v>
      </c>
      <c r="I588" s="14" t="s">
        <v>59</v>
      </c>
      <c r="J588" s="14" t="s">
        <v>199</v>
      </c>
      <c r="K588" s="14" t="s">
        <v>206</v>
      </c>
      <c r="L588" s="14" t="s">
        <v>515</v>
      </c>
      <c r="M588" s="14" t="s">
        <v>515</v>
      </c>
      <c r="N588" s="14" t="s">
        <v>516</v>
      </c>
      <c r="O588" s="14">
        <v>0.0</v>
      </c>
      <c r="P588" s="21">
        <v>0.0</v>
      </c>
      <c r="Q588" s="22" t="str">
        <f>"+0"</f>
        <v>+0</v>
      </c>
      <c r="S588" s="14" t="s">
        <v>383</v>
      </c>
    </row>
    <row r="589">
      <c r="A589" s="13">
        <v>45901.0</v>
      </c>
      <c r="B589" s="14" t="s">
        <v>47</v>
      </c>
      <c r="C589" s="14" t="s">
        <v>48</v>
      </c>
      <c r="D589" s="14" t="s">
        <v>112</v>
      </c>
      <c r="E589" s="14" t="s">
        <v>113</v>
      </c>
      <c r="F589" s="15" t="s">
        <v>51</v>
      </c>
      <c r="G589" s="14" t="s">
        <v>114</v>
      </c>
      <c r="H589" s="14" t="s">
        <v>112</v>
      </c>
      <c r="I589" s="14" t="s">
        <v>59</v>
      </c>
      <c r="J589" s="14" t="s">
        <v>200</v>
      </c>
      <c r="K589" s="14" t="s">
        <v>227</v>
      </c>
      <c r="L589" s="14" t="s">
        <v>253</v>
      </c>
      <c r="M589" s="14" t="s">
        <v>396</v>
      </c>
      <c r="N589" s="14" t="s">
        <v>397</v>
      </c>
      <c r="O589" s="14">
        <v>50.0</v>
      </c>
      <c r="P589" s="23">
        <v>0.5</v>
      </c>
      <c r="Q589" s="22" t="str">
        <f t="shared" ref="Q589:R589" si="350">"+0.00%"</f>
        <v>+0.00%</v>
      </c>
      <c r="R589" s="18" t="str">
        <f t="shared" si="350"/>
        <v>+0.00%</v>
      </c>
      <c r="S589" s="14" t="s">
        <v>916</v>
      </c>
    </row>
    <row r="590">
      <c r="A590" s="13">
        <v>45901.0</v>
      </c>
      <c r="B590" s="14" t="s">
        <v>47</v>
      </c>
      <c r="C590" s="14" t="s">
        <v>48</v>
      </c>
      <c r="D590" s="14" t="s">
        <v>77</v>
      </c>
      <c r="E590" s="14" t="s">
        <v>78</v>
      </c>
      <c r="F590" s="15" t="s">
        <v>51</v>
      </c>
      <c r="G590" s="14" t="s">
        <v>128</v>
      </c>
      <c r="H590" s="14" t="s">
        <v>81</v>
      </c>
      <c r="I590" s="14" t="s">
        <v>59</v>
      </c>
      <c r="J590" s="14" t="s">
        <v>200</v>
      </c>
      <c r="K590" s="14" t="s">
        <v>216</v>
      </c>
      <c r="L590" s="14" t="s">
        <v>799</v>
      </c>
      <c r="M590" s="14" t="s">
        <v>1007</v>
      </c>
      <c r="N590" s="14" t="s">
        <v>1008</v>
      </c>
      <c r="O590" s="14">
        <v>0.0</v>
      </c>
      <c r="P590" s="21">
        <v>0.0</v>
      </c>
      <c r="Q590" s="22" t="str">
        <f t="shared" ref="Q590:R590" si="351">"+0"</f>
        <v>+0</v>
      </c>
      <c r="R590" s="18" t="str">
        <f t="shared" si="351"/>
        <v>+0</v>
      </c>
      <c r="S590" s="14" t="s">
        <v>260</v>
      </c>
    </row>
    <row r="591">
      <c r="A591" s="13">
        <v>45901.0</v>
      </c>
      <c r="B591" s="14" t="s">
        <v>47</v>
      </c>
      <c r="C591" s="14" t="s">
        <v>48</v>
      </c>
      <c r="D591" s="14" t="s">
        <v>108</v>
      </c>
      <c r="E591" s="14" t="s">
        <v>109</v>
      </c>
      <c r="F591" s="14" t="s">
        <v>146</v>
      </c>
      <c r="G591" s="14" t="s">
        <v>180</v>
      </c>
      <c r="H591" s="14" t="s">
        <v>108</v>
      </c>
      <c r="I591" s="14" t="s">
        <v>59</v>
      </c>
      <c r="J591" s="14" t="s">
        <v>200</v>
      </c>
      <c r="K591" s="14" t="s">
        <v>226</v>
      </c>
      <c r="L591" s="14" t="s">
        <v>253</v>
      </c>
      <c r="M591" s="14" t="s">
        <v>1009</v>
      </c>
      <c r="N591" s="14" t="s">
        <v>1010</v>
      </c>
      <c r="O591" s="14">
        <v>100.0</v>
      </c>
      <c r="P591" s="23">
        <v>1.0</v>
      </c>
      <c r="Q591" s="22" t="str">
        <f t="shared" ref="Q591:Q592" si="352">"+0.00%"</f>
        <v>+0.00%</v>
      </c>
      <c r="S591" s="14" t="s">
        <v>1011</v>
      </c>
    </row>
    <row r="592">
      <c r="A592" s="13">
        <v>45901.0</v>
      </c>
      <c r="B592" s="14" t="s">
        <v>47</v>
      </c>
      <c r="C592" s="14" t="s">
        <v>48</v>
      </c>
      <c r="D592" s="14" t="s">
        <v>77</v>
      </c>
      <c r="E592" s="14" t="s">
        <v>78</v>
      </c>
      <c r="F592" s="15" t="s">
        <v>51</v>
      </c>
      <c r="G592" s="14" t="s">
        <v>128</v>
      </c>
      <c r="H592" s="14" t="s">
        <v>81</v>
      </c>
      <c r="I592" s="14" t="s">
        <v>59</v>
      </c>
      <c r="J592" s="14" t="s">
        <v>200</v>
      </c>
      <c r="K592" s="14" t="s">
        <v>223</v>
      </c>
      <c r="L592" s="14" t="s">
        <v>304</v>
      </c>
      <c r="M592" s="14" t="s">
        <v>1012</v>
      </c>
      <c r="N592" s="14" t="s">
        <v>1013</v>
      </c>
      <c r="O592" s="14">
        <v>0.0</v>
      </c>
      <c r="P592" s="23">
        <v>0.0</v>
      </c>
      <c r="Q592" s="22" t="str">
        <f t="shared" si="352"/>
        <v>+0.00%</v>
      </c>
      <c r="R592" s="18" t="str">
        <f>"+0.00%"</f>
        <v>+0.00%</v>
      </c>
      <c r="S592" s="14" t="s">
        <v>285</v>
      </c>
    </row>
    <row r="593">
      <c r="A593" s="13">
        <v>45901.0</v>
      </c>
      <c r="B593" s="14" t="s">
        <v>47</v>
      </c>
      <c r="C593" s="14" t="s">
        <v>48</v>
      </c>
      <c r="D593" s="14" t="s">
        <v>121</v>
      </c>
      <c r="E593" s="14" t="s">
        <v>122</v>
      </c>
      <c r="F593" s="15" t="s">
        <v>51</v>
      </c>
      <c r="G593" s="14" t="s">
        <v>123</v>
      </c>
      <c r="H593" s="14" t="s">
        <v>124</v>
      </c>
      <c r="I593" s="14" t="s">
        <v>59</v>
      </c>
      <c r="J593" s="14" t="s">
        <v>198</v>
      </c>
      <c r="K593" s="14" t="s">
        <v>210</v>
      </c>
      <c r="L593" s="14" t="s">
        <v>505</v>
      </c>
      <c r="M593" s="14" t="s">
        <v>506</v>
      </c>
      <c r="N593" s="14" t="s">
        <v>507</v>
      </c>
      <c r="O593" s="14">
        <v>100.0</v>
      </c>
      <c r="P593" s="21">
        <v>0.0</v>
      </c>
      <c r="Q593" s="22" t="str">
        <f t="shared" ref="Q593:R593" si="353">"+0"</f>
        <v>+0</v>
      </c>
      <c r="R593" s="18" t="str">
        <f t="shared" si="353"/>
        <v>+0</v>
      </c>
      <c r="S593" s="14" t="s">
        <v>281</v>
      </c>
    </row>
    <row r="594">
      <c r="A594" s="13">
        <v>45901.0</v>
      </c>
      <c r="B594" s="14" t="s">
        <v>47</v>
      </c>
      <c r="C594" s="14" t="s">
        <v>48</v>
      </c>
      <c r="D594" s="14" t="s">
        <v>121</v>
      </c>
      <c r="E594" s="14" t="s">
        <v>122</v>
      </c>
      <c r="F594" s="15" t="s">
        <v>51</v>
      </c>
      <c r="G594" s="14" t="s">
        <v>123</v>
      </c>
      <c r="H594" s="14" t="s">
        <v>124</v>
      </c>
      <c r="I594" s="14" t="s">
        <v>59</v>
      </c>
      <c r="J594" s="14" t="s">
        <v>198</v>
      </c>
      <c r="K594" s="14" t="s">
        <v>205</v>
      </c>
      <c r="L594" s="14" t="s">
        <v>274</v>
      </c>
      <c r="M594" s="14" t="s">
        <v>473</v>
      </c>
      <c r="N594" s="14" t="s">
        <v>474</v>
      </c>
      <c r="O594" s="14">
        <v>50.0</v>
      </c>
      <c r="P594" s="21">
        <v>15.0</v>
      </c>
      <c r="Q594" s="22" t="str">
        <f>"+0"</f>
        <v>+0</v>
      </c>
      <c r="S594" s="14" t="s">
        <v>475</v>
      </c>
    </row>
    <row r="595">
      <c r="A595" s="13">
        <v>45901.0</v>
      </c>
      <c r="B595" s="14" t="s">
        <v>47</v>
      </c>
      <c r="C595" s="14" t="s">
        <v>48</v>
      </c>
      <c r="D595" s="14" t="s">
        <v>181</v>
      </c>
      <c r="E595" s="14" t="s">
        <v>182</v>
      </c>
      <c r="F595" s="15" t="s">
        <v>51</v>
      </c>
      <c r="G595" s="14" t="s">
        <v>183</v>
      </c>
      <c r="H595" s="14" t="s">
        <v>181</v>
      </c>
      <c r="I595" s="14" t="s">
        <v>59</v>
      </c>
      <c r="J595" s="14" t="s">
        <v>200</v>
      </c>
      <c r="K595" s="14" t="s">
        <v>232</v>
      </c>
      <c r="L595" s="14" t="s">
        <v>607</v>
      </c>
      <c r="M595" s="14" t="s">
        <v>932</v>
      </c>
      <c r="N595" s="14" t="s">
        <v>933</v>
      </c>
      <c r="O595" s="14">
        <v>0.0</v>
      </c>
      <c r="P595" s="23">
        <v>0.0</v>
      </c>
      <c r="Q595" s="22" t="str">
        <f t="shared" ref="Q595:R595" si="354">"+0.00%"</f>
        <v>+0.00%</v>
      </c>
      <c r="R595" s="18" t="str">
        <f t="shared" si="354"/>
        <v>+0.00%</v>
      </c>
      <c r="S595" s="14" t="s">
        <v>285</v>
      </c>
    </row>
    <row r="596">
      <c r="A596" s="13">
        <v>45901.0</v>
      </c>
      <c r="B596" s="14" t="s">
        <v>47</v>
      </c>
      <c r="C596" s="14" t="s">
        <v>48</v>
      </c>
      <c r="D596" s="14" t="s">
        <v>60</v>
      </c>
      <c r="E596" s="14" t="s">
        <v>61</v>
      </c>
      <c r="F596" s="15" t="s">
        <v>51</v>
      </c>
      <c r="G596" s="14" t="s">
        <v>62</v>
      </c>
      <c r="H596" s="14" t="s">
        <v>60</v>
      </c>
      <c r="I596" s="14" t="s">
        <v>59</v>
      </c>
      <c r="J596" s="14" t="s">
        <v>198</v>
      </c>
      <c r="K596" s="14" t="s">
        <v>210</v>
      </c>
      <c r="L596" s="14" t="s">
        <v>264</v>
      </c>
      <c r="M596" s="14" t="s">
        <v>524</v>
      </c>
      <c r="N596" s="14" t="s">
        <v>525</v>
      </c>
      <c r="O596" s="14">
        <v>100.0</v>
      </c>
      <c r="P596" s="21">
        <v>0.0</v>
      </c>
      <c r="Q596" s="22" t="str">
        <f t="shared" ref="Q596:R596" si="355">"+0"</f>
        <v>+0</v>
      </c>
      <c r="R596" s="18" t="str">
        <f t="shared" si="355"/>
        <v>+0</v>
      </c>
      <c r="S596" s="14" t="s">
        <v>281</v>
      </c>
    </row>
    <row r="597">
      <c r="A597" s="13">
        <v>45901.0</v>
      </c>
      <c r="B597" s="14" t="s">
        <v>47</v>
      </c>
      <c r="C597" s="14" t="s">
        <v>48</v>
      </c>
      <c r="D597" s="14" t="s">
        <v>56</v>
      </c>
      <c r="E597" s="14" t="s">
        <v>57</v>
      </c>
      <c r="F597" s="14" t="s">
        <v>71</v>
      </c>
      <c r="G597" s="14">
        <v>5.36003976E8</v>
      </c>
      <c r="H597" s="14" t="s">
        <v>56</v>
      </c>
      <c r="I597" s="14" t="s">
        <v>59</v>
      </c>
      <c r="J597" s="14" t="s">
        <v>199</v>
      </c>
      <c r="K597" s="14" t="s">
        <v>206</v>
      </c>
      <c r="L597" s="14" t="s">
        <v>268</v>
      </c>
      <c r="M597" s="14" t="s">
        <v>268</v>
      </c>
      <c r="N597" s="14" t="s">
        <v>269</v>
      </c>
      <c r="O597" s="14">
        <v>0.0</v>
      </c>
      <c r="P597" s="21">
        <v>0.0</v>
      </c>
      <c r="Q597" s="22" t="str">
        <f t="shared" ref="Q597:R597" si="356">"+0"</f>
        <v>+0</v>
      </c>
      <c r="R597" s="18" t="str">
        <f t="shared" si="356"/>
        <v>+0</v>
      </c>
      <c r="S597" s="14" t="s">
        <v>260</v>
      </c>
    </row>
    <row r="598">
      <c r="A598" s="13">
        <v>45901.0</v>
      </c>
      <c r="B598" s="14" t="s">
        <v>47</v>
      </c>
      <c r="C598" s="14" t="s">
        <v>48</v>
      </c>
      <c r="D598" s="14" t="s">
        <v>56</v>
      </c>
      <c r="E598" s="14" t="s">
        <v>57</v>
      </c>
      <c r="F598" s="15" t="s">
        <v>51</v>
      </c>
      <c r="G598" s="14" t="s">
        <v>58</v>
      </c>
      <c r="H598" s="14" t="s">
        <v>56</v>
      </c>
      <c r="I598" s="14" t="s">
        <v>59</v>
      </c>
      <c r="J598" s="14" t="s">
        <v>200</v>
      </c>
      <c r="K598" s="14" t="s">
        <v>223</v>
      </c>
      <c r="L598" s="14" t="s">
        <v>304</v>
      </c>
      <c r="M598" s="14" t="s">
        <v>877</v>
      </c>
      <c r="N598" s="14" t="s">
        <v>878</v>
      </c>
      <c r="O598" s="14">
        <v>0.0</v>
      </c>
      <c r="P598" s="23">
        <v>0.0</v>
      </c>
      <c r="Q598" s="22" t="str">
        <f t="shared" ref="Q598:R598" si="357">"+0.00%"</f>
        <v>+0.00%</v>
      </c>
      <c r="R598" s="18" t="str">
        <f t="shared" si="357"/>
        <v>+0.00%</v>
      </c>
      <c r="S598" s="14" t="s">
        <v>1014</v>
      </c>
    </row>
    <row r="599">
      <c r="A599" s="13">
        <v>45901.0</v>
      </c>
      <c r="B599" s="14" t="s">
        <v>47</v>
      </c>
      <c r="C599" s="14" t="s">
        <v>48</v>
      </c>
      <c r="D599" s="14" t="s">
        <v>60</v>
      </c>
      <c r="E599" s="14" t="s">
        <v>61</v>
      </c>
      <c r="F599" s="15" t="s">
        <v>51</v>
      </c>
      <c r="G599" s="14" t="s">
        <v>62</v>
      </c>
      <c r="H599" s="14" t="s">
        <v>60</v>
      </c>
      <c r="I599" s="14" t="s">
        <v>59</v>
      </c>
      <c r="J599" s="14" t="s">
        <v>200</v>
      </c>
      <c r="K599" s="14" t="s">
        <v>223</v>
      </c>
      <c r="L599" s="14" t="s">
        <v>487</v>
      </c>
      <c r="M599" s="14" t="s">
        <v>1015</v>
      </c>
      <c r="N599" s="14" t="s">
        <v>1016</v>
      </c>
      <c r="O599" s="14">
        <v>0.0</v>
      </c>
      <c r="P599" s="23">
        <v>0.0</v>
      </c>
      <c r="Q599" s="22" t="str">
        <f t="shared" ref="Q599:R599" si="358">"+0.00%"</f>
        <v>+0.00%</v>
      </c>
      <c r="R599" s="18" t="str">
        <f t="shared" si="358"/>
        <v>+0.00%</v>
      </c>
      <c r="S599" s="14" t="s">
        <v>285</v>
      </c>
    </row>
    <row r="600">
      <c r="A600" s="13">
        <v>45901.0</v>
      </c>
      <c r="B600" s="14" t="s">
        <v>47</v>
      </c>
      <c r="C600" s="14" t="s">
        <v>48</v>
      </c>
      <c r="D600" s="14" t="s">
        <v>121</v>
      </c>
      <c r="E600" s="14" t="s">
        <v>122</v>
      </c>
      <c r="F600" s="15" t="s">
        <v>51</v>
      </c>
      <c r="G600" s="14" t="s">
        <v>123</v>
      </c>
      <c r="H600" s="14" t="s">
        <v>124</v>
      </c>
      <c r="I600" s="14" t="s">
        <v>59</v>
      </c>
      <c r="J600" s="14" t="s">
        <v>200</v>
      </c>
      <c r="K600" s="14" t="s">
        <v>232</v>
      </c>
      <c r="L600" s="14" t="s">
        <v>607</v>
      </c>
      <c r="M600" s="14" t="s">
        <v>869</v>
      </c>
      <c r="N600" s="14" t="s">
        <v>870</v>
      </c>
      <c r="O600" s="14">
        <v>0.0</v>
      </c>
      <c r="P600" s="23">
        <v>-1.0</v>
      </c>
      <c r="Q600" s="22" t="str">
        <f t="shared" ref="Q600:R600" si="359">"+0.00%"</f>
        <v>+0.00%</v>
      </c>
      <c r="R600" s="18" t="str">
        <f t="shared" si="359"/>
        <v>+0.00%</v>
      </c>
      <c r="S600" s="14" t="s">
        <v>1017</v>
      </c>
    </row>
    <row r="601">
      <c r="A601" s="13">
        <v>45901.0</v>
      </c>
      <c r="B601" s="14" t="s">
        <v>47</v>
      </c>
      <c r="C601" s="14" t="s">
        <v>48</v>
      </c>
      <c r="D601" s="14" t="s">
        <v>168</v>
      </c>
      <c r="E601" s="14" t="s">
        <v>169</v>
      </c>
      <c r="F601" s="15" t="s">
        <v>51</v>
      </c>
      <c r="G601" s="14" t="s">
        <v>170</v>
      </c>
      <c r="H601" s="14" t="s">
        <v>168</v>
      </c>
      <c r="I601" s="14" t="s">
        <v>59</v>
      </c>
      <c r="J601" s="14" t="s">
        <v>198</v>
      </c>
      <c r="K601" s="14" t="s">
        <v>212</v>
      </c>
      <c r="L601" s="14" t="s">
        <v>249</v>
      </c>
      <c r="M601" s="14" t="s">
        <v>598</v>
      </c>
      <c r="N601" s="14" t="s">
        <v>599</v>
      </c>
      <c r="O601" s="14">
        <v>88.0</v>
      </c>
      <c r="P601" s="21">
        <v>9150.0</v>
      </c>
      <c r="Q601" s="22" t="str">
        <f>"-305"</f>
        <v>-305</v>
      </c>
      <c r="R601" s="18" t="str">
        <f>"+0"</f>
        <v>+0</v>
      </c>
      <c r="S601" s="14" t="s">
        <v>1018</v>
      </c>
    </row>
    <row r="602">
      <c r="A602" s="13">
        <v>45901.0</v>
      </c>
      <c r="B602" s="14" t="s">
        <v>47</v>
      </c>
      <c r="C602" s="14" t="s">
        <v>48</v>
      </c>
      <c r="D602" s="14" t="s">
        <v>165</v>
      </c>
      <c r="E602" s="14" t="s">
        <v>166</v>
      </c>
      <c r="F602" s="15" t="s">
        <v>51</v>
      </c>
      <c r="G602" s="14" t="s">
        <v>167</v>
      </c>
      <c r="H602" s="14" t="s">
        <v>165</v>
      </c>
      <c r="I602" s="14" t="s">
        <v>54</v>
      </c>
      <c r="J602" s="14" t="s">
        <v>200</v>
      </c>
      <c r="K602" s="14" t="s">
        <v>213</v>
      </c>
      <c r="L602" s="14" t="s">
        <v>676</v>
      </c>
      <c r="M602" s="14" t="s">
        <v>858</v>
      </c>
      <c r="N602" s="14" t="s">
        <v>859</v>
      </c>
      <c r="O602" s="14">
        <v>100.0</v>
      </c>
      <c r="P602" s="23">
        <v>1.0</v>
      </c>
      <c r="Q602" s="22" t="str">
        <f t="shared" ref="Q602:R602" si="360">"+200.00%"</f>
        <v>+200.00%</v>
      </c>
      <c r="R602" s="18" t="str">
        <f t="shared" si="360"/>
        <v>+200.00%</v>
      </c>
      <c r="S602" s="14" t="s">
        <v>1019</v>
      </c>
    </row>
    <row r="603">
      <c r="A603" s="13">
        <v>45901.0</v>
      </c>
      <c r="B603" s="14" t="s">
        <v>47</v>
      </c>
      <c r="C603" s="14" t="s">
        <v>48</v>
      </c>
      <c r="D603" s="14" t="s">
        <v>49</v>
      </c>
      <c r="E603" s="14" t="s">
        <v>50</v>
      </c>
      <c r="F603" s="15" t="s">
        <v>51</v>
      </c>
      <c r="G603" s="14" t="s">
        <v>52</v>
      </c>
      <c r="H603" s="14" t="s">
        <v>53</v>
      </c>
      <c r="I603" s="14" t="s">
        <v>54</v>
      </c>
      <c r="J603" s="14" t="s">
        <v>198</v>
      </c>
      <c r="K603" s="14" t="s">
        <v>210</v>
      </c>
      <c r="L603" s="14" t="s">
        <v>505</v>
      </c>
      <c r="M603" s="14" t="s">
        <v>1020</v>
      </c>
      <c r="N603" s="14" t="s">
        <v>1021</v>
      </c>
      <c r="O603" s="14">
        <v>0.0</v>
      </c>
      <c r="P603" s="21">
        <v>0.0</v>
      </c>
      <c r="Q603" s="22" t="str">
        <f t="shared" ref="Q603:R603" si="361">"+0"</f>
        <v>+0</v>
      </c>
      <c r="R603" s="18" t="str">
        <f t="shared" si="361"/>
        <v>+0</v>
      </c>
      <c r="S603" s="14" t="s">
        <v>277</v>
      </c>
    </row>
    <row r="604">
      <c r="A604" s="13">
        <v>45901.0</v>
      </c>
      <c r="B604" s="14" t="s">
        <v>47</v>
      </c>
      <c r="C604" s="14" t="s">
        <v>48</v>
      </c>
      <c r="D604" s="14" t="s">
        <v>91</v>
      </c>
      <c r="E604" s="14" t="s">
        <v>92</v>
      </c>
      <c r="F604" s="15" t="s">
        <v>51</v>
      </c>
      <c r="G604" s="14" t="s">
        <v>163</v>
      </c>
      <c r="H604" s="14" t="s">
        <v>91</v>
      </c>
      <c r="I604" s="14" t="s">
        <v>59</v>
      </c>
      <c r="J604" s="14" t="s">
        <v>200</v>
      </c>
      <c r="K604" s="14" t="s">
        <v>223</v>
      </c>
      <c r="L604" s="14" t="s">
        <v>286</v>
      </c>
      <c r="M604" s="14" t="s">
        <v>419</v>
      </c>
      <c r="N604" s="14" t="s">
        <v>420</v>
      </c>
      <c r="O604" s="14">
        <v>0.0</v>
      </c>
      <c r="P604" s="23">
        <v>0.0</v>
      </c>
      <c r="Q604" s="22" t="str">
        <f t="shared" ref="Q604:R604" si="362">"+0.00%"</f>
        <v>+0.00%</v>
      </c>
      <c r="R604" s="18" t="str">
        <f t="shared" si="362"/>
        <v>+0.00%</v>
      </c>
      <c r="S604" s="14" t="s">
        <v>371</v>
      </c>
    </row>
    <row r="605">
      <c r="A605" s="13">
        <v>45901.0</v>
      </c>
      <c r="B605" s="14" t="s">
        <v>47</v>
      </c>
      <c r="C605" s="14" t="s">
        <v>48</v>
      </c>
      <c r="D605" s="14" t="s">
        <v>118</v>
      </c>
      <c r="E605" s="14" t="s">
        <v>119</v>
      </c>
      <c r="F605" s="15" t="s">
        <v>51</v>
      </c>
      <c r="G605" s="14" t="s">
        <v>120</v>
      </c>
      <c r="H605" s="14" t="s">
        <v>118</v>
      </c>
      <c r="I605" s="14" t="s">
        <v>59</v>
      </c>
      <c r="J605" s="14" t="s">
        <v>198</v>
      </c>
      <c r="K605" s="14" t="s">
        <v>205</v>
      </c>
      <c r="L605" s="14" t="s">
        <v>274</v>
      </c>
      <c r="M605" s="14" t="s">
        <v>466</v>
      </c>
      <c r="N605" s="14" t="s">
        <v>467</v>
      </c>
      <c r="O605" s="14">
        <v>100.0</v>
      </c>
      <c r="P605" s="21">
        <v>1.0</v>
      </c>
      <c r="Q605" s="22" t="str">
        <f>"+0"</f>
        <v>+0</v>
      </c>
      <c r="S605" s="14" t="s">
        <v>281</v>
      </c>
    </row>
    <row r="606">
      <c r="A606" s="13">
        <v>45901.0</v>
      </c>
      <c r="B606" s="14" t="s">
        <v>47</v>
      </c>
      <c r="C606" s="14" t="s">
        <v>48</v>
      </c>
      <c r="D606" s="14" t="s">
        <v>91</v>
      </c>
      <c r="E606" s="14" t="s">
        <v>92</v>
      </c>
      <c r="F606" s="15" t="s">
        <v>51</v>
      </c>
      <c r="G606" s="14" t="s">
        <v>163</v>
      </c>
      <c r="H606" s="14" t="s">
        <v>91</v>
      </c>
      <c r="I606" s="14" t="s">
        <v>59</v>
      </c>
      <c r="J606" s="14" t="s">
        <v>200</v>
      </c>
      <c r="K606" s="14" t="s">
        <v>214</v>
      </c>
      <c r="L606" s="14" t="s">
        <v>253</v>
      </c>
      <c r="M606" s="14" t="s">
        <v>389</v>
      </c>
      <c r="N606" s="14" t="s">
        <v>390</v>
      </c>
      <c r="O606" s="14">
        <v>0.0</v>
      </c>
      <c r="P606" s="17"/>
      <c r="Q606" s="22"/>
      <c r="S606" s="14" t="s">
        <v>1022</v>
      </c>
    </row>
    <row r="607">
      <c r="A607" s="13">
        <v>45901.0</v>
      </c>
      <c r="B607" s="14" t="s">
        <v>47</v>
      </c>
      <c r="C607" s="14" t="s">
        <v>48</v>
      </c>
      <c r="D607" s="14" t="s">
        <v>63</v>
      </c>
      <c r="E607" s="14" t="s">
        <v>64</v>
      </c>
      <c r="F607" s="15" t="s">
        <v>51</v>
      </c>
      <c r="G607" s="14" t="s">
        <v>65</v>
      </c>
      <c r="H607" s="14" t="s">
        <v>63</v>
      </c>
      <c r="I607" s="14" t="s">
        <v>54</v>
      </c>
      <c r="J607" s="14" t="s">
        <v>200</v>
      </c>
      <c r="K607" s="14" t="s">
        <v>224</v>
      </c>
      <c r="L607" s="14" t="s">
        <v>436</v>
      </c>
      <c r="M607" s="14" t="s">
        <v>437</v>
      </c>
      <c r="N607" s="14" t="s">
        <v>438</v>
      </c>
      <c r="O607" s="14">
        <v>7.0</v>
      </c>
      <c r="P607" s="23">
        <v>0.0714</v>
      </c>
      <c r="Q607" s="22" t="str">
        <f>"-2.38%"</f>
        <v>-2.38%</v>
      </c>
      <c r="R607" s="18" t="str">
        <f>"-1.95%"</f>
        <v>-1.95%</v>
      </c>
      <c r="S607" s="14" t="s">
        <v>1023</v>
      </c>
    </row>
    <row r="608">
      <c r="A608" s="13">
        <v>45901.0</v>
      </c>
      <c r="B608" s="14" t="s">
        <v>47</v>
      </c>
      <c r="C608" s="14" t="s">
        <v>48</v>
      </c>
      <c r="D608" s="14" t="s">
        <v>63</v>
      </c>
      <c r="E608" s="14" t="s">
        <v>64</v>
      </c>
      <c r="F608" s="15" t="s">
        <v>51</v>
      </c>
      <c r="G608" s="14" t="s">
        <v>65</v>
      </c>
      <c r="H608" s="14" t="s">
        <v>63</v>
      </c>
      <c r="I608" s="14" t="s">
        <v>54</v>
      </c>
      <c r="J608" s="14" t="s">
        <v>200</v>
      </c>
      <c r="K608" s="14" t="s">
        <v>211</v>
      </c>
      <c r="L608" s="14" t="s">
        <v>253</v>
      </c>
      <c r="M608" s="14" t="s">
        <v>1024</v>
      </c>
      <c r="N608" s="14" t="s">
        <v>1025</v>
      </c>
      <c r="O608" s="14">
        <v>9.0</v>
      </c>
      <c r="P608" s="23">
        <v>0.0955</v>
      </c>
      <c r="Q608" s="22" t="str">
        <f>"-6.85%"</f>
        <v>-6.85%</v>
      </c>
      <c r="R608" s="18" t="str">
        <f>"-18.17%"</f>
        <v>-18.17%</v>
      </c>
      <c r="S608" s="14" t="s">
        <v>971</v>
      </c>
    </row>
    <row r="609">
      <c r="A609" s="13">
        <v>45901.0</v>
      </c>
      <c r="B609" s="14" t="s">
        <v>47</v>
      </c>
      <c r="C609" s="14" t="s">
        <v>48</v>
      </c>
      <c r="D609" s="14" t="s">
        <v>63</v>
      </c>
      <c r="E609" s="14" t="s">
        <v>64</v>
      </c>
      <c r="F609" s="15" t="s">
        <v>51</v>
      </c>
      <c r="G609" s="14" t="s">
        <v>65</v>
      </c>
      <c r="H609" s="14" t="s">
        <v>63</v>
      </c>
      <c r="I609" s="14" t="s">
        <v>54</v>
      </c>
      <c r="J609" s="14" t="s">
        <v>200</v>
      </c>
      <c r="K609" s="14" t="s">
        <v>213</v>
      </c>
      <c r="L609" s="14" t="s">
        <v>257</v>
      </c>
      <c r="M609" s="14" t="s">
        <v>258</v>
      </c>
      <c r="N609" s="14" t="s">
        <v>259</v>
      </c>
      <c r="O609" s="14">
        <v>100.0</v>
      </c>
      <c r="P609" s="21">
        <v>313.0</v>
      </c>
      <c r="Q609" s="22" t="str">
        <f t="shared" ref="Q609:R609" si="363">"+2"</f>
        <v>+2</v>
      </c>
      <c r="R609" s="18" t="str">
        <f t="shared" si="363"/>
        <v>+2</v>
      </c>
      <c r="S609" s="14" t="s">
        <v>260</v>
      </c>
    </row>
    <row r="610">
      <c r="A610" s="13">
        <v>45901.0</v>
      </c>
      <c r="B610" s="14" t="s">
        <v>47</v>
      </c>
      <c r="C610" s="14" t="s">
        <v>48</v>
      </c>
      <c r="D610" s="14" t="s">
        <v>118</v>
      </c>
      <c r="E610" s="14" t="s">
        <v>119</v>
      </c>
      <c r="F610" s="15" t="s">
        <v>51</v>
      </c>
      <c r="G610" s="14" t="s">
        <v>120</v>
      </c>
      <c r="H610" s="14" t="s">
        <v>118</v>
      </c>
      <c r="I610" s="14" t="s">
        <v>59</v>
      </c>
      <c r="J610" s="14" t="s">
        <v>199</v>
      </c>
      <c r="K610" s="14" t="s">
        <v>206</v>
      </c>
      <c r="L610" s="14" t="s">
        <v>531</v>
      </c>
      <c r="M610" s="14" t="s">
        <v>531</v>
      </c>
      <c r="N610" s="14" t="s">
        <v>532</v>
      </c>
      <c r="O610" s="14">
        <v>75.0</v>
      </c>
      <c r="P610" s="21">
        <v>1.0</v>
      </c>
      <c r="Q610" s="22" t="str">
        <f t="shared" ref="Q610:R610" si="364">"+0"</f>
        <v>+0</v>
      </c>
      <c r="R610" s="18" t="str">
        <f t="shared" si="364"/>
        <v>+0</v>
      </c>
      <c r="S610" s="14" t="s">
        <v>260</v>
      </c>
    </row>
    <row r="611">
      <c r="A611" s="13">
        <v>45901.0</v>
      </c>
      <c r="B611" s="14" t="s">
        <v>47</v>
      </c>
      <c r="C611" s="14" t="s">
        <v>48</v>
      </c>
      <c r="D611" s="14" t="s">
        <v>66</v>
      </c>
      <c r="E611" s="14" t="s">
        <v>67</v>
      </c>
      <c r="F611" s="15" t="s">
        <v>51</v>
      </c>
      <c r="G611" s="14" t="s">
        <v>68</v>
      </c>
      <c r="H611" s="14" t="s">
        <v>66</v>
      </c>
      <c r="I611" s="14" t="s">
        <v>59</v>
      </c>
      <c r="J611" s="14" t="s">
        <v>200</v>
      </c>
      <c r="K611" s="14" t="s">
        <v>223</v>
      </c>
      <c r="L611" s="14" t="s">
        <v>261</v>
      </c>
      <c r="M611" s="14" t="s">
        <v>864</v>
      </c>
      <c r="N611" s="14" t="s">
        <v>865</v>
      </c>
      <c r="O611" s="14">
        <v>0.0</v>
      </c>
      <c r="P611" s="23">
        <v>0.0</v>
      </c>
      <c r="Q611" s="22" t="str">
        <f t="shared" ref="Q611:R611" si="365">"+0.00%"</f>
        <v>+0.00%</v>
      </c>
      <c r="R611" s="18" t="str">
        <f t="shared" si="365"/>
        <v>+0.00%</v>
      </c>
      <c r="S611" s="14" t="s">
        <v>285</v>
      </c>
    </row>
    <row r="612">
      <c r="A612" s="13">
        <v>45901.0</v>
      </c>
      <c r="B612" s="14" t="s">
        <v>47</v>
      </c>
      <c r="C612" s="14" t="s">
        <v>48</v>
      </c>
      <c r="D612" s="14" t="s">
        <v>132</v>
      </c>
      <c r="E612" s="14" t="s">
        <v>133</v>
      </c>
      <c r="F612" s="15" t="s">
        <v>51</v>
      </c>
      <c r="G612" s="14" t="s">
        <v>134</v>
      </c>
      <c r="H612" s="14" t="s">
        <v>135</v>
      </c>
      <c r="I612" s="14" t="s">
        <v>59</v>
      </c>
      <c r="J612" s="14" t="s">
        <v>199</v>
      </c>
      <c r="K612" s="14" t="s">
        <v>206</v>
      </c>
      <c r="L612" s="14" t="s">
        <v>433</v>
      </c>
      <c r="M612" s="14" t="s">
        <v>433</v>
      </c>
      <c r="N612" s="14" t="s">
        <v>434</v>
      </c>
      <c r="O612" s="14">
        <v>0.0</v>
      </c>
      <c r="P612" s="21">
        <v>0.0</v>
      </c>
      <c r="Q612" s="22" t="str">
        <f t="shared" ref="Q612:R612" si="366">"+0"</f>
        <v>+0</v>
      </c>
      <c r="R612" s="18" t="str">
        <f t="shared" si="366"/>
        <v>+0</v>
      </c>
      <c r="S612" s="14" t="s">
        <v>383</v>
      </c>
    </row>
    <row r="613">
      <c r="A613" s="13">
        <v>45901.0</v>
      </c>
      <c r="B613" s="14" t="s">
        <v>47</v>
      </c>
      <c r="C613" s="14" t="s">
        <v>48</v>
      </c>
      <c r="D613" s="14" t="s">
        <v>143</v>
      </c>
      <c r="E613" s="14" t="s">
        <v>144</v>
      </c>
      <c r="F613" s="15" t="s">
        <v>51</v>
      </c>
      <c r="G613" s="14" t="s">
        <v>145</v>
      </c>
      <c r="H613" s="14" t="s">
        <v>143</v>
      </c>
      <c r="I613" s="14" t="s">
        <v>59</v>
      </c>
      <c r="J613" s="14" t="s">
        <v>200</v>
      </c>
      <c r="K613" s="14" t="s">
        <v>224</v>
      </c>
      <c r="L613" s="14" t="s">
        <v>427</v>
      </c>
      <c r="M613" s="14" t="s">
        <v>617</v>
      </c>
      <c r="N613" s="14" t="s">
        <v>618</v>
      </c>
      <c r="O613" s="14">
        <v>0.0</v>
      </c>
      <c r="P613" s="23">
        <v>0.0</v>
      </c>
      <c r="Q613" s="22" t="str">
        <f t="shared" ref="Q613:Q614" si="367">"+0.00%"</f>
        <v>+0.00%</v>
      </c>
      <c r="S613" s="14" t="s">
        <v>619</v>
      </c>
    </row>
    <row r="614">
      <c r="A614" s="13">
        <v>45901.0</v>
      </c>
      <c r="B614" s="14" t="s">
        <v>47</v>
      </c>
      <c r="C614" s="14" t="s">
        <v>48</v>
      </c>
      <c r="D614" s="14" t="s">
        <v>73</v>
      </c>
      <c r="E614" s="14" t="s">
        <v>74</v>
      </c>
      <c r="F614" s="15" t="s">
        <v>51</v>
      </c>
      <c r="G614" s="14" t="s">
        <v>75</v>
      </c>
      <c r="H614" s="14" t="s">
        <v>76</v>
      </c>
      <c r="I614" s="14" t="s">
        <v>59</v>
      </c>
      <c r="J614" s="14" t="s">
        <v>200</v>
      </c>
      <c r="K614" s="14" t="s">
        <v>232</v>
      </c>
      <c r="L614" s="14" t="s">
        <v>286</v>
      </c>
      <c r="M614" s="14" t="s">
        <v>644</v>
      </c>
      <c r="N614" s="14" t="s">
        <v>645</v>
      </c>
      <c r="O614" s="14">
        <v>0.0</v>
      </c>
      <c r="P614" s="23">
        <v>-1.0</v>
      </c>
      <c r="Q614" s="22" t="str">
        <f t="shared" si="367"/>
        <v>+0.00%</v>
      </c>
      <c r="R614" s="18" t="str">
        <f>"+0.00%"</f>
        <v>+0.00%</v>
      </c>
      <c r="S614" s="14" t="s">
        <v>724</v>
      </c>
    </row>
    <row r="615">
      <c r="A615" s="13">
        <v>45901.0</v>
      </c>
      <c r="B615" s="14" t="s">
        <v>47</v>
      </c>
      <c r="C615" s="14" t="s">
        <v>48</v>
      </c>
      <c r="D615" s="14" t="s">
        <v>171</v>
      </c>
      <c r="E615" s="14" t="s">
        <v>172</v>
      </c>
      <c r="F615" s="15" t="s">
        <v>51</v>
      </c>
      <c r="G615" s="14" t="s">
        <v>173</v>
      </c>
      <c r="H615" s="14" t="s">
        <v>171</v>
      </c>
      <c r="I615" s="14" t="s">
        <v>59</v>
      </c>
      <c r="J615" s="14" t="s">
        <v>199</v>
      </c>
      <c r="K615" s="14" t="s">
        <v>208</v>
      </c>
      <c r="L615" s="14" t="s">
        <v>412</v>
      </c>
      <c r="M615" s="14" t="s">
        <v>412</v>
      </c>
      <c r="N615" s="14" t="s">
        <v>413</v>
      </c>
      <c r="O615" s="14">
        <v>0.0</v>
      </c>
      <c r="P615" s="21">
        <v>0.0</v>
      </c>
      <c r="Q615" s="22" t="str">
        <f t="shared" ref="Q615:R615" si="368">"+0"</f>
        <v>+0</v>
      </c>
      <c r="R615" s="18" t="str">
        <f t="shared" si="368"/>
        <v>+0</v>
      </c>
      <c r="S615" s="14" t="s">
        <v>260</v>
      </c>
    </row>
    <row r="616">
      <c r="A616" s="13">
        <v>45901.0</v>
      </c>
      <c r="B616" s="14" t="s">
        <v>47</v>
      </c>
      <c r="C616" s="14" t="s">
        <v>48</v>
      </c>
      <c r="D616" s="14" t="s">
        <v>96</v>
      </c>
      <c r="E616" s="14" t="s">
        <v>97</v>
      </c>
      <c r="F616" s="15" t="s">
        <v>51</v>
      </c>
      <c r="G616" s="14" t="s">
        <v>98</v>
      </c>
      <c r="H616" s="14" t="s">
        <v>96</v>
      </c>
      <c r="I616" s="14" t="s">
        <v>59</v>
      </c>
      <c r="J616" s="14" t="s">
        <v>200</v>
      </c>
      <c r="K616" s="14" t="s">
        <v>223</v>
      </c>
      <c r="L616" s="14" t="s">
        <v>261</v>
      </c>
      <c r="M616" s="14" t="s">
        <v>566</v>
      </c>
      <c r="N616" s="14" t="s">
        <v>567</v>
      </c>
      <c r="O616" s="14">
        <v>0.0</v>
      </c>
      <c r="P616" s="23">
        <v>0.0</v>
      </c>
      <c r="Q616" s="22" t="str">
        <f t="shared" ref="Q616:R616" si="369">"+0.00%"</f>
        <v>+0.00%</v>
      </c>
      <c r="R616" s="18" t="str">
        <f t="shared" si="369"/>
        <v>+0.00%</v>
      </c>
      <c r="S616" s="14" t="s">
        <v>1026</v>
      </c>
    </row>
    <row r="617">
      <c r="A617" s="13">
        <v>45901.0</v>
      </c>
      <c r="B617" s="14" t="s">
        <v>47</v>
      </c>
      <c r="C617" s="14" t="s">
        <v>48</v>
      </c>
      <c r="D617" s="14" t="s">
        <v>69</v>
      </c>
      <c r="E617" s="14" t="s">
        <v>70</v>
      </c>
      <c r="F617" s="15" t="s">
        <v>51</v>
      </c>
      <c r="G617" s="14" t="s">
        <v>115</v>
      </c>
      <c r="H617" s="14" t="s">
        <v>72</v>
      </c>
      <c r="I617" s="14" t="s">
        <v>54</v>
      </c>
      <c r="J617" s="14" t="s">
        <v>199</v>
      </c>
      <c r="K617" s="14" t="s">
        <v>206</v>
      </c>
      <c r="L617" s="14" t="s">
        <v>295</v>
      </c>
      <c r="M617" s="14" t="s">
        <v>296</v>
      </c>
      <c r="N617" s="14" t="s">
        <v>297</v>
      </c>
      <c r="O617" s="14">
        <v>0.0</v>
      </c>
      <c r="P617" s="21">
        <v>0.0</v>
      </c>
      <c r="Q617" s="22" t="str">
        <f t="shared" ref="Q617:R617" si="370">"+0"</f>
        <v>+0</v>
      </c>
      <c r="R617" s="18" t="str">
        <f t="shared" si="370"/>
        <v>+0</v>
      </c>
      <c r="S617" s="14" t="s">
        <v>260</v>
      </c>
    </row>
    <row r="618">
      <c r="A618" s="13">
        <v>45901.0</v>
      </c>
      <c r="B618" s="14" t="s">
        <v>47</v>
      </c>
      <c r="C618" s="14" t="s">
        <v>48</v>
      </c>
      <c r="D618" s="14" t="s">
        <v>77</v>
      </c>
      <c r="E618" s="14" t="s">
        <v>78</v>
      </c>
      <c r="F618" s="15" t="s">
        <v>51</v>
      </c>
      <c r="G618" s="14" t="s">
        <v>128</v>
      </c>
      <c r="H618" s="14" t="s">
        <v>81</v>
      </c>
      <c r="I618" s="14" t="s">
        <v>59</v>
      </c>
      <c r="J618" s="14" t="s">
        <v>200</v>
      </c>
      <c r="K618" s="14" t="s">
        <v>223</v>
      </c>
      <c r="L618" s="14" t="s">
        <v>487</v>
      </c>
      <c r="M618" s="14" t="s">
        <v>788</v>
      </c>
      <c r="N618" s="14" t="s">
        <v>789</v>
      </c>
      <c r="O618" s="14">
        <v>0.0</v>
      </c>
      <c r="P618" s="23">
        <v>0.0</v>
      </c>
      <c r="Q618" s="22" t="str">
        <f t="shared" ref="Q618:R618" si="371">"+0.00%"</f>
        <v>+0.00%</v>
      </c>
      <c r="R618" s="18" t="str">
        <f t="shared" si="371"/>
        <v>+0.00%</v>
      </c>
      <c r="S618" s="14" t="s">
        <v>285</v>
      </c>
    </row>
    <row r="619">
      <c r="A619" s="13">
        <v>45901.0</v>
      </c>
      <c r="B619" s="14" t="s">
        <v>47</v>
      </c>
      <c r="C619" s="14" t="s">
        <v>48</v>
      </c>
      <c r="D619" s="14" t="s">
        <v>108</v>
      </c>
      <c r="E619" s="14" t="s">
        <v>109</v>
      </c>
      <c r="F619" s="15" t="s">
        <v>51</v>
      </c>
      <c r="G619" s="14" t="s">
        <v>110</v>
      </c>
      <c r="H619" s="14" t="s">
        <v>108</v>
      </c>
      <c r="I619" s="14" t="s">
        <v>59</v>
      </c>
      <c r="J619" s="14" t="s">
        <v>200</v>
      </c>
      <c r="K619" s="14" t="s">
        <v>222</v>
      </c>
      <c r="L619" s="14" t="s">
        <v>253</v>
      </c>
      <c r="M619" s="14" t="s">
        <v>732</v>
      </c>
      <c r="N619" s="14" t="s">
        <v>733</v>
      </c>
      <c r="O619" s="14">
        <v>50.0</v>
      </c>
      <c r="P619" s="21">
        <v>1.0</v>
      </c>
      <c r="Q619" s="22" t="str">
        <f t="shared" ref="Q619:R619" si="372">"+0"</f>
        <v>+0</v>
      </c>
      <c r="R619" s="18" t="str">
        <f t="shared" si="372"/>
        <v>+0</v>
      </c>
      <c r="S619" s="14" t="s">
        <v>450</v>
      </c>
    </row>
    <row r="620">
      <c r="A620" s="13">
        <v>45901.0</v>
      </c>
      <c r="B620" s="14" t="s">
        <v>47</v>
      </c>
      <c r="C620" s="14" t="s">
        <v>48</v>
      </c>
      <c r="D620" s="14" t="s">
        <v>56</v>
      </c>
      <c r="E620" s="14" t="s">
        <v>57</v>
      </c>
      <c r="F620" s="15" t="s">
        <v>51</v>
      </c>
      <c r="G620" s="14" t="s">
        <v>58</v>
      </c>
      <c r="H620" s="14" t="s">
        <v>56</v>
      </c>
      <c r="I620" s="14" t="s">
        <v>59</v>
      </c>
      <c r="J620" s="14" t="s">
        <v>198</v>
      </c>
      <c r="K620" s="14" t="s">
        <v>205</v>
      </c>
      <c r="L620" s="14" t="s">
        <v>274</v>
      </c>
      <c r="M620" s="14" t="s">
        <v>473</v>
      </c>
      <c r="N620" s="14" t="s">
        <v>474</v>
      </c>
      <c r="O620" s="14">
        <v>50.0</v>
      </c>
      <c r="P620" s="21">
        <v>15.0</v>
      </c>
      <c r="Q620" s="22" t="str">
        <f>"+0"</f>
        <v>+0</v>
      </c>
      <c r="S620" s="14" t="s">
        <v>475</v>
      </c>
    </row>
    <row r="621">
      <c r="A621" s="13">
        <v>45901.0</v>
      </c>
      <c r="B621" s="14" t="s">
        <v>47</v>
      </c>
      <c r="C621" s="14" t="s">
        <v>48</v>
      </c>
      <c r="D621" s="14" t="s">
        <v>121</v>
      </c>
      <c r="E621" s="14" t="s">
        <v>122</v>
      </c>
      <c r="F621" s="15" t="s">
        <v>51</v>
      </c>
      <c r="G621" s="14" t="s">
        <v>123</v>
      </c>
      <c r="H621" s="14" t="s">
        <v>124</v>
      </c>
      <c r="I621" s="14" t="s">
        <v>59</v>
      </c>
      <c r="J621" s="14" t="s">
        <v>200</v>
      </c>
      <c r="K621" s="14" t="s">
        <v>232</v>
      </c>
      <c r="L621" s="14" t="s">
        <v>607</v>
      </c>
      <c r="M621" s="14" t="s">
        <v>1027</v>
      </c>
      <c r="N621" s="14" t="s">
        <v>1028</v>
      </c>
      <c r="O621" s="14">
        <v>0.0</v>
      </c>
      <c r="P621" s="23">
        <v>-1.0</v>
      </c>
      <c r="Q621" s="22" t="str">
        <f t="shared" ref="Q621:R621" si="373">"+0.00%"</f>
        <v>+0.00%</v>
      </c>
      <c r="R621" s="18" t="str">
        <f t="shared" si="373"/>
        <v>+0.00%</v>
      </c>
      <c r="S621" s="14" t="s">
        <v>1029</v>
      </c>
    </row>
    <row r="622">
      <c r="A622" s="13">
        <v>45901.0</v>
      </c>
      <c r="B622" s="14" t="s">
        <v>47</v>
      </c>
      <c r="C622" s="14" t="s">
        <v>48</v>
      </c>
      <c r="D622" s="14" t="s">
        <v>181</v>
      </c>
      <c r="E622" s="14" t="s">
        <v>182</v>
      </c>
      <c r="F622" s="15" t="s">
        <v>51</v>
      </c>
      <c r="G622" s="14" t="s">
        <v>183</v>
      </c>
      <c r="H622" s="14" t="s">
        <v>181</v>
      </c>
      <c r="I622" s="14" t="s">
        <v>59</v>
      </c>
      <c r="J622" s="14" t="s">
        <v>200</v>
      </c>
      <c r="K622" s="14" t="s">
        <v>232</v>
      </c>
      <c r="L622" s="14" t="s">
        <v>304</v>
      </c>
      <c r="M622" s="14" t="s">
        <v>877</v>
      </c>
      <c r="N622" s="14" t="s">
        <v>878</v>
      </c>
      <c r="O622" s="14">
        <v>0.0</v>
      </c>
      <c r="P622" s="23">
        <v>0.0</v>
      </c>
      <c r="Q622" s="22" t="str">
        <f t="shared" ref="Q622:R622" si="374">"+0.00%"</f>
        <v>+0.00%</v>
      </c>
      <c r="R622" s="18" t="str">
        <f t="shared" si="374"/>
        <v>+0.00%</v>
      </c>
      <c r="S622" s="14" t="s">
        <v>1030</v>
      </c>
    </row>
    <row r="623">
      <c r="A623" s="13">
        <v>45901.0</v>
      </c>
      <c r="B623" s="14" t="s">
        <v>47</v>
      </c>
      <c r="C623" s="14" t="s">
        <v>48</v>
      </c>
      <c r="D623" s="14" t="s">
        <v>60</v>
      </c>
      <c r="E623" s="14" t="s">
        <v>61</v>
      </c>
      <c r="F623" s="15" t="s">
        <v>51</v>
      </c>
      <c r="G623" s="14" t="s">
        <v>62</v>
      </c>
      <c r="H623" s="14" t="s">
        <v>60</v>
      </c>
      <c r="I623" s="14" t="s">
        <v>59</v>
      </c>
      <c r="J623" s="14" t="s">
        <v>200</v>
      </c>
      <c r="K623" s="14" t="s">
        <v>223</v>
      </c>
      <c r="L623" s="14" t="s">
        <v>289</v>
      </c>
      <c r="M623" s="14" t="s">
        <v>984</v>
      </c>
      <c r="N623" s="14" t="s">
        <v>985</v>
      </c>
      <c r="O623" s="14">
        <v>0.0</v>
      </c>
      <c r="P623" s="23">
        <v>0.0</v>
      </c>
      <c r="Q623" s="22" t="str">
        <f t="shared" ref="Q623:R623" si="375">"+0.00%"</f>
        <v>+0.00%</v>
      </c>
      <c r="R623" s="18" t="str">
        <f t="shared" si="375"/>
        <v>+0.00%</v>
      </c>
      <c r="S623" s="14" t="s">
        <v>285</v>
      </c>
    </row>
    <row r="624">
      <c r="A624" s="13">
        <v>45901.0</v>
      </c>
      <c r="B624" s="14" t="s">
        <v>47</v>
      </c>
      <c r="C624" s="14" t="s">
        <v>48</v>
      </c>
      <c r="D624" s="14" t="s">
        <v>165</v>
      </c>
      <c r="E624" s="14" t="s">
        <v>166</v>
      </c>
      <c r="F624" s="15" t="s">
        <v>51</v>
      </c>
      <c r="G624" s="14" t="s">
        <v>167</v>
      </c>
      <c r="H624" s="14" t="s">
        <v>165</v>
      </c>
      <c r="I624" s="14" t="s">
        <v>54</v>
      </c>
      <c r="J624" s="14" t="s">
        <v>198</v>
      </c>
      <c r="K624" s="14" t="s">
        <v>210</v>
      </c>
      <c r="L624" s="14" t="s">
        <v>264</v>
      </c>
      <c r="M624" s="14" t="s">
        <v>1031</v>
      </c>
      <c r="N624" s="14" t="s">
        <v>1032</v>
      </c>
      <c r="O624" s="14">
        <v>0.0</v>
      </c>
      <c r="P624" s="21">
        <v>0.0</v>
      </c>
      <c r="Q624" s="22" t="str">
        <f t="shared" ref="Q624:R624" si="376">"+0"</f>
        <v>+0</v>
      </c>
      <c r="R624" s="18" t="str">
        <f t="shared" si="376"/>
        <v>+0</v>
      </c>
      <c r="S624" s="14" t="s">
        <v>277</v>
      </c>
    </row>
    <row r="625">
      <c r="A625" s="13">
        <v>45901.0</v>
      </c>
      <c r="B625" s="14" t="s">
        <v>47</v>
      </c>
      <c r="C625" s="14" t="s">
        <v>48</v>
      </c>
      <c r="D625" s="14" t="s">
        <v>99</v>
      </c>
      <c r="E625" s="14" t="s">
        <v>100</v>
      </c>
      <c r="F625" s="15" t="s">
        <v>51</v>
      </c>
      <c r="G625" s="14" t="s">
        <v>101</v>
      </c>
      <c r="H625" s="14" t="s">
        <v>102</v>
      </c>
      <c r="I625" s="14" t="s">
        <v>54</v>
      </c>
      <c r="J625" s="14" t="s">
        <v>198</v>
      </c>
      <c r="K625" s="14" t="s">
        <v>210</v>
      </c>
      <c r="L625" s="14" t="s">
        <v>264</v>
      </c>
      <c r="M625" s="14" t="s">
        <v>1033</v>
      </c>
      <c r="N625" s="14" t="s">
        <v>1034</v>
      </c>
      <c r="O625" s="14">
        <v>0.0</v>
      </c>
      <c r="P625" s="21">
        <v>0.0</v>
      </c>
      <c r="Q625" s="22" t="str">
        <f t="shared" ref="Q625:R625" si="377">"+0"</f>
        <v>+0</v>
      </c>
      <c r="R625" s="18" t="str">
        <f t="shared" si="377"/>
        <v>+0</v>
      </c>
      <c r="S625" s="14" t="s">
        <v>277</v>
      </c>
    </row>
    <row r="626">
      <c r="A626" s="13">
        <v>45901.0</v>
      </c>
      <c r="B626" s="14" t="s">
        <v>47</v>
      </c>
      <c r="C626" s="14" t="s">
        <v>48</v>
      </c>
      <c r="D626" s="14" t="s">
        <v>118</v>
      </c>
      <c r="E626" s="14" t="s">
        <v>119</v>
      </c>
      <c r="F626" s="15" t="s">
        <v>51</v>
      </c>
      <c r="G626" s="14" t="s">
        <v>120</v>
      </c>
      <c r="H626" s="14" t="s">
        <v>118</v>
      </c>
      <c r="I626" s="14" t="s">
        <v>59</v>
      </c>
      <c r="J626" s="14" t="s">
        <v>200</v>
      </c>
      <c r="K626" s="14" t="s">
        <v>227</v>
      </c>
      <c r="L626" s="14" t="s">
        <v>270</v>
      </c>
      <c r="M626" s="14" t="s">
        <v>400</v>
      </c>
      <c r="N626" s="14" t="s">
        <v>401</v>
      </c>
      <c r="O626" s="14">
        <v>0.0</v>
      </c>
      <c r="P626" s="21">
        <v>0.0</v>
      </c>
      <c r="Q626" s="22" t="str">
        <f t="shared" ref="Q626:Q627" si="378">"+0"</f>
        <v>+0</v>
      </c>
      <c r="R626" s="18" t="str">
        <f>"-1"</f>
        <v>-1</v>
      </c>
      <c r="S626" s="14" t="s">
        <v>260</v>
      </c>
    </row>
    <row r="627">
      <c r="A627" s="13">
        <v>45901.0</v>
      </c>
      <c r="B627" s="14" t="s">
        <v>47</v>
      </c>
      <c r="C627" s="14" t="s">
        <v>48</v>
      </c>
      <c r="D627" s="14" t="s">
        <v>91</v>
      </c>
      <c r="E627" s="14" t="s">
        <v>92</v>
      </c>
      <c r="F627" s="15" t="s">
        <v>51</v>
      </c>
      <c r="G627" s="14" t="s">
        <v>163</v>
      </c>
      <c r="H627" s="14" t="s">
        <v>91</v>
      </c>
      <c r="I627" s="14" t="s">
        <v>59</v>
      </c>
      <c r="J627" s="14" t="s">
        <v>200</v>
      </c>
      <c r="K627" s="14" t="s">
        <v>223</v>
      </c>
      <c r="L627" s="14" t="s">
        <v>261</v>
      </c>
      <c r="M627" s="14" t="s">
        <v>262</v>
      </c>
      <c r="N627" s="14" t="s">
        <v>263</v>
      </c>
      <c r="O627" s="14">
        <v>0.0</v>
      </c>
      <c r="P627" s="21">
        <v>0.0</v>
      </c>
      <c r="Q627" s="22" t="str">
        <f t="shared" si="378"/>
        <v>+0</v>
      </c>
      <c r="R627" s="18" t="str">
        <f>"+0"</f>
        <v>+0</v>
      </c>
      <c r="S627" s="14" t="s">
        <v>260</v>
      </c>
    </row>
    <row r="628">
      <c r="A628" s="13">
        <v>45901.0</v>
      </c>
      <c r="B628" s="14" t="s">
        <v>47</v>
      </c>
      <c r="C628" s="14" t="s">
        <v>48</v>
      </c>
      <c r="D628" s="14" t="s">
        <v>91</v>
      </c>
      <c r="E628" s="14" t="s">
        <v>92</v>
      </c>
      <c r="F628" s="15" t="s">
        <v>51</v>
      </c>
      <c r="G628" s="14" t="s">
        <v>163</v>
      </c>
      <c r="H628" s="14" t="s">
        <v>91</v>
      </c>
      <c r="I628" s="14" t="s">
        <v>59</v>
      </c>
      <c r="J628" s="14" t="s">
        <v>200</v>
      </c>
      <c r="K628" s="14" t="s">
        <v>223</v>
      </c>
      <c r="L628" s="14" t="s">
        <v>607</v>
      </c>
      <c r="M628" s="14" t="s">
        <v>1035</v>
      </c>
      <c r="N628" s="14" t="s">
        <v>1036</v>
      </c>
      <c r="O628" s="14">
        <v>0.0</v>
      </c>
      <c r="P628" s="23">
        <v>0.0</v>
      </c>
      <c r="Q628" s="22" t="str">
        <f t="shared" ref="Q628:R628" si="379">"+0.00%"</f>
        <v>+0.00%</v>
      </c>
      <c r="R628" s="18" t="str">
        <f t="shared" si="379"/>
        <v>+0.00%</v>
      </c>
      <c r="S628" s="14" t="s">
        <v>1037</v>
      </c>
    </row>
    <row r="629">
      <c r="A629" s="13">
        <v>45901.0</v>
      </c>
      <c r="B629" s="14" t="s">
        <v>47</v>
      </c>
      <c r="C629" s="14" t="s">
        <v>48</v>
      </c>
      <c r="D629" s="14" t="s">
        <v>66</v>
      </c>
      <c r="E629" s="14" t="s">
        <v>67</v>
      </c>
      <c r="F629" s="15" t="s">
        <v>51</v>
      </c>
      <c r="G629" s="14" t="s">
        <v>68</v>
      </c>
      <c r="H629" s="14" t="s">
        <v>66</v>
      </c>
      <c r="I629" s="14" t="s">
        <v>59</v>
      </c>
      <c r="J629" s="14" t="s">
        <v>200</v>
      </c>
      <c r="K629" s="14" t="s">
        <v>223</v>
      </c>
      <c r="L629" s="14" t="s">
        <v>676</v>
      </c>
      <c r="M629" s="14" t="s">
        <v>677</v>
      </c>
      <c r="N629" s="14" t="s">
        <v>678</v>
      </c>
      <c r="O629" s="14">
        <v>0.0</v>
      </c>
      <c r="P629" s="23">
        <v>0.0</v>
      </c>
      <c r="Q629" s="22" t="str">
        <f t="shared" ref="Q629:R629" si="380">"+0.00%"</f>
        <v>+0.00%</v>
      </c>
      <c r="R629" s="18" t="str">
        <f t="shared" si="380"/>
        <v>+0.00%</v>
      </c>
      <c r="S629" s="14" t="s">
        <v>285</v>
      </c>
    </row>
    <row r="630">
      <c r="A630" s="13">
        <v>45901.0</v>
      </c>
      <c r="B630" s="14" t="s">
        <v>47</v>
      </c>
      <c r="C630" s="14" t="s">
        <v>48</v>
      </c>
      <c r="D630" s="14" t="s">
        <v>66</v>
      </c>
      <c r="E630" s="14" t="s">
        <v>67</v>
      </c>
      <c r="F630" s="15" t="s">
        <v>51</v>
      </c>
      <c r="G630" s="14" t="s">
        <v>68</v>
      </c>
      <c r="H630" s="14" t="s">
        <v>66</v>
      </c>
      <c r="I630" s="14" t="s">
        <v>59</v>
      </c>
      <c r="J630" s="14" t="s">
        <v>200</v>
      </c>
      <c r="K630" s="14" t="s">
        <v>227</v>
      </c>
      <c r="L630" s="14" t="s">
        <v>253</v>
      </c>
      <c r="M630" s="14" t="s">
        <v>254</v>
      </c>
      <c r="N630" s="14" t="s">
        <v>255</v>
      </c>
      <c r="O630" s="14">
        <v>0.0</v>
      </c>
      <c r="P630" s="23">
        <v>0.0</v>
      </c>
      <c r="Q630" s="22" t="str">
        <f t="shared" ref="Q630:R630" si="381">"+0.00%"</f>
        <v>+0.00%</v>
      </c>
      <c r="R630" s="18" t="str">
        <f t="shared" si="381"/>
        <v>+0.00%</v>
      </c>
      <c r="S630" s="14" t="s">
        <v>1038</v>
      </c>
    </row>
    <row r="631">
      <c r="A631" s="13">
        <v>45901.0</v>
      </c>
      <c r="B631" s="14" t="s">
        <v>47</v>
      </c>
      <c r="C631" s="14" t="s">
        <v>48</v>
      </c>
      <c r="D631" s="14" t="s">
        <v>93</v>
      </c>
      <c r="E631" s="14" t="s">
        <v>94</v>
      </c>
      <c r="F631" s="14" t="s">
        <v>71</v>
      </c>
      <c r="G631" s="14">
        <v>5.36001438E8</v>
      </c>
      <c r="H631" s="14" t="s">
        <v>95</v>
      </c>
      <c r="I631" s="14" t="s">
        <v>59</v>
      </c>
      <c r="J631" s="14" t="s">
        <v>199</v>
      </c>
      <c r="K631" s="14" t="s">
        <v>203</v>
      </c>
      <c r="L631" s="14" t="s">
        <v>342</v>
      </c>
      <c r="M631" s="14" t="s">
        <v>342</v>
      </c>
      <c r="N631" s="14" t="s">
        <v>343</v>
      </c>
      <c r="O631" s="14">
        <v>0.0</v>
      </c>
      <c r="P631" s="21">
        <v>0.0</v>
      </c>
      <c r="Q631" s="22" t="str">
        <f t="shared" ref="Q631:R631" si="382">"+0"</f>
        <v>+0</v>
      </c>
      <c r="R631" s="18" t="str">
        <f t="shared" si="382"/>
        <v>+0</v>
      </c>
      <c r="S631" s="14" t="s">
        <v>260</v>
      </c>
    </row>
    <row r="632">
      <c r="A632" s="13">
        <v>45901.0</v>
      </c>
      <c r="B632" s="14" t="s">
        <v>47</v>
      </c>
      <c r="C632" s="14" t="s">
        <v>48</v>
      </c>
      <c r="D632" s="14" t="s">
        <v>132</v>
      </c>
      <c r="E632" s="14" t="s">
        <v>133</v>
      </c>
      <c r="F632" s="15" t="s">
        <v>51</v>
      </c>
      <c r="G632" s="14" t="s">
        <v>134</v>
      </c>
      <c r="H632" s="14" t="s">
        <v>135</v>
      </c>
      <c r="I632" s="14" t="s">
        <v>59</v>
      </c>
      <c r="J632" s="14" t="s">
        <v>198</v>
      </c>
      <c r="K632" s="14" t="s">
        <v>205</v>
      </c>
      <c r="L632" s="14" t="s">
        <v>274</v>
      </c>
      <c r="M632" s="14" t="s">
        <v>448</v>
      </c>
      <c r="N632" s="14" t="s">
        <v>449</v>
      </c>
      <c r="O632" s="14">
        <v>100.0</v>
      </c>
      <c r="P632" s="21">
        <v>3.0</v>
      </c>
      <c r="Q632" s="22" t="str">
        <f>"+0"</f>
        <v>+0</v>
      </c>
      <c r="S632" s="14" t="s">
        <v>450</v>
      </c>
    </row>
    <row r="633">
      <c r="A633" s="13">
        <v>45901.0</v>
      </c>
      <c r="B633" s="14" t="s">
        <v>47</v>
      </c>
      <c r="C633" s="14" t="s">
        <v>48</v>
      </c>
      <c r="D633" s="14" t="s">
        <v>103</v>
      </c>
      <c r="E633" s="14" t="s">
        <v>104</v>
      </c>
      <c r="F633" s="15" t="s">
        <v>51</v>
      </c>
      <c r="G633" s="14" t="s">
        <v>105</v>
      </c>
      <c r="H633" s="14" t="s">
        <v>106</v>
      </c>
      <c r="I633" s="14" t="s">
        <v>59</v>
      </c>
      <c r="J633" s="14" t="s">
        <v>200</v>
      </c>
      <c r="K633" s="14" t="s">
        <v>232</v>
      </c>
      <c r="L633" s="14" t="s">
        <v>883</v>
      </c>
      <c r="M633" s="14" t="s">
        <v>884</v>
      </c>
      <c r="N633" s="14" t="s">
        <v>885</v>
      </c>
      <c r="O633" s="14">
        <v>100.0</v>
      </c>
      <c r="P633" s="23">
        <v>0.6364</v>
      </c>
      <c r="Q633" s="22" t="str">
        <f>"-7.79%"</f>
        <v>-7.79%</v>
      </c>
      <c r="R633" s="18" t="str">
        <f>"+1.14%"</f>
        <v>+1.14%</v>
      </c>
      <c r="S633" s="14" t="s">
        <v>285</v>
      </c>
    </row>
    <row r="634">
      <c r="A634" s="13">
        <v>45901.0</v>
      </c>
      <c r="B634" s="14" t="s">
        <v>47</v>
      </c>
      <c r="C634" s="14" t="s">
        <v>48</v>
      </c>
      <c r="D634" s="14" t="s">
        <v>149</v>
      </c>
      <c r="E634" s="14" t="s">
        <v>150</v>
      </c>
      <c r="F634" s="15" t="s">
        <v>51</v>
      </c>
      <c r="G634" s="14" t="s">
        <v>151</v>
      </c>
      <c r="H634" s="14" t="s">
        <v>152</v>
      </c>
      <c r="I634" s="14" t="s">
        <v>54</v>
      </c>
      <c r="J634" s="14" t="s">
        <v>200</v>
      </c>
      <c r="K634" s="14" t="s">
        <v>224</v>
      </c>
      <c r="L634" s="14" t="s">
        <v>436</v>
      </c>
      <c r="M634" s="14" t="s">
        <v>437</v>
      </c>
      <c r="N634" s="14" t="s">
        <v>438</v>
      </c>
      <c r="O634" s="14">
        <v>0.0</v>
      </c>
      <c r="P634" s="23">
        <v>0.0</v>
      </c>
      <c r="Q634" s="22" t="str">
        <f t="shared" ref="Q634:R634" si="383">"+0.00%"</f>
        <v>+0.00%</v>
      </c>
      <c r="R634" s="18" t="str">
        <f t="shared" si="383"/>
        <v>+0.00%</v>
      </c>
      <c r="S634" s="14" t="s">
        <v>1039</v>
      </c>
    </row>
    <row r="635">
      <c r="A635" s="13">
        <v>45901.0</v>
      </c>
      <c r="B635" s="14" t="s">
        <v>47</v>
      </c>
      <c r="C635" s="14" t="s">
        <v>48</v>
      </c>
      <c r="D635" s="14" t="s">
        <v>149</v>
      </c>
      <c r="E635" s="14" t="s">
        <v>150</v>
      </c>
      <c r="F635" s="15" t="s">
        <v>51</v>
      </c>
      <c r="G635" s="14" t="s">
        <v>151</v>
      </c>
      <c r="H635" s="14" t="s">
        <v>152</v>
      </c>
      <c r="I635" s="14" t="s">
        <v>54</v>
      </c>
      <c r="J635" s="14" t="s">
        <v>200</v>
      </c>
      <c r="K635" s="14" t="s">
        <v>211</v>
      </c>
      <c r="L635" s="14" t="s">
        <v>991</v>
      </c>
      <c r="M635" s="14" t="s">
        <v>1040</v>
      </c>
      <c r="N635" s="14" t="s">
        <v>1041</v>
      </c>
      <c r="O635" s="14">
        <v>100.0</v>
      </c>
      <c r="P635" s="21">
        <v>2.0</v>
      </c>
      <c r="Q635" s="22" t="str">
        <f t="shared" ref="Q635:R635" si="384">"+0"</f>
        <v>+0</v>
      </c>
      <c r="R635" s="18" t="str">
        <f t="shared" si="384"/>
        <v>+0</v>
      </c>
      <c r="S635" s="14" t="s">
        <v>1042</v>
      </c>
    </row>
    <row r="636">
      <c r="A636" s="13">
        <v>45901.0</v>
      </c>
      <c r="B636" s="14" t="s">
        <v>47</v>
      </c>
      <c r="C636" s="14" t="s">
        <v>48</v>
      </c>
      <c r="D636" s="14" t="s">
        <v>171</v>
      </c>
      <c r="E636" s="14" t="s">
        <v>172</v>
      </c>
      <c r="F636" s="15" t="s">
        <v>51</v>
      </c>
      <c r="G636" s="14" t="s">
        <v>173</v>
      </c>
      <c r="H636" s="14" t="s">
        <v>171</v>
      </c>
      <c r="I636" s="14" t="s">
        <v>59</v>
      </c>
      <c r="J636" s="14" t="s">
        <v>199</v>
      </c>
      <c r="K636" s="14" t="s">
        <v>206</v>
      </c>
      <c r="L636" s="14" t="s">
        <v>295</v>
      </c>
      <c r="M636" s="14" t="s">
        <v>529</v>
      </c>
      <c r="N636" s="14" t="s">
        <v>530</v>
      </c>
      <c r="O636" s="14">
        <v>100.0</v>
      </c>
      <c r="P636" s="21">
        <v>5.0</v>
      </c>
      <c r="Q636" s="22" t="str">
        <f t="shared" ref="Q636:R636" si="385">"+0"</f>
        <v>+0</v>
      </c>
      <c r="R636" s="18" t="str">
        <f t="shared" si="385"/>
        <v>+0</v>
      </c>
      <c r="S636" s="14" t="s">
        <v>260</v>
      </c>
    </row>
    <row r="637">
      <c r="A637" s="13">
        <v>45901.0</v>
      </c>
      <c r="B637" s="14" t="s">
        <v>47</v>
      </c>
      <c r="C637" s="14" t="s">
        <v>48</v>
      </c>
      <c r="D637" s="14" t="s">
        <v>87</v>
      </c>
      <c r="E637" s="14" t="s">
        <v>88</v>
      </c>
      <c r="F637" s="15" t="s">
        <v>51</v>
      </c>
      <c r="G637" s="14" t="s">
        <v>89</v>
      </c>
      <c r="H637" s="14" t="s">
        <v>90</v>
      </c>
      <c r="I637" s="14" t="s">
        <v>59</v>
      </c>
      <c r="J637" s="14" t="s">
        <v>200</v>
      </c>
      <c r="K637" s="14" t="s">
        <v>223</v>
      </c>
      <c r="L637" s="14" t="s">
        <v>363</v>
      </c>
      <c r="M637" s="14" t="s">
        <v>1043</v>
      </c>
      <c r="N637" s="14" t="s">
        <v>1044</v>
      </c>
      <c r="O637" s="14">
        <v>100.0</v>
      </c>
      <c r="P637" s="23">
        <v>0.1978</v>
      </c>
      <c r="Q637" s="22" t="str">
        <f>"+1.40%"</f>
        <v>+1.40%</v>
      </c>
      <c r="R637" s="18" t="str">
        <f>"+1.07%"</f>
        <v>+1.07%</v>
      </c>
      <c r="S637" s="14" t="s">
        <v>285</v>
      </c>
    </row>
    <row r="638">
      <c r="A638" s="13">
        <v>45901.0</v>
      </c>
      <c r="B638" s="14" t="s">
        <v>47</v>
      </c>
      <c r="C638" s="14" t="s">
        <v>48</v>
      </c>
      <c r="D638" s="14" t="s">
        <v>96</v>
      </c>
      <c r="E638" s="14" t="s">
        <v>97</v>
      </c>
      <c r="F638" s="15" t="s">
        <v>51</v>
      </c>
      <c r="G638" s="14" t="s">
        <v>98</v>
      </c>
      <c r="H638" s="14" t="s">
        <v>96</v>
      </c>
      <c r="I638" s="14" t="s">
        <v>59</v>
      </c>
      <c r="J638" s="14" t="s">
        <v>200</v>
      </c>
      <c r="K638" s="14" t="s">
        <v>222</v>
      </c>
      <c r="L638" s="14" t="s">
        <v>337</v>
      </c>
      <c r="M638" s="14" t="s">
        <v>734</v>
      </c>
      <c r="N638" s="14" t="s">
        <v>735</v>
      </c>
      <c r="O638" s="14">
        <v>0.0</v>
      </c>
      <c r="P638" s="21">
        <v>0.0</v>
      </c>
      <c r="Q638" s="22" t="str">
        <f t="shared" ref="Q638:R638" si="386">"+0"</f>
        <v>+0</v>
      </c>
      <c r="R638" s="18" t="str">
        <f t="shared" si="386"/>
        <v>+0</v>
      </c>
      <c r="S638" s="14" t="s">
        <v>260</v>
      </c>
    </row>
    <row r="639">
      <c r="A639" s="13">
        <v>45901.0</v>
      </c>
      <c r="B639" s="14" t="s">
        <v>47</v>
      </c>
      <c r="C639" s="14" t="s">
        <v>48</v>
      </c>
      <c r="D639" s="14" t="s">
        <v>96</v>
      </c>
      <c r="E639" s="14" t="s">
        <v>97</v>
      </c>
      <c r="F639" s="15" t="s">
        <v>51</v>
      </c>
      <c r="G639" s="14" t="s">
        <v>98</v>
      </c>
      <c r="H639" s="14" t="s">
        <v>96</v>
      </c>
      <c r="I639" s="14" t="s">
        <v>59</v>
      </c>
      <c r="J639" s="14" t="s">
        <v>200</v>
      </c>
      <c r="K639" s="14" t="s">
        <v>223</v>
      </c>
      <c r="L639" s="14" t="s">
        <v>261</v>
      </c>
      <c r="M639" s="14" t="s">
        <v>864</v>
      </c>
      <c r="N639" s="14" t="s">
        <v>865</v>
      </c>
      <c r="O639" s="14">
        <v>0.0</v>
      </c>
      <c r="P639" s="23">
        <v>0.0</v>
      </c>
      <c r="Q639" s="22" t="str">
        <f t="shared" ref="Q639:R639" si="387">"+0.00%"</f>
        <v>+0.00%</v>
      </c>
      <c r="R639" s="18" t="str">
        <f t="shared" si="387"/>
        <v>+0.00%</v>
      </c>
      <c r="S639" s="14" t="s">
        <v>285</v>
      </c>
    </row>
    <row r="640">
      <c r="A640" s="13">
        <v>45901.0</v>
      </c>
      <c r="B640" s="14" t="s">
        <v>47</v>
      </c>
      <c r="C640" s="14" t="s">
        <v>48</v>
      </c>
      <c r="D640" s="14" t="s">
        <v>125</v>
      </c>
      <c r="E640" s="14" t="s">
        <v>126</v>
      </c>
      <c r="F640" s="15" t="s">
        <v>51</v>
      </c>
      <c r="G640" s="14" t="s">
        <v>127</v>
      </c>
      <c r="H640" s="14" t="s">
        <v>125</v>
      </c>
      <c r="I640" s="14" t="s">
        <v>59</v>
      </c>
      <c r="J640" s="14" t="s">
        <v>200</v>
      </c>
      <c r="K640" s="14" t="s">
        <v>232</v>
      </c>
      <c r="L640" s="14" t="s">
        <v>422</v>
      </c>
      <c r="M640" s="14" t="s">
        <v>423</v>
      </c>
      <c r="N640" s="14" t="s">
        <v>424</v>
      </c>
      <c r="O640" s="14">
        <v>100.0</v>
      </c>
      <c r="P640" s="21">
        <v>1.0</v>
      </c>
      <c r="Q640" s="22" t="str">
        <f t="shared" ref="Q640:R640" si="388">"+0"</f>
        <v>+0</v>
      </c>
      <c r="R640" s="18" t="str">
        <f t="shared" si="388"/>
        <v>+0</v>
      </c>
      <c r="S640" s="14" t="s">
        <v>260</v>
      </c>
    </row>
    <row r="641">
      <c r="A641" s="13">
        <v>45901.0</v>
      </c>
      <c r="B641" s="14" t="s">
        <v>47</v>
      </c>
      <c r="C641" s="14" t="s">
        <v>48</v>
      </c>
      <c r="D641" s="14" t="s">
        <v>125</v>
      </c>
      <c r="E641" s="14" t="s">
        <v>126</v>
      </c>
      <c r="F641" s="15" t="s">
        <v>51</v>
      </c>
      <c r="G641" s="14" t="s">
        <v>127</v>
      </c>
      <c r="H641" s="14" t="s">
        <v>125</v>
      </c>
      <c r="I641" s="14" t="s">
        <v>59</v>
      </c>
      <c r="J641" s="14" t="s">
        <v>198</v>
      </c>
      <c r="K641" s="14" t="s">
        <v>210</v>
      </c>
      <c r="L641" s="14" t="s">
        <v>278</v>
      </c>
      <c r="M641" s="14" t="s">
        <v>443</v>
      </c>
      <c r="N641" s="14" t="s">
        <v>444</v>
      </c>
      <c r="O641" s="14">
        <v>42.0</v>
      </c>
      <c r="P641" s="21">
        <v>134.0</v>
      </c>
      <c r="Q641" s="22" t="str">
        <f>"+35"</f>
        <v>+35</v>
      </c>
      <c r="R641" s="18" t="str">
        <f>"+41"</f>
        <v>+41</v>
      </c>
      <c r="S641" s="14" t="s">
        <v>577</v>
      </c>
    </row>
    <row r="642">
      <c r="A642" s="13">
        <v>45901.0</v>
      </c>
      <c r="B642" s="14" t="s">
        <v>47</v>
      </c>
      <c r="C642" s="14" t="s">
        <v>48</v>
      </c>
      <c r="D642" s="14" t="s">
        <v>158</v>
      </c>
      <c r="E642" s="14" t="s">
        <v>159</v>
      </c>
      <c r="F642" s="15" t="s">
        <v>51</v>
      </c>
      <c r="G642" s="14" t="s">
        <v>160</v>
      </c>
      <c r="H642" s="14" t="s">
        <v>158</v>
      </c>
      <c r="I642" s="14" t="s">
        <v>54</v>
      </c>
      <c r="J642" s="14" t="s">
        <v>200</v>
      </c>
      <c r="K642" s="14" t="s">
        <v>224</v>
      </c>
      <c r="L642" s="14" t="s">
        <v>453</v>
      </c>
      <c r="M642" s="14" t="s">
        <v>555</v>
      </c>
      <c r="N642" s="14" t="s">
        <v>556</v>
      </c>
      <c r="O642" s="14">
        <v>0.0</v>
      </c>
      <c r="P642" s="17"/>
      <c r="Q642" s="22"/>
      <c r="S642" s="14" t="s">
        <v>557</v>
      </c>
    </row>
    <row r="643">
      <c r="A643" s="13">
        <v>45901.0</v>
      </c>
      <c r="B643" s="14" t="s">
        <v>47</v>
      </c>
      <c r="C643" s="14" t="s">
        <v>48</v>
      </c>
      <c r="D643" s="14" t="s">
        <v>77</v>
      </c>
      <c r="E643" s="14" t="s">
        <v>78</v>
      </c>
      <c r="F643" s="15" t="s">
        <v>51</v>
      </c>
      <c r="G643" s="14" t="s">
        <v>128</v>
      </c>
      <c r="H643" s="14" t="s">
        <v>81</v>
      </c>
      <c r="I643" s="14" t="s">
        <v>59</v>
      </c>
      <c r="J643" s="14" t="s">
        <v>200</v>
      </c>
      <c r="K643" s="14" t="s">
        <v>216</v>
      </c>
      <c r="L643" s="14" t="s">
        <v>1045</v>
      </c>
      <c r="M643" s="14" t="s">
        <v>1046</v>
      </c>
      <c r="N643" s="14" t="s">
        <v>1047</v>
      </c>
      <c r="O643" s="14">
        <v>0.0</v>
      </c>
      <c r="P643" s="21">
        <v>0.0</v>
      </c>
      <c r="Q643" s="22" t="str">
        <f t="shared" ref="Q643:R643" si="389">"+0"</f>
        <v>+0</v>
      </c>
      <c r="R643" s="18" t="str">
        <f t="shared" si="389"/>
        <v>+0</v>
      </c>
      <c r="S643" s="14" t="s">
        <v>327</v>
      </c>
    </row>
    <row r="644">
      <c r="A644" s="13">
        <v>45901.0</v>
      </c>
      <c r="B644" s="14" t="s">
        <v>47</v>
      </c>
      <c r="C644" s="14" t="s">
        <v>48</v>
      </c>
      <c r="D644" s="14" t="s">
        <v>158</v>
      </c>
      <c r="E644" s="14" t="s">
        <v>159</v>
      </c>
      <c r="F644" s="15" t="s">
        <v>51</v>
      </c>
      <c r="G644" s="14" t="s">
        <v>160</v>
      </c>
      <c r="H644" s="14" t="s">
        <v>158</v>
      </c>
      <c r="I644" s="14" t="s">
        <v>54</v>
      </c>
      <c r="J644" s="14" t="s">
        <v>198</v>
      </c>
      <c r="K644" s="14" t="s">
        <v>205</v>
      </c>
      <c r="L644" s="14" t="s">
        <v>274</v>
      </c>
      <c r="M644" s="14" t="s">
        <v>696</v>
      </c>
      <c r="N644" s="14" t="s">
        <v>697</v>
      </c>
      <c r="O644" s="14">
        <v>100.0</v>
      </c>
      <c r="P644" s="21">
        <v>1.0</v>
      </c>
      <c r="Q644" s="22" t="str">
        <f t="shared" ref="Q644:Q645" si="390">"+0"</f>
        <v>+0</v>
      </c>
      <c r="S644" s="14" t="s">
        <v>281</v>
      </c>
    </row>
    <row r="645">
      <c r="A645" s="13">
        <v>45901.0</v>
      </c>
      <c r="B645" s="14" t="s">
        <v>47</v>
      </c>
      <c r="C645" s="14" t="s">
        <v>48</v>
      </c>
      <c r="D645" s="14" t="s">
        <v>174</v>
      </c>
      <c r="E645" s="14" t="s">
        <v>175</v>
      </c>
      <c r="F645" s="15" t="s">
        <v>51</v>
      </c>
      <c r="G645" s="14" t="s">
        <v>176</v>
      </c>
      <c r="H645" s="14" t="s">
        <v>174</v>
      </c>
      <c r="I645" s="14" t="s">
        <v>59</v>
      </c>
      <c r="J645" s="14" t="s">
        <v>198</v>
      </c>
      <c r="K645" s="14" t="s">
        <v>205</v>
      </c>
      <c r="L645" s="14" t="s">
        <v>274</v>
      </c>
      <c r="M645" s="14" t="s">
        <v>451</v>
      </c>
      <c r="N645" s="14" t="s">
        <v>452</v>
      </c>
      <c r="O645" s="14">
        <v>0.0</v>
      </c>
      <c r="P645" s="21">
        <v>0.0</v>
      </c>
      <c r="Q645" s="22" t="str">
        <f t="shared" si="390"/>
        <v>+0</v>
      </c>
      <c r="S645" s="14" t="s">
        <v>281</v>
      </c>
    </row>
    <row r="646">
      <c r="A646" s="13">
        <v>45901.0</v>
      </c>
      <c r="B646" s="14" t="s">
        <v>47</v>
      </c>
      <c r="C646" s="14" t="s">
        <v>48</v>
      </c>
      <c r="D646" s="14" t="s">
        <v>112</v>
      </c>
      <c r="E646" s="14" t="s">
        <v>113</v>
      </c>
      <c r="F646" s="15" t="s">
        <v>51</v>
      </c>
      <c r="G646" s="14" t="s">
        <v>114</v>
      </c>
      <c r="H646" s="14" t="s">
        <v>112</v>
      </c>
      <c r="I646" s="14" t="s">
        <v>59</v>
      </c>
      <c r="J646" s="14" t="s">
        <v>200</v>
      </c>
      <c r="K646" s="14" t="s">
        <v>213</v>
      </c>
      <c r="L646" s="14" t="s">
        <v>591</v>
      </c>
      <c r="M646" s="14" t="s">
        <v>592</v>
      </c>
      <c r="N646" s="14" t="s">
        <v>1048</v>
      </c>
      <c r="O646" s="14">
        <v>0.0</v>
      </c>
      <c r="P646" s="23">
        <v>0.0</v>
      </c>
      <c r="Q646" s="22" t="str">
        <f t="shared" ref="Q646:R646" si="391">"+0.00%"</f>
        <v>+0.00%</v>
      </c>
      <c r="R646" s="18" t="str">
        <f t="shared" si="391"/>
        <v>+0.00%</v>
      </c>
      <c r="S646" s="14" t="s">
        <v>285</v>
      </c>
    </row>
    <row r="647">
      <c r="A647" s="13">
        <v>45901.0</v>
      </c>
      <c r="B647" s="14" t="s">
        <v>47</v>
      </c>
      <c r="C647" s="14" t="s">
        <v>48</v>
      </c>
      <c r="D647" s="14" t="s">
        <v>121</v>
      </c>
      <c r="E647" s="14" t="s">
        <v>122</v>
      </c>
      <c r="F647" s="15" t="s">
        <v>51</v>
      </c>
      <c r="G647" s="14" t="s">
        <v>123</v>
      </c>
      <c r="H647" s="14" t="s">
        <v>124</v>
      </c>
      <c r="I647" s="14" t="s">
        <v>59</v>
      </c>
      <c r="J647" s="14" t="s">
        <v>200</v>
      </c>
      <c r="K647" s="14" t="s">
        <v>232</v>
      </c>
      <c r="L647" s="14" t="s">
        <v>705</v>
      </c>
      <c r="M647" s="14" t="s">
        <v>706</v>
      </c>
      <c r="N647" s="14" t="s">
        <v>707</v>
      </c>
      <c r="O647" s="14">
        <v>0.0</v>
      </c>
      <c r="P647" s="21">
        <v>0.0</v>
      </c>
      <c r="Q647" s="22" t="str">
        <f t="shared" ref="Q647:R647" si="392">"+0"</f>
        <v>+0</v>
      </c>
      <c r="R647" s="18" t="str">
        <f t="shared" si="392"/>
        <v>+0</v>
      </c>
      <c r="S647" s="14" t="s">
        <v>260</v>
      </c>
    </row>
    <row r="648">
      <c r="A648" s="13">
        <v>45901.0</v>
      </c>
      <c r="B648" s="14" t="s">
        <v>47</v>
      </c>
      <c r="C648" s="14" t="s">
        <v>48</v>
      </c>
      <c r="D648" s="14" t="s">
        <v>60</v>
      </c>
      <c r="E648" s="14" t="s">
        <v>61</v>
      </c>
      <c r="F648" s="15" t="s">
        <v>51</v>
      </c>
      <c r="G648" s="14" t="s">
        <v>62</v>
      </c>
      <c r="H648" s="14" t="s">
        <v>60</v>
      </c>
      <c r="I648" s="14" t="s">
        <v>59</v>
      </c>
      <c r="J648" s="14" t="s">
        <v>200</v>
      </c>
      <c r="K648" s="14" t="s">
        <v>223</v>
      </c>
      <c r="L648" s="14" t="s">
        <v>375</v>
      </c>
      <c r="M648" s="14" t="s">
        <v>902</v>
      </c>
      <c r="N648" s="14" t="s">
        <v>903</v>
      </c>
      <c r="O648" s="14">
        <v>0.0</v>
      </c>
      <c r="P648" s="23">
        <v>0.0</v>
      </c>
      <c r="Q648" s="22" t="str">
        <f t="shared" ref="Q648:R648" si="393">"+0.00%"</f>
        <v>+0.00%</v>
      </c>
      <c r="R648" s="18" t="str">
        <f t="shared" si="393"/>
        <v>+0.00%</v>
      </c>
      <c r="S648" s="14" t="s">
        <v>285</v>
      </c>
    </row>
    <row r="649">
      <c r="A649" s="13">
        <v>45901.0</v>
      </c>
      <c r="B649" s="14" t="s">
        <v>47</v>
      </c>
      <c r="C649" s="14" t="s">
        <v>48</v>
      </c>
      <c r="D649" s="14" t="s">
        <v>49</v>
      </c>
      <c r="E649" s="14" t="s">
        <v>50</v>
      </c>
      <c r="F649" s="15" t="s">
        <v>51</v>
      </c>
      <c r="G649" s="14" t="s">
        <v>52</v>
      </c>
      <c r="H649" s="14" t="s">
        <v>53</v>
      </c>
      <c r="I649" s="14" t="s">
        <v>54</v>
      </c>
      <c r="J649" s="14" t="s">
        <v>200</v>
      </c>
      <c r="K649" s="14" t="s">
        <v>227</v>
      </c>
      <c r="L649" s="14" t="s">
        <v>721</v>
      </c>
      <c r="M649" s="14" t="s">
        <v>722</v>
      </c>
      <c r="N649" s="14" t="s">
        <v>723</v>
      </c>
      <c r="O649" s="14">
        <v>50.0</v>
      </c>
      <c r="P649" s="23">
        <v>0.0158</v>
      </c>
      <c r="Q649" s="22" t="str">
        <f>"+3.80%"</f>
        <v>+3.80%</v>
      </c>
      <c r="R649" s="18" t="str">
        <f>"-3.79%"</f>
        <v>-3.79%</v>
      </c>
      <c r="S649" s="14" t="s">
        <v>724</v>
      </c>
    </row>
    <row r="650">
      <c r="A650" s="13">
        <v>45901.0</v>
      </c>
      <c r="B650" s="14" t="s">
        <v>47</v>
      </c>
      <c r="C650" s="14" t="s">
        <v>48</v>
      </c>
      <c r="D650" s="14" t="s">
        <v>63</v>
      </c>
      <c r="E650" s="14" t="s">
        <v>64</v>
      </c>
      <c r="F650" s="15" t="s">
        <v>51</v>
      </c>
      <c r="G650" s="14" t="s">
        <v>65</v>
      </c>
      <c r="H650" s="14" t="s">
        <v>63</v>
      </c>
      <c r="I650" s="14" t="s">
        <v>54</v>
      </c>
      <c r="J650" s="14" t="s">
        <v>199</v>
      </c>
      <c r="K650" s="14" t="s">
        <v>206</v>
      </c>
      <c r="L650" s="14" t="s">
        <v>531</v>
      </c>
      <c r="M650" s="14" t="s">
        <v>531</v>
      </c>
      <c r="N650" s="14" t="s">
        <v>532</v>
      </c>
      <c r="O650" s="14">
        <v>100.0</v>
      </c>
      <c r="P650" s="21">
        <v>15.0</v>
      </c>
      <c r="Q650" s="22" t="str">
        <f t="shared" ref="Q650:R650" si="394">"+0"</f>
        <v>+0</v>
      </c>
      <c r="R650" s="18" t="str">
        <f t="shared" si="394"/>
        <v>+0</v>
      </c>
      <c r="S650" s="14" t="s">
        <v>260</v>
      </c>
    </row>
    <row r="651">
      <c r="A651" s="13">
        <v>45901.0</v>
      </c>
      <c r="B651" s="14" t="s">
        <v>47</v>
      </c>
      <c r="C651" s="14" t="s">
        <v>48</v>
      </c>
      <c r="D651" s="14" t="s">
        <v>91</v>
      </c>
      <c r="E651" s="14" t="s">
        <v>92</v>
      </c>
      <c r="F651" s="15" t="s">
        <v>51</v>
      </c>
      <c r="G651" s="14" t="s">
        <v>163</v>
      </c>
      <c r="H651" s="14" t="s">
        <v>91</v>
      </c>
      <c r="I651" s="14" t="s">
        <v>59</v>
      </c>
      <c r="J651" s="14" t="s">
        <v>200</v>
      </c>
      <c r="K651" s="14" t="s">
        <v>223</v>
      </c>
      <c r="L651" s="14" t="s">
        <v>304</v>
      </c>
      <c r="M651" s="14" t="s">
        <v>1012</v>
      </c>
      <c r="N651" s="14" t="s">
        <v>1013</v>
      </c>
      <c r="O651" s="14">
        <v>0.0</v>
      </c>
      <c r="P651" s="23">
        <v>0.0</v>
      </c>
      <c r="Q651" s="22" t="str">
        <f t="shared" ref="Q651:R651" si="395">"+0.00%"</f>
        <v>+0.00%</v>
      </c>
      <c r="R651" s="18" t="str">
        <f t="shared" si="395"/>
        <v>+0.00%</v>
      </c>
      <c r="S651" s="14" t="s">
        <v>285</v>
      </c>
    </row>
    <row r="652">
      <c r="A652" s="13">
        <v>45901.0</v>
      </c>
      <c r="B652" s="14" t="s">
        <v>47</v>
      </c>
      <c r="C652" s="14" t="s">
        <v>48</v>
      </c>
      <c r="D652" s="14" t="s">
        <v>93</v>
      </c>
      <c r="E652" s="14" t="s">
        <v>94</v>
      </c>
      <c r="F652" s="14" t="s">
        <v>71</v>
      </c>
      <c r="G652" s="14">
        <v>5.36001438E8</v>
      </c>
      <c r="H652" s="14" t="s">
        <v>95</v>
      </c>
      <c r="I652" s="14" t="s">
        <v>59</v>
      </c>
      <c r="J652" s="14" t="s">
        <v>199</v>
      </c>
      <c r="K652" s="14" t="s">
        <v>206</v>
      </c>
      <c r="L652" s="14" t="s">
        <v>295</v>
      </c>
      <c r="M652" s="14" t="s">
        <v>986</v>
      </c>
      <c r="N652" s="14" t="s">
        <v>987</v>
      </c>
      <c r="O652" s="14">
        <v>0.0</v>
      </c>
      <c r="P652" s="21">
        <v>0.0</v>
      </c>
      <c r="Q652" s="22" t="str">
        <f t="shared" ref="Q652:R652" si="396">"+0"</f>
        <v>+0</v>
      </c>
      <c r="R652" s="18" t="str">
        <f t="shared" si="396"/>
        <v>+0</v>
      </c>
      <c r="S652" s="14" t="s">
        <v>260</v>
      </c>
    </row>
    <row r="653">
      <c r="A653" s="13">
        <v>45901.0</v>
      </c>
      <c r="B653" s="14" t="s">
        <v>47</v>
      </c>
      <c r="C653" s="14" t="s">
        <v>48</v>
      </c>
      <c r="D653" s="14" t="s">
        <v>158</v>
      </c>
      <c r="E653" s="14" t="s">
        <v>159</v>
      </c>
      <c r="F653" s="15" t="s">
        <v>51</v>
      </c>
      <c r="G653" s="14" t="s">
        <v>160</v>
      </c>
      <c r="H653" s="14" t="s">
        <v>158</v>
      </c>
      <c r="I653" s="14" t="s">
        <v>54</v>
      </c>
      <c r="J653" s="14" t="s">
        <v>200</v>
      </c>
      <c r="K653" s="14" t="s">
        <v>224</v>
      </c>
      <c r="L653" s="14" t="s">
        <v>427</v>
      </c>
      <c r="M653" s="14" t="s">
        <v>925</v>
      </c>
      <c r="N653" s="14" t="s">
        <v>926</v>
      </c>
      <c r="O653" s="14">
        <v>0.0</v>
      </c>
      <c r="P653" s="17"/>
      <c r="Q653" s="22"/>
      <c r="S653" s="14" t="s">
        <v>927</v>
      </c>
    </row>
    <row r="654">
      <c r="A654" s="13">
        <v>45901.0</v>
      </c>
      <c r="B654" s="14" t="s">
        <v>47</v>
      </c>
      <c r="C654" s="14" t="s">
        <v>48</v>
      </c>
      <c r="D654" s="14" t="s">
        <v>165</v>
      </c>
      <c r="E654" s="14" t="s">
        <v>166</v>
      </c>
      <c r="F654" s="15" t="s">
        <v>51</v>
      </c>
      <c r="G654" s="14" t="s">
        <v>167</v>
      </c>
      <c r="H654" s="14" t="s">
        <v>165</v>
      </c>
      <c r="I654" s="14" t="s">
        <v>54</v>
      </c>
      <c r="J654" s="14" t="s">
        <v>198</v>
      </c>
      <c r="K654" s="14" t="s">
        <v>210</v>
      </c>
      <c r="L654" s="14" t="s">
        <v>505</v>
      </c>
      <c r="M654" s="14" t="s">
        <v>1049</v>
      </c>
      <c r="N654" s="14" t="s">
        <v>1050</v>
      </c>
      <c r="O654" s="14">
        <v>0.0</v>
      </c>
      <c r="P654" s="21">
        <v>0.0</v>
      </c>
      <c r="Q654" s="22" t="str">
        <f t="shared" ref="Q654:R654" si="397">"+0"</f>
        <v>+0</v>
      </c>
      <c r="R654" s="18" t="str">
        <f t="shared" si="397"/>
        <v>+0</v>
      </c>
      <c r="S654" s="14" t="s">
        <v>277</v>
      </c>
    </row>
    <row r="655">
      <c r="A655" s="13">
        <v>45901.0</v>
      </c>
      <c r="B655" s="14" t="s">
        <v>47</v>
      </c>
      <c r="C655" s="14" t="s">
        <v>48</v>
      </c>
      <c r="D655" s="14" t="s">
        <v>66</v>
      </c>
      <c r="E655" s="14" t="s">
        <v>67</v>
      </c>
      <c r="F655" s="15" t="s">
        <v>51</v>
      </c>
      <c r="G655" s="14" t="s">
        <v>68</v>
      </c>
      <c r="H655" s="14" t="s">
        <v>66</v>
      </c>
      <c r="I655" s="14" t="s">
        <v>59</v>
      </c>
      <c r="J655" s="14" t="s">
        <v>200</v>
      </c>
      <c r="K655" s="14" t="s">
        <v>223</v>
      </c>
      <c r="L655" s="14" t="s">
        <v>883</v>
      </c>
      <c r="M655" s="14" t="s">
        <v>884</v>
      </c>
      <c r="N655" s="14" t="s">
        <v>885</v>
      </c>
      <c r="O655" s="14">
        <v>0.0</v>
      </c>
      <c r="P655" s="23">
        <v>0.0</v>
      </c>
      <c r="Q655" s="22" t="str">
        <f>"+0.00%"</f>
        <v>+0.00%</v>
      </c>
      <c r="R655" s="18" t="str">
        <f>"-7.69%"</f>
        <v>-7.69%</v>
      </c>
      <c r="S655" s="14" t="s">
        <v>285</v>
      </c>
    </row>
    <row r="656">
      <c r="A656" s="13">
        <v>45901.0</v>
      </c>
      <c r="B656" s="14" t="s">
        <v>47</v>
      </c>
      <c r="C656" s="14" t="s">
        <v>48</v>
      </c>
      <c r="D656" s="14" t="s">
        <v>66</v>
      </c>
      <c r="E656" s="14" t="s">
        <v>67</v>
      </c>
      <c r="F656" s="15" t="s">
        <v>51</v>
      </c>
      <c r="G656" s="14" t="s">
        <v>68</v>
      </c>
      <c r="H656" s="14" t="s">
        <v>66</v>
      </c>
      <c r="I656" s="14" t="s">
        <v>59</v>
      </c>
      <c r="J656" s="14" t="s">
        <v>200</v>
      </c>
      <c r="K656" s="14" t="s">
        <v>231</v>
      </c>
      <c r="L656" s="14" t="s">
        <v>751</v>
      </c>
      <c r="M656" s="14" t="s">
        <v>1051</v>
      </c>
      <c r="N656" s="14" t="s">
        <v>1052</v>
      </c>
      <c r="O656" s="14">
        <v>0.0</v>
      </c>
      <c r="P656" s="21">
        <v>0.0</v>
      </c>
      <c r="Q656" s="22" t="str">
        <f t="shared" ref="Q656:R656" si="398">"+0"</f>
        <v>+0</v>
      </c>
      <c r="R656" s="18" t="str">
        <f t="shared" si="398"/>
        <v>+0</v>
      </c>
      <c r="S656" s="14" t="s">
        <v>260</v>
      </c>
    </row>
    <row r="657">
      <c r="A657" s="13">
        <v>45901.0</v>
      </c>
      <c r="B657" s="14" t="s">
        <v>47</v>
      </c>
      <c r="C657" s="14" t="s">
        <v>48</v>
      </c>
      <c r="D657" s="14" t="s">
        <v>184</v>
      </c>
      <c r="E657" s="14" t="s">
        <v>185</v>
      </c>
      <c r="F657" s="15" t="s">
        <v>51</v>
      </c>
      <c r="G657" s="14" t="s">
        <v>186</v>
      </c>
      <c r="H657" s="14" t="s">
        <v>187</v>
      </c>
      <c r="I657" s="14" t="s">
        <v>59</v>
      </c>
      <c r="J657" s="14" t="s">
        <v>200</v>
      </c>
      <c r="K657" s="14" t="s">
        <v>214</v>
      </c>
      <c r="L657" s="14" t="s">
        <v>253</v>
      </c>
      <c r="M657" s="14" t="s">
        <v>389</v>
      </c>
      <c r="N657" s="14" t="s">
        <v>390</v>
      </c>
      <c r="O657" s="14">
        <v>7.0</v>
      </c>
      <c r="P657" s="23">
        <v>0.0745</v>
      </c>
      <c r="Q657" s="22" t="str">
        <f>"+1.69%"</f>
        <v>+1.69%</v>
      </c>
      <c r="R657" s="18" t="str">
        <f>"-5.72%"</f>
        <v>-5.72%</v>
      </c>
      <c r="S657" s="14" t="s">
        <v>1053</v>
      </c>
    </row>
    <row r="658">
      <c r="A658" s="13">
        <v>45901.0</v>
      </c>
      <c r="B658" s="14" t="s">
        <v>47</v>
      </c>
      <c r="C658" s="14" t="s">
        <v>48</v>
      </c>
      <c r="D658" s="14" t="s">
        <v>143</v>
      </c>
      <c r="E658" s="14" t="s">
        <v>144</v>
      </c>
      <c r="F658" s="15" t="s">
        <v>51</v>
      </c>
      <c r="G658" s="14" t="s">
        <v>145</v>
      </c>
      <c r="H658" s="14" t="s">
        <v>143</v>
      </c>
      <c r="I658" s="14" t="s">
        <v>59</v>
      </c>
      <c r="J658" s="14" t="s">
        <v>198</v>
      </c>
      <c r="K658" s="14" t="s">
        <v>205</v>
      </c>
      <c r="L658" s="14" t="s">
        <v>274</v>
      </c>
      <c r="M658" s="14" t="s">
        <v>696</v>
      </c>
      <c r="N658" s="14" t="s">
        <v>697</v>
      </c>
      <c r="O658" s="14">
        <v>0.0</v>
      </c>
      <c r="P658" s="21">
        <v>0.0</v>
      </c>
      <c r="Q658" s="22" t="str">
        <f>"+0"</f>
        <v>+0</v>
      </c>
      <c r="S658" s="14" t="s">
        <v>281</v>
      </c>
    </row>
    <row r="659">
      <c r="A659" s="13">
        <v>45901.0</v>
      </c>
      <c r="B659" s="14" t="s">
        <v>47</v>
      </c>
      <c r="C659" s="14" t="s">
        <v>48</v>
      </c>
      <c r="D659" s="14" t="s">
        <v>103</v>
      </c>
      <c r="E659" s="14" t="s">
        <v>104</v>
      </c>
      <c r="F659" s="15" t="s">
        <v>51</v>
      </c>
      <c r="G659" s="14" t="s">
        <v>105</v>
      </c>
      <c r="H659" s="14" t="s">
        <v>106</v>
      </c>
      <c r="I659" s="14" t="s">
        <v>59</v>
      </c>
      <c r="J659" s="14" t="s">
        <v>200</v>
      </c>
      <c r="K659" s="14" t="s">
        <v>232</v>
      </c>
      <c r="L659" s="14" t="s">
        <v>710</v>
      </c>
      <c r="M659" s="14" t="s">
        <v>806</v>
      </c>
      <c r="N659" s="14" t="s">
        <v>807</v>
      </c>
      <c r="O659" s="14">
        <v>0.0</v>
      </c>
      <c r="P659" s="23">
        <v>0.0</v>
      </c>
      <c r="Q659" s="22" t="str">
        <f t="shared" ref="Q659:R659" si="399">"+0.00%"</f>
        <v>+0.00%</v>
      </c>
      <c r="R659" s="18" t="str">
        <f t="shared" si="399"/>
        <v>+0.00%</v>
      </c>
      <c r="S659" s="14" t="s">
        <v>285</v>
      </c>
    </row>
    <row r="660">
      <c r="A660" s="13">
        <v>45901.0</v>
      </c>
      <c r="B660" s="14" t="s">
        <v>47</v>
      </c>
      <c r="C660" s="14" t="s">
        <v>48</v>
      </c>
      <c r="D660" s="14" t="s">
        <v>132</v>
      </c>
      <c r="E660" s="14" t="s">
        <v>133</v>
      </c>
      <c r="F660" s="15" t="s">
        <v>51</v>
      </c>
      <c r="G660" s="14" t="s">
        <v>134</v>
      </c>
      <c r="H660" s="14" t="s">
        <v>135</v>
      </c>
      <c r="I660" s="14" t="s">
        <v>59</v>
      </c>
      <c r="J660" s="14" t="s">
        <v>200</v>
      </c>
      <c r="K660" s="14" t="s">
        <v>227</v>
      </c>
      <c r="L660" s="14" t="s">
        <v>270</v>
      </c>
      <c r="M660" s="14" t="s">
        <v>271</v>
      </c>
      <c r="N660" s="14" t="s">
        <v>272</v>
      </c>
      <c r="O660" s="14">
        <v>0.0</v>
      </c>
      <c r="P660" s="23">
        <v>-1.0</v>
      </c>
      <c r="Q660" s="22" t="str">
        <f t="shared" ref="Q660:R660" si="400">"+0.00%"</f>
        <v>+0.00%</v>
      </c>
      <c r="R660" s="18" t="str">
        <f t="shared" si="400"/>
        <v>+0.00%</v>
      </c>
      <c r="S660" s="14" t="s">
        <v>273</v>
      </c>
    </row>
    <row r="661">
      <c r="A661" s="13">
        <v>45901.0</v>
      </c>
      <c r="B661" s="14" t="s">
        <v>47</v>
      </c>
      <c r="C661" s="14" t="s">
        <v>48</v>
      </c>
      <c r="D661" s="14" t="s">
        <v>87</v>
      </c>
      <c r="E661" s="14" t="s">
        <v>88</v>
      </c>
      <c r="F661" s="15" t="s">
        <v>51</v>
      </c>
      <c r="G661" s="14" t="s">
        <v>89</v>
      </c>
      <c r="H661" s="14" t="s">
        <v>90</v>
      </c>
      <c r="I661" s="14" t="s">
        <v>59</v>
      </c>
      <c r="J661" s="14" t="s">
        <v>198</v>
      </c>
      <c r="K661" s="14" t="s">
        <v>205</v>
      </c>
      <c r="L661" s="14" t="s">
        <v>274</v>
      </c>
      <c r="M661" s="14" t="s">
        <v>696</v>
      </c>
      <c r="N661" s="14" t="s">
        <v>697</v>
      </c>
      <c r="O661" s="14">
        <v>0.0</v>
      </c>
      <c r="P661" s="21">
        <v>0.0</v>
      </c>
      <c r="Q661" s="22" t="str">
        <f t="shared" ref="Q661:Q662" si="401">"+0"</f>
        <v>+0</v>
      </c>
      <c r="S661" s="14" t="s">
        <v>281</v>
      </c>
    </row>
    <row r="662">
      <c r="A662" s="13">
        <v>45901.0</v>
      </c>
      <c r="B662" s="14" t="s">
        <v>47</v>
      </c>
      <c r="C662" s="14" t="s">
        <v>48</v>
      </c>
      <c r="D662" s="14" t="s">
        <v>136</v>
      </c>
      <c r="E662" s="14" t="s">
        <v>137</v>
      </c>
      <c r="F662" s="15" t="s">
        <v>51</v>
      </c>
      <c r="G662" s="14" t="s">
        <v>138</v>
      </c>
      <c r="H662" s="14" t="s">
        <v>139</v>
      </c>
      <c r="I662" s="14" t="s">
        <v>59</v>
      </c>
      <c r="J662" s="14" t="s">
        <v>198</v>
      </c>
      <c r="K662" s="14" t="s">
        <v>205</v>
      </c>
      <c r="L662" s="14" t="s">
        <v>274</v>
      </c>
      <c r="M662" s="14" t="s">
        <v>482</v>
      </c>
      <c r="N662" s="14" t="s">
        <v>483</v>
      </c>
      <c r="O662" s="14">
        <v>100.0</v>
      </c>
      <c r="P662" s="21">
        <v>8.0</v>
      </c>
      <c r="Q662" s="22" t="str">
        <f t="shared" si="401"/>
        <v>+0</v>
      </c>
      <c r="S662" s="14" t="s">
        <v>484</v>
      </c>
    </row>
    <row r="663">
      <c r="A663" s="13">
        <v>45901.0</v>
      </c>
      <c r="B663" s="14" t="s">
        <v>47</v>
      </c>
      <c r="C663" s="14" t="s">
        <v>48</v>
      </c>
      <c r="D663" s="14" t="s">
        <v>136</v>
      </c>
      <c r="E663" s="14" t="s">
        <v>137</v>
      </c>
      <c r="F663" s="15" t="s">
        <v>51</v>
      </c>
      <c r="G663" s="14" t="s">
        <v>138</v>
      </c>
      <c r="H663" s="14" t="s">
        <v>139</v>
      </c>
      <c r="I663" s="14" t="s">
        <v>59</v>
      </c>
      <c r="J663" s="14" t="s">
        <v>200</v>
      </c>
      <c r="K663" s="14" t="s">
        <v>227</v>
      </c>
      <c r="L663" s="14" t="s">
        <v>253</v>
      </c>
      <c r="M663" s="14" t="s">
        <v>396</v>
      </c>
      <c r="N663" s="14" t="s">
        <v>397</v>
      </c>
      <c r="O663" s="14">
        <v>100.0</v>
      </c>
      <c r="P663" s="23">
        <v>1.0</v>
      </c>
      <c r="Q663" s="22" t="str">
        <f t="shared" ref="Q663:R663" si="402">"+0.00%"</f>
        <v>+0.00%</v>
      </c>
      <c r="R663" s="18" t="str">
        <f t="shared" si="402"/>
        <v>+0.00%</v>
      </c>
      <c r="S663" s="14" t="s">
        <v>916</v>
      </c>
    </row>
    <row r="664">
      <c r="A664" s="13">
        <v>45901.0</v>
      </c>
      <c r="B664" s="14" t="s">
        <v>47</v>
      </c>
      <c r="C664" s="14" t="s">
        <v>48</v>
      </c>
      <c r="D664" s="14" t="s">
        <v>149</v>
      </c>
      <c r="E664" s="14" t="s">
        <v>150</v>
      </c>
      <c r="F664" s="15" t="s">
        <v>51</v>
      </c>
      <c r="G664" s="14" t="s">
        <v>151</v>
      </c>
      <c r="H664" s="14" t="s">
        <v>152</v>
      </c>
      <c r="I664" s="14" t="s">
        <v>54</v>
      </c>
      <c r="J664" s="14" t="s">
        <v>200</v>
      </c>
      <c r="K664" s="14" t="s">
        <v>223</v>
      </c>
      <c r="L664" s="14" t="s">
        <v>607</v>
      </c>
      <c r="M664" s="14" t="s">
        <v>765</v>
      </c>
      <c r="N664" s="14" t="s">
        <v>766</v>
      </c>
      <c r="O664" s="14">
        <v>100.0</v>
      </c>
      <c r="P664" s="21">
        <v>29.0</v>
      </c>
      <c r="Q664" s="22" t="str">
        <f t="shared" ref="Q664:R664" si="403">"+0"</f>
        <v>+0</v>
      </c>
      <c r="R664" s="18" t="str">
        <f t="shared" si="403"/>
        <v>+0</v>
      </c>
      <c r="S664" s="14" t="s">
        <v>260</v>
      </c>
    </row>
    <row r="665">
      <c r="A665" s="13">
        <v>45901.0</v>
      </c>
      <c r="B665" s="14" t="s">
        <v>47</v>
      </c>
      <c r="C665" s="14" t="s">
        <v>48</v>
      </c>
      <c r="D665" s="14" t="s">
        <v>96</v>
      </c>
      <c r="E665" s="14" t="s">
        <v>97</v>
      </c>
      <c r="F665" s="15" t="s">
        <v>51</v>
      </c>
      <c r="G665" s="14" t="s">
        <v>98</v>
      </c>
      <c r="H665" s="14" t="s">
        <v>96</v>
      </c>
      <c r="I665" s="14" t="s">
        <v>59</v>
      </c>
      <c r="J665" s="14" t="s">
        <v>200</v>
      </c>
      <c r="K665" s="14" t="s">
        <v>223</v>
      </c>
      <c r="L665" s="14" t="s">
        <v>286</v>
      </c>
      <c r="M665" s="14" t="s">
        <v>644</v>
      </c>
      <c r="N665" s="14" t="s">
        <v>645</v>
      </c>
      <c r="O665" s="14">
        <v>0.0</v>
      </c>
      <c r="P665" s="23">
        <v>-1.0</v>
      </c>
      <c r="Q665" s="22" t="str">
        <f t="shared" ref="Q665:R665" si="404">"+0.00%"</f>
        <v>+0.00%</v>
      </c>
      <c r="R665" s="18" t="str">
        <f t="shared" si="404"/>
        <v>+0.00%</v>
      </c>
      <c r="S665" s="14" t="s">
        <v>998</v>
      </c>
    </row>
    <row r="666">
      <c r="A666" s="13">
        <v>45901.0</v>
      </c>
      <c r="B666" s="14" t="s">
        <v>47</v>
      </c>
      <c r="C666" s="14" t="s">
        <v>48</v>
      </c>
      <c r="D666" s="14" t="s">
        <v>69</v>
      </c>
      <c r="E666" s="14" t="s">
        <v>70</v>
      </c>
      <c r="F666" s="15" t="s">
        <v>51</v>
      </c>
      <c r="G666" s="14" t="s">
        <v>115</v>
      </c>
      <c r="H666" s="14" t="s">
        <v>72</v>
      </c>
      <c r="I666" s="14" t="s">
        <v>54</v>
      </c>
      <c r="J666" s="14" t="s">
        <v>200</v>
      </c>
      <c r="K666" s="14" t="s">
        <v>215</v>
      </c>
      <c r="L666" s="14" t="s">
        <v>253</v>
      </c>
      <c r="M666" s="14" t="s">
        <v>969</v>
      </c>
      <c r="N666" s="14" t="s">
        <v>970</v>
      </c>
      <c r="O666" s="14">
        <v>49.0</v>
      </c>
      <c r="P666" s="23">
        <v>0.4909</v>
      </c>
      <c r="Q666" s="22" t="str">
        <f>"+9.16%"</f>
        <v>+9.16%</v>
      </c>
      <c r="R666" s="18" t="str">
        <f>"+30.46%"</f>
        <v>+30.46%</v>
      </c>
      <c r="S666" s="14" t="s">
        <v>1054</v>
      </c>
    </row>
    <row r="667">
      <c r="A667" s="13">
        <v>45901.0</v>
      </c>
      <c r="B667" s="14" t="s">
        <v>47</v>
      </c>
      <c r="C667" s="14" t="s">
        <v>48</v>
      </c>
      <c r="D667" s="14" t="s">
        <v>69</v>
      </c>
      <c r="E667" s="14" t="s">
        <v>70</v>
      </c>
      <c r="F667" s="15" t="s">
        <v>51</v>
      </c>
      <c r="G667" s="14" t="s">
        <v>115</v>
      </c>
      <c r="H667" s="14" t="s">
        <v>72</v>
      </c>
      <c r="I667" s="14" t="s">
        <v>54</v>
      </c>
      <c r="J667" s="14" t="s">
        <v>199</v>
      </c>
      <c r="K667" s="14" t="s">
        <v>203</v>
      </c>
      <c r="L667" s="14" t="s">
        <v>725</v>
      </c>
      <c r="M667" s="14" t="s">
        <v>725</v>
      </c>
      <c r="N667" s="14" t="s">
        <v>726</v>
      </c>
      <c r="O667" s="14">
        <v>100.0</v>
      </c>
      <c r="P667" s="21">
        <v>4.0</v>
      </c>
      <c r="Q667" s="22" t="str">
        <f>"-3"</f>
        <v>-3</v>
      </c>
      <c r="R667" s="18" t="str">
        <f>"-2"</f>
        <v>-2</v>
      </c>
      <c r="S667" s="14" t="s">
        <v>260</v>
      </c>
    </row>
    <row r="668">
      <c r="A668" s="13">
        <v>45901.0</v>
      </c>
      <c r="B668" s="14" t="s">
        <v>47</v>
      </c>
      <c r="C668" s="14" t="s">
        <v>48</v>
      </c>
      <c r="D668" s="14" t="s">
        <v>85</v>
      </c>
      <c r="E668" s="14" t="s">
        <v>86</v>
      </c>
      <c r="F668" s="15" t="s">
        <v>51</v>
      </c>
      <c r="G668" s="14" t="s">
        <v>148</v>
      </c>
      <c r="H668" s="14" t="s">
        <v>85</v>
      </c>
      <c r="I668" s="14" t="s">
        <v>59</v>
      </c>
      <c r="J668" s="14" t="s">
        <v>200</v>
      </c>
      <c r="K668" s="14" t="s">
        <v>213</v>
      </c>
      <c r="L668" s="14" t="s">
        <v>591</v>
      </c>
      <c r="M668" s="14" t="s">
        <v>592</v>
      </c>
      <c r="N668" s="14" t="s">
        <v>1048</v>
      </c>
      <c r="O668" s="14">
        <v>100.0</v>
      </c>
      <c r="P668" s="23">
        <v>0.0029</v>
      </c>
      <c r="Q668" s="22" t="str">
        <f>"-0.89%"</f>
        <v>-0.89%</v>
      </c>
      <c r="R668" s="18" t="str">
        <f>"-0.27%"</f>
        <v>-0.27%</v>
      </c>
      <c r="S668" s="14" t="s">
        <v>285</v>
      </c>
    </row>
    <row r="669">
      <c r="A669" s="13">
        <v>45901.0</v>
      </c>
      <c r="B669" s="14" t="s">
        <v>47</v>
      </c>
      <c r="C669" s="14" t="s">
        <v>48</v>
      </c>
      <c r="D669" s="14" t="s">
        <v>69</v>
      </c>
      <c r="E669" s="14" t="s">
        <v>70</v>
      </c>
      <c r="F669" s="15" t="s">
        <v>51</v>
      </c>
      <c r="G669" s="14" t="s">
        <v>115</v>
      </c>
      <c r="H669" s="14" t="s">
        <v>72</v>
      </c>
      <c r="I669" s="14" t="s">
        <v>54</v>
      </c>
      <c r="J669" s="14" t="s">
        <v>198</v>
      </c>
      <c r="K669" s="14" t="s">
        <v>210</v>
      </c>
      <c r="L669" s="14" t="s">
        <v>505</v>
      </c>
      <c r="M669" s="14" t="s">
        <v>506</v>
      </c>
      <c r="N669" s="14" t="s">
        <v>507</v>
      </c>
      <c r="O669" s="14">
        <v>0.0</v>
      </c>
      <c r="P669" s="21">
        <v>31611.0</v>
      </c>
      <c r="Q669" s="22" t="str">
        <f>"-103,690"</f>
        <v>-103,690</v>
      </c>
      <c r="R669" s="18" t="str">
        <f>"-61,004"</f>
        <v>-61,004</v>
      </c>
      <c r="S669" s="14" t="s">
        <v>1055</v>
      </c>
    </row>
    <row r="670">
      <c r="A670" s="13">
        <v>45901.0</v>
      </c>
      <c r="B670" s="14" t="s">
        <v>47</v>
      </c>
      <c r="C670" s="14" t="s">
        <v>48</v>
      </c>
      <c r="D670" s="14" t="s">
        <v>69</v>
      </c>
      <c r="E670" s="14" t="s">
        <v>70</v>
      </c>
      <c r="F670" s="15" t="s">
        <v>51</v>
      </c>
      <c r="G670" s="14" t="s">
        <v>115</v>
      </c>
      <c r="H670" s="14" t="s">
        <v>72</v>
      </c>
      <c r="I670" s="14" t="s">
        <v>54</v>
      </c>
      <c r="J670" s="14" t="s">
        <v>200</v>
      </c>
      <c r="K670" s="14" t="s">
        <v>211</v>
      </c>
      <c r="L670" s="14" t="s">
        <v>991</v>
      </c>
      <c r="M670" s="14" t="s">
        <v>1056</v>
      </c>
      <c r="N670" s="14" t="s">
        <v>1057</v>
      </c>
      <c r="O670" s="14">
        <v>100.0</v>
      </c>
      <c r="P670" s="23">
        <v>1.0</v>
      </c>
      <c r="Q670" s="22" t="str">
        <f t="shared" ref="Q670:R670" si="405">"+0.00%"</f>
        <v>+0.00%</v>
      </c>
      <c r="R670" s="18" t="str">
        <f t="shared" si="405"/>
        <v>+0.00%</v>
      </c>
      <c r="S670" s="14" t="s">
        <v>336</v>
      </c>
    </row>
    <row r="671">
      <c r="A671" s="13">
        <v>45901.0</v>
      </c>
      <c r="B671" s="14" t="s">
        <v>47</v>
      </c>
      <c r="C671" s="14" t="s">
        <v>48</v>
      </c>
      <c r="D671" s="14" t="s">
        <v>108</v>
      </c>
      <c r="E671" s="14" t="s">
        <v>109</v>
      </c>
      <c r="F671" s="14" t="s">
        <v>79</v>
      </c>
      <c r="G671" s="14" t="s">
        <v>153</v>
      </c>
      <c r="H671" s="14" t="s">
        <v>108</v>
      </c>
      <c r="I671" s="14" t="s">
        <v>154</v>
      </c>
      <c r="J671" s="14" t="s">
        <v>200</v>
      </c>
      <c r="K671" s="14" t="s">
        <v>237</v>
      </c>
      <c r="L671" s="14" t="s">
        <v>333</v>
      </c>
      <c r="M671" s="14" t="s">
        <v>544</v>
      </c>
      <c r="N671" s="14" t="s">
        <v>545</v>
      </c>
      <c r="O671" s="14">
        <v>100.0</v>
      </c>
      <c r="P671" s="21">
        <v>0.0</v>
      </c>
      <c r="Q671" s="22" t="str">
        <f>"+0"</f>
        <v>+0</v>
      </c>
      <c r="S671" s="14" t="s">
        <v>327</v>
      </c>
    </row>
    <row r="672">
      <c r="A672" s="13">
        <v>45901.0</v>
      </c>
      <c r="B672" s="14" t="s">
        <v>47</v>
      </c>
      <c r="C672" s="14" t="s">
        <v>48</v>
      </c>
      <c r="D672" s="14" t="s">
        <v>77</v>
      </c>
      <c r="E672" s="14" t="s">
        <v>78</v>
      </c>
      <c r="F672" s="15" t="s">
        <v>51</v>
      </c>
      <c r="G672" s="14" t="s">
        <v>128</v>
      </c>
      <c r="H672" s="14" t="s">
        <v>81</v>
      </c>
      <c r="I672" s="14" t="s">
        <v>59</v>
      </c>
      <c r="J672" s="14" t="s">
        <v>200</v>
      </c>
      <c r="K672" s="14" t="s">
        <v>227</v>
      </c>
      <c r="L672" s="14" t="s">
        <v>721</v>
      </c>
      <c r="M672" s="14" t="s">
        <v>722</v>
      </c>
      <c r="N672" s="14" t="s">
        <v>723</v>
      </c>
      <c r="O672" s="14">
        <v>32.0</v>
      </c>
      <c r="P672" s="23">
        <v>-0.3571</v>
      </c>
      <c r="Q672" s="22" t="str">
        <f>"+4.29%"</f>
        <v>+4.29%</v>
      </c>
      <c r="R672" s="18" t="str">
        <f>"-29.46%"</f>
        <v>-29.46%</v>
      </c>
      <c r="S672" s="14" t="s">
        <v>724</v>
      </c>
    </row>
    <row r="673">
      <c r="A673" s="13">
        <v>45901.0</v>
      </c>
      <c r="B673" s="14" t="s">
        <v>47</v>
      </c>
      <c r="C673" s="14" t="s">
        <v>48</v>
      </c>
      <c r="D673" s="14" t="s">
        <v>155</v>
      </c>
      <c r="E673" s="14" t="s">
        <v>156</v>
      </c>
      <c r="F673" s="15" t="s">
        <v>51</v>
      </c>
      <c r="G673" s="14" t="s">
        <v>157</v>
      </c>
      <c r="H673" s="14" t="s">
        <v>155</v>
      </c>
      <c r="I673" s="14" t="s">
        <v>59</v>
      </c>
      <c r="J673" s="14" t="s">
        <v>200</v>
      </c>
      <c r="K673" s="14" t="s">
        <v>223</v>
      </c>
      <c r="L673" s="14" t="s">
        <v>261</v>
      </c>
      <c r="M673" s="14" t="s">
        <v>566</v>
      </c>
      <c r="N673" s="14" t="s">
        <v>567</v>
      </c>
      <c r="O673" s="14">
        <v>0.0</v>
      </c>
      <c r="P673" s="17"/>
      <c r="Q673" s="22"/>
      <c r="S673" s="14" t="s">
        <v>1058</v>
      </c>
    </row>
    <row r="674">
      <c r="A674" s="13">
        <v>45901.0</v>
      </c>
      <c r="B674" s="14" t="s">
        <v>47</v>
      </c>
      <c r="C674" s="14" t="s">
        <v>48</v>
      </c>
      <c r="D674" s="14" t="s">
        <v>60</v>
      </c>
      <c r="E674" s="14" t="s">
        <v>61</v>
      </c>
      <c r="F674" s="15" t="s">
        <v>51</v>
      </c>
      <c r="G674" s="14" t="s">
        <v>62</v>
      </c>
      <c r="H674" s="14" t="s">
        <v>60</v>
      </c>
      <c r="I674" s="14" t="s">
        <v>59</v>
      </c>
      <c r="J674" s="14" t="s">
        <v>200</v>
      </c>
      <c r="K674" s="14" t="s">
        <v>223</v>
      </c>
      <c r="L674" s="14" t="s">
        <v>676</v>
      </c>
      <c r="M674" s="14" t="s">
        <v>677</v>
      </c>
      <c r="N674" s="14" t="s">
        <v>678</v>
      </c>
      <c r="O674" s="14">
        <v>0.0</v>
      </c>
      <c r="P674" s="23">
        <v>0.0</v>
      </c>
      <c r="Q674" s="22" t="str">
        <f t="shared" ref="Q674:R674" si="406">"+0.00%"</f>
        <v>+0.00%</v>
      </c>
      <c r="R674" s="18" t="str">
        <f t="shared" si="406"/>
        <v>+0.00%</v>
      </c>
      <c r="S674" s="14" t="s">
        <v>285</v>
      </c>
    </row>
    <row r="675">
      <c r="A675" s="13">
        <v>45901.0</v>
      </c>
      <c r="B675" s="14" t="s">
        <v>47</v>
      </c>
      <c r="C675" s="14" t="s">
        <v>48</v>
      </c>
      <c r="D675" s="14" t="s">
        <v>181</v>
      </c>
      <c r="E675" s="14" t="s">
        <v>182</v>
      </c>
      <c r="F675" s="15" t="s">
        <v>51</v>
      </c>
      <c r="G675" s="14" t="s">
        <v>183</v>
      </c>
      <c r="H675" s="14" t="s">
        <v>181</v>
      </c>
      <c r="I675" s="14" t="s">
        <v>59</v>
      </c>
      <c r="J675" s="14" t="s">
        <v>198</v>
      </c>
      <c r="K675" s="14" t="s">
        <v>205</v>
      </c>
      <c r="L675" s="14" t="s">
        <v>274</v>
      </c>
      <c r="M675" s="14" t="s">
        <v>275</v>
      </c>
      <c r="N675" s="14" t="s">
        <v>276</v>
      </c>
      <c r="O675" s="14">
        <v>0.0</v>
      </c>
      <c r="P675" s="21">
        <v>1.0</v>
      </c>
      <c r="Q675" s="22" t="str">
        <f>"+0"</f>
        <v>+0</v>
      </c>
      <c r="S675" s="14" t="s">
        <v>277</v>
      </c>
    </row>
    <row r="676">
      <c r="A676" s="13">
        <v>45901.0</v>
      </c>
      <c r="B676" s="14" t="s">
        <v>47</v>
      </c>
      <c r="C676" s="14" t="s">
        <v>48</v>
      </c>
      <c r="D676" s="14" t="s">
        <v>168</v>
      </c>
      <c r="E676" s="14" t="s">
        <v>169</v>
      </c>
      <c r="F676" s="15" t="s">
        <v>51</v>
      </c>
      <c r="G676" s="14" t="s">
        <v>170</v>
      </c>
      <c r="H676" s="14" t="s">
        <v>168</v>
      </c>
      <c r="I676" s="14" t="s">
        <v>59</v>
      </c>
      <c r="J676" s="14" t="s">
        <v>200</v>
      </c>
      <c r="K676" s="14" t="s">
        <v>209</v>
      </c>
      <c r="L676" s="14" t="s">
        <v>253</v>
      </c>
      <c r="M676" s="14" t="s">
        <v>402</v>
      </c>
      <c r="N676" s="14" t="s">
        <v>403</v>
      </c>
      <c r="O676" s="14">
        <v>65.0</v>
      </c>
      <c r="P676" s="23">
        <v>0.6594</v>
      </c>
      <c r="Q676" s="22" t="str">
        <f>"+0.00%"</f>
        <v>+0.00%</v>
      </c>
      <c r="R676" s="18" t="str">
        <f>"+0.01%"</f>
        <v>+0.01%</v>
      </c>
      <c r="S676" s="14" t="s">
        <v>1059</v>
      </c>
    </row>
    <row r="677">
      <c r="A677" s="13">
        <v>45901.0</v>
      </c>
      <c r="B677" s="14" t="s">
        <v>47</v>
      </c>
      <c r="C677" s="14" t="s">
        <v>48</v>
      </c>
      <c r="D677" s="14" t="s">
        <v>168</v>
      </c>
      <c r="E677" s="14" t="s">
        <v>169</v>
      </c>
      <c r="F677" s="15" t="s">
        <v>51</v>
      </c>
      <c r="G677" s="14" t="s">
        <v>170</v>
      </c>
      <c r="H677" s="14" t="s">
        <v>168</v>
      </c>
      <c r="I677" s="14" t="s">
        <v>59</v>
      </c>
      <c r="J677" s="14" t="s">
        <v>200</v>
      </c>
      <c r="K677" s="14" t="s">
        <v>227</v>
      </c>
      <c r="L677" s="14" t="s">
        <v>721</v>
      </c>
      <c r="M677" s="14" t="s">
        <v>1060</v>
      </c>
      <c r="N677" s="14" t="s">
        <v>1061</v>
      </c>
      <c r="O677" s="14">
        <v>36.0</v>
      </c>
      <c r="P677" s="23">
        <v>-0.2604</v>
      </c>
      <c r="Q677" s="22" t="str">
        <f>"+28.91%"</f>
        <v>+28.91%</v>
      </c>
      <c r="R677" s="18" t="str">
        <f>"-4.55%"</f>
        <v>-4.55%</v>
      </c>
      <c r="S677" s="14" t="s">
        <v>1062</v>
      </c>
    </row>
    <row r="678">
      <c r="A678" s="13">
        <v>45901.0</v>
      </c>
      <c r="B678" s="14" t="s">
        <v>47</v>
      </c>
      <c r="C678" s="14" t="s">
        <v>48</v>
      </c>
      <c r="D678" s="14" t="s">
        <v>165</v>
      </c>
      <c r="E678" s="14" t="s">
        <v>166</v>
      </c>
      <c r="F678" s="15" t="s">
        <v>51</v>
      </c>
      <c r="G678" s="14" t="s">
        <v>167</v>
      </c>
      <c r="H678" s="14" t="s">
        <v>165</v>
      </c>
      <c r="I678" s="14" t="s">
        <v>54</v>
      </c>
      <c r="J678" s="14" t="s">
        <v>200</v>
      </c>
      <c r="K678" s="14" t="s">
        <v>213</v>
      </c>
      <c r="L678" s="14" t="s">
        <v>257</v>
      </c>
      <c r="M678" s="14" t="s">
        <v>622</v>
      </c>
      <c r="N678" s="14" t="s">
        <v>623</v>
      </c>
      <c r="O678" s="14">
        <v>46.0</v>
      </c>
      <c r="P678" s="23">
        <v>-0.0674</v>
      </c>
      <c r="Q678" s="22" t="str">
        <f>"-10.98%"</f>
        <v>-10.98%</v>
      </c>
      <c r="R678" s="18" t="str">
        <f>"-26.65%"</f>
        <v>-26.65%</v>
      </c>
      <c r="S678" s="14" t="s">
        <v>1063</v>
      </c>
    </row>
    <row r="679">
      <c r="A679" s="13">
        <v>45901.0</v>
      </c>
      <c r="B679" s="14" t="s">
        <v>47</v>
      </c>
      <c r="C679" s="14" t="s">
        <v>48</v>
      </c>
      <c r="D679" s="14" t="s">
        <v>99</v>
      </c>
      <c r="E679" s="14" t="s">
        <v>100</v>
      </c>
      <c r="F679" s="15" t="s">
        <v>51</v>
      </c>
      <c r="G679" s="14" t="s">
        <v>101</v>
      </c>
      <c r="H679" s="14" t="s">
        <v>102</v>
      </c>
      <c r="I679" s="14" t="s">
        <v>54</v>
      </c>
      <c r="J679" s="14" t="s">
        <v>198</v>
      </c>
      <c r="K679" s="14" t="s">
        <v>210</v>
      </c>
      <c r="L679" s="14" t="s">
        <v>264</v>
      </c>
      <c r="M679" s="14" t="s">
        <v>1064</v>
      </c>
      <c r="N679" s="14" t="s">
        <v>1065</v>
      </c>
      <c r="O679" s="14">
        <v>0.0</v>
      </c>
      <c r="P679" s="21">
        <v>0.0</v>
      </c>
      <c r="Q679" s="22" t="str">
        <f t="shared" ref="Q679:R679" si="407">"+0"</f>
        <v>+0</v>
      </c>
      <c r="R679" s="18" t="str">
        <f t="shared" si="407"/>
        <v>+0</v>
      </c>
      <c r="S679" s="14" t="s">
        <v>277</v>
      </c>
    </row>
    <row r="680">
      <c r="A680" s="13">
        <v>45901.0</v>
      </c>
      <c r="B680" s="14" t="s">
        <v>47</v>
      </c>
      <c r="C680" s="14" t="s">
        <v>48</v>
      </c>
      <c r="D680" s="14" t="s">
        <v>91</v>
      </c>
      <c r="E680" s="14" t="s">
        <v>92</v>
      </c>
      <c r="F680" s="14" t="s">
        <v>71</v>
      </c>
      <c r="G680" s="14">
        <v>7295600.0</v>
      </c>
      <c r="H680" s="14" t="s">
        <v>91</v>
      </c>
      <c r="I680" s="14" t="s">
        <v>54</v>
      </c>
      <c r="J680" s="14" t="s">
        <v>200</v>
      </c>
      <c r="K680" s="14" t="s">
        <v>230</v>
      </c>
      <c r="L680" s="14" t="s">
        <v>253</v>
      </c>
      <c r="M680" s="14" t="s">
        <v>1066</v>
      </c>
      <c r="N680" s="14" t="s">
        <v>1067</v>
      </c>
      <c r="O680" s="14">
        <v>12.0</v>
      </c>
      <c r="P680" s="23">
        <v>0.1292</v>
      </c>
      <c r="Q680" s="22" t="str">
        <f>"+0.79%"</f>
        <v>+0.79%</v>
      </c>
      <c r="R680" s="18" t="str">
        <f>"+5.95%"</f>
        <v>+5.95%</v>
      </c>
      <c r="S680" s="14" t="s">
        <v>543</v>
      </c>
    </row>
    <row r="681">
      <c r="A681" s="13">
        <v>45901.0</v>
      </c>
      <c r="B681" s="14" t="s">
        <v>47</v>
      </c>
      <c r="C681" s="14" t="s">
        <v>48</v>
      </c>
      <c r="D681" s="14" t="s">
        <v>99</v>
      </c>
      <c r="E681" s="14" t="s">
        <v>100</v>
      </c>
      <c r="F681" s="15" t="s">
        <v>51</v>
      </c>
      <c r="G681" s="14" t="s">
        <v>101</v>
      </c>
      <c r="H681" s="14" t="s">
        <v>102</v>
      </c>
      <c r="I681" s="14" t="s">
        <v>54</v>
      </c>
      <c r="J681" s="14" t="s">
        <v>198</v>
      </c>
      <c r="K681" s="14" t="s">
        <v>205</v>
      </c>
      <c r="L681" s="14" t="s">
        <v>274</v>
      </c>
      <c r="M681" s="14" t="s">
        <v>791</v>
      </c>
      <c r="N681" s="14" t="s">
        <v>792</v>
      </c>
      <c r="O681" s="14">
        <v>100.0</v>
      </c>
      <c r="P681" s="21">
        <v>4.0</v>
      </c>
      <c r="Q681" s="22" t="str">
        <f t="shared" ref="Q681:Q684" si="408">"+0"</f>
        <v>+0</v>
      </c>
      <c r="S681" s="14" t="s">
        <v>260</v>
      </c>
    </row>
    <row r="682">
      <c r="A682" s="13">
        <v>45901.0</v>
      </c>
      <c r="B682" s="14" t="s">
        <v>47</v>
      </c>
      <c r="C682" s="14" t="s">
        <v>48</v>
      </c>
      <c r="D682" s="14" t="s">
        <v>192</v>
      </c>
      <c r="E682" s="14" t="s">
        <v>193</v>
      </c>
      <c r="F682" s="15" t="s">
        <v>51</v>
      </c>
      <c r="G682" s="14" t="s">
        <v>194</v>
      </c>
      <c r="H682" s="14" t="s">
        <v>192</v>
      </c>
      <c r="I682" s="14" t="s">
        <v>54</v>
      </c>
      <c r="J682" s="14" t="s">
        <v>198</v>
      </c>
      <c r="K682" s="14" t="s">
        <v>210</v>
      </c>
      <c r="L682" s="14" t="s">
        <v>264</v>
      </c>
      <c r="M682" s="14" t="s">
        <v>1068</v>
      </c>
      <c r="N682" s="14" t="s">
        <v>1069</v>
      </c>
      <c r="O682" s="14">
        <v>0.0</v>
      </c>
      <c r="P682" s="21">
        <v>0.0</v>
      </c>
      <c r="Q682" s="22" t="str">
        <f t="shared" si="408"/>
        <v>+0</v>
      </c>
      <c r="R682" s="18" t="str">
        <f t="shared" ref="R682:R683" si="409">"+0"</f>
        <v>+0</v>
      </c>
      <c r="S682" s="14" t="s">
        <v>277</v>
      </c>
    </row>
    <row r="683">
      <c r="A683" s="13">
        <v>45901.0</v>
      </c>
      <c r="B683" s="14" t="s">
        <v>47</v>
      </c>
      <c r="C683" s="14" t="s">
        <v>48</v>
      </c>
      <c r="D683" s="14" t="s">
        <v>192</v>
      </c>
      <c r="E683" s="14" t="s">
        <v>193</v>
      </c>
      <c r="F683" s="15" t="s">
        <v>51</v>
      </c>
      <c r="G683" s="14" t="s">
        <v>194</v>
      </c>
      <c r="H683" s="14" t="s">
        <v>192</v>
      </c>
      <c r="I683" s="14" t="s">
        <v>54</v>
      </c>
      <c r="J683" s="14" t="s">
        <v>199</v>
      </c>
      <c r="K683" s="14" t="s">
        <v>203</v>
      </c>
      <c r="L683" s="14" t="s">
        <v>536</v>
      </c>
      <c r="M683" s="14" t="s">
        <v>536</v>
      </c>
      <c r="N683" s="14" t="s">
        <v>537</v>
      </c>
      <c r="O683" s="14">
        <v>0.0</v>
      </c>
      <c r="P683" s="21">
        <v>0.0</v>
      </c>
      <c r="Q683" s="22" t="str">
        <f t="shared" si="408"/>
        <v>+0</v>
      </c>
      <c r="R683" s="18" t="str">
        <f t="shared" si="409"/>
        <v>+0</v>
      </c>
      <c r="S683" s="14" t="s">
        <v>260</v>
      </c>
    </row>
    <row r="684">
      <c r="A684" s="13">
        <v>45901.0</v>
      </c>
      <c r="B684" s="14" t="s">
        <v>47</v>
      </c>
      <c r="C684" s="14" t="s">
        <v>48</v>
      </c>
      <c r="D684" s="14" t="s">
        <v>82</v>
      </c>
      <c r="E684" s="14" t="s">
        <v>83</v>
      </c>
      <c r="F684" s="15" t="s">
        <v>51</v>
      </c>
      <c r="G684" s="14" t="s">
        <v>84</v>
      </c>
      <c r="H684" s="14" t="s">
        <v>82</v>
      </c>
      <c r="I684" s="14" t="s">
        <v>59</v>
      </c>
      <c r="J684" s="14" t="s">
        <v>198</v>
      </c>
      <c r="K684" s="14" t="s">
        <v>205</v>
      </c>
      <c r="L684" s="14" t="s">
        <v>274</v>
      </c>
      <c r="M684" s="14" t="s">
        <v>466</v>
      </c>
      <c r="N684" s="14" t="s">
        <v>467</v>
      </c>
      <c r="O684" s="14">
        <v>100.0</v>
      </c>
      <c r="P684" s="21">
        <v>1.0</v>
      </c>
      <c r="Q684" s="22" t="str">
        <f t="shared" si="408"/>
        <v>+0</v>
      </c>
      <c r="S684" s="14" t="s">
        <v>281</v>
      </c>
    </row>
    <row r="685">
      <c r="A685" s="13">
        <v>45901.0</v>
      </c>
      <c r="B685" s="14" t="s">
        <v>47</v>
      </c>
      <c r="C685" s="14" t="s">
        <v>48</v>
      </c>
      <c r="D685" s="14" t="s">
        <v>66</v>
      </c>
      <c r="E685" s="14" t="s">
        <v>67</v>
      </c>
      <c r="F685" s="15" t="s">
        <v>51</v>
      </c>
      <c r="G685" s="14" t="s">
        <v>68</v>
      </c>
      <c r="H685" s="14" t="s">
        <v>66</v>
      </c>
      <c r="I685" s="14" t="s">
        <v>59</v>
      </c>
      <c r="J685" s="14" t="s">
        <v>200</v>
      </c>
      <c r="K685" s="14" t="s">
        <v>223</v>
      </c>
      <c r="L685" s="14" t="s">
        <v>282</v>
      </c>
      <c r="M685" s="14" t="s">
        <v>283</v>
      </c>
      <c r="N685" s="14" t="s">
        <v>284</v>
      </c>
      <c r="O685" s="14">
        <v>0.0</v>
      </c>
      <c r="P685" s="23">
        <v>0.0</v>
      </c>
      <c r="Q685" s="22" t="str">
        <f t="shared" ref="Q685:R685" si="410">"+0.00%"</f>
        <v>+0.00%</v>
      </c>
      <c r="R685" s="18" t="str">
        <f t="shared" si="410"/>
        <v>+0.00%</v>
      </c>
      <c r="S685" s="14" t="s">
        <v>285</v>
      </c>
    </row>
    <row r="686">
      <c r="A686" s="13">
        <v>45901.0</v>
      </c>
      <c r="B686" s="14" t="s">
        <v>47</v>
      </c>
      <c r="C686" s="14" t="s">
        <v>48</v>
      </c>
      <c r="D686" s="14" t="s">
        <v>136</v>
      </c>
      <c r="E686" s="14" t="s">
        <v>137</v>
      </c>
      <c r="F686" s="15" t="s">
        <v>51</v>
      </c>
      <c r="G686" s="14" t="s">
        <v>138</v>
      </c>
      <c r="H686" s="14" t="s">
        <v>139</v>
      </c>
      <c r="I686" s="14" t="s">
        <v>59</v>
      </c>
      <c r="J686" s="14" t="s">
        <v>200</v>
      </c>
      <c r="K686" s="14" t="s">
        <v>213</v>
      </c>
      <c r="L686" s="14" t="s">
        <v>257</v>
      </c>
      <c r="M686" s="14" t="s">
        <v>315</v>
      </c>
      <c r="N686" s="14" t="s">
        <v>316</v>
      </c>
      <c r="O686" s="14">
        <v>88.0</v>
      </c>
      <c r="P686" s="23">
        <v>0.8875</v>
      </c>
      <c r="Q686" s="22" t="str">
        <f>"-1.35%"</f>
        <v>-1.35%</v>
      </c>
      <c r="R686" s="18" t="str">
        <f>"+0.44%"</f>
        <v>+0.44%</v>
      </c>
      <c r="S686" s="14" t="s">
        <v>1070</v>
      </c>
    </row>
    <row r="687">
      <c r="A687" s="13">
        <v>45901.0</v>
      </c>
      <c r="B687" s="14" t="s">
        <v>47</v>
      </c>
      <c r="C687" s="14" t="s">
        <v>48</v>
      </c>
      <c r="D687" s="14" t="s">
        <v>149</v>
      </c>
      <c r="E687" s="14" t="s">
        <v>150</v>
      </c>
      <c r="F687" s="15" t="s">
        <v>51</v>
      </c>
      <c r="G687" s="14" t="s">
        <v>151</v>
      </c>
      <c r="H687" s="14" t="s">
        <v>152</v>
      </c>
      <c r="I687" s="14" t="s">
        <v>54</v>
      </c>
      <c r="J687" s="14" t="s">
        <v>200</v>
      </c>
      <c r="K687" s="14" t="s">
        <v>219</v>
      </c>
      <c r="L687" s="14" t="s">
        <v>253</v>
      </c>
      <c r="M687" s="14" t="s">
        <v>899</v>
      </c>
      <c r="N687" s="14" t="s">
        <v>900</v>
      </c>
      <c r="O687" s="14">
        <v>100.0</v>
      </c>
      <c r="P687" s="23">
        <v>0.0</v>
      </c>
      <c r="Q687" s="22" t="str">
        <f t="shared" ref="Q687:R687" si="411">"+0.00%"</f>
        <v>+0.00%</v>
      </c>
      <c r="R687" s="18" t="str">
        <f t="shared" si="411"/>
        <v>+0.00%</v>
      </c>
      <c r="S687" s="14" t="s">
        <v>285</v>
      </c>
    </row>
    <row r="688">
      <c r="A688" s="13">
        <v>45901.0</v>
      </c>
      <c r="B688" s="14" t="s">
        <v>47</v>
      </c>
      <c r="C688" s="14" t="s">
        <v>48</v>
      </c>
      <c r="D688" s="14" t="s">
        <v>87</v>
      </c>
      <c r="E688" s="14" t="s">
        <v>88</v>
      </c>
      <c r="F688" s="15" t="s">
        <v>51</v>
      </c>
      <c r="G688" s="14" t="s">
        <v>89</v>
      </c>
      <c r="H688" s="14" t="s">
        <v>90</v>
      </c>
      <c r="I688" s="14" t="s">
        <v>59</v>
      </c>
      <c r="J688" s="14" t="s">
        <v>200</v>
      </c>
      <c r="K688" s="14" t="s">
        <v>201</v>
      </c>
      <c r="L688" s="14" t="s">
        <v>253</v>
      </c>
      <c r="M688" s="14" t="s">
        <v>585</v>
      </c>
      <c r="N688" s="14" t="s">
        <v>586</v>
      </c>
      <c r="O688" s="14">
        <v>9.0</v>
      </c>
      <c r="P688" s="23">
        <v>0.0956</v>
      </c>
      <c r="Q688" s="22" t="str">
        <f>"-1.76%"</f>
        <v>-1.76%</v>
      </c>
      <c r="R688" s="18" t="str">
        <f>"-0.74%"</f>
        <v>-0.74%</v>
      </c>
      <c r="S688" s="14" t="s">
        <v>1071</v>
      </c>
    </row>
    <row r="689">
      <c r="A689" s="13">
        <v>45901.0</v>
      </c>
      <c r="B689" s="14" t="s">
        <v>47</v>
      </c>
      <c r="C689" s="14" t="s">
        <v>48</v>
      </c>
      <c r="D689" s="14" t="s">
        <v>171</v>
      </c>
      <c r="E689" s="14" t="s">
        <v>172</v>
      </c>
      <c r="F689" s="15" t="s">
        <v>51</v>
      </c>
      <c r="G689" s="14" t="s">
        <v>173</v>
      </c>
      <c r="H689" s="14" t="s">
        <v>171</v>
      </c>
      <c r="I689" s="14" t="s">
        <v>59</v>
      </c>
      <c r="J689" s="14" t="s">
        <v>199</v>
      </c>
      <c r="K689" s="14" t="s">
        <v>203</v>
      </c>
      <c r="L689" s="14" t="s">
        <v>736</v>
      </c>
      <c r="M689" s="14" t="s">
        <v>736</v>
      </c>
      <c r="N689" s="14" t="s">
        <v>737</v>
      </c>
      <c r="O689" s="14">
        <v>0.0</v>
      </c>
      <c r="P689" s="21">
        <v>0.0</v>
      </c>
      <c r="Q689" s="22" t="str">
        <f t="shared" ref="Q689:R689" si="412">"+0"</f>
        <v>+0</v>
      </c>
      <c r="R689" s="18" t="str">
        <f t="shared" si="412"/>
        <v>+0</v>
      </c>
      <c r="S689" s="14" t="s">
        <v>260</v>
      </c>
    </row>
    <row r="690">
      <c r="A690" s="13">
        <v>45901.0</v>
      </c>
      <c r="B690" s="14" t="s">
        <v>47</v>
      </c>
      <c r="C690" s="14" t="s">
        <v>48</v>
      </c>
      <c r="D690" s="14" t="s">
        <v>171</v>
      </c>
      <c r="E690" s="14" t="s">
        <v>172</v>
      </c>
      <c r="F690" s="15" t="s">
        <v>51</v>
      </c>
      <c r="G690" s="14" t="s">
        <v>173</v>
      </c>
      <c r="H690" s="14" t="s">
        <v>171</v>
      </c>
      <c r="I690" s="14" t="s">
        <v>59</v>
      </c>
      <c r="J690" s="14" t="s">
        <v>198</v>
      </c>
      <c r="K690" s="14" t="s">
        <v>205</v>
      </c>
      <c r="L690" s="14" t="s">
        <v>274</v>
      </c>
      <c r="M690" s="14" t="s">
        <v>354</v>
      </c>
      <c r="N690" s="14" t="s">
        <v>355</v>
      </c>
      <c r="O690" s="14">
        <v>100.0</v>
      </c>
      <c r="P690" s="21">
        <v>3.0</v>
      </c>
      <c r="Q690" s="22" t="str">
        <f>"+0"</f>
        <v>+0</v>
      </c>
      <c r="S690" s="14" t="s">
        <v>356</v>
      </c>
    </row>
    <row r="691">
      <c r="A691" s="13">
        <v>45901.0</v>
      </c>
      <c r="B691" s="14" t="s">
        <v>47</v>
      </c>
      <c r="C691" s="14" t="s">
        <v>48</v>
      </c>
      <c r="D691" s="14" t="s">
        <v>87</v>
      </c>
      <c r="E691" s="14" t="s">
        <v>88</v>
      </c>
      <c r="F691" s="15" t="s">
        <v>51</v>
      </c>
      <c r="G691" s="14" t="s">
        <v>89</v>
      </c>
      <c r="H691" s="14" t="s">
        <v>90</v>
      </c>
      <c r="I691" s="14" t="s">
        <v>59</v>
      </c>
      <c r="J691" s="14" t="s">
        <v>200</v>
      </c>
      <c r="K691" s="14" t="s">
        <v>223</v>
      </c>
      <c r="L691" s="14" t="s">
        <v>282</v>
      </c>
      <c r="M691" s="14" t="s">
        <v>283</v>
      </c>
      <c r="N691" s="14" t="s">
        <v>284</v>
      </c>
      <c r="O691" s="14">
        <v>0.0</v>
      </c>
      <c r="P691" s="23">
        <v>0.0</v>
      </c>
      <c r="Q691" s="22" t="str">
        <f t="shared" ref="Q691:R691" si="413">"+0.00%"</f>
        <v>+0.00%</v>
      </c>
      <c r="R691" s="18" t="str">
        <f t="shared" si="413"/>
        <v>+0.00%</v>
      </c>
      <c r="S691" s="14" t="s">
        <v>285</v>
      </c>
    </row>
    <row r="692">
      <c r="A692" s="13">
        <v>45901.0</v>
      </c>
      <c r="B692" s="14" t="s">
        <v>47</v>
      </c>
      <c r="C692" s="14" t="s">
        <v>48</v>
      </c>
      <c r="D692" s="14" t="s">
        <v>129</v>
      </c>
      <c r="E692" s="14" t="s">
        <v>130</v>
      </c>
      <c r="F692" s="15" t="s">
        <v>51</v>
      </c>
      <c r="G692" s="14" t="s">
        <v>131</v>
      </c>
      <c r="H692" s="14" t="s">
        <v>129</v>
      </c>
      <c r="I692" s="14" t="s">
        <v>59</v>
      </c>
      <c r="J692" s="14" t="s">
        <v>200</v>
      </c>
      <c r="K692" s="14" t="s">
        <v>214</v>
      </c>
      <c r="L692" s="14" t="s">
        <v>253</v>
      </c>
      <c r="M692" s="14" t="s">
        <v>389</v>
      </c>
      <c r="N692" s="14" t="s">
        <v>390</v>
      </c>
      <c r="O692" s="14">
        <v>67.0</v>
      </c>
      <c r="P692" s="23">
        <v>0.6731</v>
      </c>
      <c r="Q692" s="22" t="str">
        <f>"+2.45%"</f>
        <v>+2.45%</v>
      </c>
      <c r="R692" s="18" t="str">
        <f>"-7.20%"</f>
        <v>-7.20%</v>
      </c>
      <c r="S692" s="14" t="s">
        <v>1072</v>
      </c>
    </row>
    <row r="693">
      <c r="A693" s="13">
        <v>45901.0</v>
      </c>
      <c r="B693" s="14" t="s">
        <v>47</v>
      </c>
      <c r="C693" s="14" t="s">
        <v>48</v>
      </c>
      <c r="D693" s="14" t="s">
        <v>125</v>
      </c>
      <c r="E693" s="14" t="s">
        <v>126</v>
      </c>
      <c r="F693" s="15" t="s">
        <v>51</v>
      </c>
      <c r="G693" s="14" t="s">
        <v>127</v>
      </c>
      <c r="H693" s="14" t="s">
        <v>125</v>
      </c>
      <c r="I693" s="14" t="s">
        <v>59</v>
      </c>
      <c r="J693" s="14" t="s">
        <v>200</v>
      </c>
      <c r="K693" s="14" t="s">
        <v>232</v>
      </c>
      <c r="L693" s="14" t="s">
        <v>607</v>
      </c>
      <c r="M693" s="14" t="s">
        <v>1027</v>
      </c>
      <c r="N693" s="14" t="s">
        <v>1028</v>
      </c>
      <c r="O693" s="14">
        <v>0.0</v>
      </c>
      <c r="P693" s="23">
        <v>-1.0</v>
      </c>
      <c r="Q693" s="22" t="str">
        <f t="shared" ref="Q693:R693" si="414">"+0.00%"</f>
        <v>+0.00%</v>
      </c>
      <c r="R693" s="18" t="str">
        <f t="shared" si="414"/>
        <v>+0.00%</v>
      </c>
      <c r="S693" s="14" t="s">
        <v>1073</v>
      </c>
    </row>
    <row r="694">
      <c r="A694" s="13">
        <v>45901.0</v>
      </c>
      <c r="B694" s="14" t="s">
        <v>47</v>
      </c>
      <c r="C694" s="14" t="s">
        <v>48</v>
      </c>
      <c r="D694" s="14" t="s">
        <v>96</v>
      </c>
      <c r="E694" s="14" t="s">
        <v>97</v>
      </c>
      <c r="F694" s="15" t="s">
        <v>51</v>
      </c>
      <c r="G694" s="14" t="s">
        <v>98</v>
      </c>
      <c r="H694" s="14" t="s">
        <v>96</v>
      </c>
      <c r="I694" s="14" t="s">
        <v>59</v>
      </c>
      <c r="J694" s="14" t="s">
        <v>200</v>
      </c>
      <c r="K694" s="14" t="s">
        <v>223</v>
      </c>
      <c r="L694" s="14" t="s">
        <v>883</v>
      </c>
      <c r="M694" s="14" t="s">
        <v>884</v>
      </c>
      <c r="N694" s="14" t="s">
        <v>885</v>
      </c>
      <c r="O694" s="14">
        <v>0.0</v>
      </c>
      <c r="P694" s="23">
        <v>0.0</v>
      </c>
      <c r="Q694" s="22" t="str">
        <f>"+0.00%"</f>
        <v>+0.00%</v>
      </c>
      <c r="R694" s="18" t="str">
        <f>"-6.25%"</f>
        <v>-6.25%</v>
      </c>
      <c r="S694" s="14" t="s">
        <v>285</v>
      </c>
    </row>
    <row r="695">
      <c r="A695" s="13">
        <v>45901.0</v>
      </c>
      <c r="B695" s="14" t="s">
        <v>47</v>
      </c>
      <c r="C695" s="14" t="s">
        <v>48</v>
      </c>
      <c r="D695" s="14" t="s">
        <v>116</v>
      </c>
      <c r="E695" s="14" t="s">
        <v>117</v>
      </c>
      <c r="F695" s="15" t="s">
        <v>51</v>
      </c>
      <c r="G695" s="14" t="s">
        <v>161</v>
      </c>
      <c r="H695" s="14" t="s">
        <v>116</v>
      </c>
      <c r="I695" s="14" t="s">
        <v>54</v>
      </c>
      <c r="J695" s="14" t="s">
        <v>198</v>
      </c>
      <c r="K695" s="14" t="s">
        <v>210</v>
      </c>
      <c r="L695" s="14" t="s">
        <v>264</v>
      </c>
      <c r="M695" s="14" t="s">
        <v>989</v>
      </c>
      <c r="N695" s="14" t="s">
        <v>990</v>
      </c>
      <c r="O695" s="14">
        <v>0.0</v>
      </c>
      <c r="P695" s="21">
        <v>0.0</v>
      </c>
      <c r="Q695" s="22" t="str">
        <f t="shared" ref="Q695:R695" si="415">"+0"</f>
        <v>+0</v>
      </c>
      <c r="R695" s="18" t="str">
        <f t="shared" si="415"/>
        <v>+0</v>
      </c>
      <c r="S695" s="14" t="s">
        <v>277</v>
      </c>
    </row>
    <row r="696">
      <c r="A696" s="13">
        <v>45901.0</v>
      </c>
      <c r="B696" s="14" t="s">
        <v>47</v>
      </c>
      <c r="C696" s="14" t="s">
        <v>48</v>
      </c>
      <c r="D696" s="14" t="s">
        <v>181</v>
      </c>
      <c r="E696" s="14" t="s">
        <v>182</v>
      </c>
      <c r="F696" s="15" t="s">
        <v>51</v>
      </c>
      <c r="G696" s="14" t="s">
        <v>183</v>
      </c>
      <c r="H696" s="14" t="s">
        <v>181</v>
      </c>
      <c r="I696" s="14" t="s">
        <v>59</v>
      </c>
      <c r="J696" s="14" t="s">
        <v>200</v>
      </c>
      <c r="K696" s="14" t="s">
        <v>232</v>
      </c>
      <c r="L696" s="14" t="s">
        <v>286</v>
      </c>
      <c r="M696" s="14" t="s">
        <v>369</v>
      </c>
      <c r="N696" s="14" t="s">
        <v>370</v>
      </c>
      <c r="O696" s="14">
        <v>0.0</v>
      </c>
      <c r="P696" s="23">
        <v>0.0</v>
      </c>
      <c r="Q696" s="22" t="str">
        <f t="shared" ref="Q696:R696" si="416">"+0.00%"</f>
        <v>+0.00%</v>
      </c>
      <c r="R696" s="18" t="str">
        <f t="shared" si="416"/>
        <v>+0.00%</v>
      </c>
      <c r="S696" s="14" t="s">
        <v>1074</v>
      </c>
    </row>
    <row r="697">
      <c r="A697" s="13">
        <v>45901.0</v>
      </c>
      <c r="B697" s="14" t="s">
        <v>47</v>
      </c>
      <c r="C697" s="14" t="s">
        <v>48</v>
      </c>
      <c r="D697" s="14" t="s">
        <v>168</v>
      </c>
      <c r="E697" s="14" t="s">
        <v>169</v>
      </c>
      <c r="F697" s="15" t="s">
        <v>51</v>
      </c>
      <c r="G697" s="14" t="s">
        <v>170</v>
      </c>
      <c r="H697" s="14" t="s">
        <v>168</v>
      </c>
      <c r="I697" s="14" t="s">
        <v>59</v>
      </c>
      <c r="J697" s="14" t="s">
        <v>198</v>
      </c>
      <c r="K697" s="14" t="s">
        <v>210</v>
      </c>
      <c r="L697" s="14" t="s">
        <v>264</v>
      </c>
      <c r="M697" s="14" t="s">
        <v>470</v>
      </c>
      <c r="N697" s="14" t="s">
        <v>471</v>
      </c>
      <c r="O697" s="14">
        <v>100.0</v>
      </c>
      <c r="P697" s="21">
        <v>0.0</v>
      </c>
      <c r="Q697" s="22" t="str">
        <f t="shared" ref="Q697:R697" si="417">"+0"</f>
        <v>+0</v>
      </c>
      <c r="R697" s="18" t="str">
        <f t="shared" si="417"/>
        <v>+0</v>
      </c>
      <c r="S697" s="14" t="s">
        <v>281</v>
      </c>
    </row>
    <row r="698">
      <c r="A698" s="13">
        <v>45901.0</v>
      </c>
      <c r="B698" s="14" t="s">
        <v>47</v>
      </c>
      <c r="C698" s="14" t="s">
        <v>48</v>
      </c>
      <c r="D698" s="14" t="s">
        <v>155</v>
      </c>
      <c r="E698" s="14" t="s">
        <v>156</v>
      </c>
      <c r="F698" s="15" t="s">
        <v>51</v>
      </c>
      <c r="G698" s="14" t="s">
        <v>157</v>
      </c>
      <c r="H698" s="14" t="s">
        <v>155</v>
      </c>
      <c r="I698" s="14" t="s">
        <v>59</v>
      </c>
      <c r="J698" s="14" t="s">
        <v>200</v>
      </c>
      <c r="K698" s="14" t="s">
        <v>223</v>
      </c>
      <c r="L698" s="14" t="s">
        <v>487</v>
      </c>
      <c r="M698" s="14" t="s">
        <v>904</v>
      </c>
      <c r="N698" s="14" t="s">
        <v>905</v>
      </c>
      <c r="O698" s="14">
        <v>100.0</v>
      </c>
      <c r="P698" s="21">
        <v>5.0</v>
      </c>
      <c r="Q698" s="22" t="str">
        <f t="shared" ref="Q698:R698" si="418">"+0"</f>
        <v>+0</v>
      </c>
      <c r="R698" s="18" t="str">
        <f t="shared" si="418"/>
        <v>+0</v>
      </c>
      <c r="S698" s="14" t="s">
        <v>260</v>
      </c>
    </row>
    <row r="699">
      <c r="A699" s="13">
        <v>45901.0</v>
      </c>
      <c r="B699" s="14" t="s">
        <v>47</v>
      </c>
      <c r="C699" s="14" t="s">
        <v>48</v>
      </c>
      <c r="D699" s="14" t="s">
        <v>49</v>
      </c>
      <c r="E699" s="14" t="s">
        <v>50</v>
      </c>
      <c r="F699" s="15" t="s">
        <v>51</v>
      </c>
      <c r="G699" s="14" t="s">
        <v>52</v>
      </c>
      <c r="H699" s="14" t="s">
        <v>53</v>
      </c>
      <c r="I699" s="14" t="s">
        <v>54</v>
      </c>
      <c r="J699" s="14" t="s">
        <v>198</v>
      </c>
      <c r="K699" s="14" t="s">
        <v>210</v>
      </c>
      <c r="L699" s="14" t="s">
        <v>264</v>
      </c>
      <c r="M699" s="14" t="s">
        <v>313</v>
      </c>
      <c r="N699" s="14" t="s">
        <v>314</v>
      </c>
      <c r="O699" s="14">
        <v>100.0</v>
      </c>
      <c r="P699" s="21">
        <v>1.0</v>
      </c>
      <c r="Q699" s="22" t="str">
        <f t="shared" ref="Q699:R699" si="419">"-1"</f>
        <v>-1</v>
      </c>
      <c r="R699" s="18" t="str">
        <f t="shared" si="419"/>
        <v>-1</v>
      </c>
      <c r="S699" s="14" t="s">
        <v>277</v>
      </c>
    </row>
    <row r="700">
      <c r="A700" s="13">
        <v>45901.0</v>
      </c>
      <c r="B700" s="14" t="s">
        <v>47</v>
      </c>
      <c r="C700" s="14" t="s">
        <v>48</v>
      </c>
      <c r="D700" s="14" t="s">
        <v>63</v>
      </c>
      <c r="E700" s="14" t="s">
        <v>64</v>
      </c>
      <c r="F700" s="15" t="s">
        <v>51</v>
      </c>
      <c r="G700" s="14" t="s">
        <v>65</v>
      </c>
      <c r="H700" s="14" t="s">
        <v>63</v>
      </c>
      <c r="I700" s="14" t="s">
        <v>54</v>
      </c>
      <c r="J700" s="14" t="s">
        <v>198</v>
      </c>
      <c r="K700" s="14" t="s">
        <v>207</v>
      </c>
      <c r="L700" s="14" t="s">
        <v>318</v>
      </c>
      <c r="M700" s="14" t="s">
        <v>319</v>
      </c>
      <c r="N700" s="14" t="s">
        <v>320</v>
      </c>
      <c r="O700" s="14">
        <v>100.0</v>
      </c>
      <c r="P700" s="21">
        <v>1.0</v>
      </c>
      <c r="Q700" s="22" t="str">
        <f t="shared" ref="Q700:Q702" si="420">"+0"</f>
        <v>+0</v>
      </c>
      <c r="S700" s="14" t="s">
        <v>281</v>
      </c>
    </row>
    <row r="701">
      <c r="A701" s="13">
        <v>45901.0</v>
      </c>
      <c r="B701" s="14" t="s">
        <v>47</v>
      </c>
      <c r="C701" s="14" t="s">
        <v>48</v>
      </c>
      <c r="D701" s="14" t="s">
        <v>118</v>
      </c>
      <c r="E701" s="14" t="s">
        <v>119</v>
      </c>
      <c r="F701" s="15" t="s">
        <v>51</v>
      </c>
      <c r="G701" s="14" t="s">
        <v>120</v>
      </c>
      <c r="H701" s="14" t="s">
        <v>118</v>
      </c>
      <c r="I701" s="14" t="s">
        <v>59</v>
      </c>
      <c r="J701" s="14" t="s">
        <v>198</v>
      </c>
      <c r="K701" s="14" t="s">
        <v>210</v>
      </c>
      <c r="L701" s="14" t="s">
        <v>264</v>
      </c>
      <c r="M701" s="14" t="s">
        <v>470</v>
      </c>
      <c r="N701" s="14" t="s">
        <v>471</v>
      </c>
      <c r="O701" s="14">
        <v>100.0</v>
      </c>
      <c r="P701" s="21">
        <v>0.0</v>
      </c>
      <c r="Q701" s="22" t="str">
        <f t="shared" si="420"/>
        <v>+0</v>
      </c>
      <c r="R701" s="18" t="str">
        <f t="shared" ref="R701:R702" si="421">"+0"</f>
        <v>+0</v>
      </c>
      <c r="S701" s="14" t="s">
        <v>281</v>
      </c>
    </row>
    <row r="702">
      <c r="A702" s="13">
        <v>45901.0</v>
      </c>
      <c r="B702" s="14" t="s">
        <v>47</v>
      </c>
      <c r="C702" s="14" t="s">
        <v>48</v>
      </c>
      <c r="D702" s="14" t="s">
        <v>91</v>
      </c>
      <c r="E702" s="14" t="s">
        <v>92</v>
      </c>
      <c r="F702" s="14" t="s">
        <v>71</v>
      </c>
      <c r="G702" s="14">
        <v>5.10000484E8</v>
      </c>
      <c r="H702" s="14" t="s">
        <v>91</v>
      </c>
      <c r="I702" s="14" t="s">
        <v>54</v>
      </c>
      <c r="J702" s="14" t="s">
        <v>199</v>
      </c>
      <c r="K702" s="14" t="s">
        <v>203</v>
      </c>
      <c r="L702" s="14" t="s">
        <v>601</v>
      </c>
      <c r="M702" s="14" t="s">
        <v>601</v>
      </c>
      <c r="N702" s="14" t="s">
        <v>602</v>
      </c>
      <c r="O702" s="14">
        <v>0.0</v>
      </c>
      <c r="P702" s="21">
        <v>0.0</v>
      </c>
      <c r="Q702" s="22" t="str">
        <f t="shared" si="420"/>
        <v>+0</v>
      </c>
      <c r="R702" s="18" t="str">
        <f t="shared" si="421"/>
        <v>+0</v>
      </c>
      <c r="S702" s="14" t="s">
        <v>260</v>
      </c>
    </row>
    <row r="703">
      <c r="A703" s="13">
        <v>45901.0</v>
      </c>
      <c r="B703" s="14" t="s">
        <v>47</v>
      </c>
      <c r="C703" s="14" t="s">
        <v>48</v>
      </c>
      <c r="D703" s="14" t="s">
        <v>63</v>
      </c>
      <c r="E703" s="14" t="s">
        <v>64</v>
      </c>
      <c r="F703" s="15" t="s">
        <v>51</v>
      </c>
      <c r="G703" s="14" t="s">
        <v>65</v>
      </c>
      <c r="H703" s="14" t="s">
        <v>63</v>
      </c>
      <c r="I703" s="14" t="s">
        <v>54</v>
      </c>
      <c r="J703" s="14" t="s">
        <v>200</v>
      </c>
      <c r="K703" s="14" t="s">
        <v>227</v>
      </c>
      <c r="L703" s="14" t="s">
        <v>270</v>
      </c>
      <c r="M703" s="14" t="s">
        <v>321</v>
      </c>
      <c r="N703" s="14" t="s">
        <v>322</v>
      </c>
      <c r="O703" s="14">
        <v>50.0</v>
      </c>
      <c r="P703" s="23">
        <v>0.0113</v>
      </c>
      <c r="Q703" s="22" t="str">
        <f>"+9.58%"</f>
        <v>+9.58%</v>
      </c>
      <c r="R703" s="18" t="str">
        <f>"-7.25%"</f>
        <v>-7.25%</v>
      </c>
      <c r="S703" s="14" t="s">
        <v>323</v>
      </c>
    </row>
    <row r="704">
      <c r="A704" s="13">
        <v>45901.0</v>
      </c>
      <c r="B704" s="14" t="s">
        <v>47</v>
      </c>
      <c r="C704" s="14" t="s">
        <v>48</v>
      </c>
      <c r="D704" s="14" t="s">
        <v>99</v>
      </c>
      <c r="E704" s="14" t="s">
        <v>100</v>
      </c>
      <c r="F704" s="15" t="s">
        <v>51</v>
      </c>
      <c r="G704" s="14" t="s">
        <v>101</v>
      </c>
      <c r="H704" s="14" t="s">
        <v>102</v>
      </c>
      <c r="I704" s="14" t="s">
        <v>54</v>
      </c>
      <c r="J704" s="14" t="s">
        <v>198</v>
      </c>
      <c r="K704" s="14" t="s">
        <v>212</v>
      </c>
      <c r="L704" s="14" t="s">
        <v>344</v>
      </c>
      <c r="M704" s="14" t="s">
        <v>345</v>
      </c>
      <c r="N704" s="14" t="s">
        <v>346</v>
      </c>
      <c r="O704" s="14">
        <v>0.0</v>
      </c>
      <c r="P704" s="21">
        <v>0.0</v>
      </c>
      <c r="Q704" s="22" t="str">
        <f t="shared" ref="Q704:R704" si="422">"+0"</f>
        <v>+0</v>
      </c>
      <c r="R704" s="18" t="str">
        <f t="shared" si="422"/>
        <v>+0</v>
      </c>
      <c r="S704" s="14" t="s">
        <v>277</v>
      </c>
    </row>
    <row r="705">
      <c r="A705" s="13">
        <v>45901.0</v>
      </c>
      <c r="B705" s="14" t="s">
        <v>47</v>
      </c>
      <c r="C705" s="14" t="s">
        <v>48</v>
      </c>
      <c r="D705" s="14" t="s">
        <v>184</v>
      </c>
      <c r="E705" s="14" t="s">
        <v>185</v>
      </c>
      <c r="F705" s="15" t="s">
        <v>51</v>
      </c>
      <c r="G705" s="14" t="s">
        <v>186</v>
      </c>
      <c r="H705" s="14" t="s">
        <v>187</v>
      </c>
      <c r="I705" s="14" t="s">
        <v>59</v>
      </c>
      <c r="J705" s="14" t="s">
        <v>200</v>
      </c>
      <c r="K705" s="14" t="s">
        <v>224</v>
      </c>
      <c r="L705" s="14" t="s">
        <v>453</v>
      </c>
      <c r="M705" s="14" t="s">
        <v>665</v>
      </c>
      <c r="N705" s="14" t="s">
        <v>666</v>
      </c>
      <c r="O705" s="14">
        <v>0.0</v>
      </c>
      <c r="P705" s="17"/>
      <c r="Q705" s="22"/>
      <c r="S705" s="14" t="s">
        <v>667</v>
      </c>
    </row>
    <row r="706">
      <c r="A706" s="13">
        <v>45901.0</v>
      </c>
      <c r="B706" s="14" t="s">
        <v>47</v>
      </c>
      <c r="C706" s="14" t="s">
        <v>48</v>
      </c>
      <c r="D706" s="14" t="s">
        <v>192</v>
      </c>
      <c r="E706" s="14" t="s">
        <v>193</v>
      </c>
      <c r="F706" s="15" t="s">
        <v>51</v>
      </c>
      <c r="G706" s="14" t="s">
        <v>194</v>
      </c>
      <c r="H706" s="14" t="s">
        <v>192</v>
      </c>
      <c r="I706" s="14" t="s">
        <v>54</v>
      </c>
      <c r="J706" s="14" t="s">
        <v>200</v>
      </c>
      <c r="K706" s="14" t="s">
        <v>223</v>
      </c>
      <c r="L706" s="14" t="s">
        <v>487</v>
      </c>
      <c r="M706" s="14" t="s">
        <v>1075</v>
      </c>
      <c r="N706" s="14" t="s">
        <v>1076</v>
      </c>
      <c r="O706" s="14">
        <v>100.0</v>
      </c>
      <c r="P706" s="23">
        <v>0.7206</v>
      </c>
      <c r="Q706" s="22" t="str">
        <f>"+1.42%"</f>
        <v>+1.42%</v>
      </c>
      <c r="R706" s="18" t="str">
        <f>"-0.16%"</f>
        <v>-0.16%</v>
      </c>
      <c r="S706" s="14" t="s">
        <v>285</v>
      </c>
    </row>
    <row r="707">
      <c r="A707" s="13">
        <v>45901.0</v>
      </c>
      <c r="B707" s="14" t="s">
        <v>47</v>
      </c>
      <c r="C707" s="14" t="s">
        <v>48</v>
      </c>
      <c r="D707" s="14" t="s">
        <v>184</v>
      </c>
      <c r="E707" s="14" t="s">
        <v>185</v>
      </c>
      <c r="F707" s="15" t="s">
        <v>51</v>
      </c>
      <c r="G707" s="14" t="s">
        <v>186</v>
      </c>
      <c r="H707" s="14" t="s">
        <v>187</v>
      </c>
      <c r="I707" s="14" t="s">
        <v>59</v>
      </c>
      <c r="J707" s="14" t="s">
        <v>200</v>
      </c>
      <c r="K707" s="14" t="s">
        <v>214</v>
      </c>
      <c r="L707" s="14" t="s">
        <v>253</v>
      </c>
      <c r="M707" s="14" t="s">
        <v>366</v>
      </c>
      <c r="N707" s="14" t="s">
        <v>367</v>
      </c>
      <c r="O707" s="14">
        <v>78.0</v>
      </c>
      <c r="P707" s="23">
        <v>0.7831</v>
      </c>
      <c r="Q707" s="22" t="str">
        <f>"-2.02%"</f>
        <v>-2.02%</v>
      </c>
      <c r="R707" s="18" t="str">
        <f>"-16.87%"</f>
        <v>-16.87%</v>
      </c>
      <c r="S707" s="14" t="s">
        <v>1077</v>
      </c>
    </row>
    <row r="708">
      <c r="A708" s="13">
        <v>45901.0</v>
      </c>
      <c r="B708" s="14" t="s">
        <v>47</v>
      </c>
      <c r="C708" s="14" t="s">
        <v>48</v>
      </c>
      <c r="D708" s="14" t="s">
        <v>73</v>
      </c>
      <c r="E708" s="14" t="s">
        <v>74</v>
      </c>
      <c r="F708" s="15" t="s">
        <v>51</v>
      </c>
      <c r="G708" s="14" t="s">
        <v>75</v>
      </c>
      <c r="H708" s="14" t="s">
        <v>76</v>
      </c>
      <c r="I708" s="14" t="s">
        <v>59</v>
      </c>
      <c r="J708" s="14" t="s">
        <v>199</v>
      </c>
      <c r="K708" s="14" t="s">
        <v>206</v>
      </c>
      <c r="L708" s="14" t="s">
        <v>295</v>
      </c>
      <c r="M708" s="14" t="s">
        <v>296</v>
      </c>
      <c r="N708" s="14" t="s">
        <v>297</v>
      </c>
      <c r="O708" s="14">
        <v>0.0</v>
      </c>
      <c r="P708" s="21">
        <v>0.0</v>
      </c>
      <c r="Q708" s="22" t="str">
        <f t="shared" ref="Q708:R708" si="423">"+0"</f>
        <v>+0</v>
      </c>
      <c r="R708" s="18" t="str">
        <f t="shared" si="423"/>
        <v>+0</v>
      </c>
      <c r="S708" s="14" t="s">
        <v>260</v>
      </c>
    </row>
    <row r="709">
      <c r="A709" s="13">
        <v>45901.0</v>
      </c>
      <c r="B709" s="14" t="s">
        <v>47</v>
      </c>
      <c r="C709" s="14" t="s">
        <v>48</v>
      </c>
      <c r="D709" s="14" t="s">
        <v>87</v>
      </c>
      <c r="E709" s="14" t="s">
        <v>88</v>
      </c>
      <c r="F709" s="15" t="s">
        <v>51</v>
      </c>
      <c r="G709" s="14" t="s">
        <v>89</v>
      </c>
      <c r="H709" s="14" t="s">
        <v>90</v>
      </c>
      <c r="I709" s="14" t="s">
        <v>59</v>
      </c>
      <c r="J709" s="14" t="s">
        <v>199</v>
      </c>
      <c r="K709" s="14" t="s">
        <v>203</v>
      </c>
      <c r="L709" s="14" t="s">
        <v>342</v>
      </c>
      <c r="M709" s="14" t="s">
        <v>342</v>
      </c>
      <c r="N709" s="14" t="s">
        <v>343</v>
      </c>
      <c r="O709" s="14">
        <v>100.0</v>
      </c>
      <c r="P709" s="21">
        <v>1.0</v>
      </c>
      <c r="Q709" s="22" t="str">
        <f t="shared" ref="Q709:R709" si="424">"+0"</f>
        <v>+0</v>
      </c>
      <c r="R709" s="18" t="str">
        <f t="shared" si="424"/>
        <v>+0</v>
      </c>
      <c r="S709" s="14" t="s">
        <v>260</v>
      </c>
    </row>
    <row r="710">
      <c r="A710" s="13">
        <v>45901.0</v>
      </c>
      <c r="B710" s="14" t="s">
        <v>47</v>
      </c>
      <c r="C710" s="14" t="s">
        <v>48</v>
      </c>
      <c r="D710" s="14" t="s">
        <v>136</v>
      </c>
      <c r="E710" s="14" t="s">
        <v>137</v>
      </c>
      <c r="F710" s="15" t="s">
        <v>51</v>
      </c>
      <c r="G710" s="14" t="s">
        <v>138</v>
      </c>
      <c r="H710" s="14" t="s">
        <v>139</v>
      </c>
      <c r="I710" s="14" t="s">
        <v>59</v>
      </c>
      <c r="J710" s="14" t="s">
        <v>200</v>
      </c>
      <c r="K710" s="14" t="s">
        <v>227</v>
      </c>
      <c r="L710" s="14" t="s">
        <v>270</v>
      </c>
      <c r="M710" s="14" t="s">
        <v>321</v>
      </c>
      <c r="N710" s="14" t="s">
        <v>322</v>
      </c>
      <c r="O710" s="14">
        <v>56.0</v>
      </c>
      <c r="P710" s="23">
        <v>0.1215</v>
      </c>
      <c r="Q710" s="22" t="str">
        <f>"+23.26%"</f>
        <v>+23.26%</v>
      </c>
      <c r="R710" s="18" t="str">
        <f>"-22.54%"</f>
        <v>-22.54%</v>
      </c>
      <c r="S710" s="14" t="s">
        <v>323</v>
      </c>
    </row>
    <row r="711">
      <c r="A711" s="13">
        <v>45901.0</v>
      </c>
      <c r="B711" s="14" t="s">
        <v>47</v>
      </c>
      <c r="C711" s="14" t="s">
        <v>48</v>
      </c>
      <c r="D711" s="14" t="s">
        <v>158</v>
      </c>
      <c r="E711" s="14" t="s">
        <v>159</v>
      </c>
      <c r="F711" s="15" t="s">
        <v>51</v>
      </c>
      <c r="G711" s="14" t="s">
        <v>160</v>
      </c>
      <c r="H711" s="14" t="s">
        <v>158</v>
      </c>
      <c r="I711" s="14" t="s">
        <v>54</v>
      </c>
      <c r="J711" s="14" t="s">
        <v>198</v>
      </c>
      <c r="K711" s="14" t="s">
        <v>210</v>
      </c>
      <c r="L711" s="14" t="s">
        <v>264</v>
      </c>
      <c r="M711" s="14" t="s">
        <v>641</v>
      </c>
      <c r="N711" s="14" t="s">
        <v>642</v>
      </c>
      <c r="O711" s="14">
        <v>0.0</v>
      </c>
      <c r="P711" s="21">
        <v>0.0</v>
      </c>
      <c r="Q711" s="22" t="str">
        <f t="shared" ref="Q711:R711" si="425">"+0"</f>
        <v>+0</v>
      </c>
      <c r="R711" s="18" t="str">
        <f t="shared" si="425"/>
        <v>+0</v>
      </c>
      <c r="S711" s="14" t="s">
        <v>277</v>
      </c>
    </row>
    <row r="712">
      <c r="A712" s="13">
        <v>45901.0</v>
      </c>
      <c r="B712" s="14" t="s">
        <v>47</v>
      </c>
      <c r="C712" s="14" t="s">
        <v>48</v>
      </c>
      <c r="D712" s="14" t="s">
        <v>116</v>
      </c>
      <c r="E712" s="14" t="s">
        <v>117</v>
      </c>
      <c r="F712" s="15" t="s">
        <v>51</v>
      </c>
      <c r="G712" s="14" t="s">
        <v>161</v>
      </c>
      <c r="H712" s="14" t="s">
        <v>116</v>
      </c>
      <c r="I712" s="14" t="s">
        <v>54</v>
      </c>
      <c r="J712" s="14" t="s">
        <v>200</v>
      </c>
      <c r="K712" s="14" t="s">
        <v>227</v>
      </c>
      <c r="L712" s="14" t="s">
        <v>721</v>
      </c>
      <c r="M712" s="14" t="s">
        <v>722</v>
      </c>
      <c r="N712" s="14" t="s">
        <v>723</v>
      </c>
      <c r="O712" s="14">
        <v>46.0</v>
      </c>
      <c r="P712" s="23">
        <v>-0.0679</v>
      </c>
      <c r="Q712" s="22" t="str">
        <f>"+16.08%"</f>
        <v>+16.08%</v>
      </c>
      <c r="R712" s="18" t="str">
        <f>"+3.62%"</f>
        <v>+3.62%</v>
      </c>
      <c r="S712" s="14" t="s">
        <v>724</v>
      </c>
    </row>
    <row r="713">
      <c r="A713" s="13">
        <v>45901.0</v>
      </c>
      <c r="B713" s="14" t="s">
        <v>47</v>
      </c>
      <c r="C713" s="14" t="s">
        <v>48</v>
      </c>
      <c r="D713" s="14" t="s">
        <v>77</v>
      </c>
      <c r="E713" s="14" t="s">
        <v>78</v>
      </c>
      <c r="F713" s="15" t="s">
        <v>51</v>
      </c>
      <c r="G713" s="14" t="s">
        <v>128</v>
      </c>
      <c r="H713" s="14" t="s">
        <v>81</v>
      </c>
      <c r="I713" s="14" t="s">
        <v>59</v>
      </c>
      <c r="J713" s="14" t="s">
        <v>200</v>
      </c>
      <c r="K713" s="14" t="s">
        <v>216</v>
      </c>
      <c r="L713" s="14" t="s">
        <v>1045</v>
      </c>
      <c r="M713" s="14" t="s">
        <v>1078</v>
      </c>
      <c r="N713" s="14" t="s">
        <v>1079</v>
      </c>
      <c r="O713" s="14">
        <v>0.0</v>
      </c>
      <c r="P713" s="21">
        <v>0.0</v>
      </c>
      <c r="Q713" s="22" t="str">
        <f>"+0"</f>
        <v>+0</v>
      </c>
      <c r="R713" s="18" t="str">
        <f>"-1"</f>
        <v>-1</v>
      </c>
      <c r="S713" s="14" t="s">
        <v>260</v>
      </c>
    </row>
    <row r="714">
      <c r="A714" s="13">
        <v>45901.0</v>
      </c>
      <c r="B714" s="14" t="s">
        <v>47</v>
      </c>
      <c r="C714" s="14" t="s">
        <v>48</v>
      </c>
      <c r="D714" s="14" t="s">
        <v>108</v>
      </c>
      <c r="E714" s="14" t="s">
        <v>109</v>
      </c>
      <c r="F714" s="14" t="s">
        <v>79</v>
      </c>
      <c r="G714" s="14" t="s">
        <v>153</v>
      </c>
      <c r="H714" s="14" t="s">
        <v>108</v>
      </c>
      <c r="I714" s="14" t="s">
        <v>154</v>
      </c>
      <c r="J714" s="14" t="s">
        <v>200</v>
      </c>
      <c r="K714" s="14" t="s">
        <v>237</v>
      </c>
      <c r="L714" s="14" t="s">
        <v>333</v>
      </c>
      <c r="M714" s="14" t="s">
        <v>334</v>
      </c>
      <c r="N714" s="14" t="s">
        <v>335</v>
      </c>
      <c r="O714" s="14">
        <v>50.0</v>
      </c>
      <c r="P714" s="23">
        <v>0.0</v>
      </c>
      <c r="Q714" s="22" t="str">
        <f t="shared" ref="Q714:Q715" si="426">"+0.00%"</f>
        <v>+0.00%</v>
      </c>
      <c r="S714" s="14" t="s">
        <v>336</v>
      </c>
    </row>
    <row r="715">
      <c r="A715" s="13">
        <v>45901.0</v>
      </c>
      <c r="B715" s="14" t="s">
        <v>47</v>
      </c>
      <c r="C715" s="14" t="s">
        <v>48</v>
      </c>
      <c r="D715" s="14" t="s">
        <v>77</v>
      </c>
      <c r="E715" s="14" t="s">
        <v>78</v>
      </c>
      <c r="F715" s="15" t="s">
        <v>51</v>
      </c>
      <c r="G715" s="14" t="s">
        <v>128</v>
      </c>
      <c r="H715" s="14" t="s">
        <v>81</v>
      </c>
      <c r="I715" s="14" t="s">
        <v>59</v>
      </c>
      <c r="J715" s="14" t="s">
        <v>200</v>
      </c>
      <c r="K715" s="14" t="s">
        <v>223</v>
      </c>
      <c r="L715" s="14" t="s">
        <v>304</v>
      </c>
      <c r="M715" s="14" t="s">
        <v>702</v>
      </c>
      <c r="N715" s="14" t="s">
        <v>703</v>
      </c>
      <c r="O715" s="14">
        <v>0.0</v>
      </c>
      <c r="P715" s="23">
        <v>0.0</v>
      </c>
      <c r="Q715" s="22" t="str">
        <f t="shared" si="426"/>
        <v>+0.00%</v>
      </c>
      <c r="R715" s="18" t="str">
        <f>"+0.00%"</f>
        <v>+0.00%</v>
      </c>
      <c r="S715" s="14" t="s">
        <v>285</v>
      </c>
    </row>
    <row r="716">
      <c r="A716" s="13">
        <v>45901.0</v>
      </c>
      <c r="B716" s="14" t="s">
        <v>47</v>
      </c>
      <c r="C716" s="14" t="s">
        <v>48</v>
      </c>
      <c r="D716" s="14" t="s">
        <v>168</v>
      </c>
      <c r="E716" s="14" t="s">
        <v>169</v>
      </c>
      <c r="F716" s="15" t="s">
        <v>51</v>
      </c>
      <c r="G716" s="14" t="s">
        <v>170</v>
      </c>
      <c r="H716" s="14" t="s">
        <v>168</v>
      </c>
      <c r="I716" s="14" t="s">
        <v>59</v>
      </c>
      <c r="J716" s="14" t="s">
        <v>200</v>
      </c>
      <c r="K716" s="14" t="s">
        <v>213</v>
      </c>
      <c r="L716" s="14" t="s">
        <v>253</v>
      </c>
      <c r="M716" s="14" t="s">
        <v>389</v>
      </c>
      <c r="N716" s="14" t="s">
        <v>390</v>
      </c>
      <c r="O716" s="14">
        <v>70.0</v>
      </c>
      <c r="P716" s="23">
        <v>0.702</v>
      </c>
      <c r="Q716" s="22" t="str">
        <f>"+35.05%"</f>
        <v>+35.05%</v>
      </c>
      <c r="R716" s="18" t="str">
        <f>"+17.82%"</f>
        <v>+17.82%</v>
      </c>
      <c r="S716" s="14" t="s">
        <v>1080</v>
      </c>
    </row>
    <row r="717">
      <c r="A717" s="13">
        <v>45901.0</v>
      </c>
      <c r="B717" s="14" t="s">
        <v>47</v>
      </c>
      <c r="C717" s="14" t="s">
        <v>48</v>
      </c>
      <c r="D717" s="14" t="s">
        <v>155</v>
      </c>
      <c r="E717" s="14" t="s">
        <v>156</v>
      </c>
      <c r="F717" s="15" t="s">
        <v>51</v>
      </c>
      <c r="G717" s="14" t="s">
        <v>157</v>
      </c>
      <c r="H717" s="14" t="s">
        <v>155</v>
      </c>
      <c r="I717" s="14" t="s">
        <v>59</v>
      </c>
      <c r="J717" s="14" t="s">
        <v>199</v>
      </c>
      <c r="K717" s="14" t="s">
        <v>203</v>
      </c>
      <c r="L717" s="14" t="s">
        <v>601</v>
      </c>
      <c r="M717" s="14" t="s">
        <v>601</v>
      </c>
      <c r="N717" s="14" t="s">
        <v>602</v>
      </c>
      <c r="O717" s="14">
        <v>0.0</v>
      </c>
      <c r="P717" s="21">
        <v>0.0</v>
      </c>
      <c r="Q717" s="22" t="str">
        <f t="shared" ref="Q717:R717" si="427">"+0"</f>
        <v>+0</v>
      </c>
      <c r="R717" s="18" t="str">
        <f t="shared" si="427"/>
        <v>+0</v>
      </c>
      <c r="S717" s="14" t="s">
        <v>260</v>
      </c>
    </row>
    <row r="718">
      <c r="A718" s="13">
        <v>45901.0</v>
      </c>
      <c r="B718" s="14" t="s">
        <v>47</v>
      </c>
      <c r="C718" s="14" t="s">
        <v>48</v>
      </c>
      <c r="D718" s="14" t="s">
        <v>140</v>
      </c>
      <c r="E718" s="14" t="s">
        <v>141</v>
      </c>
      <c r="F718" s="15" t="s">
        <v>51</v>
      </c>
      <c r="G718" s="14" t="s">
        <v>142</v>
      </c>
      <c r="H718" s="14" t="s">
        <v>140</v>
      </c>
      <c r="I718" s="14" t="s">
        <v>59</v>
      </c>
      <c r="J718" s="14" t="s">
        <v>199</v>
      </c>
      <c r="K718" s="14" t="s">
        <v>206</v>
      </c>
      <c r="L718" s="14" t="s">
        <v>295</v>
      </c>
      <c r="M718" s="14" t="s">
        <v>529</v>
      </c>
      <c r="N718" s="14" t="s">
        <v>530</v>
      </c>
      <c r="O718" s="14">
        <v>0.0</v>
      </c>
      <c r="P718" s="21">
        <v>0.0</v>
      </c>
      <c r="Q718" s="22" t="str">
        <f t="shared" ref="Q718:R718" si="428">"+0"</f>
        <v>+0</v>
      </c>
      <c r="R718" s="18" t="str">
        <f t="shared" si="428"/>
        <v>+0</v>
      </c>
      <c r="S718" s="14" t="s">
        <v>260</v>
      </c>
    </row>
    <row r="719">
      <c r="A719" s="13">
        <v>45901.0</v>
      </c>
      <c r="B719" s="14" t="s">
        <v>47</v>
      </c>
      <c r="C719" s="14" t="s">
        <v>48</v>
      </c>
      <c r="D719" s="14" t="s">
        <v>56</v>
      </c>
      <c r="E719" s="14" t="s">
        <v>57</v>
      </c>
      <c r="F719" s="15" t="s">
        <v>51</v>
      </c>
      <c r="G719" s="14" t="s">
        <v>58</v>
      </c>
      <c r="H719" s="14" t="s">
        <v>56</v>
      </c>
      <c r="I719" s="14" t="s">
        <v>59</v>
      </c>
      <c r="J719" s="14" t="s">
        <v>200</v>
      </c>
      <c r="K719" s="14" t="s">
        <v>223</v>
      </c>
      <c r="L719" s="14" t="s">
        <v>676</v>
      </c>
      <c r="M719" s="14" t="s">
        <v>858</v>
      </c>
      <c r="N719" s="14" t="s">
        <v>859</v>
      </c>
      <c r="O719" s="14">
        <v>0.0</v>
      </c>
      <c r="P719" s="23">
        <v>-1.0</v>
      </c>
      <c r="Q719" s="22" t="str">
        <f t="shared" ref="Q719:R719" si="429">"+0.00%"</f>
        <v>+0.00%</v>
      </c>
      <c r="R719" s="18" t="str">
        <f t="shared" si="429"/>
        <v>+0.00%</v>
      </c>
      <c r="S719" s="14" t="s">
        <v>1081</v>
      </c>
    </row>
    <row r="720">
      <c r="A720" s="13">
        <v>45901.0</v>
      </c>
      <c r="B720" s="14" t="s">
        <v>47</v>
      </c>
      <c r="C720" s="14" t="s">
        <v>48</v>
      </c>
      <c r="D720" s="14" t="s">
        <v>168</v>
      </c>
      <c r="E720" s="14" t="s">
        <v>169</v>
      </c>
      <c r="F720" s="15" t="s">
        <v>51</v>
      </c>
      <c r="G720" s="14" t="s">
        <v>170</v>
      </c>
      <c r="H720" s="14" t="s">
        <v>168</v>
      </c>
      <c r="I720" s="14" t="s">
        <v>59</v>
      </c>
      <c r="J720" s="14" t="s">
        <v>200</v>
      </c>
      <c r="K720" s="14" t="s">
        <v>202</v>
      </c>
      <c r="L720" s="14" t="s">
        <v>253</v>
      </c>
      <c r="M720" s="14" t="s">
        <v>874</v>
      </c>
      <c r="N720" s="14" t="s">
        <v>875</v>
      </c>
      <c r="O720" s="14">
        <v>81.0</v>
      </c>
      <c r="P720" s="23">
        <v>0.8118</v>
      </c>
      <c r="Q720" s="22" t="str">
        <f>"+4.51%"</f>
        <v>+4.51%</v>
      </c>
      <c r="R720" s="18" t="str">
        <f>"+6.43%"</f>
        <v>+6.43%</v>
      </c>
      <c r="S720" s="14" t="s">
        <v>1082</v>
      </c>
    </row>
    <row r="721">
      <c r="A721" s="13">
        <v>45901.0</v>
      </c>
      <c r="B721" s="14" t="s">
        <v>47</v>
      </c>
      <c r="C721" s="14" t="s">
        <v>48</v>
      </c>
      <c r="D721" s="14" t="s">
        <v>56</v>
      </c>
      <c r="E721" s="14" t="s">
        <v>57</v>
      </c>
      <c r="F721" s="15" t="s">
        <v>51</v>
      </c>
      <c r="G721" s="14" t="s">
        <v>58</v>
      </c>
      <c r="H721" s="14" t="s">
        <v>56</v>
      </c>
      <c r="I721" s="14" t="s">
        <v>59</v>
      </c>
      <c r="J721" s="14" t="s">
        <v>200</v>
      </c>
      <c r="K721" s="14" t="s">
        <v>223</v>
      </c>
      <c r="L721" s="14" t="s">
        <v>307</v>
      </c>
      <c r="M721" s="14" t="s">
        <v>856</v>
      </c>
      <c r="N721" s="14" t="s">
        <v>857</v>
      </c>
      <c r="O721" s="14">
        <v>0.0</v>
      </c>
      <c r="P721" s="23">
        <v>0.0</v>
      </c>
      <c r="Q721" s="22" t="str">
        <f t="shared" ref="Q721:R721" si="430">"+0.00%"</f>
        <v>+0.00%</v>
      </c>
      <c r="R721" s="18" t="str">
        <f t="shared" si="430"/>
        <v>+0.00%</v>
      </c>
      <c r="S721" s="14" t="s">
        <v>285</v>
      </c>
    </row>
    <row r="722">
      <c r="A722" s="13">
        <v>45901.0</v>
      </c>
      <c r="B722" s="14" t="s">
        <v>47</v>
      </c>
      <c r="C722" s="14" t="s">
        <v>48</v>
      </c>
      <c r="D722" s="14" t="s">
        <v>49</v>
      </c>
      <c r="E722" s="14" t="s">
        <v>50</v>
      </c>
      <c r="F722" s="15" t="s">
        <v>51</v>
      </c>
      <c r="G722" s="14" t="s">
        <v>52</v>
      </c>
      <c r="H722" s="14" t="s">
        <v>53</v>
      </c>
      <c r="I722" s="14" t="s">
        <v>54</v>
      </c>
      <c r="J722" s="14" t="s">
        <v>200</v>
      </c>
      <c r="K722" s="14" t="s">
        <v>213</v>
      </c>
      <c r="L722" s="14" t="s">
        <v>307</v>
      </c>
      <c r="M722" s="14" t="s">
        <v>856</v>
      </c>
      <c r="N722" s="14" t="s">
        <v>857</v>
      </c>
      <c r="O722" s="14">
        <v>0.0</v>
      </c>
      <c r="P722" s="23">
        <v>0.0</v>
      </c>
      <c r="Q722" s="22" t="str">
        <f t="shared" ref="Q722:R722" si="431">"+0.00%"</f>
        <v>+0.00%</v>
      </c>
      <c r="R722" s="18" t="str">
        <f t="shared" si="431"/>
        <v>+0.00%</v>
      </c>
      <c r="S722" s="14" t="s">
        <v>285</v>
      </c>
    </row>
    <row r="723">
      <c r="A723" s="13">
        <v>45901.0</v>
      </c>
      <c r="B723" s="14" t="s">
        <v>47</v>
      </c>
      <c r="C723" s="14" t="s">
        <v>48</v>
      </c>
      <c r="D723" s="14" t="s">
        <v>165</v>
      </c>
      <c r="E723" s="14" t="s">
        <v>166</v>
      </c>
      <c r="F723" s="15" t="s">
        <v>51</v>
      </c>
      <c r="G723" s="14" t="s">
        <v>167</v>
      </c>
      <c r="H723" s="14" t="s">
        <v>165</v>
      </c>
      <c r="I723" s="14" t="s">
        <v>54</v>
      </c>
      <c r="J723" s="14" t="s">
        <v>199</v>
      </c>
      <c r="K723" s="14" t="s">
        <v>203</v>
      </c>
      <c r="L723" s="14" t="s">
        <v>1083</v>
      </c>
      <c r="M723" s="14" t="s">
        <v>1083</v>
      </c>
      <c r="N723" s="14" t="s">
        <v>1084</v>
      </c>
      <c r="O723" s="14">
        <v>100.0</v>
      </c>
      <c r="P723" s="21">
        <v>2.0</v>
      </c>
      <c r="Q723" s="22" t="str">
        <f t="shared" ref="Q723:Q724" si="432">"+0"</f>
        <v>+0</v>
      </c>
      <c r="R723" s="18" t="str">
        <f>"-2"</f>
        <v>-2</v>
      </c>
      <c r="S723" s="14" t="s">
        <v>260</v>
      </c>
    </row>
    <row r="724">
      <c r="A724" s="13">
        <v>45901.0</v>
      </c>
      <c r="B724" s="14" t="s">
        <v>47</v>
      </c>
      <c r="C724" s="14" t="s">
        <v>48</v>
      </c>
      <c r="D724" s="14" t="s">
        <v>165</v>
      </c>
      <c r="E724" s="14" t="s">
        <v>166</v>
      </c>
      <c r="F724" s="14" t="s">
        <v>111</v>
      </c>
      <c r="G724" s="14">
        <v>7116371.0</v>
      </c>
      <c r="H724" s="14" t="s">
        <v>165</v>
      </c>
      <c r="I724" s="14" t="s">
        <v>59</v>
      </c>
      <c r="J724" s="14" t="s">
        <v>199</v>
      </c>
      <c r="K724" s="14" t="s">
        <v>203</v>
      </c>
      <c r="L724" s="14" t="s">
        <v>725</v>
      </c>
      <c r="M724" s="14" t="s">
        <v>725</v>
      </c>
      <c r="N724" s="14" t="s">
        <v>726</v>
      </c>
      <c r="O724" s="14">
        <v>0.0</v>
      </c>
      <c r="P724" s="21">
        <v>0.0</v>
      </c>
      <c r="Q724" s="22" t="str">
        <f t="shared" si="432"/>
        <v>+0</v>
      </c>
      <c r="R724" s="18" t="str">
        <f>"+0"</f>
        <v>+0</v>
      </c>
      <c r="S724" s="14" t="s">
        <v>260</v>
      </c>
    </row>
    <row r="725">
      <c r="A725" s="13">
        <v>45901.0</v>
      </c>
      <c r="B725" s="14" t="s">
        <v>47</v>
      </c>
      <c r="C725" s="14" t="s">
        <v>48</v>
      </c>
      <c r="D725" s="14" t="s">
        <v>165</v>
      </c>
      <c r="E725" s="14" t="s">
        <v>166</v>
      </c>
      <c r="F725" s="15" t="s">
        <v>51</v>
      </c>
      <c r="G725" s="14" t="s">
        <v>167</v>
      </c>
      <c r="H725" s="14" t="s">
        <v>165</v>
      </c>
      <c r="I725" s="14" t="s">
        <v>54</v>
      </c>
      <c r="J725" s="14" t="s">
        <v>200</v>
      </c>
      <c r="K725" s="14" t="s">
        <v>224</v>
      </c>
      <c r="L725" s="14" t="s">
        <v>453</v>
      </c>
      <c r="M725" s="14" t="s">
        <v>611</v>
      </c>
      <c r="N725" s="14" t="s">
        <v>612</v>
      </c>
      <c r="O725" s="14">
        <v>13.0</v>
      </c>
      <c r="P725" s="23">
        <v>0.1364</v>
      </c>
      <c r="Q725" s="22" t="str">
        <f>"-5.11%"</f>
        <v>-5.11%</v>
      </c>
      <c r="R725" s="18" t="str">
        <f>"+3.11%"</f>
        <v>+3.11%</v>
      </c>
      <c r="S725" s="14" t="s">
        <v>523</v>
      </c>
    </row>
    <row r="726">
      <c r="A726" s="13">
        <v>45901.0</v>
      </c>
      <c r="B726" s="14" t="s">
        <v>47</v>
      </c>
      <c r="C726" s="14" t="s">
        <v>48</v>
      </c>
      <c r="D726" s="14" t="s">
        <v>165</v>
      </c>
      <c r="E726" s="14" t="s">
        <v>166</v>
      </c>
      <c r="F726" s="15" t="s">
        <v>51</v>
      </c>
      <c r="G726" s="14" t="s">
        <v>167</v>
      </c>
      <c r="H726" s="14" t="s">
        <v>165</v>
      </c>
      <c r="I726" s="14" t="s">
        <v>54</v>
      </c>
      <c r="J726" s="14" t="s">
        <v>200</v>
      </c>
      <c r="K726" s="14" t="s">
        <v>211</v>
      </c>
      <c r="L726" s="14" t="s">
        <v>253</v>
      </c>
      <c r="M726" s="14" t="s">
        <v>1085</v>
      </c>
      <c r="N726" s="14" t="s">
        <v>1086</v>
      </c>
      <c r="O726" s="14">
        <v>0.0</v>
      </c>
      <c r="P726" s="23">
        <v>0.0</v>
      </c>
      <c r="Q726" s="22" t="str">
        <f t="shared" ref="Q726:R726" si="433">"+0.00%"</f>
        <v>+0.00%</v>
      </c>
      <c r="R726" s="18" t="str">
        <f t="shared" si="433"/>
        <v>+0.00%</v>
      </c>
      <c r="S726" s="14" t="s">
        <v>1087</v>
      </c>
    </row>
    <row r="727">
      <c r="A727" s="13">
        <v>45901.0</v>
      </c>
      <c r="B727" s="14" t="s">
        <v>47</v>
      </c>
      <c r="C727" s="14" t="s">
        <v>48</v>
      </c>
      <c r="D727" s="14" t="s">
        <v>91</v>
      </c>
      <c r="E727" s="14" t="s">
        <v>92</v>
      </c>
      <c r="F727" s="14" t="s">
        <v>71</v>
      </c>
      <c r="G727" s="14">
        <v>7295600.0</v>
      </c>
      <c r="H727" s="14" t="s">
        <v>91</v>
      </c>
      <c r="I727" s="14" t="s">
        <v>54</v>
      </c>
      <c r="J727" s="14" t="s">
        <v>199</v>
      </c>
      <c r="K727" s="14" t="s">
        <v>203</v>
      </c>
      <c r="L727" s="14" t="s">
        <v>1088</v>
      </c>
      <c r="M727" s="14" t="s">
        <v>1089</v>
      </c>
      <c r="N727" s="14" t="s">
        <v>1090</v>
      </c>
      <c r="O727" s="14">
        <v>100.0</v>
      </c>
      <c r="P727" s="21">
        <v>1.0</v>
      </c>
      <c r="Q727" s="22" t="str">
        <f>"+0"</f>
        <v>+0</v>
      </c>
      <c r="R727" s="18" t="str">
        <f>"+1"</f>
        <v>+1</v>
      </c>
      <c r="S727" s="14" t="s">
        <v>260</v>
      </c>
    </row>
    <row r="728">
      <c r="A728" s="13">
        <v>45901.0</v>
      </c>
      <c r="B728" s="14" t="s">
        <v>47</v>
      </c>
      <c r="C728" s="14" t="s">
        <v>48</v>
      </c>
      <c r="D728" s="14" t="s">
        <v>63</v>
      </c>
      <c r="E728" s="14" t="s">
        <v>64</v>
      </c>
      <c r="F728" s="15" t="s">
        <v>51</v>
      </c>
      <c r="G728" s="14" t="s">
        <v>65</v>
      </c>
      <c r="H728" s="14" t="s">
        <v>63</v>
      </c>
      <c r="I728" s="14" t="s">
        <v>54</v>
      </c>
      <c r="J728" s="14" t="s">
        <v>200</v>
      </c>
      <c r="K728" s="14" t="s">
        <v>215</v>
      </c>
      <c r="L728" s="14" t="s">
        <v>548</v>
      </c>
      <c r="M728" s="14" t="s">
        <v>1091</v>
      </c>
      <c r="N728" s="14" t="s">
        <v>1092</v>
      </c>
      <c r="O728" s="14">
        <v>0.0</v>
      </c>
      <c r="P728" s="23">
        <v>-1.0</v>
      </c>
      <c r="Q728" s="22" t="str">
        <f t="shared" ref="Q728:R728" si="434">"+0.00%"</f>
        <v>+0.00%</v>
      </c>
      <c r="R728" s="18" t="str">
        <f t="shared" si="434"/>
        <v>+0.00%</v>
      </c>
      <c r="S728" s="14" t="s">
        <v>1093</v>
      </c>
    </row>
    <row r="729">
      <c r="A729" s="13">
        <v>45901.0</v>
      </c>
      <c r="B729" s="14" t="s">
        <v>47</v>
      </c>
      <c r="C729" s="14" t="s">
        <v>48</v>
      </c>
      <c r="D729" s="14" t="s">
        <v>63</v>
      </c>
      <c r="E729" s="14" t="s">
        <v>64</v>
      </c>
      <c r="F729" s="15" t="s">
        <v>51</v>
      </c>
      <c r="G729" s="14" t="s">
        <v>65</v>
      </c>
      <c r="H729" s="14" t="s">
        <v>63</v>
      </c>
      <c r="I729" s="14" t="s">
        <v>54</v>
      </c>
      <c r="J729" s="14" t="s">
        <v>198</v>
      </c>
      <c r="K729" s="14" t="s">
        <v>210</v>
      </c>
      <c r="L729" s="14" t="s">
        <v>264</v>
      </c>
      <c r="M729" s="14" t="s">
        <v>357</v>
      </c>
      <c r="N729" s="14" t="s">
        <v>358</v>
      </c>
      <c r="O729" s="14">
        <v>100.0</v>
      </c>
      <c r="P729" s="21">
        <v>0.0</v>
      </c>
      <c r="Q729" s="22" t="str">
        <f>"-14,974"</f>
        <v>-14,974</v>
      </c>
      <c r="R729" s="18" t="str">
        <f>"-6,902"</f>
        <v>-6,902</v>
      </c>
      <c r="S729" s="14" t="s">
        <v>281</v>
      </c>
    </row>
    <row r="730">
      <c r="A730" s="13">
        <v>45901.0</v>
      </c>
      <c r="B730" s="14" t="s">
        <v>47</v>
      </c>
      <c r="C730" s="14" t="s">
        <v>48</v>
      </c>
      <c r="D730" s="14" t="s">
        <v>91</v>
      </c>
      <c r="E730" s="14" t="s">
        <v>92</v>
      </c>
      <c r="F730" s="14" t="s">
        <v>71</v>
      </c>
      <c r="G730" s="14">
        <v>7295600.0</v>
      </c>
      <c r="H730" s="14" t="s">
        <v>91</v>
      </c>
      <c r="I730" s="14" t="s">
        <v>54</v>
      </c>
      <c r="J730" s="14" t="s">
        <v>199</v>
      </c>
      <c r="K730" s="14" t="s">
        <v>206</v>
      </c>
      <c r="L730" s="14" t="s">
        <v>295</v>
      </c>
      <c r="M730" s="14" t="s">
        <v>651</v>
      </c>
      <c r="N730" s="14" t="s">
        <v>652</v>
      </c>
      <c r="O730" s="14">
        <v>0.0</v>
      </c>
      <c r="P730" s="21">
        <v>0.0</v>
      </c>
      <c r="Q730" s="22" t="str">
        <f t="shared" ref="Q730:R730" si="435">"+0"</f>
        <v>+0</v>
      </c>
      <c r="R730" s="18" t="str">
        <f t="shared" si="435"/>
        <v>+0</v>
      </c>
      <c r="S730" s="14" t="s">
        <v>260</v>
      </c>
    </row>
    <row r="731">
      <c r="A731" s="13">
        <v>45901.0</v>
      </c>
      <c r="B731" s="14" t="s">
        <v>47</v>
      </c>
      <c r="C731" s="14" t="s">
        <v>48</v>
      </c>
      <c r="D731" s="14" t="s">
        <v>63</v>
      </c>
      <c r="E731" s="14" t="s">
        <v>64</v>
      </c>
      <c r="F731" s="15" t="s">
        <v>51</v>
      </c>
      <c r="G731" s="14" t="s">
        <v>65</v>
      </c>
      <c r="H731" s="14" t="s">
        <v>63</v>
      </c>
      <c r="I731" s="14" t="s">
        <v>54</v>
      </c>
      <c r="J731" s="14" t="s">
        <v>200</v>
      </c>
      <c r="K731" s="14" t="s">
        <v>213</v>
      </c>
      <c r="L731" s="14" t="s">
        <v>359</v>
      </c>
      <c r="M731" s="14" t="s">
        <v>360</v>
      </c>
      <c r="N731" s="14" t="s">
        <v>361</v>
      </c>
      <c r="O731" s="14">
        <v>0.0</v>
      </c>
      <c r="P731" s="23">
        <v>0.0</v>
      </c>
      <c r="Q731" s="22" t="str">
        <f t="shared" ref="Q731:R731" si="436">"+0.00%"</f>
        <v>+0.00%</v>
      </c>
      <c r="R731" s="18" t="str">
        <f t="shared" si="436"/>
        <v>+0.00%</v>
      </c>
      <c r="S731" s="14" t="s">
        <v>404</v>
      </c>
    </row>
    <row r="732">
      <c r="A732" s="13">
        <v>45901.0</v>
      </c>
      <c r="B732" s="14" t="s">
        <v>47</v>
      </c>
      <c r="C732" s="14" t="s">
        <v>48</v>
      </c>
      <c r="D732" s="14" t="s">
        <v>91</v>
      </c>
      <c r="E732" s="14" t="s">
        <v>92</v>
      </c>
      <c r="F732" s="15" t="s">
        <v>51</v>
      </c>
      <c r="G732" s="14" t="s">
        <v>163</v>
      </c>
      <c r="H732" s="14" t="s">
        <v>91</v>
      </c>
      <c r="I732" s="14" t="s">
        <v>59</v>
      </c>
      <c r="J732" s="14" t="s">
        <v>199</v>
      </c>
      <c r="K732" s="14" t="s">
        <v>208</v>
      </c>
      <c r="L732" s="14" t="s">
        <v>352</v>
      </c>
      <c r="M732" s="14" t="s">
        <v>352</v>
      </c>
      <c r="N732" s="14" t="s">
        <v>353</v>
      </c>
      <c r="O732" s="14">
        <v>100.0</v>
      </c>
      <c r="P732" s="21">
        <v>99.0</v>
      </c>
      <c r="Q732" s="22" t="str">
        <f t="shared" ref="Q732:R732" si="437">"+1"</f>
        <v>+1</v>
      </c>
      <c r="R732" s="18" t="str">
        <f t="shared" si="437"/>
        <v>+1</v>
      </c>
      <c r="S732" s="14" t="s">
        <v>260</v>
      </c>
    </row>
    <row r="733">
      <c r="A733" s="13">
        <v>45901.0</v>
      </c>
      <c r="B733" s="14" t="s">
        <v>47</v>
      </c>
      <c r="C733" s="14" t="s">
        <v>48</v>
      </c>
      <c r="D733" s="14" t="s">
        <v>118</v>
      </c>
      <c r="E733" s="14" t="s">
        <v>119</v>
      </c>
      <c r="F733" s="15" t="s">
        <v>51</v>
      </c>
      <c r="G733" s="14" t="s">
        <v>120</v>
      </c>
      <c r="H733" s="14" t="s">
        <v>118</v>
      </c>
      <c r="I733" s="14" t="s">
        <v>59</v>
      </c>
      <c r="J733" s="14" t="s">
        <v>200</v>
      </c>
      <c r="K733" s="14" t="s">
        <v>222</v>
      </c>
      <c r="L733" s="14" t="s">
        <v>337</v>
      </c>
      <c r="M733" s="14" t="s">
        <v>734</v>
      </c>
      <c r="N733" s="14" t="s">
        <v>735</v>
      </c>
      <c r="O733" s="14">
        <v>0.0</v>
      </c>
      <c r="P733" s="21">
        <v>0.0</v>
      </c>
      <c r="Q733" s="22" t="str">
        <f t="shared" ref="Q733:R733" si="438">"+0"</f>
        <v>+0</v>
      </c>
      <c r="R733" s="18" t="str">
        <f t="shared" si="438"/>
        <v>+0</v>
      </c>
      <c r="S733" s="14" t="s">
        <v>260</v>
      </c>
    </row>
    <row r="734">
      <c r="A734" s="13">
        <v>45901.0</v>
      </c>
      <c r="B734" s="14" t="s">
        <v>47</v>
      </c>
      <c r="C734" s="14" t="s">
        <v>48</v>
      </c>
      <c r="D734" s="14" t="s">
        <v>91</v>
      </c>
      <c r="E734" s="14" t="s">
        <v>92</v>
      </c>
      <c r="F734" s="14" t="s">
        <v>71</v>
      </c>
      <c r="G734" s="14">
        <v>1.00005882E8</v>
      </c>
      <c r="H734" s="14" t="s">
        <v>91</v>
      </c>
      <c r="I734" s="14" t="s">
        <v>59</v>
      </c>
      <c r="J734" s="14" t="s">
        <v>199</v>
      </c>
      <c r="K734" s="14" t="s">
        <v>203</v>
      </c>
      <c r="L734" s="14" t="s">
        <v>340</v>
      </c>
      <c r="M734" s="14" t="s">
        <v>340</v>
      </c>
      <c r="N734" s="14" t="s">
        <v>341</v>
      </c>
      <c r="O734" s="14">
        <v>0.0</v>
      </c>
      <c r="P734" s="21">
        <v>0.0</v>
      </c>
      <c r="Q734" s="22" t="str">
        <f>"-1"</f>
        <v>-1</v>
      </c>
      <c r="R734" s="18" t="str">
        <f>"-3"</f>
        <v>-3</v>
      </c>
      <c r="S734" s="14" t="s">
        <v>260</v>
      </c>
    </row>
    <row r="735">
      <c r="A735" s="13">
        <v>45901.0</v>
      </c>
      <c r="B735" s="14" t="s">
        <v>47</v>
      </c>
      <c r="C735" s="14" t="s">
        <v>48</v>
      </c>
      <c r="D735" s="14" t="s">
        <v>192</v>
      </c>
      <c r="E735" s="14" t="s">
        <v>193</v>
      </c>
      <c r="F735" s="15" t="s">
        <v>51</v>
      </c>
      <c r="G735" s="14" t="s">
        <v>194</v>
      </c>
      <c r="H735" s="14" t="s">
        <v>192</v>
      </c>
      <c r="I735" s="14" t="s">
        <v>54</v>
      </c>
      <c r="J735" s="14" t="s">
        <v>198</v>
      </c>
      <c r="K735" s="14" t="s">
        <v>210</v>
      </c>
      <c r="L735" s="14" t="s">
        <v>264</v>
      </c>
      <c r="M735" s="14" t="s">
        <v>930</v>
      </c>
      <c r="N735" s="14" t="s">
        <v>931</v>
      </c>
      <c r="O735" s="14">
        <v>0.0</v>
      </c>
      <c r="P735" s="21">
        <v>0.0</v>
      </c>
      <c r="Q735" s="22" t="str">
        <f t="shared" ref="Q735:R735" si="439">"+0"</f>
        <v>+0</v>
      </c>
      <c r="R735" s="18" t="str">
        <f t="shared" si="439"/>
        <v>+0</v>
      </c>
      <c r="S735" s="14" t="s">
        <v>277</v>
      </c>
    </row>
    <row r="736">
      <c r="A736" s="13">
        <v>45901.0</v>
      </c>
      <c r="B736" s="14" t="s">
        <v>47</v>
      </c>
      <c r="C736" s="14" t="s">
        <v>48</v>
      </c>
      <c r="D736" s="14" t="s">
        <v>66</v>
      </c>
      <c r="E736" s="14" t="s">
        <v>67</v>
      </c>
      <c r="F736" s="15" t="s">
        <v>51</v>
      </c>
      <c r="G736" s="14" t="s">
        <v>68</v>
      </c>
      <c r="H736" s="14" t="s">
        <v>66</v>
      </c>
      <c r="I736" s="14" t="s">
        <v>59</v>
      </c>
      <c r="J736" s="14" t="s">
        <v>200</v>
      </c>
      <c r="K736" s="14" t="s">
        <v>231</v>
      </c>
      <c r="L736" s="14" t="s">
        <v>253</v>
      </c>
      <c r="M736" s="14" t="s">
        <v>366</v>
      </c>
      <c r="N736" s="14" t="s">
        <v>367</v>
      </c>
      <c r="O736" s="14">
        <v>0.0</v>
      </c>
      <c r="P736" s="23">
        <v>0.0</v>
      </c>
      <c r="Q736" s="22" t="str">
        <f>"+0.00%"</f>
        <v>+0.00%</v>
      </c>
      <c r="R736" s="18" t="str">
        <f>"-66.67%"</f>
        <v>-66.67%</v>
      </c>
      <c r="S736" s="14" t="s">
        <v>1094</v>
      </c>
    </row>
    <row r="737">
      <c r="A737" s="13">
        <v>45901.0</v>
      </c>
      <c r="B737" s="14" t="s">
        <v>47</v>
      </c>
      <c r="C737" s="14" t="s">
        <v>48</v>
      </c>
      <c r="D737" s="14" t="s">
        <v>192</v>
      </c>
      <c r="E737" s="14" t="s">
        <v>193</v>
      </c>
      <c r="F737" s="15" t="s">
        <v>51</v>
      </c>
      <c r="G737" s="14" t="s">
        <v>194</v>
      </c>
      <c r="H737" s="14" t="s">
        <v>192</v>
      </c>
      <c r="I737" s="14" t="s">
        <v>54</v>
      </c>
      <c r="J737" s="14" t="s">
        <v>198</v>
      </c>
      <c r="K737" s="14" t="s">
        <v>210</v>
      </c>
      <c r="L737" s="14" t="s">
        <v>264</v>
      </c>
      <c r="M737" s="14" t="s">
        <v>802</v>
      </c>
      <c r="N737" s="14" t="s">
        <v>803</v>
      </c>
      <c r="O737" s="14">
        <v>0.0</v>
      </c>
      <c r="P737" s="21">
        <v>0.0</v>
      </c>
      <c r="Q737" s="22" t="str">
        <f t="shared" ref="Q737:R737" si="440">"+0"</f>
        <v>+0</v>
      </c>
      <c r="R737" s="18" t="str">
        <f t="shared" si="440"/>
        <v>+0</v>
      </c>
      <c r="S737" s="14" t="s">
        <v>277</v>
      </c>
    </row>
    <row r="738">
      <c r="A738" s="13">
        <v>45901.0</v>
      </c>
      <c r="B738" s="14" t="s">
        <v>47</v>
      </c>
      <c r="C738" s="14" t="s">
        <v>48</v>
      </c>
      <c r="D738" s="14" t="s">
        <v>184</v>
      </c>
      <c r="E738" s="14" t="s">
        <v>185</v>
      </c>
      <c r="F738" s="15" t="s">
        <v>51</v>
      </c>
      <c r="G738" s="14" t="s">
        <v>186</v>
      </c>
      <c r="H738" s="14" t="s">
        <v>187</v>
      </c>
      <c r="I738" s="14" t="s">
        <v>59</v>
      </c>
      <c r="J738" s="14" t="s">
        <v>198</v>
      </c>
      <c r="K738" s="14" t="s">
        <v>205</v>
      </c>
      <c r="L738" s="14" t="s">
        <v>274</v>
      </c>
      <c r="M738" s="14" t="s">
        <v>448</v>
      </c>
      <c r="N738" s="14" t="s">
        <v>449</v>
      </c>
      <c r="O738" s="14">
        <v>100.0</v>
      </c>
      <c r="P738" s="21">
        <v>3.0</v>
      </c>
      <c r="Q738" s="22" t="str">
        <f t="shared" ref="Q738:Q739" si="441">"+0"</f>
        <v>+0</v>
      </c>
      <c r="S738" s="14" t="s">
        <v>450</v>
      </c>
    </row>
    <row r="739">
      <c r="A739" s="13">
        <v>45901.0</v>
      </c>
      <c r="B739" s="14" t="s">
        <v>47</v>
      </c>
      <c r="C739" s="14" t="s">
        <v>48</v>
      </c>
      <c r="D739" s="14" t="s">
        <v>192</v>
      </c>
      <c r="E739" s="14" t="s">
        <v>193</v>
      </c>
      <c r="F739" s="15" t="s">
        <v>51</v>
      </c>
      <c r="G739" s="14" t="s">
        <v>194</v>
      </c>
      <c r="H739" s="14" t="s">
        <v>192</v>
      </c>
      <c r="I739" s="14" t="s">
        <v>54</v>
      </c>
      <c r="J739" s="14" t="s">
        <v>199</v>
      </c>
      <c r="K739" s="14" t="s">
        <v>203</v>
      </c>
      <c r="L739" s="14" t="s">
        <v>1095</v>
      </c>
      <c r="M739" s="14" t="s">
        <v>1095</v>
      </c>
      <c r="N739" s="14" t="s">
        <v>1096</v>
      </c>
      <c r="O739" s="14">
        <v>0.0</v>
      </c>
      <c r="P739" s="21">
        <v>0.0</v>
      </c>
      <c r="Q739" s="22" t="str">
        <f t="shared" si="441"/>
        <v>+0</v>
      </c>
      <c r="R739" s="18" t="str">
        <f>"+0"</f>
        <v>+0</v>
      </c>
      <c r="S739" s="14" t="s">
        <v>260</v>
      </c>
    </row>
    <row r="740">
      <c r="A740" s="13">
        <v>45901.0</v>
      </c>
      <c r="B740" s="14" t="s">
        <v>47</v>
      </c>
      <c r="C740" s="14" t="s">
        <v>48</v>
      </c>
      <c r="D740" s="14" t="s">
        <v>192</v>
      </c>
      <c r="E740" s="14" t="s">
        <v>193</v>
      </c>
      <c r="F740" s="15" t="s">
        <v>51</v>
      </c>
      <c r="G740" s="14" t="s">
        <v>194</v>
      </c>
      <c r="H740" s="14" t="s">
        <v>192</v>
      </c>
      <c r="I740" s="14" t="s">
        <v>54</v>
      </c>
      <c r="J740" s="14" t="s">
        <v>198</v>
      </c>
      <c r="K740" s="14" t="s">
        <v>210</v>
      </c>
      <c r="L740" s="14" t="s">
        <v>505</v>
      </c>
      <c r="M740" s="14" t="s">
        <v>1097</v>
      </c>
      <c r="N740" s="14" t="s">
        <v>1098</v>
      </c>
      <c r="O740" s="14">
        <v>100.0</v>
      </c>
      <c r="P740" s="21">
        <v>2.0</v>
      </c>
      <c r="Q740" s="22" t="str">
        <f t="shared" ref="Q740:R740" si="442">"+2"</f>
        <v>+2</v>
      </c>
      <c r="R740" s="18" t="str">
        <f t="shared" si="442"/>
        <v>+2</v>
      </c>
      <c r="S740" s="14" t="s">
        <v>277</v>
      </c>
    </row>
    <row r="741">
      <c r="A741" s="13">
        <v>45901.0</v>
      </c>
      <c r="B741" s="14" t="s">
        <v>47</v>
      </c>
      <c r="C741" s="14" t="s">
        <v>48</v>
      </c>
      <c r="D741" s="14" t="s">
        <v>149</v>
      </c>
      <c r="E741" s="14" t="s">
        <v>150</v>
      </c>
      <c r="F741" s="15" t="s">
        <v>51</v>
      </c>
      <c r="G741" s="14" t="s">
        <v>151</v>
      </c>
      <c r="H741" s="14" t="s">
        <v>152</v>
      </c>
      <c r="I741" s="14" t="s">
        <v>54</v>
      </c>
      <c r="J741" s="14" t="s">
        <v>200</v>
      </c>
      <c r="K741" s="14" t="s">
        <v>223</v>
      </c>
      <c r="L741" s="14" t="s">
        <v>261</v>
      </c>
      <c r="M741" s="14" t="s">
        <v>906</v>
      </c>
      <c r="N741" s="14" t="s">
        <v>907</v>
      </c>
      <c r="O741" s="14">
        <v>2.0</v>
      </c>
      <c r="P741" s="23">
        <v>0.0282</v>
      </c>
      <c r="Q741" s="22" t="str">
        <f>"-0.29%"</f>
        <v>-0.29%</v>
      </c>
      <c r="R741" s="18" t="str">
        <f>"+1.73%"</f>
        <v>+1.73%</v>
      </c>
      <c r="S741" s="14" t="s">
        <v>1099</v>
      </c>
    </row>
    <row r="742">
      <c r="A742" s="13">
        <v>45901.0</v>
      </c>
      <c r="B742" s="14" t="s">
        <v>47</v>
      </c>
      <c r="C742" s="14" t="s">
        <v>48</v>
      </c>
      <c r="D742" s="14" t="s">
        <v>149</v>
      </c>
      <c r="E742" s="14" t="s">
        <v>150</v>
      </c>
      <c r="F742" s="15" t="s">
        <v>51</v>
      </c>
      <c r="G742" s="14" t="s">
        <v>151</v>
      </c>
      <c r="H742" s="14" t="s">
        <v>152</v>
      </c>
      <c r="I742" s="14" t="s">
        <v>54</v>
      </c>
      <c r="J742" s="14" t="s">
        <v>199</v>
      </c>
      <c r="K742" s="14" t="s">
        <v>206</v>
      </c>
      <c r="L742" s="14" t="s">
        <v>295</v>
      </c>
      <c r="M742" s="14" t="s">
        <v>651</v>
      </c>
      <c r="N742" s="14" t="s">
        <v>652</v>
      </c>
      <c r="O742" s="14">
        <v>0.0</v>
      </c>
      <c r="P742" s="21">
        <v>0.0</v>
      </c>
      <c r="Q742" s="22" t="str">
        <f t="shared" ref="Q742:R742" si="443">"+0"</f>
        <v>+0</v>
      </c>
      <c r="R742" s="18" t="str">
        <f t="shared" si="443"/>
        <v>+0</v>
      </c>
      <c r="S742" s="14" t="s">
        <v>260</v>
      </c>
    </row>
    <row r="743">
      <c r="A743" s="13">
        <v>45901.0</v>
      </c>
      <c r="B743" s="14" t="s">
        <v>47</v>
      </c>
      <c r="C743" s="14" t="s">
        <v>48</v>
      </c>
      <c r="D743" s="14" t="s">
        <v>87</v>
      </c>
      <c r="E743" s="14" t="s">
        <v>88</v>
      </c>
      <c r="F743" s="15" t="s">
        <v>51</v>
      </c>
      <c r="G743" s="14" t="s">
        <v>89</v>
      </c>
      <c r="H743" s="14" t="s">
        <v>90</v>
      </c>
      <c r="I743" s="14" t="s">
        <v>59</v>
      </c>
      <c r="J743" s="14" t="s">
        <v>200</v>
      </c>
      <c r="K743" s="14" t="s">
        <v>222</v>
      </c>
      <c r="L743" s="14" t="s">
        <v>337</v>
      </c>
      <c r="M743" s="14" t="s">
        <v>734</v>
      </c>
      <c r="N743" s="14" t="s">
        <v>735</v>
      </c>
      <c r="O743" s="14">
        <v>0.0</v>
      </c>
      <c r="P743" s="21">
        <v>0.0</v>
      </c>
      <c r="Q743" s="22" t="str">
        <f t="shared" ref="Q743:R743" si="444">"+0"</f>
        <v>+0</v>
      </c>
      <c r="R743" s="18" t="str">
        <f t="shared" si="444"/>
        <v>+0</v>
      </c>
      <c r="S743" s="14" t="s">
        <v>260</v>
      </c>
    </row>
    <row r="744">
      <c r="A744" s="13">
        <v>45901.0</v>
      </c>
      <c r="B744" s="14" t="s">
        <v>47</v>
      </c>
      <c r="C744" s="14" t="s">
        <v>48</v>
      </c>
      <c r="D744" s="14" t="s">
        <v>149</v>
      </c>
      <c r="E744" s="14" t="s">
        <v>150</v>
      </c>
      <c r="F744" s="15" t="s">
        <v>51</v>
      </c>
      <c r="G744" s="14" t="s">
        <v>151</v>
      </c>
      <c r="H744" s="14" t="s">
        <v>152</v>
      </c>
      <c r="I744" s="14" t="s">
        <v>54</v>
      </c>
      <c r="J744" s="14" t="s">
        <v>200</v>
      </c>
      <c r="K744" s="14" t="s">
        <v>223</v>
      </c>
      <c r="L744" s="14" t="s">
        <v>607</v>
      </c>
      <c r="M744" s="14" t="s">
        <v>1035</v>
      </c>
      <c r="N744" s="14" t="s">
        <v>1036</v>
      </c>
      <c r="O744" s="14">
        <v>1.0</v>
      </c>
      <c r="P744" s="23">
        <v>2.0E-4</v>
      </c>
      <c r="Q744" s="22" t="str">
        <f>"-0.05%"</f>
        <v>-0.05%</v>
      </c>
      <c r="R744" s="18" t="str">
        <f>"+0.00%"</f>
        <v>+0.00%</v>
      </c>
      <c r="S744" s="14" t="s">
        <v>1100</v>
      </c>
    </row>
    <row r="745">
      <c r="A745" s="13">
        <v>45901.0</v>
      </c>
      <c r="B745" s="14" t="s">
        <v>47</v>
      </c>
      <c r="C745" s="14" t="s">
        <v>48</v>
      </c>
      <c r="D745" s="14" t="s">
        <v>129</v>
      </c>
      <c r="E745" s="14" t="s">
        <v>130</v>
      </c>
      <c r="F745" s="15" t="s">
        <v>51</v>
      </c>
      <c r="G745" s="14" t="s">
        <v>131</v>
      </c>
      <c r="H745" s="14" t="s">
        <v>129</v>
      </c>
      <c r="I745" s="14" t="s">
        <v>59</v>
      </c>
      <c r="J745" s="14" t="s">
        <v>200</v>
      </c>
      <c r="K745" s="14" t="s">
        <v>227</v>
      </c>
      <c r="L745" s="14" t="s">
        <v>721</v>
      </c>
      <c r="M745" s="14" t="s">
        <v>748</v>
      </c>
      <c r="N745" s="14" t="s">
        <v>749</v>
      </c>
      <c r="O745" s="14">
        <v>0.0</v>
      </c>
      <c r="P745" s="23">
        <v>-1.0</v>
      </c>
      <c r="Q745" s="22" t="str">
        <f t="shared" ref="Q745:R745" si="445">"+0.00%"</f>
        <v>+0.00%</v>
      </c>
      <c r="R745" s="18" t="str">
        <f t="shared" si="445"/>
        <v>+0.00%</v>
      </c>
      <c r="S745" s="14" t="s">
        <v>750</v>
      </c>
    </row>
    <row r="746">
      <c r="A746" s="13">
        <v>45901.0</v>
      </c>
      <c r="B746" s="14" t="s">
        <v>47</v>
      </c>
      <c r="C746" s="14" t="s">
        <v>48</v>
      </c>
      <c r="D746" s="14" t="s">
        <v>85</v>
      </c>
      <c r="E746" s="14" t="s">
        <v>86</v>
      </c>
      <c r="F746" s="14" t="s">
        <v>146</v>
      </c>
      <c r="G746" s="14" t="s">
        <v>162</v>
      </c>
      <c r="H746" s="14" t="s">
        <v>85</v>
      </c>
      <c r="I746" s="14" t="s">
        <v>107</v>
      </c>
      <c r="J746" s="14" t="s">
        <v>199</v>
      </c>
      <c r="K746" s="14" t="s">
        <v>208</v>
      </c>
      <c r="L746" s="14" t="s">
        <v>352</v>
      </c>
      <c r="M746" s="14" t="s">
        <v>352</v>
      </c>
      <c r="N746" s="14" t="s">
        <v>353</v>
      </c>
      <c r="O746" s="14">
        <v>0.0</v>
      </c>
      <c r="P746" s="21">
        <v>0.0</v>
      </c>
      <c r="Q746" s="22" t="str">
        <f t="shared" ref="Q746:R746" si="446">"+0"</f>
        <v>+0</v>
      </c>
      <c r="R746" s="18" t="str">
        <f t="shared" si="446"/>
        <v>+0</v>
      </c>
      <c r="S746" s="14" t="s">
        <v>260</v>
      </c>
    </row>
    <row r="747">
      <c r="A747" s="13">
        <v>45901.0</v>
      </c>
      <c r="B747" s="14" t="s">
        <v>47</v>
      </c>
      <c r="C747" s="14" t="s">
        <v>48</v>
      </c>
      <c r="D747" s="14" t="s">
        <v>96</v>
      </c>
      <c r="E747" s="14" t="s">
        <v>97</v>
      </c>
      <c r="F747" s="15" t="s">
        <v>51</v>
      </c>
      <c r="G747" s="14" t="s">
        <v>98</v>
      </c>
      <c r="H747" s="14" t="s">
        <v>96</v>
      </c>
      <c r="I747" s="14" t="s">
        <v>59</v>
      </c>
      <c r="J747" s="14" t="s">
        <v>200</v>
      </c>
      <c r="K747" s="14" t="s">
        <v>223</v>
      </c>
      <c r="L747" s="14" t="s">
        <v>253</v>
      </c>
      <c r="M747" s="14" t="s">
        <v>389</v>
      </c>
      <c r="N747" s="14" t="s">
        <v>390</v>
      </c>
      <c r="O747" s="14">
        <v>68.0</v>
      </c>
      <c r="P747" s="23">
        <v>0.6875</v>
      </c>
      <c r="Q747" s="22" t="str">
        <f>"+22.92%"</f>
        <v>+22.92%</v>
      </c>
      <c r="R747" s="18" t="str">
        <f>"+25.51%"</f>
        <v>+25.51%</v>
      </c>
      <c r="S747" s="14" t="s">
        <v>1101</v>
      </c>
    </row>
    <row r="748">
      <c r="A748" s="13">
        <v>45901.0</v>
      </c>
      <c r="B748" s="14" t="s">
        <v>47</v>
      </c>
      <c r="C748" s="14" t="s">
        <v>48</v>
      </c>
      <c r="D748" s="14" t="s">
        <v>77</v>
      </c>
      <c r="E748" s="14" t="s">
        <v>78</v>
      </c>
      <c r="F748" s="14" t="s">
        <v>79</v>
      </c>
      <c r="G748" s="14" t="s">
        <v>80</v>
      </c>
      <c r="H748" s="14" t="s">
        <v>81</v>
      </c>
      <c r="J748" s="14" t="s">
        <v>198</v>
      </c>
      <c r="K748" s="14" t="s">
        <v>205</v>
      </c>
      <c r="L748" s="14" t="s">
        <v>274</v>
      </c>
      <c r="M748" s="14" t="s">
        <v>1102</v>
      </c>
      <c r="N748" s="14" t="s">
        <v>1103</v>
      </c>
      <c r="O748" s="14">
        <v>0.0</v>
      </c>
      <c r="P748" s="21">
        <v>0.0</v>
      </c>
      <c r="Q748" s="22" t="str">
        <f t="shared" ref="Q748:Q749" si="447">"+0"</f>
        <v>+0</v>
      </c>
      <c r="S748" s="14" t="s">
        <v>281</v>
      </c>
    </row>
    <row r="749">
      <c r="A749" s="13">
        <v>45901.0</v>
      </c>
      <c r="B749" s="14" t="s">
        <v>47</v>
      </c>
      <c r="C749" s="14" t="s">
        <v>48</v>
      </c>
      <c r="D749" s="14" t="s">
        <v>158</v>
      </c>
      <c r="E749" s="14" t="s">
        <v>159</v>
      </c>
      <c r="F749" s="15" t="s">
        <v>51</v>
      </c>
      <c r="G749" s="14" t="s">
        <v>160</v>
      </c>
      <c r="H749" s="14" t="s">
        <v>158</v>
      </c>
      <c r="I749" s="14" t="s">
        <v>54</v>
      </c>
      <c r="J749" s="14" t="s">
        <v>198</v>
      </c>
      <c r="K749" s="14" t="s">
        <v>210</v>
      </c>
      <c r="L749" s="14" t="s">
        <v>264</v>
      </c>
      <c r="M749" s="14" t="s">
        <v>834</v>
      </c>
      <c r="N749" s="14" t="s">
        <v>835</v>
      </c>
      <c r="O749" s="14">
        <v>0.0</v>
      </c>
      <c r="P749" s="21">
        <v>0.0</v>
      </c>
      <c r="Q749" s="22" t="str">
        <f t="shared" si="447"/>
        <v>+0</v>
      </c>
      <c r="R749" s="18" t="str">
        <f>"+0"</f>
        <v>+0</v>
      </c>
      <c r="S749" s="14" t="s">
        <v>277</v>
      </c>
    </row>
    <row r="750">
      <c r="A750" s="13">
        <v>45901.0</v>
      </c>
      <c r="B750" s="14" t="s">
        <v>47</v>
      </c>
      <c r="C750" s="14" t="s">
        <v>48</v>
      </c>
      <c r="D750" s="14" t="s">
        <v>108</v>
      </c>
      <c r="E750" s="14" t="s">
        <v>109</v>
      </c>
      <c r="F750" s="15" t="s">
        <v>51</v>
      </c>
      <c r="G750" s="14" t="s">
        <v>110</v>
      </c>
      <c r="H750" s="14" t="s">
        <v>108</v>
      </c>
      <c r="I750" s="14" t="s">
        <v>59</v>
      </c>
      <c r="J750" s="14" t="s">
        <v>200</v>
      </c>
      <c r="K750" s="14" t="s">
        <v>227</v>
      </c>
      <c r="L750" s="14" t="s">
        <v>253</v>
      </c>
      <c r="M750" s="14" t="s">
        <v>849</v>
      </c>
      <c r="N750" s="14" t="s">
        <v>850</v>
      </c>
      <c r="O750" s="14">
        <v>0.0</v>
      </c>
      <c r="P750" s="23">
        <v>0.0</v>
      </c>
      <c r="Q750" s="22" t="str">
        <f t="shared" ref="Q750:R750" si="448">"+0.00%"</f>
        <v>+0.00%</v>
      </c>
      <c r="R750" s="18" t="str">
        <f t="shared" si="448"/>
        <v>+0.00%</v>
      </c>
      <c r="S750" s="14" t="s">
        <v>1104</v>
      </c>
    </row>
    <row r="751">
      <c r="A751" s="13">
        <v>45901.0</v>
      </c>
      <c r="B751" s="14" t="s">
        <v>47</v>
      </c>
      <c r="C751" s="14" t="s">
        <v>48</v>
      </c>
      <c r="D751" s="14" t="s">
        <v>108</v>
      </c>
      <c r="E751" s="14" t="s">
        <v>109</v>
      </c>
      <c r="F751" s="14" t="s">
        <v>146</v>
      </c>
      <c r="G751" s="14" t="s">
        <v>180</v>
      </c>
      <c r="H751" s="14" t="s">
        <v>108</v>
      </c>
      <c r="I751" s="14" t="s">
        <v>59</v>
      </c>
      <c r="J751" s="14" t="s">
        <v>200</v>
      </c>
      <c r="K751" s="14" t="s">
        <v>226</v>
      </c>
      <c r="L751" s="14" t="s">
        <v>1105</v>
      </c>
      <c r="M751" s="14" t="s">
        <v>1106</v>
      </c>
      <c r="N751" s="14" t="s">
        <v>1107</v>
      </c>
      <c r="O751" s="14">
        <v>0.0</v>
      </c>
      <c r="P751" s="21">
        <v>0.0</v>
      </c>
      <c r="Q751" s="22" t="str">
        <f>"+0"</f>
        <v>+0</v>
      </c>
      <c r="S751" s="14" t="s">
        <v>260</v>
      </c>
    </row>
    <row r="752">
      <c r="A752" s="13">
        <v>45901.0</v>
      </c>
      <c r="B752" s="14" t="s">
        <v>47</v>
      </c>
      <c r="C752" s="14" t="s">
        <v>48</v>
      </c>
      <c r="D752" s="14" t="s">
        <v>77</v>
      </c>
      <c r="E752" s="14" t="s">
        <v>78</v>
      </c>
      <c r="F752" s="15" t="s">
        <v>51</v>
      </c>
      <c r="G752" s="14" t="s">
        <v>128</v>
      </c>
      <c r="H752" s="14" t="s">
        <v>81</v>
      </c>
      <c r="I752" s="14" t="s">
        <v>59</v>
      </c>
      <c r="J752" s="14" t="s">
        <v>200</v>
      </c>
      <c r="K752" s="14" t="s">
        <v>223</v>
      </c>
      <c r="L752" s="14" t="s">
        <v>282</v>
      </c>
      <c r="M752" s="14" t="s">
        <v>283</v>
      </c>
      <c r="N752" s="14" t="s">
        <v>284</v>
      </c>
      <c r="O752" s="14">
        <v>0.0</v>
      </c>
      <c r="P752" s="23">
        <v>0.0</v>
      </c>
      <c r="Q752" s="22" t="str">
        <f t="shared" ref="Q752:R752" si="449">"+0.00%"</f>
        <v>+0.00%</v>
      </c>
      <c r="R752" s="18" t="str">
        <f t="shared" si="449"/>
        <v>+0.00%</v>
      </c>
      <c r="S752" s="14" t="s">
        <v>285</v>
      </c>
    </row>
    <row r="753">
      <c r="A753" s="13">
        <v>45901.0</v>
      </c>
      <c r="B753" s="14" t="s">
        <v>47</v>
      </c>
      <c r="C753" s="14" t="s">
        <v>48</v>
      </c>
      <c r="D753" s="14" t="s">
        <v>158</v>
      </c>
      <c r="E753" s="14" t="s">
        <v>159</v>
      </c>
      <c r="F753" s="15" t="s">
        <v>51</v>
      </c>
      <c r="G753" s="14" t="s">
        <v>160</v>
      </c>
      <c r="H753" s="14" t="s">
        <v>158</v>
      </c>
      <c r="I753" s="14" t="s">
        <v>54</v>
      </c>
      <c r="J753" s="14" t="s">
        <v>200</v>
      </c>
      <c r="K753" s="14" t="s">
        <v>222</v>
      </c>
      <c r="L753" s="14" t="s">
        <v>253</v>
      </c>
      <c r="M753" s="14" t="s">
        <v>1108</v>
      </c>
      <c r="N753" s="14" t="s">
        <v>1109</v>
      </c>
      <c r="O753" s="14">
        <v>50.0</v>
      </c>
      <c r="P753" s="21">
        <v>1.0</v>
      </c>
      <c r="Q753" s="22" t="str">
        <f t="shared" ref="Q753:R753" si="450">"+0"</f>
        <v>+0</v>
      </c>
      <c r="R753" s="18" t="str">
        <f t="shared" si="450"/>
        <v>+0</v>
      </c>
      <c r="S753" s="14" t="s">
        <v>450</v>
      </c>
    </row>
    <row r="754">
      <c r="A754" s="13">
        <v>45901.0</v>
      </c>
      <c r="B754" s="14" t="s">
        <v>47</v>
      </c>
      <c r="C754" s="14" t="s">
        <v>48</v>
      </c>
      <c r="D754" s="14" t="s">
        <v>121</v>
      </c>
      <c r="E754" s="14" t="s">
        <v>122</v>
      </c>
      <c r="F754" s="15" t="s">
        <v>51</v>
      </c>
      <c r="G754" s="14" t="s">
        <v>123</v>
      </c>
      <c r="H754" s="14" t="s">
        <v>124</v>
      </c>
      <c r="I754" s="14" t="s">
        <v>59</v>
      </c>
      <c r="J754" s="14" t="s">
        <v>198</v>
      </c>
      <c r="K754" s="14" t="s">
        <v>205</v>
      </c>
      <c r="L754" s="14" t="s">
        <v>274</v>
      </c>
      <c r="M754" s="14" t="s">
        <v>636</v>
      </c>
      <c r="N754" s="14" t="s">
        <v>637</v>
      </c>
      <c r="O754" s="14">
        <v>0.0</v>
      </c>
      <c r="P754" s="21">
        <v>0.0</v>
      </c>
      <c r="Q754" s="22" t="str">
        <f>"+0"</f>
        <v>+0</v>
      </c>
      <c r="S754" s="14" t="s">
        <v>281</v>
      </c>
    </row>
    <row r="755">
      <c r="A755" s="13">
        <v>45901.0</v>
      </c>
      <c r="B755" s="14" t="s">
        <v>47</v>
      </c>
      <c r="C755" s="14" t="s">
        <v>48</v>
      </c>
      <c r="D755" s="14" t="s">
        <v>140</v>
      </c>
      <c r="E755" s="14" t="s">
        <v>141</v>
      </c>
      <c r="F755" s="15" t="s">
        <v>51</v>
      </c>
      <c r="G755" s="14" t="s">
        <v>142</v>
      </c>
      <c r="H755" s="14" t="s">
        <v>140</v>
      </c>
      <c r="I755" s="14" t="s">
        <v>59</v>
      </c>
      <c r="J755" s="14" t="s">
        <v>200</v>
      </c>
      <c r="K755" s="14" t="s">
        <v>227</v>
      </c>
      <c r="L755" s="14" t="s">
        <v>253</v>
      </c>
      <c r="M755" s="14" t="s">
        <v>396</v>
      </c>
      <c r="N755" s="14" t="s">
        <v>397</v>
      </c>
      <c r="O755" s="14">
        <v>50.0</v>
      </c>
      <c r="P755" s="23">
        <v>0.5</v>
      </c>
      <c r="Q755" s="22" t="str">
        <f t="shared" ref="Q755:R755" si="451">"+0.00%"</f>
        <v>+0.00%</v>
      </c>
      <c r="R755" s="18" t="str">
        <f t="shared" si="451"/>
        <v>+0.00%</v>
      </c>
      <c r="S755" s="14" t="s">
        <v>916</v>
      </c>
    </row>
    <row r="756">
      <c r="A756" s="13">
        <v>45901.0</v>
      </c>
      <c r="B756" s="14" t="s">
        <v>47</v>
      </c>
      <c r="C756" s="14" t="s">
        <v>48</v>
      </c>
      <c r="D756" s="14" t="s">
        <v>165</v>
      </c>
      <c r="E756" s="14" t="s">
        <v>166</v>
      </c>
      <c r="F756" s="15" t="s">
        <v>51</v>
      </c>
      <c r="G756" s="14" t="s">
        <v>167</v>
      </c>
      <c r="H756" s="14" t="s">
        <v>165</v>
      </c>
      <c r="I756" s="14" t="s">
        <v>54</v>
      </c>
      <c r="J756" s="14" t="s">
        <v>198</v>
      </c>
      <c r="K756" s="14" t="s">
        <v>210</v>
      </c>
      <c r="L756" s="14" t="s">
        <v>264</v>
      </c>
      <c r="M756" s="14" t="s">
        <v>456</v>
      </c>
      <c r="N756" s="14" t="s">
        <v>457</v>
      </c>
      <c r="O756" s="14">
        <v>0.0</v>
      </c>
      <c r="P756" s="21">
        <v>0.0</v>
      </c>
      <c r="Q756" s="22" t="str">
        <f t="shared" ref="Q756:R756" si="452">"+0"</f>
        <v>+0</v>
      </c>
      <c r="R756" s="18" t="str">
        <f t="shared" si="452"/>
        <v>+0</v>
      </c>
      <c r="S756" s="14" t="s">
        <v>277</v>
      </c>
    </row>
    <row r="757">
      <c r="A757" s="13">
        <v>45901.0</v>
      </c>
      <c r="B757" s="14" t="s">
        <v>47</v>
      </c>
      <c r="C757" s="14" t="s">
        <v>48</v>
      </c>
      <c r="D757" s="14" t="s">
        <v>165</v>
      </c>
      <c r="E757" s="14" t="s">
        <v>166</v>
      </c>
      <c r="F757" s="15" t="s">
        <v>51</v>
      </c>
      <c r="G757" s="14" t="s">
        <v>167</v>
      </c>
      <c r="H757" s="14" t="s">
        <v>165</v>
      </c>
      <c r="I757" s="14" t="s">
        <v>54</v>
      </c>
      <c r="J757" s="14" t="s">
        <v>198</v>
      </c>
      <c r="K757" s="14" t="s">
        <v>205</v>
      </c>
      <c r="L757" s="14" t="s">
        <v>274</v>
      </c>
      <c r="M757" s="14" t="s">
        <v>425</v>
      </c>
      <c r="N757" s="14" t="s">
        <v>426</v>
      </c>
      <c r="O757" s="14">
        <v>0.0</v>
      </c>
      <c r="P757" s="21">
        <v>0.0</v>
      </c>
      <c r="Q757" s="22" t="str">
        <f>"+0"</f>
        <v>+0</v>
      </c>
      <c r="S757" s="14" t="s">
        <v>281</v>
      </c>
    </row>
    <row r="758">
      <c r="A758" s="13">
        <v>45901.0</v>
      </c>
      <c r="B758" s="14" t="s">
        <v>47</v>
      </c>
      <c r="C758" s="14" t="s">
        <v>48</v>
      </c>
      <c r="D758" s="14" t="s">
        <v>63</v>
      </c>
      <c r="E758" s="14" t="s">
        <v>64</v>
      </c>
      <c r="F758" s="15" t="s">
        <v>51</v>
      </c>
      <c r="G758" s="14" t="s">
        <v>65</v>
      </c>
      <c r="H758" s="14" t="s">
        <v>63</v>
      </c>
      <c r="I758" s="14" t="s">
        <v>54</v>
      </c>
      <c r="J758" s="14" t="s">
        <v>200</v>
      </c>
      <c r="K758" s="14" t="s">
        <v>224</v>
      </c>
      <c r="L758" s="14" t="s">
        <v>253</v>
      </c>
      <c r="M758" s="14" t="s">
        <v>952</v>
      </c>
      <c r="N758" s="14" t="s">
        <v>953</v>
      </c>
      <c r="O758" s="14">
        <v>95.0</v>
      </c>
      <c r="P758" s="23">
        <v>0.9565</v>
      </c>
      <c r="Q758" s="22" t="str">
        <f>"+2.17%"</f>
        <v>+2.17%</v>
      </c>
      <c r="R758" s="18" t="str">
        <f>"+0.00%"</f>
        <v>+0.00%</v>
      </c>
      <c r="S758" s="14" t="s">
        <v>1110</v>
      </c>
    </row>
    <row r="759">
      <c r="A759" s="13">
        <v>45901.0</v>
      </c>
      <c r="B759" s="14" t="s">
        <v>47</v>
      </c>
      <c r="C759" s="14" t="s">
        <v>48</v>
      </c>
      <c r="D759" s="14" t="s">
        <v>91</v>
      </c>
      <c r="E759" s="14" t="s">
        <v>92</v>
      </c>
      <c r="F759" s="15" t="s">
        <v>51</v>
      </c>
      <c r="G759" s="14" t="s">
        <v>163</v>
      </c>
      <c r="H759" s="14" t="s">
        <v>91</v>
      </c>
      <c r="I759" s="14" t="s">
        <v>59</v>
      </c>
      <c r="J759" s="14" t="s">
        <v>200</v>
      </c>
      <c r="K759" s="14" t="s">
        <v>227</v>
      </c>
      <c r="L759" s="14" t="s">
        <v>721</v>
      </c>
      <c r="M759" s="14" t="s">
        <v>748</v>
      </c>
      <c r="N759" s="14" t="s">
        <v>749</v>
      </c>
      <c r="O759" s="14">
        <v>0.0</v>
      </c>
      <c r="P759" s="23">
        <v>-1.0</v>
      </c>
      <c r="Q759" s="22" t="str">
        <f t="shared" ref="Q759:R759" si="453">"+0.00%"</f>
        <v>+0.00%</v>
      </c>
      <c r="R759" s="18" t="str">
        <f t="shared" si="453"/>
        <v>+0.00%</v>
      </c>
      <c r="S759" s="14" t="s">
        <v>750</v>
      </c>
    </row>
    <row r="760">
      <c r="A760" s="13">
        <v>45901.0</v>
      </c>
      <c r="B760" s="14" t="s">
        <v>47</v>
      </c>
      <c r="C760" s="14" t="s">
        <v>48</v>
      </c>
      <c r="D760" s="14" t="s">
        <v>99</v>
      </c>
      <c r="E760" s="14" t="s">
        <v>100</v>
      </c>
      <c r="F760" s="15" t="s">
        <v>51</v>
      </c>
      <c r="G760" s="14" t="s">
        <v>101</v>
      </c>
      <c r="H760" s="14" t="s">
        <v>102</v>
      </c>
      <c r="I760" s="14" t="s">
        <v>54</v>
      </c>
      <c r="J760" s="14" t="s">
        <v>200</v>
      </c>
      <c r="K760" s="14" t="s">
        <v>227</v>
      </c>
      <c r="L760" s="14" t="s">
        <v>328</v>
      </c>
      <c r="M760" s="14" t="s">
        <v>329</v>
      </c>
      <c r="N760" s="14" t="s">
        <v>330</v>
      </c>
      <c r="O760" s="14">
        <v>20.0</v>
      </c>
      <c r="P760" s="21">
        <v>1.0</v>
      </c>
      <c r="Q760" s="22" t="str">
        <f>"+1"</f>
        <v>+1</v>
      </c>
      <c r="R760" s="18" t="str">
        <f>"-1"</f>
        <v>-1</v>
      </c>
      <c r="S760" s="14" t="s">
        <v>260</v>
      </c>
    </row>
    <row r="761">
      <c r="A761" s="13">
        <v>45901.0</v>
      </c>
      <c r="B761" s="14" t="s">
        <v>47</v>
      </c>
      <c r="C761" s="14" t="s">
        <v>48</v>
      </c>
      <c r="D761" s="14" t="s">
        <v>60</v>
      </c>
      <c r="E761" s="14" t="s">
        <v>61</v>
      </c>
      <c r="F761" s="15" t="s">
        <v>51</v>
      </c>
      <c r="G761" s="14" t="s">
        <v>62</v>
      </c>
      <c r="H761" s="14" t="s">
        <v>60</v>
      </c>
      <c r="I761" s="14" t="s">
        <v>59</v>
      </c>
      <c r="J761" s="14" t="s">
        <v>200</v>
      </c>
      <c r="K761" s="14" t="s">
        <v>204</v>
      </c>
      <c r="L761" s="14" t="s">
        <v>253</v>
      </c>
      <c r="M761" s="14" t="s">
        <v>490</v>
      </c>
      <c r="N761" s="14" t="s">
        <v>491</v>
      </c>
      <c r="O761" s="14">
        <v>0.0</v>
      </c>
      <c r="P761" s="23">
        <v>0.0</v>
      </c>
      <c r="Q761" s="22" t="str">
        <f t="shared" ref="Q761:R761" si="454">"+0.00%"</f>
        <v>+0.00%</v>
      </c>
      <c r="R761" s="18" t="str">
        <f t="shared" si="454"/>
        <v>+0.00%</v>
      </c>
      <c r="S761" s="14" t="s">
        <v>492</v>
      </c>
    </row>
    <row r="762">
      <c r="A762" s="13">
        <v>45901.0</v>
      </c>
      <c r="B762" s="14" t="s">
        <v>47</v>
      </c>
      <c r="C762" s="14" t="s">
        <v>48</v>
      </c>
      <c r="D762" s="14" t="s">
        <v>93</v>
      </c>
      <c r="E762" s="14" t="s">
        <v>94</v>
      </c>
      <c r="F762" s="15" t="s">
        <v>51</v>
      </c>
      <c r="G762" s="14" t="s">
        <v>191</v>
      </c>
      <c r="H762" s="14" t="s">
        <v>95</v>
      </c>
      <c r="I762" s="14" t="s">
        <v>59</v>
      </c>
      <c r="J762" s="14" t="s">
        <v>199</v>
      </c>
      <c r="K762" s="14" t="s">
        <v>206</v>
      </c>
      <c r="L762" s="14" t="s">
        <v>295</v>
      </c>
      <c r="M762" s="14" t="s">
        <v>529</v>
      </c>
      <c r="N762" s="14" t="s">
        <v>530</v>
      </c>
      <c r="O762" s="14">
        <v>0.0</v>
      </c>
      <c r="P762" s="21">
        <v>0.0</v>
      </c>
      <c r="Q762" s="22" t="str">
        <f t="shared" ref="Q762:R762" si="455">"+0"</f>
        <v>+0</v>
      </c>
      <c r="R762" s="18" t="str">
        <f t="shared" si="455"/>
        <v>+0</v>
      </c>
      <c r="S762" s="14" t="s">
        <v>260</v>
      </c>
    </row>
    <row r="763">
      <c r="A763" s="13">
        <v>45901.0</v>
      </c>
      <c r="B763" s="14" t="s">
        <v>47</v>
      </c>
      <c r="C763" s="14" t="s">
        <v>48</v>
      </c>
      <c r="D763" s="14" t="s">
        <v>73</v>
      </c>
      <c r="E763" s="14" t="s">
        <v>74</v>
      </c>
      <c r="F763" s="15" t="s">
        <v>51</v>
      </c>
      <c r="G763" s="14" t="s">
        <v>75</v>
      </c>
      <c r="H763" s="14" t="s">
        <v>76</v>
      </c>
      <c r="I763" s="14" t="s">
        <v>59</v>
      </c>
      <c r="J763" s="14" t="s">
        <v>200</v>
      </c>
      <c r="K763" s="14" t="s">
        <v>232</v>
      </c>
      <c r="L763" s="14" t="s">
        <v>282</v>
      </c>
      <c r="M763" s="14" t="s">
        <v>914</v>
      </c>
      <c r="N763" s="14" t="s">
        <v>915</v>
      </c>
      <c r="O763" s="14">
        <v>0.0</v>
      </c>
      <c r="P763" s="21">
        <v>0.0</v>
      </c>
      <c r="Q763" s="22" t="str">
        <f t="shared" ref="Q763:R763" si="456">"+0"</f>
        <v>+0</v>
      </c>
      <c r="R763" s="18" t="str">
        <f t="shared" si="456"/>
        <v>+0</v>
      </c>
      <c r="S763" s="14" t="s">
        <v>260</v>
      </c>
    </row>
    <row r="764">
      <c r="A764" s="13">
        <v>45901.0</v>
      </c>
      <c r="B764" s="14" t="s">
        <v>47</v>
      </c>
      <c r="C764" s="14" t="s">
        <v>48</v>
      </c>
      <c r="D764" s="14" t="s">
        <v>155</v>
      </c>
      <c r="E764" s="14" t="s">
        <v>156</v>
      </c>
      <c r="F764" s="15" t="s">
        <v>51</v>
      </c>
      <c r="G764" s="14" t="s">
        <v>157</v>
      </c>
      <c r="H764" s="14" t="s">
        <v>155</v>
      </c>
      <c r="I764" s="14" t="s">
        <v>59</v>
      </c>
      <c r="J764" s="14" t="s">
        <v>200</v>
      </c>
      <c r="K764" s="14" t="s">
        <v>223</v>
      </c>
      <c r="L764" s="14" t="s">
        <v>286</v>
      </c>
      <c r="M764" s="14" t="s">
        <v>369</v>
      </c>
      <c r="N764" s="14" t="s">
        <v>370</v>
      </c>
      <c r="O764" s="14">
        <v>0.0</v>
      </c>
      <c r="P764" s="17"/>
      <c r="Q764" s="22"/>
      <c r="S764" s="14" t="s">
        <v>371</v>
      </c>
    </row>
    <row r="765">
      <c r="A765" s="13">
        <v>45901.0</v>
      </c>
      <c r="B765" s="14" t="s">
        <v>47</v>
      </c>
      <c r="C765" s="14" t="s">
        <v>48</v>
      </c>
      <c r="D765" s="14" t="s">
        <v>165</v>
      </c>
      <c r="E765" s="14" t="s">
        <v>166</v>
      </c>
      <c r="F765" s="15" t="s">
        <v>51</v>
      </c>
      <c r="G765" s="14" t="s">
        <v>167</v>
      </c>
      <c r="H765" s="14" t="s">
        <v>165</v>
      </c>
      <c r="I765" s="14" t="s">
        <v>54</v>
      </c>
      <c r="J765" s="14" t="s">
        <v>198</v>
      </c>
      <c r="K765" s="14" t="s">
        <v>210</v>
      </c>
      <c r="L765" s="14" t="s">
        <v>505</v>
      </c>
      <c r="M765" s="14" t="s">
        <v>1111</v>
      </c>
      <c r="N765" s="14" t="s">
        <v>1112</v>
      </c>
      <c r="O765" s="14">
        <v>0.0</v>
      </c>
      <c r="P765" s="21">
        <v>0.0</v>
      </c>
      <c r="Q765" s="22" t="str">
        <f t="shared" ref="Q765:R765" si="457">"+0"</f>
        <v>+0</v>
      </c>
      <c r="R765" s="18" t="str">
        <f t="shared" si="457"/>
        <v>+0</v>
      </c>
      <c r="S765" s="14" t="s">
        <v>277</v>
      </c>
    </row>
    <row r="766">
      <c r="A766" s="13">
        <v>45901.0</v>
      </c>
      <c r="B766" s="14" t="s">
        <v>47</v>
      </c>
      <c r="C766" s="14" t="s">
        <v>48</v>
      </c>
      <c r="D766" s="14" t="s">
        <v>77</v>
      </c>
      <c r="E766" s="14" t="s">
        <v>78</v>
      </c>
      <c r="F766" s="15" t="s">
        <v>51</v>
      </c>
      <c r="G766" s="14" t="s">
        <v>128</v>
      </c>
      <c r="H766" s="14" t="s">
        <v>81</v>
      </c>
      <c r="I766" s="14" t="s">
        <v>59</v>
      </c>
      <c r="J766" s="14" t="s">
        <v>200</v>
      </c>
      <c r="K766" s="14" t="s">
        <v>216</v>
      </c>
      <c r="L766" s="14" t="s">
        <v>1113</v>
      </c>
      <c r="M766" s="14" t="s">
        <v>1114</v>
      </c>
      <c r="N766" s="14" t="s">
        <v>1115</v>
      </c>
      <c r="O766" s="14">
        <v>0.0</v>
      </c>
      <c r="P766" s="21">
        <v>0.0</v>
      </c>
      <c r="Q766" s="22" t="str">
        <f t="shared" ref="Q766:R766" si="458">"+0"</f>
        <v>+0</v>
      </c>
      <c r="R766" s="18" t="str">
        <f t="shared" si="458"/>
        <v>+0</v>
      </c>
      <c r="S766" s="14" t="s">
        <v>260</v>
      </c>
    </row>
    <row r="767">
      <c r="A767" s="13">
        <v>45901.0</v>
      </c>
      <c r="B767" s="14" t="s">
        <v>47</v>
      </c>
      <c r="C767" s="14" t="s">
        <v>48</v>
      </c>
      <c r="D767" s="14" t="s">
        <v>85</v>
      </c>
      <c r="E767" s="14" t="s">
        <v>86</v>
      </c>
      <c r="F767" s="15" t="s">
        <v>51</v>
      </c>
      <c r="G767" s="14" t="s">
        <v>148</v>
      </c>
      <c r="H767" s="14" t="s">
        <v>85</v>
      </c>
      <c r="I767" s="14" t="s">
        <v>59</v>
      </c>
      <c r="J767" s="14" t="s">
        <v>200</v>
      </c>
      <c r="K767" s="14" t="s">
        <v>213</v>
      </c>
      <c r="L767" s="14" t="s">
        <v>257</v>
      </c>
      <c r="M767" s="14" t="s">
        <v>258</v>
      </c>
      <c r="N767" s="14" t="s">
        <v>259</v>
      </c>
      <c r="O767" s="14">
        <v>100.0</v>
      </c>
      <c r="P767" s="21">
        <v>36.0</v>
      </c>
      <c r="Q767" s="22" t="str">
        <f t="shared" ref="Q767:R767" si="459">"+1"</f>
        <v>+1</v>
      </c>
      <c r="R767" s="18" t="str">
        <f t="shared" si="459"/>
        <v>+1</v>
      </c>
      <c r="S767" s="14" t="s">
        <v>260</v>
      </c>
    </row>
    <row r="768">
      <c r="A768" s="13">
        <v>45901.0</v>
      </c>
      <c r="B768" s="14" t="s">
        <v>47</v>
      </c>
      <c r="C768" s="14" t="s">
        <v>48</v>
      </c>
      <c r="D768" s="14" t="s">
        <v>116</v>
      </c>
      <c r="E768" s="14" t="s">
        <v>117</v>
      </c>
      <c r="F768" s="15" t="s">
        <v>51</v>
      </c>
      <c r="G768" s="14" t="s">
        <v>161</v>
      </c>
      <c r="H768" s="14" t="s">
        <v>116</v>
      </c>
      <c r="I768" s="14" t="s">
        <v>54</v>
      </c>
      <c r="J768" s="14" t="s">
        <v>198</v>
      </c>
      <c r="K768" s="14" t="s">
        <v>210</v>
      </c>
      <c r="L768" s="14" t="s">
        <v>458</v>
      </c>
      <c r="M768" s="14" t="s">
        <v>744</v>
      </c>
      <c r="N768" s="14" t="s">
        <v>745</v>
      </c>
      <c r="O768" s="14">
        <v>0.0</v>
      </c>
      <c r="P768" s="21">
        <v>0.0</v>
      </c>
      <c r="Q768" s="22" t="str">
        <f t="shared" ref="Q768:R768" si="460">"+0"</f>
        <v>+0</v>
      </c>
      <c r="R768" s="18" t="str">
        <f t="shared" si="460"/>
        <v>+0</v>
      </c>
      <c r="S768" s="14" t="s">
        <v>277</v>
      </c>
    </row>
    <row r="769">
      <c r="A769" s="13">
        <v>45901.0</v>
      </c>
      <c r="B769" s="14" t="s">
        <v>47</v>
      </c>
      <c r="C769" s="14" t="s">
        <v>48</v>
      </c>
      <c r="D769" s="14" t="s">
        <v>129</v>
      </c>
      <c r="E769" s="14" t="s">
        <v>130</v>
      </c>
      <c r="F769" s="15" t="s">
        <v>51</v>
      </c>
      <c r="G769" s="14" t="s">
        <v>131</v>
      </c>
      <c r="H769" s="14" t="s">
        <v>129</v>
      </c>
      <c r="I769" s="14" t="s">
        <v>59</v>
      </c>
      <c r="J769" s="14" t="s">
        <v>199</v>
      </c>
      <c r="K769" s="14" t="s">
        <v>203</v>
      </c>
      <c r="L769" s="14" t="s">
        <v>342</v>
      </c>
      <c r="M769" s="14" t="s">
        <v>342</v>
      </c>
      <c r="N769" s="14" t="s">
        <v>343</v>
      </c>
      <c r="O769" s="14">
        <v>0.0</v>
      </c>
      <c r="P769" s="21">
        <v>0.0</v>
      </c>
      <c r="Q769" s="22" t="str">
        <f t="shared" ref="Q769:R769" si="461">"+0"</f>
        <v>+0</v>
      </c>
      <c r="R769" s="18" t="str">
        <f t="shared" si="461"/>
        <v>+0</v>
      </c>
      <c r="S769" s="14" t="s">
        <v>260</v>
      </c>
    </row>
    <row r="770">
      <c r="A770" s="13">
        <v>45901.0</v>
      </c>
      <c r="B770" s="14" t="s">
        <v>47</v>
      </c>
      <c r="C770" s="14" t="s">
        <v>48</v>
      </c>
      <c r="D770" s="14" t="s">
        <v>82</v>
      </c>
      <c r="E770" s="14" t="s">
        <v>83</v>
      </c>
      <c r="F770" s="15" t="s">
        <v>51</v>
      </c>
      <c r="G770" s="14" t="s">
        <v>84</v>
      </c>
      <c r="H770" s="14" t="s">
        <v>82</v>
      </c>
      <c r="I770" s="14" t="s">
        <v>59</v>
      </c>
      <c r="J770" s="14" t="s">
        <v>200</v>
      </c>
      <c r="K770" s="14" t="s">
        <v>213</v>
      </c>
      <c r="L770" s="14" t="s">
        <v>253</v>
      </c>
      <c r="M770" s="14" t="s">
        <v>552</v>
      </c>
      <c r="N770" s="14" t="s">
        <v>553</v>
      </c>
      <c r="O770" s="14">
        <v>73.0</v>
      </c>
      <c r="P770" s="23">
        <v>0.7351</v>
      </c>
      <c r="Q770" s="22" t="str">
        <f>"-6.02%"</f>
        <v>-6.02%</v>
      </c>
      <c r="R770" s="18" t="str">
        <f>"+0.02%"</f>
        <v>+0.02%</v>
      </c>
      <c r="S770" s="14" t="s">
        <v>1116</v>
      </c>
    </row>
    <row r="771">
      <c r="A771" s="13">
        <v>45901.0</v>
      </c>
      <c r="B771" s="14" t="s">
        <v>47</v>
      </c>
      <c r="C771" s="14" t="s">
        <v>48</v>
      </c>
      <c r="D771" s="14" t="s">
        <v>192</v>
      </c>
      <c r="E771" s="14" t="s">
        <v>193</v>
      </c>
      <c r="F771" s="15" t="s">
        <v>51</v>
      </c>
      <c r="G771" s="14" t="s">
        <v>194</v>
      </c>
      <c r="H771" s="14" t="s">
        <v>192</v>
      </c>
      <c r="I771" s="14" t="s">
        <v>54</v>
      </c>
      <c r="J771" s="14" t="s">
        <v>198</v>
      </c>
      <c r="K771" s="14" t="s">
        <v>210</v>
      </c>
      <c r="L771" s="14" t="s">
        <v>264</v>
      </c>
      <c r="M771" s="14" t="s">
        <v>910</v>
      </c>
      <c r="N771" s="14" t="s">
        <v>911</v>
      </c>
      <c r="O771" s="14">
        <v>0.0</v>
      </c>
      <c r="P771" s="21">
        <v>0.0</v>
      </c>
      <c r="Q771" s="22" t="str">
        <f t="shared" ref="Q771:R771" si="462">"+0"</f>
        <v>+0</v>
      </c>
      <c r="R771" s="18" t="str">
        <f t="shared" si="462"/>
        <v>+0</v>
      </c>
      <c r="S771" s="14" t="s">
        <v>277</v>
      </c>
    </row>
    <row r="772">
      <c r="A772" s="13">
        <v>45901.0</v>
      </c>
      <c r="B772" s="14" t="s">
        <v>47</v>
      </c>
      <c r="C772" s="14" t="s">
        <v>48</v>
      </c>
      <c r="D772" s="14" t="s">
        <v>192</v>
      </c>
      <c r="E772" s="14" t="s">
        <v>193</v>
      </c>
      <c r="F772" s="15" t="s">
        <v>51</v>
      </c>
      <c r="G772" s="14" t="s">
        <v>194</v>
      </c>
      <c r="H772" s="14" t="s">
        <v>192</v>
      </c>
      <c r="I772" s="14" t="s">
        <v>54</v>
      </c>
      <c r="J772" s="14" t="s">
        <v>200</v>
      </c>
      <c r="K772" s="14" t="s">
        <v>231</v>
      </c>
      <c r="L772" s="14" t="s">
        <v>512</v>
      </c>
      <c r="M772" s="14" t="s">
        <v>1117</v>
      </c>
      <c r="N772" s="14" t="s">
        <v>1118</v>
      </c>
      <c r="O772" s="14">
        <v>0.0</v>
      </c>
      <c r="P772" s="21">
        <v>0.0</v>
      </c>
      <c r="Q772" s="22" t="str">
        <f t="shared" ref="Q772:R772" si="463">"-1"</f>
        <v>-1</v>
      </c>
      <c r="R772" s="18" t="str">
        <f t="shared" si="463"/>
        <v>-1</v>
      </c>
      <c r="S772" s="14" t="s">
        <v>260</v>
      </c>
    </row>
    <row r="773">
      <c r="A773" s="13">
        <v>45901.0</v>
      </c>
      <c r="B773" s="14" t="s">
        <v>47</v>
      </c>
      <c r="C773" s="14" t="s">
        <v>48</v>
      </c>
      <c r="D773" s="14" t="s">
        <v>66</v>
      </c>
      <c r="E773" s="14" t="s">
        <v>67</v>
      </c>
      <c r="F773" s="15" t="s">
        <v>51</v>
      </c>
      <c r="G773" s="14" t="s">
        <v>68</v>
      </c>
      <c r="H773" s="14" t="s">
        <v>66</v>
      </c>
      <c r="I773" s="14" t="s">
        <v>59</v>
      </c>
      <c r="J773" s="14" t="s">
        <v>200</v>
      </c>
      <c r="K773" s="14" t="s">
        <v>223</v>
      </c>
      <c r="L773" s="14" t="s">
        <v>257</v>
      </c>
      <c r="M773" s="14" t="s">
        <v>298</v>
      </c>
      <c r="N773" s="14" t="s">
        <v>299</v>
      </c>
      <c r="O773" s="14">
        <v>0.0</v>
      </c>
      <c r="P773" s="23">
        <v>0.0</v>
      </c>
      <c r="Q773" s="22" t="str">
        <f t="shared" ref="Q773:R773" si="464">"+0.00%"</f>
        <v>+0.00%</v>
      </c>
      <c r="R773" s="18" t="str">
        <f t="shared" si="464"/>
        <v>+0.00%</v>
      </c>
      <c r="S773" s="14" t="s">
        <v>1119</v>
      </c>
    </row>
    <row r="774">
      <c r="A774" s="13">
        <v>45901.0</v>
      </c>
      <c r="B774" s="14" t="s">
        <v>47</v>
      </c>
      <c r="C774" s="14" t="s">
        <v>48</v>
      </c>
      <c r="D774" s="14" t="s">
        <v>192</v>
      </c>
      <c r="E774" s="14" t="s">
        <v>193</v>
      </c>
      <c r="F774" s="15" t="s">
        <v>51</v>
      </c>
      <c r="G774" s="14" t="s">
        <v>194</v>
      </c>
      <c r="H774" s="14" t="s">
        <v>192</v>
      </c>
      <c r="I774" s="14" t="s">
        <v>54</v>
      </c>
      <c r="J774" s="14" t="s">
        <v>200</v>
      </c>
      <c r="K774" s="14" t="s">
        <v>223</v>
      </c>
      <c r="L774" s="14" t="s">
        <v>440</v>
      </c>
      <c r="M774" s="14" t="s">
        <v>510</v>
      </c>
      <c r="N774" s="14" t="s">
        <v>511</v>
      </c>
      <c r="O774" s="14">
        <v>100.0</v>
      </c>
      <c r="P774" s="23">
        <v>0.0509</v>
      </c>
      <c r="Q774" s="22" t="str">
        <f>"-0.87%"</f>
        <v>-0.87%</v>
      </c>
      <c r="R774" s="18" t="str">
        <f>"-0.27%"</f>
        <v>-0.27%</v>
      </c>
      <c r="S774" s="14" t="s">
        <v>285</v>
      </c>
    </row>
    <row r="775">
      <c r="A775" s="13">
        <v>45901.0</v>
      </c>
      <c r="B775" s="14" t="s">
        <v>47</v>
      </c>
      <c r="C775" s="14" t="s">
        <v>48</v>
      </c>
      <c r="D775" s="14" t="s">
        <v>66</v>
      </c>
      <c r="E775" s="14" t="s">
        <v>67</v>
      </c>
      <c r="F775" s="15" t="s">
        <v>51</v>
      </c>
      <c r="G775" s="14" t="s">
        <v>68</v>
      </c>
      <c r="H775" s="14" t="s">
        <v>66</v>
      </c>
      <c r="I775" s="14" t="s">
        <v>59</v>
      </c>
      <c r="J775" s="14" t="s">
        <v>200</v>
      </c>
      <c r="K775" s="14" t="s">
        <v>231</v>
      </c>
      <c r="L775" s="14" t="s">
        <v>751</v>
      </c>
      <c r="M775" s="14" t="s">
        <v>1120</v>
      </c>
      <c r="N775" s="14" t="s">
        <v>1121</v>
      </c>
      <c r="O775" s="14">
        <v>0.0</v>
      </c>
      <c r="P775" s="21">
        <v>0.0</v>
      </c>
      <c r="Q775" s="22" t="str">
        <f t="shared" ref="Q775:R775" si="465">"+0"</f>
        <v>+0</v>
      </c>
      <c r="R775" s="18" t="str">
        <f t="shared" si="465"/>
        <v>+0</v>
      </c>
      <c r="S775" s="14" t="s">
        <v>260</v>
      </c>
    </row>
    <row r="776">
      <c r="A776" s="13">
        <v>45901.0</v>
      </c>
      <c r="B776" s="14" t="s">
        <v>47</v>
      </c>
      <c r="C776" s="14" t="s">
        <v>48</v>
      </c>
      <c r="D776" s="14" t="s">
        <v>192</v>
      </c>
      <c r="E776" s="14" t="s">
        <v>193</v>
      </c>
      <c r="F776" s="15" t="s">
        <v>51</v>
      </c>
      <c r="G776" s="14" t="s">
        <v>194</v>
      </c>
      <c r="H776" s="14" t="s">
        <v>192</v>
      </c>
      <c r="I776" s="14" t="s">
        <v>54</v>
      </c>
      <c r="J776" s="14" t="s">
        <v>200</v>
      </c>
      <c r="K776" s="14" t="s">
        <v>223</v>
      </c>
      <c r="L776" s="14" t="s">
        <v>359</v>
      </c>
      <c r="M776" s="14" t="s">
        <v>360</v>
      </c>
      <c r="N776" s="14" t="s">
        <v>361</v>
      </c>
      <c r="O776" s="14">
        <v>0.0</v>
      </c>
      <c r="P776" s="23">
        <v>0.0</v>
      </c>
      <c r="Q776" s="22" t="str">
        <f t="shared" ref="Q776:R776" si="466">"+0.00%"</f>
        <v>+0.00%</v>
      </c>
      <c r="R776" s="18" t="str">
        <f t="shared" si="466"/>
        <v>+0.00%</v>
      </c>
      <c r="S776" s="14" t="s">
        <v>1122</v>
      </c>
    </row>
    <row r="777">
      <c r="A777" s="13">
        <v>45901.0</v>
      </c>
      <c r="B777" s="14" t="s">
        <v>47</v>
      </c>
      <c r="C777" s="14" t="s">
        <v>48</v>
      </c>
      <c r="D777" s="14" t="s">
        <v>192</v>
      </c>
      <c r="E777" s="14" t="s">
        <v>193</v>
      </c>
      <c r="F777" s="15" t="s">
        <v>51</v>
      </c>
      <c r="G777" s="14" t="s">
        <v>194</v>
      </c>
      <c r="H777" s="14" t="s">
        <v>192</v>
      </c>
      <c r="I777" s="14" t="s">
        <v>54</v>
      </c>
      <c r="J777" s="14" t="s">
        <v>200</v>
      </c>
      <c r="K777" s="14" t="s">
        <v>227</v>
      </c>
      <c r="L777" s="14" t="s">
        <v>328</v>
      </c>
      <c r="M777" s="14" t="s">
        <v>329</v>
      </c>
      <c r="N777" s="14" t="s">
        <v>330</v>
      </c>
      <c r="O777" s="14">
        <v>27.0</v>
      </c>
      <c r="P777" s="21">
        <v>5.0</v>
      </c>
      <c r="Q777" s="22" t="str">
        <f>"+3"</f>
        <v>+3</v>
      </c>
      <c r="R777" s="18" t="str">
        <f>"-4"</f>
        <v>-4</v>
      </c>
      <c r="S777" s="14" t="s">
        <v>260</v>
      </c>
    </row>
    <row r="778">
      <c r="A778" s="13">
        <v>45901.0</v>
      </c>
      <c r="B778" s="14" t="s">
        <v>47</v>
      </c>
      <c r="C778" s="14" t="s">
        <v>48</v>
      </c>
      <c r="D778" s="14" t="s">
        <v>143</v>
      </c>
      <c r="E778" s="14" t="s">
        <v>144</v>
      </c>
      <c r="F778" s="15" t="s">
        <v>51</v>
      </c>
      <c r="G778" s="14" t="s">
        <v>145</v>
      </c>
      <c r="H778" s="14" t="s">
        <v>143</v>
      </c>
      <c r="I778" s="14" t="s">
        <v>59</v>
      </c>
      <c r="J778" s="14" t="s">
        <v>200</v>
      </c>
      <c r="K778" s="14" t="s">
        <v>232</v>
      </c>
      <c r="L778" s="14" t="s">
        <v>286</v>
      </c>
      <c r="M778" s="14" t="s">
        <v>419</v>
      </c>
      <c r="N778" s="14" t="s">
        <v>420</v>
      </c>
      <c r="O778" s="14">
        <v>0.0</v>
      </c>
      <c r="P778" s="23">
        <v>0.0</v>
      </c>
      <c r="Q778" s="22" t="str">
        <f t="shared" ref="Q778:R778" si="467">"+0.00%"</f>
        <v>+0.00%</v>
      </c>
      <c r="R778" s="18" t="str">
        <f t="shared" si="467"/>
        <v>+0.00%</v>
      </c>
      <c r="S778" s="14" t="s">
        <v>1123</v>
      </c>
    </row>
    <row r="779">
      <c r="A779" s="13">
        <v>45901.0</v>
      </c>
      <c r="B779" s="14" t="s">
        <v>47</v>
      </c>
      <c r="C779" s="14" t="s">
        <v>48</v>
      </c>
      <c r="D779" s="14" t="s">
        <v>132</v>
      </c>
      <c r="E779" s="14" t="s">
        <v>133</v>
      </c>
      <c r="F779" s="15" t="s">
        <v>51</v>
      </c>
      <c r="G779" s="14" t="s">
        <v>134</v>
      </c>
      <c r="H779" s="14" t="s">
        <v>135</v>
      </c>
      <c r="I779" s="14" t="s">
        <v>59</v>
      </c>
      <c r="J779" s="14" t="s">
        <v>200</v>
      </c>
      <c r="K779" s="14" t="s">
        <v>209</v>
      </c>
      <c r="L779" s="14" t="s">
        <v>253</v>
      </c>
      <c r="M779" s="14" t="s">
        <v>817</v>
      </c>
      <c r="N779" s="14" t="s">
        <v>818</v>
      </c>
      <c r="O779" s="14">
        <v>92.0</v>
      </c>
      <c r="P779" s="23">
        <v>0.9291</v>
      </c>
      <c r="Q779" s="22" t="str">
        <f>"+1.81%"</f>
        <v>+1.81%</v>
      </c>
      <c r="R779" s="18" t="str">
        <f>"+1.94%"</f>
        <v>+1.94%</v>
      </c>
      <c r="S779" s="14" t="s">
        <v>1124</v>
      </c>
    </row>
    <row r="780">
      <c r="A780" s="13">
        <v>45901.0</v>
      </c>
      <c r="B780" s="14" t="s">
        <v>47</v>
      </c>
      <c r="C780" s="14" t="s">
        <v>48</v>
      </c>
      <c r="D780" s="14" t="s">
        <v>143</v>
      </c>
      <c r="E780" s="14" t="s">
        <v>144</v>
      </c>
      <c r="F780" s="15" t="s">
        <v>51</v>
      </c>
      <c r="G780" s="14" t="s">
        <v>145</v>
      </c>
      <c r="H780" s="14" t="s">
        <v>143</v>
      </c>
      <c r="I780" s="14" t="s">
        <v>59</v>
      </c>
      <c r="J780" s="14" t="s">
        <v>200</v>
      </c>
      <c r="K780" s="14" t="s">
        <v>232</v>
      </c>
      <c r="L780" s="14" t="s">
        <v>363</v>
      </c>
      <c r="M780" s="14" t="s">
        <v>842</v>
      </c>
      <c r="N780" s="14" t="s">
        <v>843</v>
      </c>
      <c r="O780" s="14">
        <v>100.0</v>
      </c>
      <c r="P780" s="21">
        <v>40.0</v>
      </c>
      <c r="Q780" s="22" t="str">
        <f t="shared" ref="Q780:R780" si="468">"+0"</f>
        <v>+0</v>
      </c>
      <c r="R780" s="18" t="str">
        <f t="shared" si="468"/>
        <v>+0</v>
      </c>
      <c r="S780" s="14" t="s">
        <v>260</v>
      </c>
    </row>
    <row r="781">
      <c r="A781" s="13">
        <v>45901.0</v>
      </c>
      <c r="B781" s="14" t="s">
        <v>47</v>
      </c>
      <c r="C781" s="14" t="s">
        <v>48</v>
      </c>
      <c r="D781" s="14" t="s">
        <v>87</v>
      </c>
      <c r="E781" s="14" t="s">
        <v>88</v>
      </c>
      <c r="F781" s="14" t="s">
        <v>71</v>
      </c>
      <c r="G781" s="14">
        <v>5.46000941E8</v>
      </c>
      <c r="H781" s="14" t="s">
        <v>90</v>
      </c>
      <c r="I781" s="14" t="s">
        <v>107</v>
      </c>
      <c r="J781" s="14" t="s">
        <v>199</v>
      </c>
      <c r="K781" s="14" t="s">
        <v>206</v>
      </c>
      <c r="L781" s="14" t="s">
        <v>295</v>
      </c>
      <c r="M781" s="14" t="s">
        <v>651</v>
      </c>
      <c r="N781" s="14" t="s">
        <v>652</v>
      </c>
      <c r="O781" s="14">
        <v>0.0</v>
      </c>
      <c r="P781" s="21">
        <v>0.0</v>
      </c>
      <c r="Q781" s="22" t="str">
        <f t="shared" ref="Q781:R781" si="469">"+0"</f>
        <v>+0</v>
      </c>
      <c r="R781" s="18" t="str">
        <f t="shared" si="469"/>
        <v>+0</v>
      </c>
      <c r="S781" s="14" t="s">
        <v>260</v>
      </c>
    </row>
    <row r="782">
      <c r="A782" s="13">
        <v>45901.0</v>
      </c>
      <c r="B782" s="14" t="s">
        <v>47</v>
      </c>
      <c r="C782" s="14" t="s">
        <v>48</v>
      </c>
      <c r="D782" s="14" t="s">
        <v>149</v>
      </c>
      <c r="E782" s="14" t="s">
        <v>150</v>
      </c>
      <c r="F782" s="15" t="s">
        <v>51</v>
      </c>
      <c r="G782" s="14" t="s">
        <v>151</v>
      </c>
      <c r="H782" s="14" t="s">
        <v>152</v>
      </c>
      <c r="I782" s="14" t="s">
        <v>54</v>
      </c>
      <c r="J782" s="14" t="s">
        <v>200</v>
      </c>
      <c r="K782" s="14" t="s">
        <v>209</v>
      </c>
      <c r="L782" s="14" t="s">
        <v>253</v>
      </c>
      <c r="M782" s="14" t="s">
        <v>817</v>
      </c>
      <c r="N782" s="14" t="s">
        <v>818</v>
      </c>
      <c r="O782" s="14">
        <v>95.0</v>
      </c>
      <c r="P782" s="23">
        <v>0.9584</v>
      </c>
      <c r="Q782" s="22" t="str">
        <f>"+1.88%"</f>
        <v>+1.88%</v>
      </c>
      <c r="R782" s="18" t="str">
        <f>"+2.05%"</f>
        <v>+2.05%</v>
      </c>
      <c r="S782" s="14" t="s">
        <v>1125</v>
      </c>
    </row>
    <row r="783">
      <c r="A783" s="13">
        <v>45901.0</v>
      </c>
      <c r="B783" s="14" t="s">
        <v>47</v>
      </c>
      <c r="C783" s="14" t="s">
        <v>48</v>
      </c>
      <c r="D783" s="14" t="s">
        <v>149</v>
      </c>
      <c r="E783" s="14" t="s">
        <v>150</v>
      </c>
      <c r="F783" s="15" t="s">
        <v>51</v>
      </c>
      <c r="G783" s="14" t="s">
        <v>151</v>
      </c>
      <c r="H783" s="14" t="s">
        <v>152</v>
      </c>
      <c r="I783" s="14" t="s">
        <v>54</v>
      </c>
      <c r="J783" s="14" t="s">
        <v>200</v>
      </c>
      <c r="K783" s="14" t="s">
        <v>223</v>
      </c>
      <c r="L783" s="14" t="s">
        <v>375</v>
      </c>
      <c r="M783" s="14" t="s">
        <v>902</v>
      </c>
      <c r="N783" s="14" t="s">
        <v>903</v>
      </c>
      <c r="O783" s="14">
        <v>0.0</v>
      </c>
      <c r="P783" s="23">
        <v>0.0</v>
      </c>
      <c r="Q783" s="22" t="str">
        <f>"+0.00%"</f>
        <v>+0.00%</v>
      </c>
      <c r="R783" s="18" t="str">
        <f>"-0.01%"</f>
        <v>-0.01%</v>
      </c>
      <c r="S783" s="14" t="s">
        <v>285</v>
      </c>
    </row>
    <row r="784">
      <c r="A784" s="13">
        <v>45901.0</v>
      </c>
      <c r="B784" s="14" t="s">
        <v>47</v>
      </c>
      <c r="C784" s="14" t="s">
        <v>48</v>
      </c>
      <c r="D784" s="14" t="s">
        <v>136</v>
      </c>
      <c r="E784" s="14" t="s">
        <v>137</v>
      </c>
      <c r="F784" s="15" t="s">
        <v>51</v>
      </c>
      <c r="G784" s="14" t="s">
        <v>138</v>
      </c>
      <c r="H784" s="14" t="s">
        <v>139</v>
      </c>
      <c r="I784" s="14" t="s">
        <v>59</v>
      </c>
      <c r="J784" s="14" t="s">
        <v>200</v>
      </c>
      <c r="K784" s="14" t="s">
        <v>227</v>
      </c>
      <c r="L784" s="14" t="s">
        <v>270</v>
      </c>
      <c r="M784" s="14" t="s">
        <v>417</v>
      </c>
      <c r="N784" s="14" t="s">
        <v>418</v>
      </c>
      <c r="O784" s="14">
        <v>9.0</v>
      </c>
      <c r="P784" s="21">
        <v>3.0</v>
      </c>
      <c r="Q784" s="22" t="str">
        <f>"+0"</f>
        <v>+0</v>
      </c>
      <c r="R784" s="18" t="str">
        <f>"-1"</f>
        <v>-1</v>
      </c>
      <c r="S784" s="14" t="s">
        <v>260</v>
      </c>
    </row>
    <row r="785">
      <c r="A785" s="13">
        <v>45901.0</v>
      </c>
      <c r="B785" s="14" t="s">
        <v>47</v>
      </c>
      <c r="C785" s="14" t="s">
        <v>48</v>
      </c>
      <c r="D785" s="14" t="s">
        <v>69</v>
      </c>
      <c r="E785" s="14" t="s">
        <v>70</v>
      </c>
      <c r="F785" s="15" t="s">
        <v>51</v>
      </c>
      <c r="G785" s="14" t="s">
        <v>115</v>
      </c>
      <c r="H785" s="14" t="s">
        <v>72</v>
      </c>
      <c r="I785" s="14" t="s">
        <v>54</v>
      </c>
      <c r="J785" s="14" t="s">
        <v>200</v>
      </c>
      <c r="K785" s="14" t="s">
        <v>213</v>
      </c>
      <c r="L785" s="14" t="s">
        <v>257</v>
      </c>
      <c r="M785" s="14" t="s">
        <v>298</v>
      </c>
      <c r="N785" s="14" t="s">
        <v>299</v>
      </c>
      <c r="O785" s="14">
        <v>23.0</v>
      </c>
      <c r="P785" s="23">
        <v>0.2387</v>
      </c>
      <c r="Q785" s="22" t="str">
        <f>"+3.26%"</f>
        <v>+3.26%</v>
      </c>
      <c r="R785" s="18" t="str">
        <f>"+2.13%"</f>
        <v>+2.13%</v>
      </c>
      <c r="S785" s="14" t="s">
        <v>643</v>
      </c>
    </row>
    <row r="786">
      <c r="A786" s="13">
        <v>45901.0</v>
      </c>
      <c r="B786" s="14" t="s">
        <v>47</v>
      </c>
      <c r="C786" s="14" t="s">
        <v>48</v>
      </c>
      <c r="D786" s="14" t="s">
        <v>69</v>
      </c>
      <c r="E786" s="14" t="s">
        <v>70</v>
      </c>
      <c r="F786" s="15" t="s">
        <v>51</v>
      </c>
      <c r="G786" s="14" t="s">
        <v>115</v>
      </c>
      <c r="H786" s="14" t="s">
        <v>72</v>
      </c>
      <c r="I786" s="14" t="s">
        <v>54</v>
      </c>
      <c r="J786" s="14" t="s">
        <v>198</v>
      </c>
      <c r="K786" s="14" t="s">
        <v>207</v>
      </c>
      <c r="L786" s="14" t="s">
        <v>648</v>
      </c>
      <c r="M786" s="14" t="s">
        <v>1126</v>
      </c>
      <c r="N786" s="14" t="s">
        <v>1127</v>
      </c>
      <c r="O786" s="14">
        <v>0.0</v>
      </c>
      <c r="P786" s="21">
        <v>0.0</v>
      </c>
      <c r="Q786" s="22" t="str">
        <f t="shared" ref="Q786:Q787" si="470">"+0"</f>
        <v>+0</v>
      </c>
      <c r="S786" s="14" t="s">
        <v>281</v>
      </c>
    </row>
    <row r="787">
      <c r="A787" s="13">
        <v>45901.0</v>
      </c>
      <c r="B787" s="14" t="s">
        <v>47</v>
      </c>
      <c r="C787" s="14" t="s">
        <v>48</v>
      </c>
      <c r="D787" s="14" t="s">
        <v>69</v>
      </c>
      <c r="E787" s="14" t="s">
        <v>70</v>
      </c>
      <c r="F787" s="15" t="s">
        <v>51</v>
      </c>
      <c r="G787" s="14" t="s">
        <v>115</v>
      </c>
      <c r="H787" s="14" t="s">
        <v>72</v>
      </c>
      <c r="I787" s="14" t="s">
        <v>54</v>
      </c>
      <c r="J787" s="14" t="s">
        <v>198</v>
      </c>
      <c r="K787" s="14" t="s">
        <v>210</v>
      </c>
      <c r="L787" s="14" t="s">
        <v>505</v>
      </c>
      <c r="M787" s="14" t="s">
        <v>1128</v>
      </c>
      <c r="N787" s="14" t="s">
        <v>1129</v>
      </c>
      <c r="O787" s="14">
        <v>0.0</v>
      </c>
      <c r="P787" s="21">
        <v>0.0</v>
      </c>
      <c r="Q787" s="22" t="str">
        <f t="shared" si="470"/>
        <v>+0</v>
      </c>
      <c r="R787" s="18" t="str">
        <f>"+0"</f>
        <v>+0</v>
      </c>
      <c r="S787" s="14" t="s">
        <v>277</v>
      </c>
    </row>
    <row r="788">
      <c r="A788" s="13">
        <v>45901.0</v>
      </c>
      <c r="B788" s="14" t="s">
        <v>47</v>
      </c>
      <c r="C788" s="14" t="s">
        <v>48</v>
      </c>
      <c r="D788" s="14" t="s">
        <v>85</v>
      </c>
      <c r="E788" s="14" t="s">
        <v>86</v>
      </c>
      <c r="F788" s="14" t="s">
        <v>146</v>
      </c>
      <c r="G788" s="14" t="s">
        <v>162</v>
      </c>
      <c r="H788" s="14" t="s">
        <v>85</v>
      </c>
      <c r="I788" s="14" t="s">
        <v>107</v>
      </c>
      <c r="J788" s="14" t="s">
        <v>200</v>
      </c>
      <c r="K788" s="14" t="s">
        <v>240</v>
      </c>
      <c r="L788" s="14" t="s">
        <v>253</v>
      </c>
      <c r="M788" s="14" t="s">
        <v>1130</v>
      </c>
      <c r="N788" s="14" t="s">
        <v>1131</v>
      </c>
      <c r="O788" s="14">
        <v>0.0</v>
      </c>
      <c r="P788" s="23">
        <v>0.0</v>
      </c>
      <c r="Q788" s="22" t="str">
        <f t="shared" ref="Q788:R788" si="471">"+0.00%"</f>
        <v>+0.00%</v>
      </c>
      <c r="R788" s="18" t="str">
        <f t="shared" si="471"/>
        <v>+0.00%</v>
      </c>
      <c r="S788" s="14" t="s">
        <v>1132</v>
      </c>
    </row>
    <row r="789">
      <c r="A789" s="13">
        <v>45901.0</v>
      </c>
      <c r="B789" s="14" t="s">
        <v>47</v>
      </c>
      <c r="C789" s="14" t="s">
        <v>48</v>
      </c>
      <c r="D789" s="14" t="s">
        <v>116</v>
      </c>
      <c r="E789" s="14" t="s">
        <v>117</v>
      </c>
      <c r="F789" s="15" t="s">
        <v>51</v>
      </c>
      <c r="G789" s="14" t="s">
        <v>161</v>
      </c>
      <c r="H789" s="14" t="s">
        <v>116</v>
      </c>
      <c r="I789" s="14" t="s">
        <v>54</v>
      </c>
      <c r="J789" s="14" t="s">
        <v>200</v>
      </c>
      <c r="K789" s="14" t="s">
        <v>213</v>
      </c>
      <c r="L789" s="14" t="s">
        <v>676</v>
      </c>
      <c r="M789" s="14" t="s">
        <v>858</v>
      </c>
      <c r="N789" s="14" t="s">
        <v>859</v>
      </c>
      <c r="O789" s="14">
        <v>0.0</v>
      </c>
      <c r="P789" s="23">
        <v>-1.0</v>
      </c>
      <c r="Q789" s="22" t="str">
        <f t="shared" ref="Q789:R789" si="472">"-200.00%"</f>
        <v>-200.00%</v>
      </c>
      <c r="R789" s="18" t="str">
        <f t="shared" si="472"/>
        <v>-200.00%</v>
      </c>
      <c r="S789" s="14" t="s">
        <v>1133</v>
      </c>
    </row>
    <row r="790">
      <c r="A790" s="13">
        <v>45901.0</v>
      </c>
      <c r="B790" s="14" t="s">
        <v>47</v>
      </c>
      <c r="C790" s="14" t="s">
        <v>48</v>
      </c>
      <c r="D790" s="14" t="s">
        <v>108</v>
      </c>
      <c r="E790" s="14" t="s">
        <v>109</v>
      </c>
      <c r="F790" s="14" t="s">
        <v>79</v>
      </c>
      <c r="G790" s="14" t="s">
        <v>153</v>
      </c>
      <c r="H790" s="14" t="s">
        <v>108</v>
      </c>
      <c r="I790" s="14" t="s">
        <v>154</v>
      </c>
      <c r="J790" s="14" t="s">
        <v>199</v>
      </c>
      <c r="K790" s="14" t="s">
        <v>203</v>
      </c>
      <c r="L790" s="14" t="s">
        <v>736</v>
      </c>
      <c r="M790" s="14" t="s">
        <v>736</v>
      </c>
      <c r="N790" s="14" t="s">
        <v>737</v>
      </c>
      <c r="O790" s="14">
        <v>0.0</v>
      </c>
      <c r="P790" s="21">
        <v>0.0</v>
      </c>
      <c r="Q790" s="22" t="str">
        <f t="shared" ref="Q790:Q791" si="473">"+0"</f>
        <v>+0</v>
      </c>
      <c r="S790" s="14" t="s">
        <v>260</v>
      </c>
    </row>
    <row r="791">
      <c r="A791" s="13">
        <v>45901.0</v>
      </c>
      <c r="B791" s="14" t="s">
        <v>47</v>
      </c>
      <c r="C791" s="14" t="s">
        <v>48</v>
      </c>
      <c r="D791" s="14" t="s">
        <v>116</v>
      </c>
      <c r="E791" s="14" t="s">
        <v>117</v>
      </c>
      <c r="F791" s="15" t="s">
        <v>51</v>
      </c>
      <c r="G791" s="14" t="s">
        <v>161</v>
      </c>
      <c r="H791" s="14" t="s">
        <v>116</v>
      </c>
      <c r="I791" s="14" t="s">
        <v>54</v>
      </c>
      <c r="J791" s="14" t="s">
        <v>199</v>
      </c>
      <c r="K791" s="14" t="s">
        <v>203</v>
      </c>
      <c r="L791" s="14" t="s">
        <v>485</v>
      </c>
      <c r="M791" s="14" t="s">
        <v>485</v>
      </c>
      <c r="N791" s="14" t="s">
        <v>486</v>
      </c>
      <c r="O791" s="14">
        <v>100.0</v>
      </c>
      <c r="P791" s="21">
        <v>3.0</v>
      </c>
      <c r="Q791" s="22" t="str">
        <f t="shared" si="473"/>
        <v>+0</v>
      </c>
      <c r="R791" s="18" t="str">
        <f>"+0"</f>
        <v>+0</v>
      </c>
      <c r="S791" s="14" t="s">
        <v>260</v>
      </c>
    </row>
    <row r="792">
      <c r="A792" s="13">
        <v>45901.0</v>
      </c>
      <c r="B792" s="14" t="s">
        <v>47</v>
      </c>
      <c r="C792" s="14" t="s">
        <v>48</v>
      </c>
      <c r="D792" s="14" t="s">
        <v>77</v>
      </c>
      <c r="E792" s="14" t="s">
        <v>78</v>
      </c>
      <c r="F792" s="14" t="s">
        <v>79</v>
      </c>
      <c r="G792" s="14" t="s">
        <v>80</v>
      </c>
      <c r="H792" s="14" t="s">
        <v>81</v>
      </c>
      <c r="J792" s="14" t="s">
        <v>198</v>
      </c>
      <c r="K792" s="14" t="s">
        <v>212</v>
      </c>
      <c r="L792" s="14" t="s">
        <v>249</v>
      </c>
      <c r="M792" s="14" t="s">
        <v>1134</v>
      </c>
      <c r="N792" s="14" t="s">
        <v>1135</v>
      </c>
      <c r="O792" s="14">
        <v>0.0</v>
      </c>
      <c r="P792" s="21">
        <v>43.0</v>
      </c>
      <c r="Q792" s="22" t="str">
        <f>"+34"</f>
        <v>+34</v>
      </c>
      <c r="S792" s="14" t="s">
        <v>1136</v>
      </c>
    </row>
    <row r="793">
      <c r="A793" s="13">
        <v>45901.0</v>
      </c>
      <c r="B793" s="14" t="s">
        <v>47</v>
      </c>
      <c r="C793" s="14" t="s">
        <v>48</v>
      </c>
      <c r="D793" s="14" t="s">
        <v>112</v>
      </c>
      <c r="E793" s="14" t="s">
        <v>113</v>
      </c>
      <c r="F793" s="15" t="s">
        <v>51</v>
      </c>
      <c r="G793" s="14" t="s">
        <v>114</v>
      </c>
      <c r="H793" s="14" t="s">
        <v>112</v>
      </c>
      <c r="I793" s="14" t="s">
        <v>59</v>
      </c>
      <c r="J793" s="14" t="s">
        <v>200</v>
      </c>
      <c r="K793" s="14" t="s">
        <v>213</v>
      </c>
      <c r="L793" s="14" t="s">
        <v>359</v>
      </c>
      <c r="M793" s="14" t="s">
        <v>360</v>
      </c>
      <c r="N793" s="14" t="s">
        <v>361</v>
      </c>
      <c r="O793" s="14">
        <v>0.0</v>
      </c>
      <c r="P793" s="23">
        <v>0.0</v>
      </c>
      <c r="Q793" s="22" t="str">
        <f t="shared" ref="Q793:R793" si="474">"+0.00%"</f>
        <v>+0.00%</v>
      </c>
      <c r="R793" s="18" t="str">
        <f t="shared" si="474"/>
        <v>+0.00%</v>
      </c>
      <c r="S793" s="14" t="s">
        <v>1137</v>
      </c>
    </row>
    <row r="794">
      <c r="A794" s="13">
        <v>45901.0</v>
      </c>
      <c r="B794" s="14" t="s">
        <v>47</v>
      </c>
      <c r="C794" s="14" t="s">
        <v>48</v>
      </c>
      <c r="D794" s="14" t="s">
        <v>116</v>
      </c>
      <c r="E794" s="14" t="s">
        <v>117</v>
      </c>
      <c r="F794" s="15" t="s">
        <v>51</v>
      </c>
      <c r="G794" s="14" t="s">
        <v>161</v>
      </c>
      <c r="H794" s="14" t="s">
        <v>116</v>
      </c>
      <c r="I794" s="14" t="s">
        <v>54</v>
      </c>
      <c r="J794" s="14" t="s">
        <v>199</v>
      </c>
      <c r="K794" s="14" t="s">
        <v>203</v>
      </c>
      <c r="L794" s="14" t="s">
        <v>736</v>
      </c>
      <c r="M794" s="14" t="s">
        <v>736</v>
      </c>
      <c r="N794" s="14" t="s">
        <v>737</v>
      </c>
      <c r="O794" s="14">
        <v>0.0</v>
      </c>
      <c r="P794" s="21">
        <v>0.0</v>
      </c>
      <c r="Q794" s="22" t="str">
        <f t="shared" ref="Q794:R794" si="475">"+0"</f>
        <v>+0</v>
      </c>
      <c r="R794" s="18" t="str">
        <f t="shared" si="475"/>
        <v>+0</v>
      </c>
      <c r="S794" s="14" t="s">
        <v>260</v>
      </c>
    </row>
    <row r="795">
      <c r="A795" s="13">
        <v>45901.0</v>
      </c>
      <c r="B795" s="14" t="s">
        <v>47</v>
      </c>
      <c r="C795" s="14" t="s">
        <v>48</v>
      </c>
      <c r="D795" s="14" t="s">
        <v>56</v>
      </c>
      <c r="E795" s="14" t="s">
        <v>57</v>
      </c>
      <c r="F795" s="15" t="s">
        <v>51</v>
      </c>
      <c r="G795" s="14" t="s">
        <v>58</v>
      </c>
      <c r="H795" s="14" t="s">
        <v>56</v>
      </c>
      <c r="I795" s="14" t="s">
        <v>59</v>
      </c>
      <c r="J795" s="14" t="s">
        <v>200</v>
      </c>
      <c r="K795" s="14" t="s">
        <v>223</v>
      </c>
      <c r="L795" s="14" t="s">
        <v>261</v>
      </c>
      <c r="M795" s="14" t="s">
        <v>566</v>
      </c>
      <c r="N795" s="14" t="s">
        <v>567</v>
      </c>
      <c r="O795" s="14">
        <v>20.0</v>
      </c>
      <c r="P795" s="23">
        <v>0.2</v>
      </c>
      <c r="Q795" s="22" t="str">
        <f>"+0.00%"</f>
        <v>+0.00%</v>
      </c>
      <c r="R795" s="18" t="str">
        <f>"-0.83%"</f>
        <v>-0.83%</v>
      </c>
      <c r="S795" s="14" t="s">
        <v>1138</v>
      </c>
    </row>
    <row r="796">
      <c r="A796" s="13">
        <v>45901.0</v>
      </c>
      <c r="B796" s="14" t="s">
        <v>47</v>
      </c>
      <c r="C796" s="14" t="s">
        <v>48</v>
      </c>
      <c r="D796" s="14" t="s">
        <v>56</v>
      </c>
      <c r="E796" s="14" t="s">
        <v>57</v>
      </c>
      <c r="F796" s="15" t="s">
        <v>51</v>
      </c>
      <c r="G796" s="14" t="s">
        <v>58</v>
      </c>
      <c r="H796" s="14" t="s">
        <v>56</v>
      </c>
      <c r="I796" s="14" t="s">
        <v>59</v>
      </c>
      <c r="J796" s="14" t="s">
        <v>199</v>
      </c>
      <c r="K796" s="14" t="s">
        <v>206</v>
      </c>
      <c r="L796" s="14" t="s">
        <v>295</v>
      </c>
      <c r="M796" s="14" t="s">
        <v>296</v>
      </c>
      <c r="N796" s="14" t="s">
        <v>297</v>
      </c>
      <c r="O796" s="14">
        <v>0.0</v>
      </c>
      <c r="P796" s="21">
        <v>0.0</v>
      </c>
      <c r="Q796" s="22" t="str">
        <f t="shared" ref="Q796:R796" si="476">"+0"</f>
        <v>+0</v>
      </c>
      <c r="R796" s="18" t="str">
        <f t="shared" si="476"/>
        <v>+0</v>
      </c>
      <c r="S796" s="14" t="s">
        <v>260</v>
      </c>
    </row>
    <row r="797">
      <c r="A797" s="13">
        <v>45901.0</v>
      </c>
      <c r="B797" s="14" t="s">
        <v>47</v>
      </c>
      <c r="C797" s="14" t="s">
        <v>48</v>
      </c>
      <c r="D797" s="14" t="s">
        <v>49</v>
      </c>
      <c r="E797" s="14" t="s">
        <v>50</v>
      </c>
      <c r="F797" s="15" t="s">
        <v>51</v>
      </c>
      <c r="G797" s="14" t="s">
        <v>52</v>
      </c>
      <c r="H797" s="14" t="s">
        <v>53</v>
      </c>
      <c r="I797" s="14" t="s">
        <v>54</v>
      </c>
      <c r="J797" s="14" t="s">
        <v>198</v>
      </c>
      <c r="K797" s="14" t="s">
        <v>205</v>
      </c>
      <c r="L797" s="14" t="s">
        <v>274</v>
      </c>
      <c r="M797" s="14" t="s">
        <v>482</v>
      </c>
      <c r="N797" s="14" t="s">
        <v>483</v>
      </c>
      <c r="O797" s="14">
        <v>100.0</v>
      </c>
      <c r="P797" s="21">
        <v>10.0</v>
      </c>
      <c r="Q797" s="22" t="str">
        <f t="shared" ref="Q797:Q801" si="477">"+0"</f>
        <v>+0</v>
      </c>
      <c r="S797" s="14" t="s">
        <v>484</v>
      </c>
    </row>
    <row r="798">
      <c r="A798" s="13">
        <v>45901.0</v>
      </c>
      <c r="B798" s="14" t="s">
        <v>47</v>
      </c>
      <c r="C798" s="14" t="s">
        <v>48</v>
      </c>
      <c r="D798" s="14" t="s">
        <v>165</v>
      </c>
      <c r="E798" s="14" t="s">
        <v>166</v>
      </c>
      <c r="F798" s="15" t="s">
        <v>51</v>
      </c>
      <c r="G798" s="14" t="s">
        <v>167</v>
      </c>
      <c r="H798" s="14" t="s">
        <v>165</v>
      </c>
      <c r="I798" s="14" t="s">
        <v>54</v>
      </c>
      <c r="J798" s="14" t="s">
        <v>198</v>
      </c>
      <c r="K798" s="14" t="s">
        <v>205</v>
      </c>
      <c r="L798" s="14" t="s">
        <v>274</v>
      </c>
      <c r="M798" s="14" t="s">
        <v>482</v>
      </c>
      <c r="N798" s="14" t="s">
        <v>483</v>
      </c>
      <c r="O798" s="14">
        <v>100.0</v>
      </c>
      <c r="P798" s="21">
        <v>8.0</v>
      </c>
      <c r="Q798" s="22" t="str">
        <f t="shared" si="477"/>
        <v>+0</v>
      </c>
      <c r="S798" s="14" t="s">
        <v>484</v>
      </c>
    </row>
    <row r="799">
      <c r="A799" s="13">
        <v>45901.0</v>
      </c>
      <c r="B799" s="14" t="s">
        <v>47</v>
      </c>
      <c r="C799" s="14" t="s">
        <v>48</v>
      </c>
      <c r="D799" s="14" t="s">
        <v>49</v>
      </c>
      <c r="E799" s="14" t="s">
        <v>50</v>
      </c>
      <c r="F799" s="15" t="s">
        <v>51</v>
      </c>
      <c r="G799" s="14" t="s">
        <v>52</v>
      </c>
      <c r="H799" s="14" t="s">
        <v>53</v>
      </c>
      <c r="I799" s="14" t="s">
        <v>54</v>
      </c>
      <c r="J799" s="14" t="s">
        <v>199</v>
      </c>
      <c r="K799" s="14" t="s">
        <v>206</v>
      </c>
      <c r="L799" s="14" t="s">
        <v>295</v>
      </c>
      <c r="M799" s="14" t="s">
        <v>461</v>
      </c>
      <c r="N799" s="14" t="s">
        <v>462</v>
      </c>
      <c r="O799" s="14">
        <v>0.0</v>
      </c>
      <c r="P799" s="21">
        <v>0.0</v>
      </c>
      <c r="Q799" s="22" t="str">
        <f t="shared" si="477"/>
        <v>+0</v>
      </c>
      <c r="R799" s="18" t="str">
        <f t="shared" ref="R799:R801" si="478">"+0"</f>
        <v>+0</v>
      </c>
      <c r="S799" s="14" t="s">
        <v>260</v>
      </c>
    </row>
    <row r="800">
      <c r="A800" s="13">
        <v>45901.0</v>
      </c>
      <c r="B800" s="14" t="s">
        <v>47</v>
      </c>
      <c r="C800" s="14" t="s">
        <v>48</v>
      </c>
      <c r="D800" s="14" t="s">
        <v>49</v>
      </c>
      <c r="E800" s="14" t="s">
        <v>50</v>
      </c>
      <c r="F800" s="15" t="s">
        <v>51</v>
      </c>
      <c r="G800" s="14" t="s">
        <v>52</v>
      </c>
      <c r="H800" s="14" t="s">
        <v>53</v>
      </c>
      <c r="I800" s="14" t="s">
        <v>54</v>
      </c>
      <c r="J800" s="14" t="s">
        <v>199</v>
      </c>
      <c r="K800" s="14" t="s">
        <v>203</v>
      </c>
      <c r="L800" s="14" t="s">
        <v>1083</v>
      </c>
      <c r="M800" s="14" t="s">
        <v>1083</v>
      </c>
      <c r="N800" s="14" t="s">
        <v>1084</v>
      </c>
      <c r="O800" s="14">
        <v>100.0</v>
      </c>
      <c r="P800" s="21">
        <v>3.0</v>
      </c>
      <c r="Q800" s="22" t="str">
        <f t="shared" si="477"/>
        <v>+0</v>
      </c>
      <c r="R800" s="18" t="str">
        <f t="shared" si="478"/>
        <v>+0</v>
      </c>
      <c r="S800" s="14" t="s">
        <v>260</v>
      </c>
    </row>
    <row r="801">
      <c r="A801" s="13">
        <v>45901.0</v>
      </c>
      <c r="B801" s="14" t="s">
        <v>47</v>
      </c>
      <c r="C801" s="14" t="s">
        <v>48</v>
      </c>
      <c r="D801" s="14" t="s">
        <v>165</v>
      </c>
      <c r="E801" s="14" t="s">
        <v>166</v>
      </c>
      <c r="F801" s="15" t="s">
        <v>51</v>
      </c>
      <c r="G801" s="14" t="s">
        <v>167</v>
      </c>
      <c r="H801" s="14" t="s">
        <v>165</v>
      </c>
      <c r="I801" s="14" t="s">
        <v>54</v>
      </c>
      <c r="J801" s="14" t="s">
        <v>199</v>
      </c>
      <c r="K801" s="14" t="s">
        <v>206</v>
      </c>
      <c r="L801" s="14" t="s">
        <v>295</v>
      </c>
      <c r="M801" s="14" t="s">
        <v>651</v>
      </c>
      <c r="N801" s="14" t="s">
        <v>652</v>
      </c>
      <c r="O801" s="14">
        <v>0.0</v>
      </c>
      <c r="P801" s="21">
        <v>0.0</v>
      </c>
      <c r="Q801" s="22" t="str">
        <f t="shared" si="477"/>
        <v>+0</v>
      </c>
      <c r="R801" s="18" t="str">
        <f t="shared" si="478"/>
        <v>+0</v>
      </c>
      <c r="S801" s="14" t="s">
        <v>260</v>
      </c>
    </row>
    <row r="802">
      <c r="A802" s="13">
        <v>45901.0</v>
      </c>
      <c r="B802" s="14" t="s">
        <v>47</v>
      </c>
      <c r="C802" s="14" t="s">
        <v>48</v>
      </c>
      <c r="D802" s="14" t="s">
        <v>91</v>
      </c>
      <c r="E802" s="14" t="s">
        <v>92</v>
      </c>
      <c r="F802" s="14" t="s">
        <v>79</v>
      </c>
      <c r="G802" s="14" t="s">
        <v>164</v>
      </c>
      <c r="H802" s="14" t="s">
        <v>91</v>
      </c>
      <c r="I802" s="14" t="s">
        <v>154</v>
      </c>
      <c r="J802" s="14" t="s">
        <v>200</v>
      </c>
      <c r="K802" s="14" t="s">
        <v>238</v>
      </c>
      <c r="L802" s="14" t="s">
        <v>253</v>
      </c>
      <c r="M802" s="14" t="s">
        <v>772</v>
      </c>
      <c r="N802" s="14" t="s">
        <v>773</v>
      </c>
      <c r="O802" s="14">
        <v>46.0</v>
      </c>
      <c r="P802" s="23">
        <v>0.4618</v>
      </c>
      <c r="Q802" s="22" t="str">
        <f>"+0.04%"</f>
        <v>+0.04%</v>
      </c>
      <c r="R802" s="18" t="str">
        <f>"+0.16%"</f>
        <v>+0.16%</v>
      </c>
      <c r="S802" s="14" t="s">
        <v>1139</v>
      </c>
    </row>
    <row r="803">
      <c r="A803" s="13">
        <v>45901.0</v>
      </c>
      <c r="B803" s="14" t="s">
        <v>47</v>
      </c>
      <c r="C803" s="14" t="s">
        <v>48</v>
      </c>
      <c r="D803" s="14" t="s">
        <v>63</v>
      </c>
      <c r="E803" s="14" t="s">
        <v>64</v>
      </c>
      <c r="F803" s="15" t="s">
        <v>51</v>
      </c>
      <c r="G803" s="14" t="s">
        <v>65</v>
      </c>
      <c r="H803" s="14" t="s">
        <v>63</v>
      </c>
      <c r="I803" s="14" t="s">
        <v>54</v>
      </c>
      <c r="J803" s="14" t="s">
        <v>198</v>
      </c>
      <c r="K803" s="14" t="s">
        <v>207</v>
      </c>
      <c r="L803" s="14" t="s">
        <v>318</v>
      </c>
      <c r="M803" s="14" t="s">
        <v>508</v>
      </c>
      <c r="N803" s="14" t="s">
        <v>509</v>
      </c>
      <c r="O803" s="14">
        <v>100.0</v>
      </c>
      <c r="P803" s="21">
        <v>1.0</v>
      </c>
      <c r="Q803" s="22" t="str">
        <f t="shared" ref="Q803:Q804" si="479">"+0"</f>
        <v>+0</v>
      </c>
      <c r="S803" s="14" t="s">
        <v>281</v>
      </c>
    </row>
    <row r="804">
      <c r="A804" s="13">
        <v>45901.0</v>
      </c>
      <c r="B804" s="14" t="s">
        <v>47</v>
      </c>
      <c r="C804" s="14" t="s">
        <v>48</v>
      </c>
      <c r="D804" s="14" t="s">
        <v>91</v>
      </c>
      <c r="E804" s="14" t="s">
        <v>92</v>
      </c>
      <c r="F804" s="14" t="s">
        <v>79</v>
      </c>
      <c r="G804" s="14" t="s">
        <v>164</v>
      </c>
      <c r="H804" s="14" t="s">
        <v>91</v>
      </c>
      <c r="I804" s="14" t="s">
        <v>154</v>
      </c>
      <c r="J804" s="14" t="s">
        <v>198</v>
      </c>
      <c r="K804" s="14" t="s">
        <v>205</v>
      </c>
      <c r="L804" s="14" t="s">
        <v>274</v>
      </c>
      <c r="M804" s="14" t="s">
        <v>1102</v>
      </c>
      <c r="N804" s="14" t="s">
        <v>1103</v>
      </c>
      <c r="O804" s="14">
        <v>0.0</v>
      </c>
      <c r="P804" s="21">
        <v>0.0</v>
      </c>
      <c r="Q804" s="22" t="str">
        <f t="shared" si="479"/>
        <v>+0</v>
      </c>
      <c r="S804" s="14" t="s">
        <v>281</v>
      </c>
    </row>
    <row r="805">
      <c r="A805" s="13">
        <v>45901.0</v>
      </c>
      <c r="B805" s="14" t="s">
        <v>47</v>
      </c>
      <c r="C805" s="14" t="s">
        <v>48</v>
      </c>
      <c r="D805" s="14" t="s">
        <v>91</v>
      </c>
      <c r="E805" s="14" t="s">
        <v>92</v>
      </c>
      <c r="F805" s="15" t="s">
        <v>51</v>
      </c>
      <c r="G805" s="14" t="s">
        <v>163</v>
      </c>
      <c r="H805" s="14" t="s">
        <v>91</v>
      </c>
      <c r="I805" s="14" t="s">
        <v>59</v>
      </c>
      <c r="J805" s="14" t="s">
        <v>200</v>
      </c>
      <c r="K805" s="14" t="s">
        <v>223</v>
      </c>
      <c r="L805" s="14" t="s">
        <v>375</v>
      </c>
      <c r="M805" s="14" t="s">
        <v>376</v>
      </c>
      <c r="N805" s="14" t="s">
        <v>377</v>
      </c>
      <c r="O805" s="14">
        <v>0.0</v>
      </c>
      <c r="P805" s="23">
        <v>0.0</v>
      </c>
      <c r="Q805" s="22" t="str">
        <f t="shared" ref="Q805:R805" si="480">"+0.00%"</f>
        <v>+0.00%</v>
      </c>
      <c r="R805" s="18" t="str">
        <f t="shared" si="480"/>
        <v>+0.00%</v>
      </c>
      <c r="S805" s="14" t="s">
        <v>1140</v>
      </c>
    </row>
    <row r="806">
      <c r="A806" s="13">
        <v>45901.0</v>
      </c>
      <c r="B806" s="14" t="s">
        <v>47</v>
      </c>
      <c r="C806" s="14" t="s">
        <v>48</v>
      </c>
      <c r="D806" s="14" t="s">
        <v>192</v>
      </c>
      <c r="E806" s="14" t="s">
        <v>193</v>
      </c>
      <c r="F806" s="15" t="s">
        <v>51</v>
      </c>
      <c r="G806" s="14" t="s">
        <v>194</v>
      </c>
      <c r="H806" s="14" t="s">
        <v>192</v>
      </c>
      <c r="I806" s="14" t="s">
        <v>54</v>
      </c>
      <c r="J806" s="14" t="s">
        <v>200</v>
      </c>
      <c r="K806" s="14" t="s">
        <v>223</v>
      </c>
      <c r="L806" s="14" t="s">
        <v>487</v>
      </c>
      <c r="M806" s="14" t="s">
        <v>904</v>
      </c>
      <c r="N806" s="14" t="s">
        <v>905</v>
      </c>
      <c r="O806" s="14">
        <v>100.0</v>
      </c>
      <c r="P806" s="21">
        <v>534233.0</v>
      </c>
      <c r="Q806" s="22" t="str">
        <f>"+174"</f>
        <v>+174</v>
      </c>
      <c r="R806" s="18" t="str">
        <f>"+587"</f>
        <v>+587</v>
      </c>
      <c r="S806" s="14" t="s">
        <v>260</v>
      </c>
    </row>
    <row r="807">
      <c r="A807" s="13">
        <v>45901.0</v>
      </c>
      <c r="B807" s="14" t="s">
        <v>47</v>
      </c>
      <c r="C807" s="14" t="s">
        <v>48</v>
      </c>
      <c r="D807" s="14" t="s">
        <v>93</v>
      </c>
      <c r="E807" s="14" t="s">
        <v>94</v>
      </c>
      <c r="F807" s="15" t="s">
        <v>51</v>
      </c>
      <c r="G807" s="14" t="s">
        <v>191</v>
      </c>
      <c r="H807" s="14" t="s">
        <v>95</v>
      </c>
      <c r="I807" s="14" t="s">
        <v>59</v>
      </c>
      <c r="J807" s="14" t="s">
        <v>198</v>
      </c>
      <c r="K807" s="14" t="s">
        <v>205</v>
      </c>
      <c r="L807" s="14" t="s">
        <v>274</v>
      </c>
      <c r="M807" s="14" t="s">
        <v>767</v>
      </c>
      <c r="N807" s="14" t="s">
        <v>768</v>
      </c>
      <c r="O807" s="14">
        <v>100.0</v>
      </c>
      <c r="P807" s="21">
        <v>1.0</v>
      </c>
      <c r="Q807" s="22" t="str">
        <f>"+0"</f>
        <v>+0</v>
      </c>
      <c r="S807" s="14" t="s">
        <v>281</v>
      </c>
    </row>
    <row r="808">
      <c r="A808" s="13">
        <v>45901.0</v>
      </c>
      <c r="B808" s="14" t="s">
        <v>47</v>
      </c>
      <c r="C808" s="14" t="s">
        <v>48</v>
      </c>
      <c r="D808" s="14" t="s">
        <v>73</v>
      </c>
      <c r="E808" s="14" t="s">
        <v>74</v>
      </c>
      <c r="F808" s="15" t="s">
        <v>51</v>
      </c>
      <c r="G808" s="14" t="s">
        <v>75</v>
      </c>
      <c r="H808" s="14" t="s">
        <v>76</v>
      </c>
      <c r="I808" s="14" t="s">
        <v>59</v>
      </c>
      <c r="J808" s="14" t="s">
        <v>200</v>
      </c>
      <c r="K808" s="14" t="s">
        <v>232</v>
      </c>
      <c r="L808" s="14" t="s">
        <v>304</v>
      </c>
      <c r="M808" s="14" t="s">
        <v>662</v>
      </c>
      <c r="N808" s="14" t="s">
        <v>663</v>
      </c>
      <c r="O808" s="14">
        <v>0.0</v>
      </c>
      <c r="P808" s="23">
        <v>-1.0</v>
      </c>
      <c r="Q808" s="22" t="str">
        <f t="shared" ref="Q808:R808" si="481">"+0.00%"</f>
        <v>+0.00%</v>
      </c>
      <c r="R808" s="18" t="str">
        <f t="shared" si="481"/>
        <v>+0.00%</v>
      </c>
      <c r="S808" s="14" t="s">
        <v>1141</v>
      </c>
    </row>
    <row r="809">
      <c r="A809" s="13">
        <v>45901.0</v>
      </c>
      <c r="B809" s="14" t="s">
        <v>47</v>
      </c>
      <c r="C809" s="14" t="s">
        <v>48</v>
      </c>
      <c r="D809" s="14" t="s">
        <v>129</v>
      </c>
      <c r="E809" s="14" t="s">
        <v>130</v>
      </c>
      <c r="F809" s="15" t="s">
        <v>51</v>
      </c>
      <c r="G809" s="14" t="s">
        <v>131</v>
      </c>
      <c r="H809" s="14" t="s">
        <v>129</v>
      </c>
      <c r="I809" s="14" t="s">
        <v>59</v>
      </c>
      <c r="J809" s="14" t="s">
        <v>200</v>
      </c>
      <c r="K809" s="14" t="s">
        <v>213</v>
      </c>
      <c r="L809" s="14" t="s">
        <v>253</v>
      </c>
      <c r="M809" s="14" t="s">
        <v>389</v>
      </c>
      <c r="N809" s="14" t="s">
        <v>390</v>
      </c>
      <c r="O809" s="14">
        <v>88.0</v>
      </c>
      <c r="P809" s="23">
        <v>0.8821</v>
      </c>
      <c r="Q809" s="22" t="str">
        <f>"+21.99%"</f>
        <v>+21.99%</v>
      </c>
      <c r="R809" s="18" t="str">
        <f>"+11.63%"</f>
        <v>+11.63%</v>
      </c>
      <c r="S809" s="14" t="s">
        <v>1142</v>
      </c>
    </row>
    <row r="810">
      <c r="A810" s="13">
        <v>45901.0</v>
      </c>
      <c r="B810" s="14" t="s">
        <v>47</v>
      </c>
      <c r="C810" s="14" t="s">
        <v>48</v>
      </c>
      <c r="D810" s="14" t="s">
        <v>129</v>
      </c>
      <c r="E810" s="14" t="s">
        <v>130</v>
      </c>
      <c r="F810" s="15" t="s">
        <v>51</v>
      </c>
      <c r="G810" s="14" t="s">
        <v>131</v>
      </c>
      <c r="H810" s="14" t="s">
        <v>129</v>
      </c>
      <c r="I810" s="14" t="s">
        <v>59</v>
      </c>
      <c r="J810" s="14" t="s">
        <v>200</v>
      </c>
      <c r="K810" s="14" t="s">
        <v>213</v>
      </c>
      <c r="L810" s="14" t="s">
        <v>257</v>
      </c>
      <c r="M810" s="14" t="s">
        <v>315</v>
      </c>
      <c r="N810" s="14" t="s">
        <v>316</v>
      </c>
      <c r="O810" s="14">
        <v>46.0</v>
      </c>
      <c r="P810" s="23">
        <v>0.4683</v>
      </c>
      <c r="Q810" s="22" t="str">
        <f>"-10.16%"</f>
        <v>-10.16%</v>
      </c>
      <c r="R810" s="18" t="str">
        <f>"-9.19%"</f>
        <v>-9.19%</v>
      </c>
      <c r="S810" s="14" t="s">
        <v>1143</v>
      </c>
    </row>
    <row r="811">
      <c r="A811" s="13">
        <v>45901.0</v>
      </c>
      <c r="B811" s="14" t="s">
        <v>47</v>
      </c>
      <c r="C811" s="14" t="s">
        <v>48</v>
      </c>
      <c r="D811" s="14" t="s">
        <v>69</v>
      </c>
      <c r="E811" s="14" t="s">
        <v>70</v>
      </c>
      <c r="F811" s="15" t="s">
        <v>51</v>
      </c>
      <c r="G811" s="14" t="s">
        <v>115</v>
      </c>
      <c r="H811" s="14" t="s">
        <v>72</v>
      </c>
      <c r="I811" s="14" t="s">
        <v>54</v>
      </c>
      <c r="J811" s="14" t="s">
        <v>200</v>
      </c>
      <c r="K811" s="14" t="s">
        <v>213</v>
      </c>
      <c r="L811" s="14" t="s">
        <v>289</v>
      </c>
      <c r="M811" s="14" t="s">
        <v>384</v>
      </c>
      <c r="N811" s="14" t="s">
        <v>385</v>
      </c>
      <c r="O811" s="14">
        <v>90.0</v>
      </c>
      <c r="P811" s="23">
        <v>0.9068</v>
      </c>
      <c r="Q811" s="22" t="str">
        <f>"+0.87%"</f>
        <v>+0.87%</v>
      </c>
      <c r="R811" s="18" t="str">
        <f>"+0.45%"</f>
        <v>+0.45%</v>
      </c>
      <c r="S811" s="14" t="s">
        <v>1144</v>
      </c>
    </row>
    <row r="812">
      <c r="A812" s="13">
        <v>45901.0</v>
      </c>
      <c r="B812" s="14" t="s">
        <v>47</v>
      </c>
      <c r="C812" s="14" t="s">
        <v>48</v>
      </c>
      <c r="D812" s="14" t="s">
        <v>112</v>
      </c>
      <c r="E812" s="14" t="s">
        <v>113</v>
      </c>
      <c r="F812" s="15" t="s">
        <v>51</v>
      </c>
      <c r="G812" s="14" t="s">
        <v>114</v>
      </c>
      <c r="H812" s="14" t="s">
        <v>112</v>
      </c>
      <c r="I812" s="14" t="s">
        <v>59</v>
      </c>
      <c r="J812" s="14" t="s">
        <v>200</v>
      </c>
      <c r="K812" s="14" t="s">
        <v>227</v>
      </c>
      <c r="L812" s="14" t="s">
        <v>721</v>
      </c>
      <c r="M812" s="14" t="s">
        <v>722</v>
      </c>
      <c r="N812" s="14" t="s">
        <v>723</v>
      </c>
      <c r="O812" s="14">
        <v>12.0</v>
      </c>
      <c r="P812" s="23">
        <v>-0.7403</v>
      </c>
      <c r="Q812" s="22" t="str">
        <f>"+7.63%"</f>
        <v>+7.63%</v>
      </c>
      <c r="R812" s="18" t="str">
        <f>"-12.27%"</f>
        <v>-12.27%</v>
      </c>
      <c r="S812" s="14" t="s">
        <v>724</v>
      </c>
    </row>
    <row r="813">
      <c r="A813" s="13">
        <v>45901.0</v>
      </c>
      <c r="B813" s="14" t="s">
        <v>47</v>
      </c>
      <c r="C813" s="14" t="s">
        <v>48</v>
      </c>
      <c r="D813" s="14" t="s">
        <v>108</v>
      </c>
      <c r="E813" s="14" t="s">
        <v>109</v>
      </c>
      <c r="F813" s="14" t="s">
        <v>79</v>
      </c>
      <c r="G813" s="14" t="s">
        <v>153</v>
      </c>
      <c r="H813" s="14" t="s">
        <v>108</v>
      </c>
      <c r="I813" s="14" t="s">
        <v>154</v>
      </c>
      <c r="J813" s="14" t="s">
        <v>200</v>
      </c>
      <c r="K813" s="14" t="s">
        <v>237</v>
      </c>
      <c r="L813" s="14" t="s">
        <v>333</v>
      </c>
      <c r="M813" s="14" t="s">
        <v>1145</v>
      </c>
      <c r="N813" s="14" t="s">
        <v>1146</v>
      </c>
      <c r="O813" s="14">
        <v>0.0</v>
      </c>
      <c r="P813" s="23">
        <v>-1.0</v>
      </c>
      <c r="Q813" s="22" t="str">
        <f>"+0.00%"</f>
        <v>+0.00%</v>
      </c>
      <c r="S813" s="14" t="s">
        <v>285</v>
      </c>
    </row>
    <row r="814">
      <c r="A814" s="13">
        <v>45901.0</v>
      </c>
      <c r="B814" s="14" t="s">
        <v>47</v>
      </c>
      <c r="C814" s="14" t="s">
        <v>48</v>
      </c>
      <c r="D814" s="14" t="s">
        <v>116</v>
      </c>
      <c r="E814" s="14" t="s">
        <v>117</v>
      </c>
      <c r="F814" s="15" t="s">
        <v>51</v>
      </c>
      <c r="G814" s="14" t="s">
        <v>161</v>
      </c>
      <c r="H814" s="14" t="s">
        <v>116</v>
      </c>
      <c r="I814" s="14" t="s">
        <v>54</v>
      </c>
      <c r="J814" s="14" t="s">
        <v>198</v>
      </c>
      <c r="K814" s="14" t="s">
        <v>210</v>
      </c>
      <c r="L814" s="14" t="s">
        <v>505</v>
      </c>
      <c r="M814" s="14" t="s">
        <v>1049</v>
      </c>
      <c r="N814" s="14" t="s">
        <v>1050</v>
      </c>
      <c r="O814" s="14">
        <v>0.0</v>
      </c>
      <c r="P814" s="21">
        <v>0.0</v>
      </c>
      <c r="Q814" s="22" t="str">
        <f t="shared" ref="Q814:R814" si="482">"+0"</f>
        <v>+0</v>
      </c>
      <c r="R814" s="18" t="str">
        <f t="shared" si="482"/>
        <v>+0</v>
      </c>
      <c r="S814" s="14" t="s">
        <v>277</v>
      </c>
    </row>
    <row r="815">
      <c r="A815" s="13">
        <v>45901.0</v>
      </c>
      <c r="B815" s="14" t="s">
        <v>47</v>
      </c>
      <c r="C815" s="14" t="s">
        <v>48</v>
      </c>
      <c r="D815" s="14" t="s">
        <v>155</v>
      </c>
      <c r="E815" s="14" t="s">
        <v>156</v>
      </c>
      <c r="F815" s="15" t="s">
        <v>51</v>
      </c>
      <c r="G815" s="14" t="s">
        <v>157</v>
      </c>
      <c r="H815" s="14" t="s">
        <v>155</v>
      </c>
      <c r="I815" s="14" t="s">
        <v>59</v>
      </c>
      <c r="J815" s="14" t="s">
        <v>200</v>
      </c>
      <c r="K815" s="14" t="s">
        <v>223</v>
      </c>
      <c r="L815" s="14" t="s">
        <v>571</v>
      </c>
      <c r="M815" s="14" t="s">
        <v>572</v>
      </c>
      <c r="N815" s="14" t="s">
        <v>573</v>
      </c>
      <c r="O815" s="14">
        <v>0.0</v>
      </c>
      <c r="P815" s="17"/>
      <c r="Q815" s="22"/>
      <c r="S815" s="14" t="s">
        <v>285</v>
      </c>
    </row>
    <row r="816">
      <c r="A816" s="13">
        <v>45901.0</v>
      </c>
      <c r="B816" s="14" t="s">
        <v>47</v>
      </c>
      <c r="C816" s="14" t="s">
        <v>48</v>
      </c>
      <c r="D816" s="14" t="s">
        <v>121</v>
      </c>
      <c r="E816" s="14" t="s">
        <v>122</v>
      </c>
      <c r="F816" s="15" t="s">
        <v>51</v>
      </c>
      <c r="G816" s="14" t="s">
        <v>123</v>
      </c>
      <c r="H816" s="14" t="s">
        <v>124</v>
      </c>
      <c r="I816" s="14" t="s">
        <v>59</v>
      </c>
      <c r="J816" s="14" t="s">
        <v>200</v>
      </c>
      <c r="K816" s="14" t="s">
        <v>232</v>
      </c>
      <c r="L816" s="14" t="s">
        <v>363</v>
      </c>
      <c r="M816" s="14" t="s">
        <v>1043</v>
      </c>
      <c r="N816" s="14" t="s">
        <v>1044</v>
      </c>
      <c r="O816" s="14">
        <v>0.0</v>
      </c>
      <c r="P816" s="23">
        <v>0.0</v>
      </c>
      <c r="Q816" s="22" t="str">
        <f t="shared" ref="Q816:R816" si="483">"+0.00%"</f>
        <v>+0.00%</v>
      </c>
      <c r="R816" s="18" t="str">
        <f t="shared" si="483"/>
        <v>+0.00%</v>
      </c>
      <c r="S816" s="14" t="s">
        <v>285</v>
      </c>
    </row>
    <row r="817">
      <c r="A817" s="13">
        <v>45901.0</v>
      </c>
      <c r="B817" s="14" t="s">
        <v>47</v>
      </c>
      <c r="C817" s="14" t="s">
        <v>48</v>
      </c>
      <c r="D817" s="14" t="s">
        <v>56</v>
      </c>
      <c r="E817" s="14" t="s">
        <v>57</v>
      </c>
      <c r="F817" s="14" t="s">
        <v>71</v>
      </c>
      <c r="G817" s="14">
        <v>5.36003976E8</v>
      </c>
      <c r="H817" s="14" t="s">
        <v>56</v>
      </c>
      <c r="I817" s="14" t="s">
        <v>59</v>
      </c>
      <c r="J817" s="14" t="s">
        <v>199</v>
      </c>
      <c r="K817" s="14" t="s">
        <v>206</v>
      </c>
      <c r="L817" s="14" t="s">
        <v>295</v>
      </c>
      <c r="M817" s="14" t="s">
        <v>529</v>
      </c>
      <c r="N817" s="14" t="s">
        <v>530</v>
      </c>
      <c r="O817" s="14">
        <v>0.0</v>
      </c>
      <c r="P817" s="21">
        <v>0.0</v>
      </c>
      <c r="Q817" s="22" t="str">
        <f t="shared" ref="Q817:R817" si="484">"+0"</f>
        <v>+0</v>
      </c>
      <c r="R817" s="18" t="str">
        <f t="shared" si="484"/>
        <v>+0</v>
      </c>
      <c r="S817" s="14" t="s">
        <v>260</v>
      </c>
    </row>
    <row r="818">
      <c r="A818" s="13">
        <v>45901.0</v>
      </c>
      <c r="B818" s="14" t="s">
        <v>47</v>
      </c>
      <c r="C818" s="14" t="s">
        <v>48</v>
      </c>
      <c r="D818" s="14" t="s">
        <v>177</v>
      </c>
      <c r="E818" s="14" t="s">
        <v>178</v>
      </c>
      <c r="F818" s="14" t="s">
        <v>146</v>
      </c>
      <c r="G818" s="14" t="s">
        <v>179</v>
      </c>
      <c r="H818" s="14" t="s">
        <v>177</v>
      </c>
      <c r="I818" s="14" t="s">
        <v>107</v>
      </c>
      <c r="J818" s="14" t="s">
        <v>200</v>
      </c>
      <c r="K818" s="14" t="s">
        <v>226</v>
      </c>
      <c r="L818" s="14" t="s">
        <v>1105</v>
      </c>
      <c r="M818" s="14" t="s">
        <v>1147</v>
      </c>
      <c r="N818" s="14" t="s">
        <v>1148</v>
      </c>
      <c r="O818" s="14">
        <v>0.0</v>
      </c>
      <c r="P818" s="21">
        <v>0.0</v>
      </c>
      <c r="Q818" s="22" t="str">
        <f t="shared" ref="Q818:R818" si="485">"+0"</f>
        <v>+0</v>
      </c>
      <c r="R818" s="18" t="str">
        <f t="shared" si="485"/>
        <v>+0</v>
      </c>
      <c r="S818" s="14" t="s">
        <v>260</v>
      </c>
    </row>
    <row r="819">
      <c r="A819" s="13">
        <v>45901.0</v>
      </c>
      <c r="B819" s="14" t="s">
        <v>47</v>
      </c>
      <c r="C819" s="14" t="s">
        <v>48</v>
      </c>
      <c r="D819" s="14" t="s">
        <v>91</v>
      </c>
      <c r="E819" s="14" t="s">
        <v>92</v>
      </c>
      <c r="F819" s="14" t="s">
        <v>79</v>
      </c>
      <c r="G819" s="14" t="s">
        <v>164</v>
      </c>
      <c r="H819" s="14" t="s">
        <v>91</v>
      </c>
      <c r="I819" s="14" t="s">
        <v>154</v>
      </c>
      <c r="J819" s="14" t="s">
        <v>199</v>
      </c>
      <c r="K819" s="14" t="s">
        <v>206</v>
      </c>
      <c r="L819" s="14" t="s">
        <v>381</v>
      </c>
      <c r="M819" s="14" t="s">
        <v>381</v>
      </c>
      <c r="N819" s="14" t="s">
        <v>382</v>
      </c>
      <c r="O819" s="14">
        <v>0.0</v>
      </c>
      <c r="P819" s="21">
        <v>0.0</v>
      </c>
      <c r="Q819" s="22" t="str">
        <f t="shared" ref="Q819:R819" si="486">"+0"</f>
        <v>+0</v>
      </c>
      <c r="R819" s="18" t="str">
        <f t="shared" si="486"/>
        <v>+0</v>
      </c>
      <c r="S819" s="14" t="s">
        <v>383</v>
      </c>
    </row>
    <row r="820">
      <c r="A820" s="13">
        <v>45901.0</v>
      </c>
      <c r="B820" s="14" t="s">
        <v>47</v>
      </c>
      <c r="C820" s="14" t="s">
        <v>48</v>
      </c>
      <c r="D820" s="14" t="s">
        <v>99</v>
      </c>
      <c r="E820" s="14" t="s">
        <v>100</v>
      </c>
      <c r="F820" s="15" t="s">
        <v>51</v>
      </c>
      <c r="G820" s="14" t="s">
        <v>101</v>
      </c>
      <c r="H820" s="14" t="s">
        <v>102</v>
      </c>
      <c r="I820" s="14" t="s">
        <v>54</v>
      </c>
      <c r="J820" s="14" t="s">
        <v>198</v>
      </c>
      <c r="K820" s="14" t="s">
        <v>212</v>
      </c>
      <c r="L820" s="14" t="s">
        <v>249</v>
      </c>
      <c r="M820" s="14" t="s">
        <v>1149</v>
      </c>
      <c r="N820" s="14" t="s">
        <v>1150</v>
      </c>
      <c r="O820" s="14">
        <v>0.0</v>
      </c>
      <c r="P820" s="21">
        <v>0.0</v>
      </c>
      <c r="Q820" s="22" t="str">
        <f t="shared" ref="Q820:R820" si="487">"+0"</f>
        <v>+0</v>
      </c>
      <c r="R820" s="18" t="str">
        <f t="shared" si="487"/>
        <v>+0</v>
      </c>
      <c r="S820" s="14" t="s">
        <v>277</v>
      </c>
    </row>
    <row r="821">
      <c r="A821" s="13">
        <v>45901.0</v>
      </c>
      <c r="B821" s="14" t="s">
        <v>47</v>
      </c>
      <c r="C821" s="14" t="s">
        <v>48</v>
      </c>
      <c r="D821" s="14" t="s">
        <v>91</v>
      </c>
      <c r="E821" s="14" t="s">
        <v>92</v>
      </c>
      <c r="F821" s="15" t="s">
        <v>51</v>
      </c>
      <c r="G821" s="14" t="s">
        <v>163</v>
      </c>
      <c r="H821" s="14" t="s">
        <v>91</v>
      </c>
      <c r="I821" s="14" t="s">
        <v>59</v>
      </c>
      <c r="J821" s="14" t="s">
        <v>200</v>
      </c>
      <c r="K821" s="14" t="s">
        <v>223</v>
      </c>
      <c r="L821" s="14" t="s">
        <v>487</v>
      </c>
      <c r="M821" s="14" t="s">
        <v>1015</v>
      </c>
      <c r="N821" s="14" t="s">
        <v>1016</v>
      </c>
      <c r="O821" s="14">
        <v>0.0</v>
      </c>
      <c r="P821" s="23">
        <v>0.0</v>
      </c>
      <c r="Q821" s="22" t="str">
        <f t="shared" ref="Q821:R821" si="488">"+0.00%"</f>
        <v>+0.00%</v>
      </c>
      <c r="R821" s="18" t="str">
        <f t="shared" si="488"/>
        <v>+0.00%</v>
      </c>
      <c r="S821" s="14" t="s">
        <v>285</v>
      </c>
    </row>
    <row r="822">
      <c r="A822" s="13">
        <v>45901.0</v>
      </c>
      <c r="B822" s="14" t="s">
        <v>47</v>
      </c>
      <c r="C822" s="14" t="s">
        <v>48</v>
      </c>
      <c r="D822" s="14" t="s">
        <v>63</v>
      </c>
      <c r="E822" s="14" t="s">
        <v>64</v>
      </c>
      <c r="F822" s="14" t="s">
        <v>111</v>
      </c>
      <c r="G822" s="14">
        <v>4916210.0</v>
      </c>
      <c r="H822" s="14" t="s">
        <v>63</v>
      </c>
      <c r="I822" s="14" t="s">
        <v>59</v>
      </c>
      <c r="J822" s="14" t="s">
        <v>199</v>
      </c>
      <c r="K822" s="14" t="s">
        <v>203</v>
      </c>
      <c r="L822" s="14" t="s">
        <v>736</v>
      </c>
      <c r="M822" s="14" t="s">
        <v>736</v>
      </c>
      <c r="N822" s="14" t="s">
        <v>737</v>
      </c>
      <c r="O822" s="14">
        <v>100.0</v>
      </c>
      <c r="P822" s="21">
        <v>1.0</v>
      </c>
      <c r="Q822" s="22" t="str">
        <f t="shared" ref="Q822:R822" si="489">"+0"</f>
        <v>+0</v>
      </c>
      <c r="R822" s="18" t="str">
        <f t="shared" si="489"/>
        <v>+0</v>
      </c>
      <c r="S822" s="14" t="s">
        <v>260</v>
      </c>
    </row>
    <row r="823">
      <c r="A823" s="13">
        <v>45901.0</v>
      </c>
      <c r="B823" s="14" t="s">
        <v>47</v>
      </c>
      <c r="C823" s="14" t="s">
        <v>48</v>
      </c>
      <c r="D823" s="14" t="s">
        <v>63</v>
      </c>
      <c r="E823" s="14" t="s">
        <v>64</v>
      </c>
      <c r="F823" s="15" t="s">
        <v>51</v>
      </c>
      <c r="G823" s="14" t="s">
        <v>65</v>
      </c>
      <c r="H823" s="14" t="s">
        <v>63</v>
      </c>
      <c r="I823" s="14" t="s">
        <v>54</v>
      </c>
      <c r="J823" s="14" t="s">
        <v>198</v>
      </c>
      <c r="K823" s="14" t="s">
        <v>205</v>
      </c>
      <c r="L823" s="14" t="s">
        <v>274</v>
      </c>
      <c r="M823" s="14" t="s">
        <v>791</v>
      </c>
      <c r="N823" s="14" t="s">
        <v>792</v>
      </c>
      <c r="O823" s="14">
        <v>100.0</v>
      </c>
      <c r="P823" s="21">
        <v>4.0</v>
      </c>
      <c r="Q823" s="22" t="str">
        <f>"+0"</f>
        <v>+0</v>
      </c>
      <c r="S823" s="14" t="s">
        <v>260</v>
      </c>
    </row>
    <row r="824">
      <c r="A824" s="13">
        <v>45901.0</v>
      </c>
      <c r="B824" s="14" t="s">
        <v>47</v>
      </c>
      <c r="C824" s="14" t="s">
        <v>48</v>
      </c>
      <c r="D824" s="14" t="s">
        <v>82</v>
      </c>
      <c r="E824" s="14" t="s">
        <v>83</v>
      </c>
      <c r="F824" s="15" t="s">
        <v>51</v>
      </c>
      <c r="G824" s="14" t="s">
        <v>84</v>
      </c>
      <c r="H824" s="14" t="s">
        <v>82</v>
      </c>
      <c r="I824" s="14" t="s">
        <v>59</v>
      </c>
      <c r="J824" s="14" t="s">
        <v>200</v>
      </c>
      <c r="K824" s="14" t="s">
        <v>213</v>
      </c>
      <c r="L824" s="14" t="s">
        <v>307</v>
      </c>
      <c r="M824" s="14" t="s">
        <v>502</v>
      </c>
      <c r="N824" s="14" t="s">
        <v>503</v>
      </c>
      <c r="O824" s="14">
        <v>10.0</v>
      </c>
      <c r="P824" s="23">
        <v>0.1081</v>
      </c>
      <c r="Q824" s="22" t="str">
        <f>"+4.56%"</f>
        <v>+4.56%</v>
      </c>
      <c r="R824" s="18" t="str">
        <f>"+3.49%"</f>
        <v>+3.49%</v>
      </c>
      <c r="S824" s="14" t="s">
        <v>1151</v>
      </c>
    </row>
    <row r="825">
      <c r="A825" s="13">
        <v>45901.0</v>
      </c>
      <c r="B825" s="14" t="s">
        <v>47</v>
      </c>
      <c r="C825" s="14" t="s">
        <v>48</v>
      </c>
      <c r="D825" s="14" t="s">
        <v>66</v>
      </c>
      <c r="E825" s="14" t="s">
        <v>67</v>
      </c>
      <c r="F825" s="15" t="s">
        <v>51</v>
      </c>
      <c r="G825" s="14" t="s">
        <v>68</v>
      </c>
      <c r="H825" s="14" t="s">
        <v>66</v>
      </c>
      <c r="I825" s="14" t="s">
        <v>59</v>
      </c>
      <c r="J825" s="14" t="s">
        <v>200</v>
      </c>
      <c r="K825" s="14" t="s">
        <v>231</v>
      </c>
      <c r="L825" s="14" t="s">
        <v>512</v>
      </c>
      <c r="M825" s="14" t="s">
        <v>1152</v>
      </c>
      <c r="N825" s="14" t="s">
        <v>1153</v>
      </c>
      <c r="O825" s="14">
        <v>0.0</v>
      </c>
      <c r="P825" s="21">
        <v>0.0</v>
      </c>
      <c r="Q825" s="22" t="str">
        <f t="shared" ref="Q825:R825" si="490">"+0"</f>
        <v>+0</v>
      </c>
      <c r="R825" s="18" t="str">
        <f t="shared" si="490"/>
        <v>+0</v>
      </c>
      <c r="S825" s="14" t="s">
        <v>260</v>
      </c>
    </row>
    <row r="826">
      <c r="A826" s="13">
        <v>45901.0</v>
      </c>
      <c r="B826" s="14" t="s">
        <v>47</v>
      </c>
      <c r="C826" s="14" t="s">
        <v>48</v>
      </c>
      <c r="D826" s="14" t="s">
        <v>143</v>
      </c>
      <c r="E826" s="14" t="s">
        <v>144</v>
      </c>
      <c r="F826" s="15" t="s">
        <v>51</v>
      </c>
      <c r="G826" s="14" t="s">
        <v>145</v>
      </c>
      <c r="H826" s="14" t="s">
        <v>143</v>
      </c>
      <c r="I826" s="14" t="s">
        <v>59</v>
      </c>
      <c r="J826" s="14" t="s">
        <v>200</v>
      </c>
      <c r="K826" s="14" t="s">
        <v>232</v>
      </c>
      <c r="L826" s="14" t="s">
        <v>286</v>
      </c>
      <c r="M826" s="14" t="s">
        <v>644</v>
      </c>
      <c r="N826" s="14" t="s">
        <v>645</v>
      </c>
      <c r="O826" s="14">
        <v>5.0</v>
      </c>
      <c r="P826" s="23">
        <v>-0.9</v>
      </c>
      <c r="Q826" s="22" t="str">
        <f>"+5.00%"</f>
        <v>+5.00%</v>
      </c>
      <c r="R826" s="18" t="str">
        <f>"-8.82%"</f>
        <v>-8.82%</v>
      </c>
      <c r="S826" s="14" t="s">
        <v>1154</v>
      </c>
    </row>
    <row r="827">
      <c r="A827" s="13">
        <v>45901.0</v>
      </c>
      <c r="B827" s="14" t="s">
        <v>47</v>
      </c>
      <c r="C827" s="14" t="s">
        <v>48</v>
      </c>
      <c r="D827" s="14" t="s">
        <v>73</v>
      </c>
      <c r="E827" s="14" t="s">
        <v>74</v>
      </c>
      <c r="F827" s="15" t="s">
        <v>51</v>
      </c>
      <c r="G827" s="14" t="s">
        <v>75</v>
      </c>
      <c r="H827" s="14" t="s">
        <v>76</v>
      </c>
      <c r="I827" s="14" t="s">
        <v>59</v>
      </c>
      <c r="J827" s="14" t="s">
        <v>198</v>
      </c>
      <c r="K827" s="14" t="s">
        <v>205</v>
      </c>
      <c r="L827" s="14" t="s">
        <v>274</v>
      </c>
      <c r="M827" s="14" t="s">
        <v>767</v>
      </c>
      <c r="N827" s="14" t="s">
        <v>768</v>
      </c>
      <c r="O827" s="14">
        <v>100.0</v>
      </c>
      <c r="P827" s="21">
        <v>1.0</v>
      </c>
      <c r="Q827" s="22" t="str">
        <f t="shared" ref="Q827:Q829" si="491">"+0"</f>
        <v>+0</v>
      </c>
      <c r="S827" s="14" t="s">
        <v>281</v>
      </c>
    </row>
    <row r="828">
      <c r="A828" s="13">
        <v>45901.0</v>
      </c>
      <c r="B828" s="14" t="s">
        <v>47</v>
      </c>
      <c r="C828" s="14" t="s">
        <v>48</v>
      </c>
      <c r="D828" s="14" t="s">
        <v>73</v>
      </c>
      <c r="E828" s="14" t="s">
        <v>74</v>
      </c>
      <c r="F828" s="15" t="s">
        <v>51</v>
      </c>
      <c r="G828" s="14" t="s">
        <v>75</v>
      </c>
      <c r="H828" s="14" t="s">
        <v>76</v>
      </c>
      <c r="I828" s="14" t="s">
        <v>59</v>
      </c>
      <c r="J828" s="14" t="s">
        <v>199</v>
      </c>
      <c r="K828" s="14" t="s">
        <v>206</v>
      </c>
      <c r="L828" s="14" t="s">
        <v>295</v>
      </c>
      <c r="M828" s="14" t="s">
        <v>986</v>
      </c>
      <c r="N828" s="14" t="s">
        <v>987</v>
      </c>
      <c r="O828" s="14">
        <v>0.0</v>
      </c>
      <c r="P828" s="21">
        <v>0.0</v>
      </c>
      <c r="Q828" s="22" t="str">
        <f t="shared" si="491"/>
        <v>+0</v>
      </c>
      <c r="R828" s="18" t="str">
        <f t="shared" ref="R828:R829" si="492">"+0"</f>
        <v>+0</v>
      </c>
      <c r="S828" s="14" t="s">
        <v>260</v>
      </c>
    </row>
    <row r="829">
      <c r="A829" s="13">
        <v>45901.0</v>
      </c>
      <c r="B829" s="14" t="s">
        <v>47</v>
      </c>
      <c r="C829" s="14" t="s">
        <v>48</v>
      </c>
      <c r="D829" s="14" t="s">
        <v>171</v>
      </c>
      <c r="E829" s="14" t="s">
        <v>172</v>
      </c>
      <c r="F829" s="15" t="s">
        <v>51</v>
      </c>
      <c r="G829" s="14" t="s">
        <v>173</v>
      </c>
      <c r="H829" s="14" t="s">
        <v>171</v>
      </c>
      <c r="I829" s="14" t="s">
        <v>59</v>
      </c>
      <c r="J829" s="14" t="s">
        <v>199</v>
      </c>
      <c r="K829" s="14" t="s">
        <v>206</v>
      </c>
      <c r="L829" s="14" t="s">
        <v>569</v>
      </c>
      <c r="M829" s="14" t="s">
        <v>569</v>
      </c>
      <c r="N829" s="14" t="s">
        <v>570</v>
      </c>
      <c r="O829" s="14">
        <v>0.0</v>
      </c>
      <c r="P829" s="21">
        <v>0.0</v>
      </c>
      <c r="Q829" s="22" t="str">
        <f t="shared" si="491"/>
        <v>+0</v>
      </c>
      <c r="R829" s="18" t="str">
        <f t="shared" si="492"/>
        <v>+0</v>
      </c>
      <c r="S829" s="14" t="s">
        <v>383</v>
      </c>
    </row>
    <row r="830">
      <c r="A830" s="13">
        <v>45901.0</v>
      </c>
      <c r="B830" s="14" t="s">
        <v>47</v>
      </c>
      <c r="C830" s="14" t="s">
        <v>48</v>
      </c>
      <c r="D830" s="14" t="s">
        <v>129</v>
      </c>
      <c r="E830" s="14" t="s">
        <v>130</v>
      </c>
      <c r="F830" s="15" t="s">
        <v>51</v>
      </c>
      <c r="G830" s="14" t="s">
        <v>131</v>
      </c>
      <c r="H830" s="14" t="s">
        <v>129</v>
      </c>
      <c r="I830" s="14" t="s">
        <v>59</v>
      </c>
      <c r="J830" s="14" t="s">
        <v>200</v>
      </c>
      <c r="K830" s="14" t="s">
        <v>213</v>
      </c>
      <c r="L830" s="14" t="s">
        <v>359</v>
      </c>
      <c r="M830" s="14" t="s">
        <v>360</v>
      </c>
      <c r="N830" s="14" t="s">
        <v>361</v>
      </c>
      <c r="O830" s="14">
        <v>0.0</v>
      </c>
      <c r="P830" s="23">
        <v>0.0</v>
      </c>
      <c r="Q830" s="22" t="str">
        <f t="shared" ref="Q830:R830" si="493">"+0.00%"</f>
        <v>+0.00%</v>
      </c>
      <c r="R830" s="18" t="str">
        <f t="shared" si="493"/>
        <v>+0.00%</v>
      </c>
      <c r="S830" s="14" t="s">
        <v>1155</v>
      </c>
    </row>
    <row r="831">
      <c r="A831" s="13">
        <v>45901.0</v>
      </c>
      <c r="B831" s="14" t="s">
        <v>47</v>
      </c>
      <c r="C831" s="14" t="s">
        <v>48</v>
      </c>
      <c r="D831" s="14" t="s">
        <v>129</v>
      </c>
      <c r="E831" s="14" t="s">
        <v>130</v>
      </c>
      <c r="F831" s="15" t="s">
        <v>51</v>
      </c>
      <c r="G831" s="14" t="s">
        <v>131</v>
      </c>
      <c r="H831" s="14" t="s">
        <v>129</v>
      </c>
      <c r="I831" s="14" t="s">
        <v>59</v>
      </c>
      <c r="J831" s="14" t="s">
        <v>198</v>
      </c>
      <c r="K831" s="14" t="s">
        <v>210</v>
      </c>
      <c r="L831" s="14" t="s">
        <v>278</v>
      </c>
      <c r="M831" s="14" t="s">
        <v>279</v>
      </c>
      <c r="N831" s="14" t="s">
        <v>280</v>
      </c>
      <c r="O831" s="14">
        <v>100.0</v>
      </c>
      <c r="P831" s="21">
        <v>0.0</v>
      </c>
      <c r="Q831" s="22" t="str">
        <f t="shared" ref="Q831:R831" si="494">"+0"</f>
        <v>+0</v>
      </c>
      <c r="R831" s="18" t="str">
        <f t="shared" si="494"/>
        <v>+0</v>
      </c>
      <c r="S831" s="14" t="s">
        <v>281</v>
      </c>
    </row>
    <row r="832">
      <c r="A832" s="13">
        <v>45901.0</v>
      </c>
      <c r="B832" s="14" t="s">
        <v>47</v>
      </c>
      <c r="C832" s="14" t="s">
        <v>48</v>
      </c>
      <c r="D832" s="14" t="s">
        <v>87</v>
      </c>
      <c r="E832" s="14" t="s">
        <v>88</v>
      </c>
      <c r="F832" s="15" t="s">
        <v>51</v>
      </c>
      <c r="G832" s="14" t="s">
        <v>89</v>
      </c>
      <c r="H832" s="14" t="s">
        <v>90</v>
      </c>
      <c r="I832" s="14" t="s">
        <v>59</v>
      </c>
      <c r="J832" s="14" t="s">
        <v>200</v>
      </c>
      <c r="K832" s="14" t="s">
        <v>204</v>
      </c>
      <c r="L832" s="14" t="s">
        <v>253</v>
      </c>
      <c r="M832" s="14" t="s">
        <v>490</v>
      </c>
      <c r="N832" s="14" t="s">
        <v>491</v>
      </c>
      <c r="O832" s="14">
        <v>0.0</v>
      </c>
      <c r="P832" s="23">
        <v>0.0</v>
      </c>
      <c r="Q832" s="22" t="str">
        <f t="shared" ref="Q832:R832" si="495">"+0.00%"</f>
        <v>+0.00%</v>
      </c>
      <c r="R832" s="18" t="str">
        <f t="shared" si="495"/>
        <v>+0.00%</v>
      </c>
      <c r="S832" s="14" t="s">
        <v>492</v>
      </c>
    </row>
    <row r="833">
      <c r="A833" s="13">
        <v>45901.0</v>
      </c>
      <c r="B833" s="14" t="s">
        <v>47</v>
      </c>
      <c r="C833" s="14" t="s">
        <v>48</v>
      </c>
      <c r="D833" s="14" t="s">
        <v>96</v>
      </c>
      <c r="E833" s="14" t="s">
        <v>97</v>
      </c>
      <c r="F833" s="15" t="s">
        <v>51</v>
      </c>
      <c r="G833" s="14" t="s">
        <v>98</v>
      </c>
      <c r="H833" s="14" t="s">
        <v>96</v>
      </c>
      <c r="I833" s="14" t="s">
        <v>59</v>
      </c>
      <c r="J833" s="14" t="s">
        <v>199</v>
      </c>
      <c r="K833" s="14" t="s">
        <v>206</v>
      </c>
      <c r="L833" s="14" t="s">
        <v>381</v>
      </c>
      <c r="M833" s="14" t="s">
        <v>381</v>
      </c>
      <c r="N833" s="14" t="s">
        <v>382</v>
      </c>
      <c r="O833" s="14">
        <v>0.0</v>
      </c>
      <c r="P833" s="21">
        <v>0.0</v>
      </c>
      <c r="Q833" s="22" t="str">
        <f t="shared" ref="Q833:R833" si="496">"+0"</f>
        <v>+0</v>
      </c>
      <c r="R833" s="18" t="str">
        <f t="shared" si="496"/>
        <v>+0</v>
      </c>
      <c r="S833" s="14" t="s">
        <v>383</v>
      </c>
    </row>
    <row r="834">
      <c r="A834" s="13">
        <v>45901.0</v>
      </c>
      <c r="B834" s="14" t="s">
        <v>47</v>
      </c>
      <c r="C834" s="14" t="s">
        <v>48</v>
      </c>
      <c r="D834" s="14" t="s">
        <v>96</v>
      </c>
      <c r="E834" s="14" t="s">
        <v>97</v>
      </c>
      <c r="F834" s="15" t="s">
        <v>51</v>
      </c>
      <c r="G834" s="14" t="s">
        <v>98</v>
      </c>
      <c r="H834" s="14" t="s">
        <v>96</v>
      </c>
      <c r="I834" s="14" t="s">
        <v>59</v>
      </c>
      <c r="J834" s="14" t="s">
        <v>198</v>
      </c>
      <c r="K834" s="14" t="s">
        <v>205</v>
      </c>
      <c r="L834" s="14" t="s">
        <v>274</v>
      </c>
      <c r="M834" s="14" t="s">
        <v>482</v>
      </c>
      <c r="N834" s="14" t="s">
        <v>483</v>
      </c>
      <c r="O834" s="14">
        <v>100.0</v>
      </c>
      <c r="P834" s="21">
        <v>12.0</v>
      </c>
      <c r="Q834" s="22" t="str">
        <f t="shared" ref="Q834:Q835" si="497">"+0"</f>
        <v>+0</v>
      </c>
      <c r="S834" s="14" t="s">
        <v>484</v>
      </c>
    </row>
    <row r="835">
      <c r="A835" s="13">
        <v>45901.0</v>
      </c>
      <c r="B835" s="14" t="s">
        <v>47</v>
      </c>
      <c r="C835" s="14" t="s">
        <v>48</v>
      </c>
      <c r="D835" s="14" t="s">
        <v>195</v>
      </c>
      <c r="E835" s="14" t="s">
        <v>196</v>
      </c>
      <c r="F835" s="14" t="s">
        <v>111</v>
      </c>
      <c r="G835" s="14">
        <v>5252823.0</v>
      </c>
      <c r="H835" s="14" t="s">
        <v>197</v>
      </c>
      <c r="I835" s="14" t="s">
        <v>59</v>
      </c>
      <c r="J835" s="14" t="s">
        <v>199</v>
      </c>
      <c r="K835" s="14" t="s">
        <v>206</v>
      </c>
      <c r="L835" s="14" t="s">
        <v>531</v>
      </c>
      <c r="M835" s="14" t="s">
        <v>531</v>
      </c>
      <c r="N835" s="14" t="s">
        <v>532</v>
      </c>
      <c r="O835" s="14">
        <v>0.0</v>
      </c>
      <c r="P835" s="21">
        <v>0.0</v>
      </c>
      <c r="Q835" s="22" t="str">
        <f t="shared" si="497"/>
        <v>+0</v>
      </c>
      <c r="R835" s="18" t="str">
        <f>"+0"</f>
        <v>+0</v>
      </c>
      <c r="S835" s="14" t="s">
        <v>260</v>
      </c>
    </row>
    <row r="836">
      <c r="A836" s="13">
        <v>45901.0</v>
      </c>
      <c r="B836" s="14" t="s">
        <v>47</v>
      </c>
      <c r="C836" s="14" t="s">
        <v>48</v>
      </c>
      <c r="D836" s="14" t="s">
        <v>96</v>
      </c>
      <c r="E836" s="14" t="s">
        <v>97</v>
      </c>
      <c r="F836" s="15" t="s">
        <v>51</v>
      </c>
      <c r="G836" s="14" t="s">
        <v>98</v>
      </c>
      <c r="H836" s="14" t="s">
        <v>96</v>
      </c>
      <c r="I836" s="14" t="s">
        <v>59</v>
      </c>
      <c r="J836" s="14" t="s">
        <v>200</v>
      </c>
      <c r="K836" s="14" t="s">
        <v>201</v>
      </c>
      <c r="L836" s="14" t="s">
        <v>253</v>
      </c>
      <c r="M836" s="14" t="s">
        <v>585</v>
      </c>
      <c r="N836" s="14" t="s">
        <v>586</v>
      </c>
      <c r="O836" s="14">
        <v>1.0</v>
      </c>
      <c r="P836" s="23">
        <v>0.0043</v>
      </c>
      <c r="Q836" s="22" t="str">
        <f>"+0.05%"</f>
        <v>+0.05%</v>
      </c>
      <c r="R836" s="18" t="str">
        <f>"+0.02%"</f>
        <v>+0.02%</v>
      </c>
      <c r="S836" s="14" t="s">
        <v>1156</v>
      </c>
    </row>
    <row r="837">
      <c r="A837" s="13">
        <v>45901.0</v>
      </c>
      <c r="B837" s="14" t="s">
        <v>47</v>
      </c>
      <c r="C837" s="14" t="s">
        <v>48</v>
      </c>
      <c r="D837" s="14" t="s">
        <v>69</v>
      </c>
      <c r="E837" s="14" t="s">
        <v>70</v>
      </c>
      <c r="F837" s="15" t="s">
        <v>51</v>
      </c>
      <c r="G837" s="14" t="s">
        <v>115</v>
      </c>
      <c r="H837" s="14" t="s">
        <v>72</v>
      </c>
      <c r="I837" s="14" t="s">
        <v>54</v>
      </c>
      <c r="J837" s="14" t="s">
        <v>200</v>
      </c>
      <c r="K837" s="14" t="s">
        <v>215</v>
      </c>
      <c r="L837" s="14" t="s">
        <v>548</v>
      </c>
      <c r="M837" s="14" t="s">
        <v>1091</v>
      </c>
      <c r="N837" s="14" t="s">
        <v>1092</v>
      </c>
      <c r="O837" s="14">
        <v>61.0</v>
      </c>
      <c r="P837" s="23">
        <v>0.2372</v>
      </c>
      <c r="Q837" s="22" t="str">
        <f>"+7.85%"</f>
        <v>+7.85%</v>
      </c>
      <c r="R837" s="18" t="str">
        <f>"+10.98%"</f>
        <v>+10.98%</v>
      </c>
      <c r="S837" s="14" t="s">
        <v>1157</v>
      </c>
    </row>
    <row r="838">
      <c r="A838" s="13">
        <v>45901.0</v>
      </c>
      <c r="B838" s="14" t="s">
        <v>47</v>
      </c>
      <c r="C838" s="14" t="s">
        <v>48</v>
      </c>
      <c r="D838" s="14" t="s">
        <v>96</v>
      </c>
      <c r="E838" s="14" t="s">
        <v>97</v>
      </c>
      <c r="F838" s="15" t="s">
        <v>51</v>
      </c>
      <c r="G838" s="14" t="s">
        <v>98</v>
      </c>
      <c r="H838" s="14" t="s">
        <v>96</v>
      </c>
      <c r="I838" s="14" t="s">
        <v>59</v>
      </c>
      <c r="J838" s="14" t="s">
        <v>200</v>
      </c>
      <c r="K838" s="14" t="s">
        <v>223</v>
      </c>
      <c r="L838" s="14" t="s">
        <v>363</v>
      </c>
      <c r="M838" s="14" t="s">
        <v>708</v>
      </c>
      <c r="N838" s="14" t="s">
        <v>709</v>
      </c>
      <c r="O838" s="14">
        <v>0.0</v>
      </c>
      <c r="P838" s="23">
        <v>0.0</v>
      </c>
      <c r="Q838" s="22" t="str">
        <f t="shared" ref="Q838:R838" si="498">"+0.00%"</f>
        <v>+0.00%</v>
      </c>
      <c r="R838" s="18" t="str">
        <f t="shared" si="498"/>
        <v>+0.00%</v>
      </c>
      <c r="S838" s="14" t="s">
        <v>285</v>
      </c>
    </row>
    <row r="839">
      <c r="A839" s="13">
        <v>45901.0</v>
      </c>
      <c r="B839" s="14" t="s">
        <v>47</v>
      </c>
      <c r="C839" s="14" t="s">
        <v>48</v>
      </c>
      <c r="D839" s="14" t="s">
        <v>116</v>
      </c>
      <c r="E839" s="14" t="s">
        <v>117</v>
      </c>
      <c r="F839" s="15" t="s">
        <v>51</v>
      </c>
      <c r="G839" s="14" t="s">
        <v>161</v>
      </c>
      <c r="H839" s="14" t="s">
        <v>116</v>
      </c>
      <c r="I839" s="14" t="s">
        <v>54</v>
      </c>
      <c r="J839" s="14" t="s">
        <v>198</v>
      </c>
      <c r="K839" s="14" t="s">
        <v>210</v>
      </c>
      <c r="L839" s="14" t="s">
        <v>264</v>
      </c>
      <c r="M839" s="14" t="s">
        <v>802</v>
      </c>
      <c r="N839" s="14" t="s">
        <v>803</v>
      </c>
      <c r="O839" s="14">
        <v>0.0</v>
      </c>
      <c r="P839" s="21">
        <v>0.0</v>
      </c>
      <c r="Q839" s="22" t="str">
        <f t="shared" ref="Q839:R839" si="499">"+0"</f>
        <v>+0</v>
      </c>
      <c r="R839" s="18" t="str">
        <f t="shared" si="499"/>
        <v>+0</v>
      </c>
      <c r="S839" s="14" t="s">
        <v>277</v>
      </c>
    </row>
    <row r="840">
      <c r="A840" s="13">
        <v>45901.0</v>
      </c>
      <c r="B840" s="14" t="s">
        <v>47</v>
      </c>
      <c r="C840" s="14" t="s">
        <v>48</v>
      </c>
      <c r="D840" s="14" t="s">
        <v>112</v>
      </c>
      <c r="E840" s="14" t="s">
        <v>113</v>
      </c>
      <c r="F840" s="15" t="s">
        <v>51</v>
      </c>
      <c r="G840" s="14" t="s">
        <v>114</v>
      </c>
      <c r="H840" s="14" t="s">
        <v>112</v>
      </c>
      <c r="I840" s="14" t="s">
        <v>59</v>
      </c>
      <c r="J840" s="14" t="s">
        <v>200</v>
      </c>
      <c r="K840" s="14" t="s">
        <v>213</v>
      </c>
      <c r="L840" s="14" t="s">
        <v>676</v>
      </c>
      <c r="M840" s="14" t="s">
        <v>677</v>
      </c>
      <c r="N840" s="14" t="s">
        <v>678</v>
      </c>
      <c r="O840" s="14">
        <v>0.0</v>
      </c>
      <c r="P840" s="23">
        <v>0.0</v>
      </c>
      <c r="Q840" s="22" t="str">
        <f t="shared" ref="Q840:R840" si="500">"+0.00%"</f>
        <v>+0.00%</v>
      </c>
      <c r="R840" s="18" t="str">
        <f t="shared" si="500"/>
        <v>+0.00%</v>
      </c>
      <c r="S840" s="14" t="s">
        <v>285</v>
      </c>
    </row>
    <row r="841">
      <c r="A841" s="13">
        <v>45901.0</v>
      </c>
      <c r="B841" s="14" t="s">
        <v>47</v>
      </c>
      <c r="C841" s="14" t="s">
        <v>48</v>
      </c>
      <c r="D841" s="14" t="s">
        <v>116</v>
      </c>
      <c r="E841" s="14" t="s">
        <v>117</v>
      </c>
      <c r="F841" s="15" t="s">
        <v>51</v>
      </c>
      <c r="G841" s="14" t="s">
        <v>161</v>
      </c>
      <c r="H841" s="14" t="s">
        <v>116</v>
      </c>
      <c r="I841" s="14" t="s">
        <v>54</v>
      </c>
      <c r="J841" s="14" t="s">
        <v>200</v>
      </c>
      <c r="K841" s="14" t="s">
        <v>222</v>
      </c>
      <c r="L841" s="14" t="s">
        <v>1158</v>
      </c>
      <c r="M841" s="14" t="s">
        <v>1159</v>
      </c>
      <c r="N841" s="14" t="s">
        <v>1160</v>
      </c>
      <c r="O841" s="14">
        <v>0.0</v>
      </c>
      <c r="P841" s="21">
        <v>0.0</v>
      </c>
      <c r="Q841" s="22" t="str">
        <f t="shared" ref="Q841:R841" si="501">"+0"</f>
        <v>+0</v>
      </c>
      <c r="R841" s="18" t="str">
        <f t="shared" si="501"/>
        <v>+0</v>
      </c>
      <c r="S841" s="14" t="s">
        <v>260</v>
      </c>
    </row>
    <row r="842">
      <c r="A842" s="13">
        <v>45901.0</v>
      </c>
      <c r="B842" s="14" t="s">
        <v>47</v>
      </c>
      <c r="C842" s="14" t="s">
        <v>48</v>
      </c>
      <c r="D842" s="14" t="s">
        <v>158</v>
      </c>
      <c r="E842" s="14" t="s">
        <v>159</v>
      </c>
      <c r="F842" s="15" t="s">
        <v>51</v>
      </c>
      <c r="G842" s="14" t="s">
        <v>160</v>
      </c>
      <c r="H842" s="14" t="s">
        <v>158</v>
      </c>
      <c r="I842" s="14" t="s">
        <v>54</v>
      </c>
      <c r="J842" s="14" t="s">
        <v>200</v>
      </c>
      <c r="K842" s="14" t="s">
        <v>224</v>
      </c>
      <c r="L842" s="14" t="s">
        <v>453</v>
      </c>
      <c r="M842" s="14" t="s">
        <v>611</v>
      </c>
      <c r="N842" s="14" t="s">
        <v>612</v>
      </c>
      <c r="O842" s="14">
        <v>0.0</v>
      </c>
      <c r="P842" s="17"/>
      <c r="Q842" s="22"/>
      <c r="S842" s="14" t="s">
        <v>523</v>
      </c>
    </row>
    <row r="843">
      <c r="A843" s="13">
        <v>45901.0</v>
      </c>
      <c r="B843" s="14" t="s">
        <v>47</v>
      </c>
      <c r="C843" s="14" t="s">
        <v>48</v>
      </c>
      <c r="D843" s="14" t="s">
        <v>112</v>
      </c>
      <c r="E843" s="14" t="s">
        <v>113</v>
      </c>
      <c r="F843" s="15" t="s">
        <v>51</v>
      </c>
      <c r="G843" s="14" t="s">
        <v>114</v>
      </c>
      <c r="H843" s="14" t="s">
        <v>112</v>
      </c>
      <c r="I843" s="14" t="s">
        <v>59</v>
      </c>
      <c r="J843" s="14" t="s">
        <v>199</v>
      </c>
      <c r="K843" s="14" t="s">
        <v>206</v>
      </c>
      <c r="L843" s="14" t="s">
        <v>268</v>
      </c>
      <c r="M843" s="14" t="s">
        <v>268</v>
      </c>
      <c r="N843" s="14" t="s">
        <v>269</v>
      </c>
      <c r="O843" s="14">
        <v>0.0</v>
      </c>
      <c r="P843" s="21">
        <v>0.0</v>
      </c>
      <c r="Q843" s="22" t="str">
        <f t="shared" ref="Q843:R843" si="502">"+0"</f>
        <v>+0</v>
      </c>
      <c r="R843" s="18" t="str">
        <f t="shared" si="502"/>
        <v>+0</v>
      </c>
      <c r="S843" s="14" t="s">
        <v>260</v>
      </c>
    </row>
    <row r="844">
      <c r="A844" s="13">
        <v>45901.0</v>
      </c>
      <c r="B844" s="14" t="s">
        <v>47</v>
      </c>
      <c r="C844" s="14" t="s">
        <v>48</v>
      </c>
      <c r="D844" s="14" t="s">
        <v>116</v>
      </c>
      <c r="E844" s="14" t="s">
        <v>117</v>
      </c>
      <c r="F844" s="15" t="s">
        <v>51</v>
      </c>
      <c r="G844" s="14" t="s">
        <v>161</v>
      </c>
      <c r="H844" s="14" t="s">
        <v>116</v>
      </c>
      <c r="I844" s="14" t="s">
        <v>54</v>
      </c>
      <c r="J844" s="14" t="s">
        <v>198</v>
      </c>
      <c r="K844" s="14" t="s">
        <v>210</v>
      </c>
      <c r="L844" s="14" t="s">
        <v>505</v>
      </c>
      <c r="M844" s="14" t="s">
        <v>746</v>
      </c>
      <c r="N844" s="14" t="s">
        <v>747</v>
      </c>
      <c r="O844" s="14">
        <v>0.0</v>
      </c>
      <c r="P844" s="21">
        <v>0.0</v>
      </c>
      <c r="Q844" s="22" t="str">
        <f t="shared" ref="Q844:R844" si="503">"+0"</f>
        <v>+0</v>
      </c>
      <c r="R844" s="18" t="str">
        <f t="shared" si="503"/>
        <v>+0</v>
      </c>
      <c r="S844" s="14" t="s">
        <v>277</v>
      </c>
    </row>
    <row r="845">
      <c r="A845" s="13">
        <v>45901.0</v>
      </c>
      <c r="B845" s="14" t="s">
        <v>47</v>
      </c>
      <c r="C845" s="14" t="s">
        <v>48</v>
      </c>
      <c r="D845" s="14" t="s">
        <v>116</v>
      </c>
      <c r="E845" s="14" t="s">
        <v>117</v>
      </c>
      <c r="F845" s="15" t="s">
        <v>51</v>
      </c>
      <c r="G845" s="14" t="s">
        <v>161</v>
      </c>
      <c r="H845" s="14" t="s">
        <v>116</v>
      </c>
      <c r="I845" s="14" t="s">
        <v>54</v>
      </c>
      <c r="J845" s="14" t="s">
        <v>200</v>
      </c>
      <c r="K845" s="14" t="s">
        <v>222</v>
      </c>
      <c r="L845" s="14" t="s">
        <v>1161</v>
      </c>
      <c r="M845" s="14" t="s">
        <v>1162</v>
      </c>
      <c r="N845" s="14" t="s">
        <v>1163</v>
      </c>
      <c r="O845" s="14">
        <v>100.0</v>
      </c>
      <c r="P845" s="21">
        <v>1.0</v>
      </c>
      <c r="Q845" s="22" t="str">
        <f t="shared" ref="Q845:R845" si="504">"+1"</f>
        <v>+1</v>
      </c>
      <c r="R845" s="18" t="str">
        <f t="shared" si="504"/>
        <v>+1</v>
      </c>
      <c r="S845" s="14" t="s">
        <v>260</v>
      </c>
    </row>
    <row r="846">
      <c r="A846" s="13">
        <v>45901.0</v>
      </c>
      <c r="B846" s="14" t="s">
        <v>47</v>
      </c>
      <c r="C846" s="14" t="s">
        <v>48</v>
      </c>
      <c r="D846" s="14" t="s">
        <v>174</v>
      </c>
      <c r="E846" s="14" t="s">
        <v>175</v>
      </c>
      <c r="F846" s="15" t="s">
        <v>51</v>
      </c>
      <c r="G846" s="14" t="s">
        <v>176</v>
      </c>
      <c r="H846" s="14" t="s">
        <v>174</v>
      </c>
      <c r="I846" s="14" t="s">
        <v>59</v>
      </c>
      <c r="J846" s="14" t="s">
        <v>200</v>
      </c>
      <c r="K846" s="14" t="s">
        <v>227</v>
      </c>
      <c r="L846" s="14" t="s">
        <v>270</v>
      </c>
      <c r="M846" s="14" t="s">
        <v>400</v>
      </c>
      <c r="N846" s="14" t="s">
        <v>401</v>
      </c>
      <c r="O846" s="14">
        <v>33.0</v>
      </c>
      <c r="P846" s="21">
        <v>3.0</v>
      </c>
      <c r="Q846" s="22" t="str">
        <f>"-1"</f>
        <v>-1</v>
      </c>
      <c r="R846" s="18" t="str">
        <f>"+0"</f>
        <v>+0</v>
      </c>
      <c r="S846" s="14" t="s">
        <v>260</v>
      </c>
    </row>
    <row r="847">
      <c r="A847" s="13">
        <v>45901.0</v>
      </c>
      <c r="B847" s="14" t="s">
        <v>47</v>
      </c>
      <c r="C847" s="14" t="s">
        <v>48</v>
      </c>
      <c r="D847" s="14" t="s">
        <v>181</v>
      </c>
      <c r="E847" s="14" t="s">
        <v>182</v>
      </c>
      <c r="F847" s="15" t="s">
        <v>51</v>
      </c>
      <c r="G847" s="14" t="s">
        <v>183</v>
      </c>
      <c r="H847" s="14" t="s">
        <v>181</v>
      </c>
      <c r="I847" s="14" t="s">
        <v>59</v>
      </c>
      <c r="J847" s="14" t="s">
        <v>199</v>
      </c>
      <c r="K847" s="14" t="s">
        <v>206</v>
      </c>
      <c r="L847" s="14" t="s">
        <v>268</v>
      </c>
      <c r="M847" s="14" t="s">
        <v>268</v>
      </c>
      <c r="N847" s="14" t="s">
        <v>269</v>
      </c>
      <c r="O847" s="14">
        <v>0.0</v>
      </c>
      <c r="P847" s="21">
        <v>0.0</v>
      </c>
      <c r="Q847" s="22" t="str">
        <f t="shared" ref="Q847:R847" si="505">"+0"</f>
        <v>+0</v>
      </c>
      <c r="R847" s="18" t="str">
        <f t="shared" si="505"/>
        <v>+0</v>
      </c>
      <c r="S847" s="14" t="s">
        <v>260</v>
      </c>
    </row>
    <row r="848">
      <c r="A848" s="13">
        <v>45901.0</v>
      </c>
      <c r="B848" s="14" t="s">
        <v>47</v>
      </c>
      <c r="C848" s="14" t="s">
        <v>48</v>
      </c>
      <c r="D848" s="14" t="s">
        <v>168</v>
      </c>
      <c r="E848" s="14" t="s">
        <v>169</v>
      </c>
      <c r="F848" s="15" t="s">
        <v>51</v>
      </c>
      <c r="G848" s="14" t="s">
        <v>170</v>
      </c>
      <c r="H848" s="14" t="s">
        <v>168</v>
      </c>
      <c r="I848" s="14" t="s">
        <v>59</v>
      </c>
      <c r="J848" s="14" t="s">
        <v>200</v>
      </c>
      <c r="K848" s="14" t="s">
        <v>213</v>
      </c>
      <c r="L848" s="14" t="s">
        <v>289</v>
      </c>
      <c r="M848" s="14" t="s">
        <v>684</v>
      </c>
      <c r="N848" s="14" t="s">
        <v>685</v>
      </c>
      <c r="O848" s="14">
        <v>0.0</v>
      </c>
      <c r="P848" s="23">
        <v>0.0</v>
      </c>
      <c r="Q848" s="22" t="str">
        <f t="shared" ref="Q848:R848" si="506">"+0.00%"</f>
        <v>+0.00%</v>
      </c>
      <c r="R848" s="18" t="str">
        <f t="shared" si="506"/>
        <v>+0.00%</v>
      </c>
      <c r="S848" s="14" t="s">
        <v>285</v>
      </c>
    </row>
    <row r="849">
      <c r="A849" s="13">
        <v>45901.0</v>
      </c>
      <c r="B849" s="14" t="s">
        <v>47</v>
      </c>
      <c r="C849" s="14" t="s">
        <v>48</v>
      </c>
      <c r="D849" s="14" t="s">
        <v>181</v>
      </c>
      <c r="E849" s="14" t="s">
        <v>182</v>
      </c>
      <c r="F849" s="15" t="s">
        <v>51</v>
      </c>
      <c r="G849" s="14" t="s">
        <v>183</v>
      </c>
      <c r="H849" s="14" t="s">
        <v>181</v>
      </c>
      <c r="I849" s="14" t="s">
        <v>59</v>
      </c>
      <c r="J849" s="14" t="s">
        <v>200</v>
      </c>
      <c r="K849" s="14" t="s">
        <v>232</v>
      </c>
      <c r="L849" s="14" t="s">
        <v>607</v>
      </c>
      <c r="M849" s="14" t="s">
        <v>692</v>
      </c>
      <c r="N849" s="14" t="s">
        <v>693</v>
      </c>
      <c r="O849" s="14">
        <v>0.0</v>
      </c>
      <c r="P849" s="23">
        <v>0.0</v>
      </c>
      <c r="Q849" s="22" t="str">
        <f t="shared" ref="Q849:R849" si="507">"+0.00%"</f>
        <v>+0.00%</v>
      </c>
      <c r="R849" s="18" t="str">
        <f t="shared" si="507"/>
        <v>+0.00%</v>
      </c>
      <c r="S849" s="14" t="s">
        <v>285</v>
      </c>
    </row>
    <row r="850">
      <c r="A850" s="13">
        <v>45901.0</v>
      </c>
      <c r="B850" s="14" t="s">
        <v>47</v>
      </c>
      <c r="C850" s="14" t="s">
        <v>48</v>
      </c>
      <c r="D850" s="14" t="s">
        <v>56</v>
      </c>
      <c r="E850" s="14" t="s">
        <v>57</v>
      </c>
      <c r="F850" s="15" t="s">
        <v>51</v>
      </c>
      <c r="G850" s="14" t="s">
        <v>58</v>
      </c>
      <c r="H850" s="14" t="s">
        <v>56</v>
      </c>
      <c r="I850" s="14" t="s">
        <v>59</v>
      </c>
      <c r="J850" s="14" t="s">
        <v>200</v>
      </c>
      <c r="K850" s="14" t="s">
        <v>214</v>
      </c>
      <c r="L850" s="14" t="s">
        <v>253</v>
      </c>
      <c r="M850" s="14" t="s">
        <v>389</v>
      </c>
      <c r="N850" s="14" t="s">
        <v>390</v>
      </c>
      <c r="O850" s="14">
        <v>42.0</v>
      </c>
      <c r="P850" s="23">
        <v>0.4286</v>
      </c>
      <c r="Q850" s="22" t="str">
        <f>"+9.52%"</f>
        <v>+9.52%</v>
      </c>
      <c r="R850" s="18" t="str">
        <f>"-19.05%"</f>
        <v>-19.05%</v>
      </c>
      <c r="S850" s="14" t="s">
        <v>1164</v>
      </c>
    </row>
    <row r="851">
      <c r="A851" s="13">
        <v>45901.0</v>
      </c>
      <c r="B851" s="14" t="s">
        <v>47</v>
      </c>
      <c r="C851" s="14" t="s">
        <v>48</v>
      </c>
      <c r="D851" s="14" t="s">
        <v>60</v>
      </c>
      <c r="E851" s="14" t="s">
        <v>61</v>
      </c>
      <c r="F851" s="15" t="s">
        <v>51</v>
      </c>
      <c r="G851" s="14" t="s">
        <v>62</v>
      </c>
      <c r="H851" s="14" t="s">
        <v>60</v>
      </c>
      <c r="I851" s="14" t="s">
        <v>59</v>
      </c>
      <c r="J851" s="14" t="s">
        <v>200</v>
      </c>
      <c r="K851" s="14" t="s">
        <v>201</v>
      </c>
      <c r="L851" s="14" t="s">
        <v>253</v>
      </c>
      <c r="M851" s="14" t="s">
        <v>585</v>
      </c>
      <c r="N851" s="14" t="s">
        <v>586</v>
      </c>
      <c r="O851" s="14">
        <v>1.0</v>
      </c>
      <c r="P851" s="23">
        <v>4.0E-4</v>
      </c>
      <c r="Q851" s="22" t="str">
        <f>"-0.05%"</f>
        <v>-0.05%</v>
      </c>
      <c r="R851" s="18" t="str">
        <f>"-0.01%"</f>
        <v>-0.01%</v>
      </c>
      <c r="S851" s="14" t="s">
        <v>1071</v>
      </c>
    </row>
    <row r="852">
      <c r="A852" s="13">
        <v>45901.0</v>
      </c>
      <c r="B852" s="14" t="s">
        <v>47</v>
      </c>
      <c r="C852" s="14" t="s">
        <v>48</v>
      </c>
      <c r="D852" s="14" t="s">
        <v>165</v>
      </c>
      <c r="E852" s="14" t="s">
        <v>166</v>
      </c>
      <c r="F852" s="15" t="s">
        <v>51</v>
      </c>
      <c r="G852" s="14" t="s">
        <v>167</v>
      </c>
      <c r="H852" s="14" t="s">
        <v>165</v>
      </c>
      <c r="I852" s="14" t="s">
        <v>54</v>
      </c>
      <c r="J852" s="14" t="s">
        <v>200</v>
      </c>
      <c r="K852" s="14" t="s">
        <v>227</v>
      </c>
      <c r="L852" s="14" t="s">
        <v>270</v>
      </c>
      <c r="M852" s="14" t="s">
        <v>271</v>
      </c>
      <c r="N852" s="14" t="s">
        <v>272</v>
      </c>
      <c r="O852" s="14">
        <v>100.0</v>
      </c>
      <c r="P852" s="23">
        <v>1.0</v>
      </c>
      <c r="Q852" s="22" t="str">
        <f>"+192.68%"</f>
        <v>+192.68%</v>
      </c>
      <c r="R852" s="18" t="str">
        <f>"+170.44%"</f>
        <v>+170.44%</v>
      </c>
      <c r="S852" s="14" t="s">
        <v>273</v>
      </c>
    </row>
    <row r="853">
      <c r="A853" s="13">
        <v>45901.0</v>
      </c>
      <c r="B853" s="14" t="s">
        <v>47</v>
      </c>
      <c r="C853" s="14" t="s">
        <v>48</v>
      </c>
      <c r="D853" s="14" t="s">
        <v>63</v>
      </c>
      <c r="E853" s="14" t="s">
        <v>64</v>
      </c>
      <c r="F853" s="15" t="s">
        <v>51</v>
      </c>
      <c r="G853" s="14" t="s">
        <v>65</v>
      </c>
      <c r="H853" s="14" t="s">
        <v>63</v>
      </c>
      <c r="I853" s="14" t="s">
        <v>54</v>
      </c>
      <c r="J853" s="14" t="s">
        <v>199</v>
      </c>
      <c r="K853" s="14" t="s">
        <v>206</v>
      </c>
      <c r="L853" s="14" t="s">
        <v>295</v>
      </c>
      <c r="M853" s="14" t="s">
        <v>529</v>
      </c>
      <c r="N853" s="14" t="s">
        <v>530</v>
      </c>
      <c r="O853" s="14">
        <v>100.0</v>
      </c>
      <c r="P853" s="21">
        <v>1.0</v>
      </c>
      <c r="Q853" s="22" t="str">
        <f t="shared" ref="Q853:R853" si="508">"+0"</f>
        <v>+0</v>
      </c>
      <c r="R853" s="18" t="str">
        <f t="shared" si="508"/>
        <v>+0</v>
      </c>
      <c r="S853" s="14" t="s">
        <v>260</v>
      </c>
    </row>
    <row r="854">
      <c r="A854" s="13">
        <v>45901.0</v>
      </c>
      <c r="B854" s="14" t="s">
        <v>47</v>
      </c>
      <c r="C854" s="14" t="s">
        <v>48</v>
      </c>
      <c r="D854" s="14" t="s">
        <v>118</v>
      </c>
      <c r="E854" s="14" t="s">
        <v>119</v>
      </c>
      <c r="F854" s="15" t="s">
        <v>51</v>
      </c>
      <c r="G854" s="14" t="s">
        <v>120</v>
      </c>
      <c r="H854" s="14" t="s">
        <v>118</v>
      </c>
      <c r="I854" s="14" t="s">
        <v>59</v>
      </c>
      <c r="J854" s="14" t="s">
        <v>200</v>
      </c>
      <c r="K854" s="14" t="s">
        <v>228</v>
      </c>
      <c r="L854" s="14" t="s">
        <v>253</v>
      </c>
      <c r="M854" s="14" t="s">
        <v>1165</v>
      </c>
      <c r="N854" s="14" t="s">
        <v>1166</v>
      </c>
      <c r="O854" s="14">
        <v>85.0</v>
      </c>
      <c r="P854" s="23">
        <v>0.8535</v>
      </c>
      <c r="Q854" s="22" t="str">
        <f>"-2.01%"</f>
        <v>-2.01%</v>
      </c>
      <c r="R854" s="18" t="str">
        <f>"-4.57%"</f>
        <v>-4.57%</v>
      </c>
      <c r="S854" s="14" t="s">
        <v>1167</v>
      </c>
    </row>
    <row r="855">
      <c r="A855" s="13">
        <v>45901.0</v>
      </c>
      <c r="B855" s="14" t="s">
        <v>47</v>
      </c>
      <c r="C855" s="14" t="s">
        <v>48</v>
      </c>
      <c r="D855" s="14" t="s">
        <v>63</v>
      </c>
      <c r="E855" s="14" t="s">
        <v>64</v>
      </c>
      <c r="F855" s="15" t="s">
        <v>51</v>
      </c>
      <c r="G855" s="14" t="s">
        <v>65</v>
      </c>
      <c r="H855" s="14" t="s">
        <v>63</v>
      </c>
      <c r="I855" s="14" t="s">
        <v>54</v>
      </c>
      <c r="J855" s="14" t="s">
        <v>198</v>
      </c>
      <c r="K855" s="14" t="s">
        <v>210</v>
      </c>
      <c r="L855" s="14" t="s">
        <v>505</v>
      </c>
      <c r="M855" s="14" t="s">
        <v>831</v>
      </c>
      <c r="N855" s="14" t="s">
        <v>832</v>
      </c>
      <c r="O855" s="14">
        <v>0.0</v>
      </c>
      <c r="P855" s="21">
        <v>0.0</v>
      </c>
      <c r="Q855" s="22" t="str">
        <f t="shared" ref="Q855:R855" si="509">"+0"</f>
        <v>+0</v>
      </c>
      <c r="R855" s="18" t="str">
        <f t="shared" si="509"/>
        <v>+0</v>
      </c>
      <c r="S855" s="14" t="s">
        <v>277</v>
      </c>
    </row>
    <row r="856">
      <c r="A856" s="13">
        <v>45901.0</v>
      </c>
      <c r="B856" s="14" t="s">
        <v>47</v>
      </c>
      <c r="C856" s="14" t="s">
        <v>48</v>
      </c>
      <c r="D856" s="14" t="s">
        <v>63</v>
      </c>
      <c r="E856" s="14" t="s">
        <v>64</v>
      </c>
      <c r="F856" s="15" t="s">
        <v>51</v>
      </c>
      <c r="G856" s="14" t="s">
        <v>65</v>
      </c>
      <c r="H856" s="14" t="s">
        <v>63</v>
      </c>
      <c r="I856" s="14" t="s">
        <v>54</v>
      </c>
      <c r="J856" s="14" t="s">
        <v>198</v>
      </c>
      <c r="K856" s="14" t="s">
        <v>210</v>
      </c>
      <c r="L856" s="14" t="s">
        <v>278</v>
      </c>
      <c r="M856" s="14" t="s">
        <v>947</v>
      </c>
      <c r="N856" s="14" t="s">
        <v>948</v>
      </c>
      <c r="O856" s="14">
        <v>0.0</v>
      </c>
      <c r="P856" s="21">
        <v>0.0</v>
      </c>
      <c r="Q856" s="22" t="str">
        <f t="shared" ref="Q856:R856" si="510">"+0"</f>
        <v>+0</v>
      </c>
      <c r="R856" s="18" t="str">
        <f t="shared" si="510"/>
        <v>+0</v>
      </c>
      <c r="S856" s="14" t="s">
        <v>277</v>
      </c>
    </row>
    <row r="857">
      <c r="A857" s="13">
        <v>45901.0</v>
      </c>
      <c r="B857" s="14" t="s">
        <v>47</v>
      </c>
      <c r="C857" s="14" t="s">
        <v>48</v>
      </c>
      <c r="D857" s="14" t="s">
        <v>177</v>
      </c>
      <c r="E857" s="14" t="s">
        <v>178</v>
      </c>
      <c r="F857" s="14" t="s">
        <v>146</v>
      </c>
      <c r="G857" s="14" t="s">
        <v>179</v>
      </c>
      <c r="H857" s="14" t="s">
        <v>177</v>
      </c>
      <c r="I857" s="14" t="s">
        <v>107</v>
      </c>
      <c r="J857" s="14" t="s">
        <v>200</v>
      </c>
      <c r="K857" s="14" t="s">
        <v>226</v>
      </c>
      <c r="L857" s="14" t="s">
        <v>672</v>
      </c>
      <c r="M857" s="14" t="s">
        <v>673</v>
      </c>
      <c r="N857" s="14" t="s">
        <v>674</v>
      </c>
      <c r="O857" s="14">
        <v>100.0</v>
      </c>
      <c r="P857" s="23">
        <v>1.0</v>
      </c>
      <c r="Q857" s="22" t="str">
        <f t="shared" ref="Q857:R857" si="511">"+0.00%"</f>
        <v>+0.00%</v>
      </c>
      <c r="R857" s="18" t="str">
        <f t="shared" si="511"/>
        <v>+0.00%</v>
      </c>
      <c r="S857" s="14" t="s">
        <v>675</v>
      </c>
    </row>
    <row r="858">
      <c r="A858" s="13">
        <v>45901.0</v>
      </c>
      <c r="B858" s="14" t="s">
        <v>47</v>
      </c>
      <c r="C858" s="14" t="s">
        <v>48</v>
      </c>
      <c r="D858" s="14" t="s">
        <v>99</v>
      </c>
      <c r="E858" s="14" t="s">
        <v>100</v>
      </c>
      <c r="F858" s="15" t="s">
        <v>51</v>
      </c>
      <c r="G858" s="14" t="s">
        <v>101</v>
      </c>
      <c r="H858" s="14" t="s">
        <v>102</v>
      </c>
      <c r="I858" s="14" t="s">
        <v>54</v>
      </c>
      <c r="J858" s="14" t="s">
        <v>200</v>
      </c>
      <c r="K858" s="14" t="s">
        <v>202</v>
      </c>
      <c r="L858" s="14" t="s">
        <v>253</v>
      </c>
      <c r="M858" s="14" t="s">
        <v>874</v>
      </c>
      <c r="N858" s="14" t="s">
        <v>875</v>
      </c>
      <c r="O858" s="14">
        <v>100.0</v>
      </c>
      <c r="P858" s="23">
        <v>1.0</v>
      </c>
      <c r="Q858" s="22" t="str">
        <f t="shared" ref="Q858:R858" si="512">"+0.00%"</f>
        <v>+0.00%</v>
      </c>
      <c r="R858" s="18" t="str">
        <f t="shared" si="512"/>
        <v>+0.00%</v>
      </c>
      <c r="S858" s="14" t="s">
        <v>1168</v>
      </c>
    </row>
    <row r="859">
      <c r="A859" s="13">
        <v>45901.0</v>
      </c>
      <c r="B859" s="14" t="s">
        <v>47</v>
      </c>
      <c r="C859" s="14" t="s">
        <v>48</v>
      </c>
      <c r="D859" s="14" t="s">
        <v>63</v>
      </c>
      <c r="E859" s="14" t="s">
        <v>64</v>
      </c>
      <c r="F859" s="15" t="s">
        <v>51</v>
      </c>
      <c r="G859" s="14" t="s">
        <v>65</v>
      </c>
      <c r="H859" s="14" t="s">
        <v>63</v>
      </c>
      <c r="I859" s="14" t="s">
        <v>54</v>
      </c>
      <c r="J859" s="14" t="s">
        <v>199</v>
      </c>
      <c r="K859" s="14" t="s">
        <v>203</v>
      </c>
      <c r="L859" s="14" t="s">
        <v>725</v>
      </c>
      <c r="M859" s="14" t="s">
        <v>725</v>
      </c>
      <c r="N859" s="14" t="s">
        <v>726</v>
      </c>
      <c r="O859" s="14">
        <v>100.0</v>
      </c>
      <c r="P859" s="21">
        <v>4.0</v>
      </c>
      <c r="Q859" s="22" t="str">
        <f t="shared" ref="Q859:Q861" si="513">"+0"</f>
        <v>+0</v>
      </c>
      <c r="R859" s="18" t="str">
        <f>"+1"</f>
        <v>+1</v>
      </c>
      <c r="S859" s="14" t="s">
        <v>260</v>
      </c>
    </row>
    <row r="860">
      <c r="A860" s="13">
        <v>45901.0</v>
      </c>
      <c r="B860" s="14" t="s">
        <v>47</v>
      </c>
      <c r="C860" s="14" t="s">
        <v>48</v>
      </c>
      <c r="D860" s="14" t="s">
        <v>118</v>
      </c>
      <c r="E860" s="14" t="s">
        <v>119</v>
      </c>
      <c r="F860" s="15" t="s">
        <v>51</v>
      </c>
      <c r="G860" s="14" t="s">
        <v>120</v>
      </c>
      <c r="H860" s="14" t="s">
        <v>118</v>
      </c>
      <c r="I860" s="14" t="s">
        <v>59</v>
      </c>
      <c r="J860" s="14" t="s">
        <v>200</v>
      </c>
      <c r="K860" s="14" t="s">
        <v>222</v>
      </c>
      <c r="L860" s="14" t="s">
        <v>337</v>
      </c>
      <c r="M860" s="14" t="s">
        <v>1000</v>
      </c>
      <c r="N860" s="14" t="s">
        <v>1001</v>
      </c>
      <c r="O860" s="14">
        <v>0.0</v>
      </c>
      <c r="P860" s="21">
        <v>0.0</v>
      </c>
      <c r="Q860" s="22" t="str">
        <f t="shared" si="513"/>
        <v>+0</v>
      </c>
      <c r="R860" s="18" t="str">
        <f t="shared" ref="R860:R861" si="514">"+0"</f>
        <v>+0</v>
      </c>
      <c r="S860" s="14" t="s">
        <v>260</v>
      </c>
    </row>
    <row r="861">
      <c r="A861" s="13">
        <v>45901.0</v>
      </c>
      <c r="B861" s="14" t="s">
        <v>47</v>
      </c>
      <c r="C861" s="14" t="s">
        <v>48</v>
      </c>
      <c r="D861" s="14" t="s">
        <v>91</v>
      </c>
      <c r="E861" s="14" t="s">
        <v>92</v>
      </c>
      <c r="F861" s="14" t="s">
        <v>71</v>
      </c>
      <c r="G861" s="14">
        <v>5.00008612E8</v>
      </c>
      <c r="H861" s="14" t="s">
        <v>91</v>
      </c>
      <c r="I861" s="14" t="s">
        <v>59</v>
      </c>
      <c r="J861" s="14" t="s">
        <v>199</v>
      </c>
      <c r="K861" s="14" t="s">
        <v>203</v>
      </c>
      <c r="L861" s="14" t="s">
        <v>342</v>
      </c>
      <c r="M861" s="14" t="s">
        <v>342</v>
      </c>
      <c r="N861" s="14" t="s">
        <v>343</v>
      </c>
      <c r="O861" s="14">
        <v>100.0</v>
      </c>
      <c r="P861" s="21">
        <v>163.0</v>
      </c>
      <c r="Q861" s="22" t="str">
        <f t="shared" si="513"/>
        <v>+0</v>
      </c>
      <c r="R861" s="18" t="str">
        <f t="shared" si="514"/>
        <v>+0</v>
      </c>
      <c r="S861" s="14" t="s">
        <v>260</v>
      </c>
    </row>
    <row r="862">
      <c r="A862" s="13">
        <v>45901.0</v>
      </c>
      <c r="B862" s="14" t="s">
        <v>47</v>
      </c>
      <c r="C862" s="14" t="s">
        <v>48</v>
      </c>
      <c r="D862" s="14" t="s">
        <v>91</v>
      </c>
      <c r="E862" s="14" t="s">
        <v>92</v>
      </c>
      <c r="F862" s="14" t="s">
        <v>71</v>
      </c>
      <c r="G862" s="14">
        <v>5.00008613E8</v>
      </c>
      <c r="H862" s="14" t="s">
        <v>91</v>
      </c>
      <c r="I862" s="14" t="s">
        <v>59</v>
      </c>
      <c r="J862" s="14" t="s">
        <v>199</v>
      </c>
      <c r="K862" s="14" t="s">
        <v>203</v>
      </c>
      <c r="L862" s="14" t="s">
        <v>340</v>
      </c>
      <c r="M862" s="14" t="s">
        <v>340</v>
      </c>
      <c r="N862" s="14" t="s">
        <v>341</v>
      </c>
      <c r="O862" s="14">
        <v>0.0</v>
      </c>
      <c r="P862" s="21">
        <v>0.0</v>
      </c>
      <c r="Q862" s="22" t="str">
        <f>"-1"</f>
        <v>-1</v>
      </c>
      <c r="R862" s="18" t="str">
        <f>"-3"</f>
        <v>-3</v>
      </c>
      <c r="S862" s="14" t="s">
        <v>260</v>
      </c>
    </row>
    <row r="863">
      <c r="A863" s="13">
        <v>45901.0</v>
      </c>
      <c r="B863" s="14" t="s">
        <v>47</v>
      </c>
      <c r="C863" s="14" t="s">
        <v>48</v>
      </c>
      <c r="D863" s="14" t="s">
        <v>192</v>
      </c>
      <c r="E863" s="14" t="s">
        <v>193</v>
      </c>
      <c r="F863" s="15" t="s">
        <v>51</v>
      </c>
      <c r="G863" s="14" t="s">
        <v>194</v>
      </c>
      <c r="H863" s="14" t="s">
        <v>192</v>
      </c>
      <c r="I863" s="14" t="s">
        <v>54</v>
      </c>
      <c r="J863" s="14" t="s">
        <v>200</v>
      </c>
      <c r="K863" s="14" t="s">
        <v>223</v>
      </c>
      <c r="L863" s="14" t="s">
        <v>304</v>
      </c>
      <c r="M863" s="14" t="s">
        <v>688</v>
      </c>
      <c r="N863" s="14" t="s">
        <v>689</v>
      </c>
      <c r="O863" s="14">
        <v>75.0</v>
      </c>
      <c r="P863" s="23">
        <v>0.7551</v>
      </c>
      <c r="Q863" s="22" t="str">
        <f>"+2.17%"</f>
        <v>+2.17%</v>
      </c>
      <c r="R863" s="18" t="str">
        <f>"-0.58%"</f>
        <v>-0.58%</v>
      </c>
      <c r="S863" s="14" t="s">
        <v>1169</v>
      </c>
    </row>
    <row r="864">
      <c r="A864" s="13">
        <v>45901.0</v>
      </c>
      <c r="B864" s="14" t="s">
        <v>47</v>
      </c>
      <c r="C864" s="14" t="s">
        <v>48</v>
      </c>
      <c r="D864" s="14" t="s">
        <v>93</v>
      </c>
      <c r="E864" s="14" t="s">
        <v>94</v>
      </c>
      <c r="F864" s="14" t="s">
        <v>71</v>
      </c>
      <c r="G864" s="14">
        <v>5.36001438E8</v>
      </c>
      <c r="H864" s="14" t="s">
        <v>95</v>
      </c>
      <c r="I864" s="14" t="s">
        <v>59</v>
      </c>
      <c r="J864" s="14" t="s">
        <v>200</v>
      </c>
      <c r="K864" s="14" t="s">
        <v>218</v>
      </c>
      <c r="L864" s="14" t="s">
        <v>253</v>
      </c>
      <c r="M864" s="14" t="s">
        <v>784</v>
      </c>
      <c r="N864" s="14" t="s">
        <v>785</v>
      </c>
      <c r="O864" s="14">
        <v>1.0</v>
      </c>
      <c r="P864" s="23">
        <v>0.0023</v>
      </c>
      <c r="Q864" s="22" t="str">
        <f>"+0.09%"</f>
        <v>+0.09%</v>
      </c>
      <c r="R864" s="18" t="str">
        <f>"+0.15%"</f>
        <v>+0.15%</v>
      </c>
      <c r="S864" s="14" t="s">
        <v>1170</v>
      </c>
    </row>
    <row r="865">
      <c r="A865" s="13">
        <v>45901.0</v>
      </c>
      <c r="B865" s="14" t="s">
        <v>47</v>
      </c>
      <c r="C865" s="14" t="s">
        <v>48</v>
      </c>
      <c r="D865" s="14" t="s">
        <v>66</v>
      </c>
      <c r="E865" s="14" t="s">
        <v>67</v>
      </c>
      <c r="F865" s="15" t="s">
        <v>51</v>
      </c>
      <c r="G865" s="14" t="s">
        <v>68</v>
      </c>
      <c r="H865" s="14" t="s">
        <v>66</v>
      </c>
      <c r="I865" s="14" t="s">
        <v>59</v>
      </c>
      <c r="J865" s="14" t="s">
        <v>200</v>
      </c>
      <c r="K865" s="14" t="s">
        <v>223</v>
      </c>
      <c r="L865" s="14" t="s">
        <v>607</v>
      </c>
      <c r="M865" s="14" t="s">
        <v>608</v>
      </c>
      <c r="N865" s="14" t="s">
        <v>609</v>
      </c>
      <c r="O865" s="14">
        <v>0.0</v>
      </c>
      <c r="P865" s="23">
        <v>0.0</v>
      </c>
      <c r="Q865" s="22" t="str">
        <f t="shared" ref="Q865:R865" si="515">"+0.00%"</f>
        <v>+0.00%</v>
      </c>
      <c r="R865" s="18" t="str">
        <f t="shared" si="515"/>
        <v>+0.00%</v>
      </c>
      <c r="S865" s="14" t="s">
        <v>1171</v>
      </c>
    </row>
    <row r="866">
      <c r="A866" s="13">
        <v>45901.0</v>
      </c>
      <c r="B866" s="14" t="s">
        <v>47</v>
      </c>
      <c r="C866" s="14" t="s">
        <v>48</v>
      </c>
      <c r="D866" s="14" t="s">
        <v>132</v>
      </c>
      <c r="E866" s="14" t="s">
        <v>133</v>
      </c>
      <c r="F866" s="15" t="s">
        <v>51</v>
      </c>
      <c r="G866" s="14" t="s">
        <v>134</v>
      </c>
      <c r="H866" s="14" t="s">
        <v>135</v>
      </c>
      <c r="I866" s="14" t="s">
        <v>59</v>
      </c>
      <c r="J866" s="14" t="s">
        <v>198</v>
      </c>
      <c r="K866" s="14" t="s">
        <v>210</v>
      </c>
      <c r="L866" s="14" t="s">
        <v>458</v>
      </c>
      <c r="M866" s="14" t="s">
        <v>459</v>
      </c>
      <c r="N866" s="14" t="s">
        <v>460</v>
      </c>
      <c r="O866" s="14">
        <v>100.0</v>
      </c>
      <c r="P866" s="21">
        <v>0.0</v>
      </c>
      <c r="Q866" s="22" t="str">
        <f t="shared" ref="Q866:R866" si="516">"+0"</f>
        <v>+0</v>
      </c>
      <c r="R866" s="18" t="str">
        <f t="shared" si="516"/>
        <v>+0</v>
      </c>
      <c r="S866" s="14" t="s">
        <v>281</v>
      </c>
    </row>
    <row r="867">
      <c r="A867" s="13">
        <v>45901.0</v>
      </c>
      <c r="B867" s="14" t="s">
        <v>47</v>
      </c>
      <c r="C867" s="14" t="s">
        <v>48</v>
      </c>
      <c r="D867" s="14" t="s">
        <v>87</v>
      </c>
      <c r="E867" s="14" t="s">
        <v>88</v>
      </c>
      <c r="F867" s="15" t="s">
        <v>51</v>
      </c>
      <c r="G867" s="14" t="s">
        <v>89</v>
      </c>
      <c r="H867" s="14" t="s">
        <v>90</v>
      </c>
      <c r="I867" s="14" t="s">
        <v>59</v>
      </c>
      <c r="J867" s="14" t="s">
        <v>199</v>
      </c>
      <c r="K867" s="14" t="s">
        <v>206</v>
      </c>
      <c r="L867" s="14" t="s">
        <v>569</v>
      </c>
      <c r="M867" s="14" t="s">
        <v>569</v>
      </c>
      <c r="N867" s="14" t="s">
        <v>570</v>
      </c>
      <c r="O867" s="14">
        <v>75.0</v>
      </c>
      <c r="P867" s="21">
        <v>2.0</v>
      </c>
      <c r="Q867" s="22" t="str">
        <f t="shared" ref="Q867:R867" si="517">"+0"</f>
        <v>+0</v>
      </c>
      <c r="R867" s="18" t="str">
        <f t="shared" si="517"/>
        <v>+0</v>
      </c>
      <c r="S867" s="14" t="s">
        <v>383</v>
      </c>
    </row>
    <row r="868">
      <c r="A868" s="13">
        <v>45901.0</v>
      </c>
      <c r="B868" s="14" t="s">
        <v>47</v>
      </c>
      <c r="C868" s="14" t="s">
        <v>48</v>
      </c>
      <c r="D868" s="14" t="s">
        <v>149</v>
      </c>
      <c r="E868" s="14" t="s">
        <v>150</v>
      </c>
      <c r="F868" s="15" t="s">
        <v>51</v>
      </c>
      <c r="G868" s="14" t="s">
        <v>151</v>
      </c>
      <c r="H868" s="14" t="s">
        <v>152</v>
      </c>
      <c r="I868" s="14" t="s">
        <v>54</v>
      </c>
      <c r="J868" s="14" t="s">
        <v>198</v>
      </c>
      <c r="K868" s="14" t="s">
        <v>212</v>
      </c>
      <c r="L868" s="14" t="s">
        <v>344</v>
      </c>
      <c r="M868" s="14" t="s">
        <v>345</v>
      </c>
      <c r="N868" s="14" t="s">
        <v>346</v>
      </c>
      <c r="O868" s="14">
        <v>0.0</v>
      </c>
      <c r="P868" s="21">
        <v>0.0</v>
      </c>
      <c r="Q868" s="22" t="str">
        <f t="shared" ref="Q868:R868" si="518">"+0"</f>
        <v>+0</v>
      </c>
      <c r="R868" s="18" t="str">
        <f t="shared" si="518"/>
        <v>+0</v>
      </c>
      <c r="S868" s="14" t="s">
        <v>277</v>
      </c>
    </row>
    <row r="869">
      <c r="A869" s="13">
        <v>45901.0</v>
      </c>
      <c r="B869" s="14" t="s">
        <v>47</v>
      </c>
      <c r="C869" s="14" t="s">
        <v>48</v>
      </c>
      <c r="D869" s="14" t="s">
        <v>136</v>
      </c>
      <c r="E869" s="14" t="s">
        <v>137</v>
      </c>
      <c r="F869" s="15" t="s">
        <v>51</v>
      </c>
      <c r="G869" s="14" t="s">
        <v>138</v>
      </c>
      <c r="H869" s="14" t="s">
        <v>139</v>
      </c>
      <c r="I869" s="14" t="s">
        <v>59</v>
      </c>
      <c r="J869" s="14" t="s">
        <v>200</v>
      </c>
      <c r="K869" s="14" t="s">
        <v>224</v>
      </c>
      <c r="L869" s="14" t="s">
        <v>392</v>
      </c>
      <c r="M869" s="14" t="s">
        <v>1172</v>
      </c>
      <c r="N869" s="14" t="s">
        <v>1173</v>
      </c>
      <c r="O869" s="14">
        <v>100.0</v>
      </c>
      <c r="P869" s="23">
        <v>1.0</v>
      </c>
      <c r="Q869" s="22" t="str">
        <f>"+0.00%"</f>
        <v>+0.00%</v>
      </c>
      <c r="S869" s="14" t="s">
        <v>1174</v>
      </c>
    </row>
    <row r="870">
      <c r="A870" s="13">
        <v>45901.0</v>
      </c>
      <c r="B870" s="14" t="s">
        <v>47</v>
      </c>
      <c r="C870" s="14" t="s">
        <v>48</v>
      </c>
      <c r="D870" s="14" t="s">
        <v>87</v>
      </c>
      <c r="E870" s="14" t="s">
        <v>88</v>
      </c>
      <c r="F870" s="15" t="s">
        <v>51</v>
      </c>
      <c r="G870" s="14" t="s">
        <v>89</v>
      </c>
      <c r="H870" s="14" t="s">
        <v>90</v>
      </c>
      <c r="I870" s="14" t="s">
        <v>59</v>
      </c>
      <c r="J870" s="14" t="s">
        <v>198</v>
      </c>
      <c r="K870" s="14" t="s">
        <v>210</v>
      </c>
      <c r="L870" s="14" t="s">
        <v>264</v>
      </c>
      <c r="M870" s="14" t="s">
        <v>265</v>
      </c>
      <c r="N870" s="14" t="s">
        <v>266</v>
      </c>
      <c r="O870" s="14">
        <v>78.0</v>
      </c>
      <c r="P870" s="21">
        <v>41.0</v>
      </c>
      <c r="Q870" s="22" t="str">
        <f>"-3"</f>
        <v>-3</v>
      </c>
      <c r="R870" s="18" t="str">
        <f>"-30"</f>
        <v>-30</v>
      </c>
      <c r="S870" s="14" t="s">
        <v>1175</v>
      </c>
    </row>
    <row r="871">
      <c r="A871" s="13">
        <v>45901.0</v>
      </c>
      <c r="B871" s="14" t="s">
        <v>47</v>
      </c>
      <c r="C871" s="14" t="s">
        <v>48</v>
      </c>
      <c r="D871" s="14" t="s">
        <v>149</v>
      </c>
      <c r="E871" s="14" t="s">
        <v>150</v>
      </c>
      <c r="F871" s="15" t="s">
        <v>51</v>
      </c>
      <c r="G871" s="14" t="s">
        <v>151</v>
      </c>
      <c r="H871" s="14" t="s">
        <v>152</v>
      </c>
      <c r="I871" s="14" t="s">
        <v>54</v>
      </c>
      <c r="J871" s="14" t="s">
        <v>200</v>
      </c>
      <c r="K871" s="14" t="s">
        <v>223</v>
      </c>
      <c r="L871" s="14" t="s">
        <v>307</v>
      </c>
      <c r="M871" s="14" t="s">
        <v>1176</v>
      </c>
      <c r="N871" s="14" t="s">
        <v>1177</v>
      </c>
      <c r="O871" s="14">
        <v>0.0</v>
      </c>
      <c r="P871" s="23">
        <v>0.0</v>
      </c>
      <c r="Q871" s="22" t="str">
        <f t="shared" ref="Q871:R871" si="519">"+0.00%"</f>
        <v>+0.00%</v>
      </c>
      <c r="R871" s="18" t="str">
        <f t="shared" si="519"/>
        <v>+0.00%</v>
      </c>
      <c r="S871" s="14" t="s">
        <v>285</v>
      </c>
    </row>
    <row r="872">
      <c r="A872" s="13">
        <v>45901.0</v>
      </c>
      <c r="B872" s="14" t="s">
        <v>47</v>
      </c>
      <c r="C872" s="14" t="s">
        <v>48</v>
      </c>
      <c r="D872" s="14" t="s">
        <v>85</v>
      </c>
      <c r="E872" s="14" t="s">
        <v>86</v>
      </c>
      <c r="F872" s="15" t="s">
        <v>51</v>
      </c>
      <c r="G872" s="14" t="s">
        <v>148</v>
      </c>
      <c r="H872" s="14" t="s">
        <v>85</v>
      </c>
      <c r="I872" s="14" t="s">
        <v>59</v>
      </c>
      <c r="J872" s="14" t="s">
        <v>200</v>
      </c>
      <c r="K872" s="14" t="s">
        <v>242</v>
      </c>
      <c r="L872" s="14" t="s">
        <v>253</v>
      </c>
      <c r="M872" s="14" t="s">
        <v>1178</v>
      </c>
      <c r="N872" s="14" t="s">
        <v>1179</v>
      </c>
      <c r="O872" s="14">
        <v>1.0</v>
      </c>
      <c r="P872" s="23">
        <v>0.0</v>
      </c>
      <c r="Q872" s="22" t="str">
        <f t="shared" ref="Q872:R872" si="520">"-0.00%"</f>
        <v>-0.00%</v>
      </c>
      <c r="R872" s="18" t="str">
        <f t="shared" si="520"/>
        <v>-0.00%</v>
      </c>
      <c r="S872" s="14" t="s">
        <v>1180</v>
      </c>
    </row>
    <row r="873">
      <c r="A873" s="13">
        <v>45901.0</v>
      </c>
      <c r="B873" s="14" t="s">
        <v>47</v>
      </c>
      <c r="C873" s="14" t="s">
        <v>48</v>
      </c>
      <c r="D873" s="14" t="s">
        <v>125</v>
      </c>
      <c r="E873" s="14" t="s">
        <v>126</v>
      </c>
      <c r="F873" s="15" t="s">
        <v>51</v>
      </c>
      <c r="G873" s="14" t="s">
        <v>127</v>
      </c>
      <c r="H873" s="14" t="s">
        <v>125</v>
      </c>
      <c r="I873" s="14" t="s">
        <v>59</v>
      </c>
      <c r="J873" s="14" t="s">
        <v>199</v>
      </c>
      <c r="K873" s="14" t="s">
        <v>206</v>
      </c>
      <c r="L873" s="14" t="s">
        <v>295</v>
      </c>
      <c r="M873" s="14" t="s">
        <v>461</v>
      </c>
      <c r="N873" s="14" t="s">
        <v>462</v>
      </c>
      <c r="O873" s="14">
        <v>0.0</v>
      </c>
      <c r="P873" s="21">
        <v>0.0</v>
      </c>
      <c r="Q873" s="22" t="str">
        <f t="shared" ref="Q873:R873" si="521">"+0"</f>
        <v>+0</v>
      </c>
      <c r="R873" s="18" t="str">
        <f t="shared" si="521"/>
        <v>+0</v>
      </c>
      <c r="S873" s="14" t="s">
        <v>260</v>
      </c>
    </row>
    <row r="874">
      <c r="A874" s="13">
        <v>45901.0</v>
      </c>
      <c r="B874" s="14" t="s">
        <v>47</v>
      </c>
      <c r="C874" s="14" t="s">
        <v>48</v>
      </c>
      <c r="D874" s="14" t="s">
        <v>69</v>
      </c>
      <c r="E874" s="14" t="s">
        <v>70</v>
      </c>
      <c r="F874" s="15" t="s">
        <v>51</v>
      </c>
      <c r="G874" s="14" t="s">
        <v>115</v>
      </c>
      <c r="H874" s="14" t="s">
        <v>72</v>
      </c>
      <c r="I874" s="14" t="s">
        <v>54</v>
      </c>
      <c r="J874" s="14" t="s">
        <v>200</v>
      </c>
      <c r="K874" s="14" t="s">
        <v>222</v>
      </c>
      <c r="L874" s="14" t="s">
        <v>1161</v>
      </c>
      <c r="M874" s="14" t="s">
        <v>1181</v>
      </c>
      <c r="N874" s="14" t="s">
        <v>1182</v>
      </c>
      <c r="O874" s="14">
        <v>0.0</v>
      </c>
      <c r="P874" s="21">
        <v>0.0</v>
      </c>
      <c r="Q874" s="22" t="str">
        <f t="shared" ref="Q874:R874" si="522">"+0"</f>
        <v>+0</v>
      </c>
      <c r="R874" s="18" t="str">
        <f t="shared" si="522"/>
        <v>+0</v>
      </c>
      <c r="S874" s="14" t="s">
        <v>260</v>
      </c>
    </row>
    <row r="875">
      <c r="A875" s="13">
        <v>45901.0</v>
      </c>
      <c r="B875" s="14" t="s">
        <v>47</v>
      </c>
      <c r="C875" s="14" t="s">
        <v>48</v>
      </c>
      <c r="D875" s="14" t="s">
        <v>69</v>
      </c>
      <c r="E875" s="14" t="s">
        <v>70</v>
      </c>
      <c r="F875" s="15" t="s">
        <v>51</v>
      </c>
      <c r="G875" s="14" t="s">
        <v>115</v>
      </c>
      <c r="H875" s="14" t="s">
        <v>72</v>
      </c>
      <c r="I875" s="14" t="s">
        <v>54</v>
      </c>
      <c r="J875" s="14" t="s">
        <v>199</v>
      </c>
      <c r="K875" s="14" t="s">
        <v>203</v>
      </c>
      <c r="L875" s="14" t="s">
        <v>1183</v>
      </c>
      <c r="M875" s="14" t="s">
        <v>1184</v>
      </c>
      <c r="N875" s="14" t="s">
        <v>1185</v>
      </c>
      <c r="O875" s="14">
        <v>2.0</v>
      </c>
      <c r="P875" s="23">
        <v>0.029</v>
      </c>
      <c r="Q875" s="22" t="str">
        <f>"-2.90%"</f>
        <v>-2.90%</v>
      </c>
      <c r="R875" s="18" t="str">
        <f>"-3.07%"</f>
        <v>-3.07%</v>
      </c>
      <c r="S875" s="14" t="s">
        <v>371</v>
      </c>
    </row>
    <row r="876">
      <c r="A876" s="13">
        <v>45901.0</v>
      </c>
      <c r="B876" s="14" t="s">
        <v>47</v>
      </c>
      <c r="C876" s="14" t="s">
        <v>48</v>
      </c>
      <c r="D876" s="14" t="s">
        <v>174</v>
      </c>
      <c r="E876" s="14" t="s">
        <v>175</v>
      </c>
      <c r="F876" s="15" t="s">
        <v>51</v>
      </c>
      <c r="G876" s="14" t="s">
        <v>176</v>
      </c>
      <c r="H876" s="14" t="s">
        <v>174</v>
      </c>
      <c r="I876" s="14" t="s">
        <v>59</v>
      </c>
      <c r="J876" s="14" t="s">
        <v>199</v>
      </c>
      <c r="K876" s="14" t="s">
        <v>206</v>
      </c>
      <c r="L876" s="14" t="s">
        <v>569</v>
      </c>
      <c r="M876" s="14" t="s">
        <v>569</v>
      </c>
      <c r="N876" s="14" t="s">
        <v>570</v>
      </c>
      <c r="O876" s="14">
        <v>50.0</v>
      </c>
      <c r="P876" s="21">
        <v>2.0</v>
      </c>
      <c r="Q876" s="22" t="str">
        <f>"-1"</f>
        <v>-1</v>
      </c>
      <c r="R876" s="18" t="str">
        <f>"+0"</f>
        <v>+0</v>
      </c>
      <c r="S876" s="14" t="s">
        <v>383</v>
      </c>
    </row>
    <row r="877">
      <c r="A877" s="13">
        <v>45901.0</v>
      </c>
      <c r="B877" s="14" t="s">
        <v>47</v>
      </c>
      <c r="C877" s="14" t="s">
        <v>48</v>
      </c>
      <c r="D877" s="14" t="s">
        <v>158</v>
      </c>
      <c r="E877" s="14" t="s">
        <v>159</v>
      </c>
      <c r="F877" s="15" t="s">
        <v>51</v>
      </c>
      <c r="G877" s="14" t="s">
        <v>160</v>
      </c>
      <c r="H877" s="14" t="s">
        <v>158</v>
      </c>
      <c r="I877" s="14" t="s">
        <v>54</v>
      </c>
      <c r="J877" s="14" t="s">
        <v>200</v>
      </c>
      <c r="K877" s="14" t="s">
        <v>227</v>
      </c>
      <c r="L877" s="14" t="s">
        <v>721</v>
      </c>
      <c r="M877" s="14" t="s">
        <v>748</v>
      </c>
      <c r="N877" s="14" t="s">
        <v>749</v>
      </c>
      <c r="O877" s="14">
        <v>0.0</v>
      </c>
      <c r="P877" s="23">
        <v>-1.0</v>
      </c>
      <c r="Q877" s="22" t="str">
        <f t="shared" ref="Q877:R877" si="523">"+0.00%"</f>
        <v>+0.00%</v>
      </c>
      <c r="R877" s="18" t="str">
        <f t="shared" si="523"/>
        <v>+0.00%</v>
      </c>
      <c r="S877" s="14" t="s">
        <v>750</v>
      </c>
    </row>
    <row r="878">
      <c r="A878" s="13">
        <v>45901.0</v>
      </c>
      <c r="B878" s="14" t="s">
        <v>47</v>
      </c>
      <c r="C878" s="14" t="s">
        <v>48</v>
      </c>
      <c r="D878" s="14" t="s">
        <v>108</v>
      </c>
      <c r="E878" s="14" t="s">
        <v>109</v>
      </c>
      <c r="F878" s="14" t="s">
        <v>79</v>
      </c>
      <c r="G878" s="14" t="s">
        <v>153</v>
      </c>
      <c r="H878" s="14" t="s">
        <v>108</v>
      </c>
      <c r="I878" s="14" t="s">
        <v>154</v>
      </c>
      <c r="J878" s="14" t="s">
        <v>200</v>
      </c>
      <c r="K878" s="14" t="s">
        <v>237</v>
      </c>
      <c r="L878" s="14" t="s">
        <v>333</v>
      </c>
      <c r="M878" s="14" t="s">
        <v>1186</v>
      </c>
      <c r="N878" s="14" t="s">
        <v>1187</v>
      </c>
      <c r="O878" s="14">
        <v>0.0</v>
      </c>
      <c r="P878" s="23">
        <v>-1.0</v>
      </c>
      <c r="Q878" s="22" t="str">
        <f>"+0.00%"</f>
        <v>+0.00%</v>
      </c>
      <c r="S878" s="14" t="s">
        <v>285</v>
      </c>
    </row>
    <row r="879">
      <c r="A879" s="13">
        <v>45901.0</v>
      </c>
      <c r="B879" s="14" t="s">
        <v>47</v>
      </c>
      <c r="C879" s="14" t="s">
        <v>48</v>
      </c>
      <c r="D879" s="14" t="s">
        <v>77</v>
      </c>
      <c r="E879" s="14" t="s">
        <v>78</v>
      </c>
      <c r="F879" s="14" t="s">
        <v>79</v>
      </c>
      <c r="G879" s="14" t="s">
        <v>80</v>
      </c>
      <c r="H879" s="14" t="s">
        <v>81</v>
      </c>
      <c r="J879" s="14" t="s">
        <v>198</v>
      </c>
      <c r="K879" s="14" t="s">
        <v>212</v>
      </c>
      <c r="L879" s="14" t="s">
        <v>249</v>
      </c>
      <c r="M879" s="14" t="s">
        <v>1188</v>
      </c>
      <c r="N879" s="14" t="s">
        <v>1189</v>
      </c>
      <c r="O879" s="14">
        <v>100.0</v>
      </c>
      <c r="P879" s="21">
        <v>0.0</v>
      </c>
      <c r="Q879" s="22" t="str">
        <f>"+0"</f>
        <v>+0</v>
      </c>
      <c r="S879" s="14" t="s">
        <v>281</v>
      </c>
    </row>
    <row r="880">
      <c r="A880" s="13">
        <v>45901.0</v>
      </c>
      <c r="B880" s="14" t="s">
        <v>47</v>
      </c>
      <c r="C880" s="14" t="s">
        <v>48</v>
      </c>
      <c r="D880" s="14" t="s">
        <v>56</v>
      </c>
      <c r="E880" s="14" t="s">
        <v>57</v>
      </c>
      <c r="F880" s="15" t="s">
        <v>51</v>
      </c>
      <c r="G880" s="14" t="s">
        <v>58</v>
      </c>
      <c r="H880" s="14" t="s">
        <v>56</v>
      </c>
      <c r="I880" s="14" t="s">
        <v>59</v>
      </c>
      <c r="J880" s="14" t="s">
        <v>200</v>
      </c>
      <c r="K880" s="14" t="s">
        <v>223</v>
      </c>
      <c r="L880" s="14" t="s">
        <v>304</v>
      </c>
      <c r="M880" s="14" t="s">
        <v>702</v>
      </c>
      <c r="N880" s="14" t="s">
        <v>703</v>
      </c>
      <c r="O880" s="14">
        <v>100.0</v>
      </c>
      <c r="P880" s="23">
        <v>0.12</v>
      </c>
      <c r="Q880" s="22" t="str">
        <f>"-13.00%"</f>
        <v>-13.00%</v>
      </c>
      <c r="R880" s="18" t="str">
        <f>"+3.67%"</f>
        <v>+3.67%</v>
      </c>
      <c r="S880" s="14" t="s">
        <v>285</v>
      </c>
    </row>
    <row r="881">
      <c r="A881" s="13">
        <v>45901.0</v>
      </c>
      <c r="B881" s="14" t="s">
        <v>47</v>
      </c>
      <c r="C881" s="14" t="s">
        <v>48</v>
      </c>
      <c r="D881" s="14" t="s">
        <v>155</v>
      </c>
      <c r="E881" s="14" t="s">
        <v>156</v>
      </c>
      <c r="F881" s="15" t="s">
        <v>51</v>
      </c>
      <c r="G881" s="14" t="s">
        <v>157</v>
      </c>
      <c r="H881" s="14" t="s">
        <v>155</v>
      </c>
      <c r="I881" s="14" t="s">
        <v>59</v>
      </c>
      <c r="J881" s="14" t="s">
        <v>200</v>
      </c>
      <c r="K881" s="14" t="s">
        <v>223</v>
      </c>
      <c r="L881" s="14" t="s">
        <v>363</v>
      </c>
      <c r="M881" s="14" t="s">
        <v>364</v>
      </c>
      <c r="N881" s="14" t="s">
        <v>365</v>
      </c>
      <c r="O881" s="14">
        <v>0.0</v>
      </c>
      <c r="P881" s="17"/>
      <c r="Q881" s="22"/>
      <c r="S881" s="14" t="s">
        <v>285</v>
      </c>
    </row>
    <row r="882">
      <c r="A882" s="13">
        <v>45901.0</v>
      </c>
      <c r="B882" s="14" t="s">
        <v>47</v>
      </c>
      <c r="C882" s="14" t="s">
        <v>48</v>
      </c>
      <c r="D882" s="14" t="s">
        <v>165</v>
      </c>
      <c r="E882" s="14" t="s">
        <v>166</v>
      </c>
      <c r="F882" s="15" t="s">
        <v>51</v>
      </c>
      <c r="G882" s="14" t="s">
        <v>167</v>
      </c>
      <c r="H882" s="14" t="s">
        <v>165</v>
      </c>
      <c r="I882" s="14" t="s">
        <v>54</v>
      </c>
      <c r="J882" s="14" t="s">
        <v>198</v>
      </c>
      <c r="K882" s="14" t="s">
        <v>210</v>
      </c>
      <c r="L882" s="14" t="s">
        <v>264</v>
      </c>
      <c r="M882" s="14" t="s">
        <v>910</v>
      </c>
      <c r="N882" s="14" t="s">
        <v>911</v>
      </c>
      <c r="O882" s="14">
        <v>0.0</v>
      </c>
      <c r="P882" s="21">
        <v>0.0</v>
      </c>
      <c r="Q882" s="22" t="str">
        <f t="shared" ref="Q882:R882" si="524">"+0"</f>
        <v>+0</v>
      </c>
      <c r="R882" s="18" t="str">
        <f t="shared" si="524"/>
        <v>+0</v>
      </c>
      <c r="S882" s="14" t="s">
        <v>277</v>
      </c>
    </row>
    <row r="883">
      <c r="A883" s="13">
        <v>45901.0</v>
      </c>
      <c r="B883" s="14" t="s">
        <v>47</v>
      </c>
      <c r="C883" s="14" t="s">
        <v>48</v>
      </c>
      <c r="D883" s="14" t="s">
        <v>165</v>
      </c>
      <c r="E883" s="14" t="s">
        <v>166</v>
      </c>
      <c r="F883" s="15" t="s">
        <v>51</v>
      </c>
      <c r="G883" s="14" t="s">
        <v>167</v>
      </c>
      <c r="H883" s="14" t="s">
        <v>165</v>
      </c>
      <c r="I883" s="14" t="s">
        <v>54</v>
      </c>
      <c r="J883" s="14" t="s">
        <v>198</v>
      </c>
      <c r="K883" s="14" t="s">
        <v>212</v>
      </c>
      <c r="L883" s="14" t="s">
        <v>249</v>
      </c>
      <c r="M883" s="14" t="s">
        <v>686</v>
      </c>
      <c r="N883" s="14" t="s">
        <v>687</v>
      </c>
      <c r="O883" s="14">
        <v>0.0</v>
      </c>
      <c r="P883" s="21">
        <v>0.0</v>
      </c>
      <c r="Q883" s="22" t="str">
        <f t="shared" ref="Q883:R883" si="525">"+0"</f>
        <v>+0</v>
      </c>
      <c r="R883" s="18" t="str">
        <f t="shared" si="525"/>
        <v>+0</v>
      </c>
      <c r="S883" s="14" t="s">
        <v>277</v>
      </c>
    </row>
    <row r="884">
      <c r="A884" s="13">
        <v>45901.0</v>
      </c>
      <c r="B884" s="14" t="s">
        <v>47</v>
      </c>
      <c r="C884" s="14" t="s">
        <v>48</v>
      </c>
      <c r="D884" s="14" t="s">
        <v>91</v>
      </c>
      <c r="E884" s="14" t="s">
        <v>92</v>
      </c>
      <c r="F884" s="14" t="s">
        <v>79</v>
      </c>
      <c r="G884" s="14" t="s">
        <v>164</v>
      </c>
      <c r="H884" s="14" t="s">
        <v>91</v>
      </c>
      <c r="I884" s="14" t="s">
        <v>154</v>
      </c>
      <c r="J884" s="14" t="s">
        <v>200</v>
      </c>
      <c r="K884" s="14" t="s">
        <v>237</v>
      </c>
      <c r="L884" s="14" t="s">
        <v>333</v>
      </c>
      <c r="M884" s="14" t="s">
        <v>1190</v>
      </c>
      <c r="N884" s="14" t="s">
        <v>1191</v>
      </c>
      <c r="O884" s="14">
        <v>49.0</v>
      </c>
      <c r="P884" s="23">
        <v>-0.018</v>
      </c>
      <c r="Q884" s="22" t="str">
        <f>"+1.74%"</f>
        <v>+1.74%</v>
      </c>
      <c r="R884" s="18" t="str">
        <f>"+98.20%"</f>
        <v>+98.20%</v>
      </c>
      <c r="S884" s="14" t="s">
        <v>336</v>
      </c>
    </row>
    <row r="885">
      <c r="A885" s="13">
        <v>45901.0</v>
      </c>
      <c r="B885" s="14" t="s">
        <v>47</v>
      </c>
      <c r="C885" s="14" t="s">
        <v>48</v>
      </c>
      <c r="D885" s="14" t="s">
        <v>132</v>
      </c>
      <c r="E885" s="14" t="s">
        <v>133</v>
      </c>
      <c r="F885" s="15" t="s">
        <v>51</v>
      </c>
      <c r="G885" s="14" t="s">
        <v>134</v>
      </c>
      <c r="H885" s="14" t="s">
        <v>135</v>
      </c>
      <c r="I885" s="14" t="s">
        <v>59</v>
      </c>
      <c r="J885" s="14" t="s">
        <v>200</v>
      </c>
      <c r="K885" s="14" t="s">
        <v>213</v>
      </c>
      <c r="L885" s="14" t="s">
        <v>440</v>
      </c>
      <c r="M885" s="14" t="s">
        <v>441</v>
      </c>
      <c r="N885" s="14" t="s">
        <v>442</v>
      </c>
      <c r="O885" s="14">
        <v>0.0</v>
      </c>
      <c r="P885" s="23">
        <v>0.0</v>
      </c>
      <c r="Q885" s="22" t="str">
        <f t="shared" ref="Q885:R885" si="526">"+0.00%"</f>
        <v>+0.00%</v>
      </c>
      <c r="R885" s="18" t="str">
        <f t="shared" si="526"/>
        <v>+0.00%</v>
      </c>
      <c r="S885" s="14" t="s">
        <v>285</v>
      </c>
    </row>
    <row r="886">
      <c r="A886" s="13">
        <v>45901.0</v>
      </c>
      <c r="B886" s="14" t="s">
        <v>47</v>
      </c>
      <c r="C886" s="14" t="s">
        <v>48</v>
      </c>
      <c r="D886" s="14" t="s">
        <v>132</v>
      </c>
      <c r="E886" s="14" t="s">
        <v>133</v>
      </c>
      <c r="F886" s="15" t="s">
        <v>51</v>
      </c>
      <c r="G886" s="14" t="s">
        <v>134</v>
      </c>
      <c r="H886" s="14" t="s">
        <v>135</v>
      </c>
      <c r="I886" s="14" t="s">
        <v>59</v>
      </c>
      <c r="J886" s="14" t="s">
        <v>200</v>
      </c>
      <c r="K886" s="14" t="s">
        <v>213</v>
      </c>
      <c r="L886" s="14" t="s">
        <v>257</v>
      </c>
      <c r="M886" s="14" t="s">
        <v>517</v>
      </c>
      <c r="N886" s="14" t="s">
        <v>518</v>
      </c>
      <c r="O886" s="14">
        <v>100.0</v>
      </c>
      <c r="P886" s="21">
        <v>12.0</v>
      </c>
      <c r="Q886" s="22" t="str">
        <f t="shared" ref="Q886:R886" si="527">"+0"</f>
        <v>+0</v>
      </c>
      <c r="R886" s="18" t="str">
        <f t="shared" si="527"/>
        <v>+0</v>
      </c>
      <c r="S886" s="14" t="s">
        <v>260</v>
      </c>
    </row>
    <row r="887">
      <c r="A887" s="13">
        <v>45901.0</v>
      </c>
      <c r="B887" s="14" t="s">
        <v>47</v>
      </c>
      <c r="C887" s="14" t="s">
        <v>48</v>
      </c>
      <c r="D887" s="14" t="s">
        <v>132</v>
      </c>
      <c r="E887" s="14" t="s">
        <v>133</v>
      </c>
      <c r="F887" s="15" t="s">
        <v>51</v>
      </c>
      <c r="G887" s="14" t="s">
        <v>134</v>
      </c>
      <c r="H887" s="14" t="s">
        <v>135</v>
      </c>
      <c r="I887" s="14" t="s">
        <v>59</v>
      </c>
      <c r="J887" s="14" t="s">
        <v>200</v>
      </c>
      <c r="K887" s="14" t="s">
        <v>214</v>
      </c>
      <c r="L887" s="14" t="s">
        <v>253</v>
      </c>
      <c r="M887" s="14" t="s">
        <v>366</v>
      </c>
      <c r="N887" s="14" t="s">
        <v>367</v>
      </c>
      <c r="O887" s="14">
        <v>46.0</v>
      </c>
      <c r="P887" s="23">
        <v>0.4613</v>
      </c>
      <c r="Q887" s="22" t="str">
        <f t="shared" ref="Q887:R887" si="528">"+0.00%"</f>
        <v>+0.00%</v>
      </c>
      <c r="R887" s="18" t="str">
        <f t="shared" si="528"/>
        <v>+0.00%</v>
      </c>
      <c r="S887" s="14" t="s">
        <v>1192</v>
      </c>
    </row>
    <row r="888">
      <c r="A888" s="13">
        <v>45901.0</v>
      </c>
      <c r="B888" s="14" t="s">
        <v>47</v>
      </c>
      <c r="C888" s="14" t="s">
        <v>48</v>
      </c>
      <c r="D888" s="14" t="s">
        <v>73</v>
      </c>
      <c r="E888" s="14" t="s">
        <v>74</v>
      </c>
      <c r="F888" s="15" t="s">
        <v>51</v>
      </c>
      <c r="G888" s="14" t="s">
        <v>75</v>
      </c>
      <c r="H888" s="14" t="s">
        <v>76</v>
      </c>
      <c r="I888" s="14" t="s">
        <v>59</v>
      </c>
      <c r="J888" s="14" t="s">
        <v>199</v>
      </c>
      <c r="K888" s="14" t="s">
        <v>206</v>
      </c>
      <c r="L888" s="14" t="s">
        <v>268</v>
      </c>
      <c r="M888" s="14" t="s">
        <v>268</v>
      </c>
      <c r="N888" s="14" t="s">
        <v>269</v>
      </c>
      <c r="O888" s="14">
        <v>80.0</v>
      </c>
      <c r="P888" s="21">
        <v>2.0</v>
      </c>
      <c r="Q888" s="22" t="str">
        <f t="shared" ref="Q888:R888" si="529">"+1"</f>
        <v>+1</v>
      </c>
      <c r="R888" s="18" t="str">
        <f t="shared" si="529"/>
        <v>+1</v>
      </c>
      <c r="S888" s="14" t="s">
        <v>260</v>
      </c>
    </row>
    <row r="889">
      <c r="A889" s="13">
        <v>45901.0</v>
      </c>
      <c r="B889" s="14" t="s">
        <v>47</v>
      </c>
      <c r="C889" s="14" t="s">
        <v>48</v>
      </c>
      <c r="D889" s="14" t="s">
        <v>149</v>
      </c>
      <c r="E889" s="14" t="s">
        <v>150</v>
      </c>
      <c r="F889" s="15" t="s">
        <v>51</v>
      </c>
      <c r="G889" s="14" t="s">
        <v>151</v>
      </c>
      <c r="H889" s="14" t="s">
        <v>152</v>
      </c>
      <c r="I889" s="14" t="s">
        <v>54</v>
      </c>
      <c r="J889" s="14" t="s">
        <v>200</v>
      </c>
      <c r="K889" s="14" t="s">
        <v>223</v>
      </c>
      <c r="L889" s="14" t="s">
        <v>607</v>
      </c>
      <c r="M889" s="14" t="s">
        <v>932</v>
      </c>
      <c r="N889" s="14" t="s">
        <v>933</v>
      </c>
      <c r="O889" s="14">
        <v>0.0</v>
      </c>
      <c r="P889" s="23">
        <v>0.0</v>
      </c>
      <c r="Q889" s="22" t="str">
        <f t="shared" ref="Q889:R889" si="530">"+0.00%"</f>
        <v>+0.00%</v>
      </c>
      <c r="R889" s="18" t="str">
        <f t="shared" si="530"/>
        <v>+0.00%</v>
      </c>
      <c r="S889" s="14" t="s">
        <v>285</v>
      </c>
    </row>
    <row r="890">
      <c r="A890" s="13">
        <v>45901.0</v>
      </c>
      <c r="B890" s="14" t="s">
        <v>47</v>
      </c>
      <c r="C890" s="14" t="s">
        <v>48</v>
      </c>
      <c r="D890" s="14" t="s">
        <v>136</v>
      </c>
      <c r="E890" s="14" t="s">
        <v>137</v>
      </c>
      <c r="F890" s="15" t="s">
        <v>51</v>
      </c>
      <c r="G890" s="14" t="s">
        <v>138</v>
      </c>
      <c r="H890" s="14" t="s">
        <v>139</v>
      </c>
      <c r="I890" s="14" t="s">
        <v>59</v>
      </c>
      <c r="J890" s="14" t="s">
        <v>200</v>
      </c>
      <c r="K890" s="14" t="s">
        <v>213</v>
      </c>
      <c r="L890" s="14" t="s">
        <v>257</v>
      </c>
      <c r="M890" s="14" t="s">
        <v>622</v>
      </c>
      <c r="N890" s="14" t="s">
        <v>623</v>
      </c>
      <c r="O890" s="14">
        <v>29.0</v>
      </c>
      <c r="P890" s="23">
        <v>-0.4073</v>
      </c>
      <c r="Q890" s="22" t="str">
        <f>"-140.73%"</f>
        <v>-140.73%</v>
      </c>
      <c r="R890" s="18" t="str">
        <f>"+4.20%"</f>
        <v>+4.20%</v>
      </c>
      <c r="S890" s="14" t="s">
        <v>1193</v>
      </c>
    </row>
    <row r="891">
      <c r="A891" s="13">
        <v>45901.0</v>
      </c>
      <c r="B891" s="14" t="s">
        <v>47</v>
      </c>
      <c r="C891" s="14" t="s">
        <v>48</v>
      </c>
      <c r="D891" s="14" t="s">
        <v>136</v>
      </c>
      <c r="E891" s="14" t="s">
        <v>137</v>
      </c>
      <c r="F891" s="15" t="s">
        <v>51</v>
      </c>
      <c r="G891" s="14" t="s">
        <v>138</v>
      </c>
      <c r="H891" s="14" t="s">
        <v>139</v>
      </c>
      <c r="I891" s="14" t="s">
        <v>59</v>
      </c>
      <c r="J891" s="14" t="s">
        <v>200</v>
      </c>
      <c r="K891" s="14" t="s">
        <v>227</v>
      </c>
      <c r="L891" s="14" t="s">
        <v>270</v>
      </c>
      <c r="M891" s="14" t="s">
        <v>271</v>
      </c>
      <c r="N891" s="14" t="s">
        <v>272</v>
      </c>
      <c r="O891" s="14">
        <v>8.0</v>
      </c>
      <c r="P891" s="23">
        <v>-0.825</v>
      </c>
      <c r="Q891" s="22" t="str">
        <f>"+10.26%"</f>
        <v>+10.26%</v>
      </c>
      <c r="R891" s="18" t="str">
        <f>"-182.50%"</f>
        <v>-182.50%</v>
      </c>
      <c r="S891" s="14" t="s">
        <v>273</v>
      </c>
    </row>
    <row r="892">
      <c r="A892" s="13">
        <v>45901.0</v>
      </c>
      <c r="B892" s="14" t="s">
        <v>47</v>
      </c>
      <c r="C892" s="14" t="s">
        <v>48</v>
      </c>
      <c r="D892" s="14" t="s">
        <v>136</v>
      </c>
      <c r="E892" s="14" t="s">
        <v>137</v>
      </c>
      <c r="F892" s="15" t="s">
        <v>51</v>
      </c>
      <c r="G892" s="14" t="s">
        <v>138</v>
      </c>
      <c r="H892" s="14" t="s">
        <v>139</v>
      </c>
      <c r="I892" s="14" t="s">
        <v>59</v>
      </c>
      <c r="J892" s="14" t="s">
        <v>200</v>
      </c>
      <c r="K892" s="14" t="s">
        <v>227</v>
      </c>
      <c r="L892" s="14" t="s">
        <v>270</v>
      </c>
      <c r="M892" s="14" t="s">
        <v>400</v>
      </c>
      <c r="N892" s="14" t="s">
        <v>401</v>
      </c>
      <c r="O892" s="14">
        <v>6.0</v>
      </c>
      <c r="P892" s="21">
        <v>2.0</v>
      </c>
      <c r="Q892" s="22" t="str">
        <f t="shared" ref="Q892:R892" si="531">"+0"</f>
        <v>+0</v>
      </c>
      <c r="R892" s="18" t="str">
        <f t="shared" si="531"/>
        <v>+0</v>
      </c>
      <c r="S892" s="14" t="s">
        <v>260</v>
      </c>
    </row>
    <row r="893">
      <c r="A893" s="13">
        <v>45901.0</v>
      </c>
      <c r="B893" s="14" t="s">
        <v>47</v>
      </c>
      <c r="C893" s="14" t="s">
        <v>48</v>
      </c>
      <c r="D893" s="14" t="s">
        <v>87</v>
      </c>
      <c r="E893" s="14" t="s">
        <v>88</v>
      </c>
      <c r="F893" s="15" t="s">
        <v>51</v>
      </c>
      <c r="G893" s="14" t="s">
        <v>89</v>
      </c>
      <c r="H893" s="14" t="s">
        <v>90</v>
      </c>
      <c r="I893" s="14" t="s">
        <v>59</v>
      </c>
      <c r="J893" s="14" t="s">
        <v>200</v>
      </c>
      <c r="K893" s="14" t="s">
        <v>202</v>
      </c>
      <c r="L893" s="14" t="s">
        <v>253</v>
      </c>
      <c r="M893" s="14" t="s">
        <v>874</v>
      </c>
      <c r="N893" s="14" t="s">
        <v>875</v>
      </c>
      <c r="O893" s="14">
        <v>1.0</v>
      </c>
      <c r="P893" s="23">
        <v>0.0181</v>
      </c>
      <c r="Q893" s="22" t="str">
        <f>"+0.59%"</f>
        <v>+0.59%</v>
      </c>
      <c r="R893" s="18" t="str">
        <f>"-0.15%"</f>
        <v>-0.15%</v>
      </c>
      <c r="S893" s="14" t="s">
        <v>1168</v>
      </c>
    </row>
    <row r="894">
      <c r="A894" s="13">
        <v>45901.0</v>
      </c>
      <c r="B894" s="14" t="s">
        <v>47</v>
      </c>
      <c r="C894" s="14" t="s">
        <v>48</v>
      </c>
      <c r="D894" s="14" t="s">
        <v>129</v>
      </c>
      <c r="E894" s="14" t="s">
        <v>130</v>
      </c>
      <c r="F894" s="15" t="s">
        <v>51</v>
      </c>
      <c r="G894" s="14" t="s">
        <v>131</v>
      </c>
      <c r="H894" s="14" t="s">
        <v>129</v>
      </c>
      <c r="I894" s="14" t="s">
        <v>59</v>
      </c>
      <c r="J894" s="14" t="s">
        <v>199</v>
      </c>
      <c r="K894" s="14" t="s">
        <v>208</v>
      </c>
      <c r="L894" s="14" t="s">
        <v>352</v>
      </c>
      <c r="M894" s="14" t="s">
        <v>352</v>
      </c>
      <c r="N894" s="14" t="s">
        <v>353</v>
      </c>
      <c r="O894" s="14">
        <v>100.0</v>
      </c>
      <c r="P894" s="21">
        <v>23.0</v>
      </c>
      <c r="Q894" s="22" t="str">
        <f t="shared" ref="Q894:R894" si="532">"+0"</f>
        <v>+0</v>
      </c>
      <c r="R894" s="18" t="str">
        <f t="shared" si="532"/>
        <v>+0</v>
      </c>
      <c r="S894" s="14" t="s">
        <v>260</v>
      </c>
    </row>
    <row r="895">
      <c r="A895" s="13">
        <v>45901.0</v>
      </c>
      <c r="B895" s="14" t="s">
        <v>47</v>
      </c>
      <c r="C895" s="14" t="s">
        <v>48</v>
      </c>
      <c r="D895" s="14" t="s">
        <v>149</v>
      </c>
      <c r="E895" s="14" t="s">
        <v>150</v>
      </c>
      <c r="F895" s="15" t="s">
        <v>51</v>
      </c>
      <c r="G895" s="14" t="s">
        <v>151</v>
      </c>
      <c r="H895" s="14" t="s">
        <v>152</v>
      </c>
      <c r="I895" s="14" t="s">
        <v>54</v>
      </c>
      <c r="J895" s="14" t="s">
        <v>200</v>
      </c>
      <c r="K895" s="14" t="s">
        <v>231</v>
      </c>
      <c r="L895" s="14" t="s">
        <v>512</v>
      </c>
      <c r="M895" s="14" t="s">
        <v>1194</v>
      </c>
      <c r="N895" s="14" t="s">
        <v>1195</v>
      </c>
      <c r="O895" s="14">
        <v>100.0</v>
      </c>
      <c r="P895" s="21">
        <v>10.0</v>
      </c>
      <c r="Q895" s="22" t="str">
        <f>"-18"</f>
        <v>-18</v>
      </c>
      <c r="R895" s="18" t="str">
        <f>"+0"</f>
        <v>+0</v>
      </c>
      <c r="S895" s="14" t="s">
        <v>260</v>
      </c>
    </row>
    <row r="896">
      <c r="A896" s="13">
        <v>45901.0</v>
      </c>
      <c r="B896" s="14" t="s">
        <v>47</v>
      </c>
      <c r="C896" s="14" t="s">
        <v>48</v>
      </c>
      <c r="D896" s="14" t="s">
        <v>87</v>
      </c>
      <c r="E896" s="14" t="s">
        <v>88</v>
      </c>
      <c r="F896" s="15" t="s">
        <v>51</v>
      </c>
      <c r="G896" s="14" t="s">
        <v>89</v>
      </c>
      <c r="H896" s="14" t="s">
        <v>90</v>
      </c>
      <c r="I896" s="14" t="s">
        <v>59</v>
      </c>
      <c r="J896" s="14" t="s">
        <v>200</v>
      </c>
      <c r="K896" s="14" t="s">
        <v>227</v>
      </c>
      <c r="L896" s="14" t="s">
        <v>270</v>
      </c>
      <c r="M896" s="14" t="s">
        <v>271</v>
      </c>
      <c r="N896" s="14" t="s">
        <v>272</v>
      </c>
      <c r="O896" s="14">
        <v>3.0</v>
      </c>
      <c r="P896" s="23">
        <v>-0.9221</v>
      </c>
      <c r="Q896" s="22" t="str">
        <f>"-60.21%"</f>
        <v>-60.21%</v>
      </c>
      <c r="R896" s="18" t="str">
        <f>"-51.34%"</f>
        <v>-51.34%</v>
      </c>
      <c r="S896" s="14" t="s">
        <v>273</v>
      </c>
    </row>
    <row r="897">
      <c r="A897" s="13">
        <v>45901.0</v>
      </c>
      <c r="B897" s="14" t="s">
        <v>47</v>
      </c>
      <c r="C897" s="14" t="s">
        <v>48</v>
      </c>
      <c r="D897" s="14" t="s">
        <v>171</v>
      </c>
      <c r="E897" s="14" t="s">
        <v>172</v>
      </c>
      <c r="F897" s="15" t="s">
        <v>51</v>
      </c>
      <c r="G897" s="14" t="s">
        <v>173</v>
      </c>
      <c r="H897" s="14" t="s">
        <v>171</v>
      </c>
      <c r="I897" s="14" t="s">
        <v>59</v>
      </c>
      <c r="J897" s="14" t="s">
        <v>200</v>
      </c>
      <c r="K897" s="14" t="s">
        <v>214</v>
      </c>
      <c r="L897" s="14" t="s">
        <v>253</v>
      </c>
      <c r="M897" s="14" t="s">
        <v>389</v>
      </c>
      <c r="N897" s="14" t="s">
        <v>390</v>
      </c>
      <c r="O897" s="14">
        <v>0.0</v>
      </c>
      <c r="P897" s="23">
        <v>0.0</v>
      </c>
      <c r="Q897" s="22" t="str">
        <f t="shared" ref="Q897:R897" si="533">"+0.00%"</f>
        <v>+0.00%</v>
      </c>
      <c r="R897" s="18" t="str">
        <f t="shared" si="533"/>
        <v>+0.00%</v>
      </c>
      <c r="S897" s="14" t="s">
        <v>1101</v>
      </c>
    </row>
    <row r="898">
      <c r="A898" s="13">
        <v>45901.0</v>
      </c>
      <c r="B898" s="14" t="s">
        <v>47</v>
      </c>
      <c r="C898" s="14" t="s">
        <v>48</v>
      </c>
      <c r="D898" s="14" t="s">
        <v>171</v>
      </c>
      <c r="E898" s="14" t="s">
        <v>172</v>
      </c>
      <c r="F898" s="15" t="s">
        <v>51</v>
      </c>
      <c r="G898" s="14" t="s">
        <v>173</v>
      </c>
      <c r="H898" s="14" t="s">
        <v>171</v>
      </c>
      <c r="I898" s="14" t="s">
        <v>59</v>
      </c>
      <c r="J898" s="14" t="s">
        <v>200</v>
      </c>
      <c r="K898" s="14" t="s">
        <v>213</v>
      </c>
      <c r="L898" s="14" t="s">
        <v>307</v>
      </c>
      <c r="M898" s="14" t="s">
        <v>1176</v>
      </c>
      <c r="N898" s="14" t="s">
        <v>1177</v>
      </c>
      <c r="O898" s="14">
        <v>0.0</v>
      </c>
      <c r="P898" s="23">
        <v>0.0</v>
      </c>
      <c r="Q898" s="22" t="str">
        <f t="shared" ref="Q898:R898" si="534">"+0.00%"</f>
        <v>+0.00%</v>
      </c>
      <c r="R898" s="18" t="str">
        <f t="shared" si="534"/>
        <v>+0.00%</v>
      </c>
      <c r="S898" s="14" t="s">
        <v>285</v>
      </c>
    </row>
    <row r="899">
      <c r="A899" s="13">
        <v>45901.0</v>
      </c>
      <c r="B899" s="14" t="s">
        <v>47</v>
      </c>
      <c r="C899" s="14" t="s">
        <v>48</v>
      </c>
      <c r="D899" s="14" t="s">
        <v>149</v>
      </c>
      <c r="E899" s="14" t="s">
        <v>150</v>
      </c>
      <c r="F899" s="15" t="s">
        <v>51</v>
      </c>
      <c r="G899" s="14" t="s">
        <v>151</v>
      </c>
      <c r="H899" s="14" t="s">
        <v>152</v>
      </c>
      <c r="I899" s="14" t="s">
        <v>54</v>
      </c>
      <c r="J899" s="14" t="s">
        <v>199</v>
      </c>
      <c r="K899" s="14" t="s">
        <v>203</v>
      </c>
      <c r="L899" s="14" t="s">
        <v>485</v>
      </c>
      <c r="M899" s="14" t="s">
        <v>485</v>
      </c>
      <c r="N899" s="14" t="s">
        <v>486</v>
      </c>
      <c r="O899" s="14">
        <v>100.0</v>
      </c>
      <c r="P899" s="21">
        <v>1.0</v>
      </c>
      <c r="Q899" s="22" t="str">
        <f>"+0"</f>
        <v>+0</v>
      </c>
      <c r="R899" s="18" t="str">
        <f>"-1"</f>
        <v>-1</v>
      </c>
      <c r="S899" s="14" t="s">
        <v>260</v>
      </c>
    </row>
    <row r="900">
      <c r="A900" s="13">
        <v>45901.0</v>
      </c>
      <c r="B900" s="14" t="s">
        <v>47</v>
      </c>
      <c r="C900" s="14" t="s">
        <v>48</v>
      </c>
      <c r="D900" s="14" t="s">
        <v>69</v>
      </c>
      <c r="E900" s="14" t="s">
        <v>70</v>
      </c>
      <c r="F900" s="15" t="s">
        <v>51</v>
      </c>
      <c r="G900" s="14" t="s">
        <v>115</v>
      </c>
      <c r="H900" s="14" t="s">
        <v>72</v>
      </c>
      <c r="I900" s="14" t="s">
        <v>54</v>
      </c>
      <c r="J900" s="14" t="s">
        <v>200</v>
      </c>
      <c r="K900" s="14" t="s">
        <v>209</v>
      </c>
      <c r="L900" s="14" t="s">
        <v>253</v>
      </c>
      <c r="M900" s="14" t="s">
        <v>402</v>
      </c>
      <c r="N900" s="14" t="s">
        <v>403</v>
      </c>
      <c r="O900" s="14">
        <v>79.0</v>
      </c>
      <c r="P900" s="23">
        <v>0.7951</v>
      </c>
      <c r="Q900" s="22" t="str">
        <f>"+2.43%"</f>
        <v>+2.43%</v>
      </c>
      <c r="R900" s="18" t="str">
        <f>"-1.70%"</f>
        <v>-1.70%</v>
      </c>
      <c r="S900" s="14" t="s">
        <v>1196</v>
      </c>
    </row>
    <row r="901">
      <c r="A901" s="13">
        <v>45901.0</v>
      </c>
      <c r="B901" s="14" t="s">
        <v>47</v>
      </c>
      <c r="C901" s="14" t="s">
        <v>48</v>
      </c>
      <c r="D901" s="14" t="s">
        <v>125</v>
      </c>
      <c r="E901" s="14" t="s">
        <v>126</v>
      </c>
      <c r="F901" s="15" t="s">
        <v>51</v>
      </c>
      <c r="G901" s="14" t="s">
        <v>127</v>
      </c>
      <c r="H901" s="14" t="s">
        <v>125</v>
      </c>
      <c r="I901" s="14" t="s">
        <v>59</v>
      </c>
      <c r="J901" s="14" t="s">
        <v>200</v>
      </c>
      <c r="K901" s="14" t="s">
        <v>232</v>
      </c>
      <c r="L901" s="14" t="s">
        <v>422</v>
      </c>
      <c r="M901" s="14" t="s">
        <v>1197</v>
      </c>
      <c r="N901" s="14" t="s">
        <v>1198</v>
      </c>
      <c r="O901" s="14">
        <v>0.0</v>
      </c>
      <c r="P901" s="23">
        <v>0.0</v>
      </c>
      <c r="Q901" s="22" t="str">
        <f t="shared" ref="Q901:R901" si="535">"+0.00%"</f>
        <v>+0.00%</v>
      </c>
      <c r="R901" s="18" t="str">
        <f t="shared" si="535"/>
        <v>+0.00%</v>
      </c>
      <c r="S901" s="14" t="s">
        <v>285</v>
      </c>
    </row>
    <row r="902">
      <c r="A902" s="13">
        <v>45901.0</v>
      </c>
      <c r="B902" s="14" t="s">
        <v>47</v>
      </c>
      <c r="C902" s="14" t="s">
        <v>48</v>
      </c>
      <c r="D902" s="14" t="s">
        <v>125</v>
      </c>
      <c r="E902" s="14" t="s">
        <v>126</v>
      </c>
      <c r="F902" s="15" t="s">
        <v>51</v>
      </c>
      <c r="G902" s="14" t="s">
        <v>127</v>
      </c>
      <c r="H902" s="14" t="s">
        <v>125</v>
      </c>
      <c r="I902" s="14" t="s">
        <v>59</v>
      </c>
      <c r="J902" s="14" t="s">
        <v>200</v>
      </c>
      <c r="K902" s="14" t="s">
        <v>232</v>
      </c>
      <c r="L902" s="14" t="s">
        <v>607</v>
      </c>
      <c r="M902" s="14" t="s">
        <v>692</v>
      </c>
      <c r="N902" s="14" t="s">
        <v>693</v>
      </c>
      <c r="O902" s="14">
        <v>0.0</v>
      </c>
      <c r="P902" s="23">
        <v>0.0</v>
      </c>
      <c r="Q902" s="22" t="str">
        <f t="shared" ref="Q902:R902" si="536">"+0.00%"</f>
        <v>+0.00%</v>
      </c>
      <c r="R902" s="18" t="str">
        <f t="shared" si="536"/>
        <v>+0.00%</v>
      </c>
      <c r="S902" s="14" t="s">
        <v>285</v>
      </c>
    </row>
    <row r="903">
      <c r="A903" s="13">
        <v>45901.0</v>
      </c>
      <c r="B903" s="14" t="s">
        <v>47</v>
      </c>
      <c r="C903" s="14" t="s">
        <v>48</v>
      </c>
      <c r="D903" s="14" t="s">
        <v>69</v>
      </c>
      <c r="E903" s="14" t="s">
        <v>70</v>
      </c>
      <c r="F903" s="15" t="s">
        <v>51</v>
      </c>
      <c r="G903" s="14" t="s">
        <v>115</v>
      </c>
      <c r="H903" s="14" t="s">
        <v>72</v>
      </c>
      <c r="I903" s="14" t="s">
        <v>54</v>
      </c>
      <c r="J903" s="14" t="s">
        <v>198</v>
      </c>
      <c r="K903" s="14" t="s">
        <v>210</v>
      </c>
      <c r="L903" s="14" t="s">
        <v>458</v>
      </c>
      <c r="M903" s="14" t="s">
        <v>742</v>
      </c>
      <c r="N903" s="14" t="s">
        <v>743</v>
      </c>
      <c r="O903" s="14">
        <v>0.0</v>
      </c>
      <c r="P903" s="21">
        <v>0.0</v>
      </c>
      <c r="Q903" s="22" t="str">
        <f t="shared" ref="Q903:R903" si="537">"+0"</f>
        <v>+0</v>
      </c>
      <c r="R903" s="18" t="str">
        <f t="shared" si="537"/>
        <v>+0</v>
      </c>
      <c r="S903" s="14" t="s">
        <v>277</v>
      </c>
    </row>
    <row r="904">
      <c r="A904" s="13">
        <v>45901.0</v>
      </c>
      <c r="B904" s="14" t="s">
        <v>47</v>
      </c>
      <c r="C904" s="14" t="s">
        <v>48</v>
      </c>
      <c r="D904" s="14" t="s">
        <v>85</v>
      </c>
      <c r="E904" s="14" t="s">
        <v>86</v>
      </c>
      <c r="F904" s="15" t="s">
        <v>51</v>
      </c>
      <c r="G904" s="14" t="s">
        <v>148</v>
      </c>
      <c r="H904" s="14" t="s">
        <v>85</v>
      </c>
      <c r="I904" s="14" t="s">
        <v>59</v>
      </c>
      <c r="J904" s="14" t="s">
        <v>200</v>
      </c>
      <c r="K904" s="14" t="s">
        <v>213</v>
      </c>
      <c r="L904" s="14" t="s">
        <v>676</v>
      </c>
      <c r="M904" s="14" t="s">
        <v>677</v>
      </c>
      <c r="N904" s="14" t="s">
        <v>678</v>
      </c>
      <c r="O904" s="14">
        <v>0.0</v>
      </c>
      <c r="P904" s="23">
        <v>0.0</v>
      </c>
      <c r="Q904" s="22" t="str">
        <f t="shared" ref="Q904:R904" si="538">"+0.00%"</f>
        <v>+0.00%</v>
      </c>
      <c r="R904" s="18" t="str">
        <f t="shared" si="538"/>
        <v>+0.00%</v>
      </c>
      <c r="S904" s="14" t="s">
        <v>285</v>
      </c>
    </row>
    <row r="905">
      <c r="A905" s="13">
        <v>45901.0</v>
      </c>
      <c r="B905" s="14" t="s">
        <v>47</v>
      </c>
      <c r="C905" s="14" t="s">
        <v>48</v>
      </c>
      <c r="D905" s="14" t="s">
        <v>116</v>
      </c>
      <c r="E905" s="14" t="s">
        <v>117</v>
      </c>
      <c r="F905" s="15" t="s">
        <v>51</v>
      </c>
      <c r="G905" s="14" t="s">
        <v>161</v>
      </c>
      <c r="H905" s="14" t="s">
        <v>116</v>
      </c>
      <c r="I905" s="14" t="s">
        <v>54</v>
      </c>
      <c r="J905" s="14" t="s">
        <v>199</v>
      </c>
      <c r="K905" s="14" t="s">
        <v>208</v>
      </c>
      <c r="L905" s="14" t="s">
        <v>412</v>
      </c>
      <c r="M905" s="14" t="s">
        <v>412</v>
      </c>
      <c r="N905" s="14" t="s">
        <v>413</v>
      </c>
      <c r="O905" s="14">
        <v>100.0</v>
      </c>
      <c r="P905" s="21">
        <v>9.0</v>
      </c>
      <c r="Q905" s="22" t="str">
        <f t="shared" ref="Q905:R905" si="539">"+0"</f>
        <v>+0</v>
      </c>
      <c r="R905" s="18" t="str">
        <f t="shared" si="539"/>
        <v>+0</v>
      </c>
      <c r="S905" s="14" t="s">
        <v>260</v>
      </c>
    </row>
    <row r="906">
      <c r="A906" s="13">
        <v>45901.0</v>
      </c>
      <c r="B906" s="14" t="s">
        <v>47</v>
      </c>
      <c r="C906" s="14" t="s">
        <v>48</v>
      </c>
      <c r="D906" s="14" t="s">
        <v>158</v>
      </c>
      <c r="E906" s="14" t="s">
        <v>159</v>
      </c>
      <c r="F906" s="15" t="s">
        <v>51</v>
      </c>
      <c r="G906" s="14" t="s">
        <v>160</v>
      </c>
      <c r="H906" s="14" t="s">
        <v>158</v>
      </c>
      <c r="I906" s="14" t="s">
        <v>54</v>
      </c>
      <c r="J906" s="14" t="s">
        <v>199</v>
      </c>
      <c r="K906" s="14" t="s">
        <v>203</v>
      </c>
      <c r="L906" s="14" t="s">
        <v>340</v>
      </c>
      <c r="M906" s="14" t="s">
        <v>340</v>
      </c>
      <c r="N906" s="14" t="s">
        <v>341</v>
      </c>
      <c r="O906" s="14">
        <v>0.0</v>
      </c>
      <c r="P906" s="21">
        <v>0.0</v>
      </c>
      <c r="Q906" s="22" t="str">
        <f t="shared" ref="Q906:R906" si="540">"+0"</f>
        <v>+0</v>
      </c>
      <c r="R906" s="18" t="str">
        <f t="shared" si="540"/>
        <v>+0</v>
      </c>
      <c r="S906" s="14" t="s">
        <v>260</v>
      </c>
    </row>
    <row r="907">
      <c r="A907" s="13">
        <v>45901.0</v>
      </c>
      <c r="B907" s="14" t="s">
        <v>47</v>
      </c>
      <c r="C907" s="14" t="s">
        <v>48</v>
      </c>
      <c r="D907" s="14" t="s">
        <v>158</v>
      </c>
      <c r="E907" s="14" t="s">
        <v>159</v>
      </c>
      <c r="F907" s="15" t="s">
        <v>51</v>
      </c>
      <c r="G907" s="14" t="s">
        <v>160</v>
      </c>
      <c r="H907" s="14" t="s">
        <v>158</v>
      </c>
      <c r="I907" s="14" t="s">
        <v>54</v>
      </c>
      <c r="J907" s="14" t="s">
        <v>198</v>
      </c>
      <c r="K907" s="14" t="s">
        <v>210</v>
      </c>
      <c r="L907" s="14" t="s">
        <v>264</v>
      </c>
      <c r="M907" s="14" t="s">
        <v>524</v>
      </c>
      <c r="N907" s="14" t="s">
        <v>525</v>
      </c>
      <c r="O907" s="14">
        <v>100.0</v>
      </c>
      <c r="P907" s="21">
        <v>0.0</v>
      </c>
      <c r="Q907" s="22" t="str">
        <f t="shared" ref="Q907:R907" si="541">"+0"</f>
        <v>+0</v>
      </c>
      <c r="R907" s="18" t="str">
        <f t="shared" si="541"/>
        <v>+0</v>
      </c>
      <c r="S907" s="14" t="s">
        <v>281</v>
      </c>
    </row>
    <row r="908">
      <c r="A908" s="13">
        <v>45901.0</v>
      </c>
      <c r="B908" s="14" t="s">
        <v>47</v>
      </c>
      <c r="C908" s="14" t="s">
        <v>48</v>
      </c>
      <c r="D908" s="14" t="s">
        <v>77</v>
      </c>
      <c r="E908" s="14" t="s">
        <v>78</v>
      </c>
      <c r="F908" s="15" t="s">
        <v>51</v>
      </c>
      <c r="G908" s="14" t="s">
        <v>128</v>
      </c>
      <c r="H908" s="14" t="s">
        <v>81</v>
      </c>
      <c r="I908" s="14" t="s">
        <v>59</v>
      </c>
      <c r="J908" s="14" t="s">
        <v>200</v>
      </c>
      <c r="K908" s="14" t="s">
        <v>223</v>
      </c>
      <c r="L908" s="14" t="s">
        <v>286</v>
      </c>
      <c r="M908" s="14" t="s">
        <v>1199</v>
      </c>
      <c r="N908" s="14" t="s">
        <v>1200</v>
      </c>
      <c r="O908" s="14">
        <v>0.0</v>
      </c>
      <c r="P908" s="23">
        <v>0.0</v>
      </c>
      <c r="Q908" s="22" t="str">
        <f t="shared" ref="Q908:R908" si="542">"+0.00%"</f>
        <v>+0.00%</v>
      </c>
      <c r="R908" s="18" t="str">
        <f t="shared" si="542"/>
        <v>+0.00%</v>
      </c>
      <c r="S908" s="14" t="s">
        <v>285</v>
      </c>
    </row>
    <row r="909">
      <c r="A909" s="13">
        <v>45901.0</v>
      </c>
      <c r="B909" s="14" t="s">
        <v>47</v>
      </c>
      <c r="C909" s="14" t="s">
        <v>48</v>
      </c>
      <c r="D909" s="14" t="s">
        <v>108</v>
      </c>
      <c r="E909" s="14" t="s">
        <v>109</v>
      </c>
      <c r="F909" s="15" t="s">
        <v>51</v>
      </c>
      <c r="G909" s="14" t="s">
        <v>110</v>
      </c>
      <c r="H909" s="14" t="s">
        <v>108</v>
      </c>
      <c r="I909" s="14" t="s">
        <v>59</v>
      </c>
      <c r="J909" s="14" t="s">
        <v>199</v>
      </c>
      <c r="K909" s="14" t="s">
        <v>206</v>
      </c>
      <c r="L909" s="14" t="s">
        <v>295</v>
      </c>
      <c r="M909" s="14" t="s">
        <v>296</v>
      </c>
      <c r="N909" s="14" t="s">
        <v>297</v>
      </c>
      <c r="O909" s="14">
        <v>0.0</v>
      </c>
      <c r="P909" s="21">
        <v>0.0</v>
      </c>
      <c r="Q909" s="22" t="str">
        <f t="shared" ref="Q909:R909" si="543">"+0"</f>
        <v>+0</v>
      </c>
      <c r="R909" s="18" t="str">
        <f t="shared" si="543"/>
        <v>+0</v>
      </c>
      <c r="S909" s="14" t="s">
        <v>260</v>
      </c>
    </row>
    <row r="910">
      <c r="A910" s="13">
        <v>45901.0</v>
      </c>
      <c r="B910" s="14" t="s">
        <v>47</v>
      </c>
      <c r="C910" s="14" t="s">
        <v>48</v>
      </c>
      <c r="D910" s="14" t="s">
        <v>158</v>
      </c>
      <c r="E910" s="14" t="s">
        <v>159</v>
      </c>
      <c r="F910" s="15" t="s">
        <v>51</v>
      </c>
      <c r="G910" s="14" t="s">
        <v>160</v>
      </c>
      <c r="H910" s="14" t="s">
        <v>158</v>
      </c>
      <c r="I910" s="14" t="s">
        <v>54</v>
      </c>
      <c r="J910" s="14" t="s">
        <v>198</v>
      </c>
      <c r="K910" s="14" t="s">
        <v>210</v>
      </c>
      <c r="L910" s="14" t="s">
        <v>458</v>
      </c>
      <c r="M910" s="14" t="s">
        <v>945</v>
      </c>
      <c r="N910" s="14" t="s">
        <v>946</v>
      </c>
      <c r="O910" s="14">
        <v>0.0</v>
      </c>
      <c r="P910" s="21">
        <v>0.0</v>
      </c>
      <c r="Q910" s="22" t="str">
        <f t="shared" ref="Q910:R910" si="544">"+0"</f>
        <v>+0</v>
      </c>
      <c r="R910" s="18" t="str">
        <f t="shared" si="544"/>
        <v>+0</v>
      </c>
      <c r="S910" s="14" t="s">
        <v>277</v>
      </c>
    </row>
    <row r="911">
      <c r="A911" s="13">
        <v>45901.0</v>
      </c>
      <c r="B911" s="14" t="s">
        <v>47</v>
      </c>
      <c r="C911" s="14" t="s">
        <v>48</v>
      </c>
      <c r="D911" s="14" t="s">
        <v>56</v>
      </c>
      <c r="E911" s="14" t="s">
        <v>57</v>
      </c>
      <c r="F911" s="15" t="s">
        <v>51</v>
      </c>
      <c r="G911" s="14" t="s">
        <v>58</v>
      </c>
      <c r="H911" s="14" t="s">
        <v>56</v>
      </c>
      <c r="I911" s="14" t="s">
        <v>59</v>
      </c>
      <c r="J911" s="14" t="s">
        <v>200</v>
      </c>
      <c r="K911" s="14" t="s">
        <v>223</v>
      </c>
      <c r="L911" s="14" t="s">
        <v>359</v>
      </c>
      <c r="M911" s="14" t="s">
        <v>360</v>
      </c>
      <c r="N911" s="14" t="s">
        <v>361</v>
      </c>
      <c r="O911" s="14">
        <v>0.0</v>
      </c>
      <c r="P911" s="23">
        <v>0.0</v>
      </c>
      <c r="Q911" s="22" t="str">
        <f t="shared" ref="Q911:R911" si="545">"+0.00%"</f>
        <v>+0.00%</v>
      </c>
      <c r="R911" s="18" t="str">
        <f t="shared" si="545"/>
        <v>+0.00%</v>
      </c>
      <c r="S911" s="14" t="s">
        <v>1201</v>
      </c>
    </row>
    <row r="912">
      <c r="A912" s="13">
        <v>45901.0</v>
      </c>
      <c r="B912" s="14" t="s">
        <v>47</v>
      </c>
      <c r="C912" s="14" t="s">
        <v>48</v>
      </c>
      <c r="D912" s="14" t="s">
        <v>60</v>
      </c>
      <c r="E912" s="14" t="s">
        <v>61</v>
      </c>
      <c r="F912" s="15" t="s">
        <v>51</v>
      </c>
      <c r="G912" s="14" t="s">
        <v>62</v>
      </c>
      <c r="H912" s="14" t="s">
        <v>60</v>
      </c>
      <c r="I912" s="14" t="s">
        <v>59</v>
      </c>
      <c r="J912" s="14" t="s">
        <v>199</v>
      </c>
      <c r="K912" s="14" t="s">
        <v>203</v>
      </c>
      <c r="L912" s="14" t="s">
        <v>601</v>
      </c>
      <c r="M912" s="14" t="s">
        <v>601</v>
      </c>
      <c r="N912" s="14" t="s">
        <v>602</v>
      </c>
      <c r="O912" s="14">
        <v>0.0</v>
      </c>
      <c r="P912" s="21">
        <v>0.0</v>
      </c>
      <c r="Q912" s="22" t="str">
        <f t="shared" ref="Q912:R912" si="546">"+0"</f>
        <v>+0</v>
      </c>
      <c r="R912" s="18" t="str">
        <f t="shared" si="546"/>
        <v>+0</v>
      </c>
      <c r="S912" s="14" t="s">
        <v>260</v>
      </c>
    </row>
    <row r="913">
      <c r="A913" s="13">
        <v>45901.0</v>
      </c>
      <c r="B913" s="14" t="s">
        <v>47</v>
      </c>
      <c r="C913" s="14" t="s">
        <v>48</v>
      </c>
      <c r="D913" s="14" t="s">
        <v>155</v>
      </c>
      <c r="E913" s="14" t="s">
        <v>156</v>
      </c>
      <c r="F913" s="15" t="s">
        <v>51</v>
      </c>
      <c r="G913" s="14" t="s">
        <v>157</v>
      </c>
      <c r="H913" s="14" t="s">
        <v>155</v>
      </c>
      <c r="I913" s="14" t="s">
        <v>59</v>
      </c>
      <c r="J913" s="14" t="s">
        <v>200</v>
      </c>
      <c r="K913" s="14" t="s">
        <v>223</v>
      </c>
      <c r="L913" s="14" t="s">
        <v>261</v>
      </c>
      <c r="M913" s="14" t="s">
        <v>864</v>
      </c>
      <c r="N913" s="14" t="s">
        <v>865</v>
      </c>
      <c r="O913" s="14">
        <v>0.0</v>
      </c>
      <c r="P913" s="17"/>
      <c r="Q913" s="22"/>
      <c r="S913" s="14" t="s">
        <v>285</v>
      </c>
    </row>
    <row r="914">
      <c r="A914" s="13">
        <v>45901.0</v>
      </c>
      <c r="B914" s="14" t="s">
        <v>47</v>
      </c>
      <c r="C914" s="14" t="s">
        <v>48</v>
      </c>
      <c r="D914" s="14" t="s">
        <v>56</v>
      </c>
      <c r="E914" s="14" t="s">
        <v>57</v>
      </c>
      <c r="F914" s="15" t="s">
        <v>51</v>
      </c>
      <c r="G914" s="14" t="s">
        <v>58</v>
      </c>
      <c r="H914" s="14" t="s">
        <v>56</v>
      </c>
      <c r="I914" s="14" t="s">
        <v>59</v>
      </c>
      <c r="J914" s="14" t="s">
        <v>198</v>
      </c>
      <c r="K914" s="14" t="s">
        <v>205</v>
      </c>
      <c r="L914" s="14" t="s">
        <v>274</v>
      </c>
      <c r="M914" s="14" t="s">
        <v>575</v>
      </c>
      <c r="N914" s="14" t="s">
        <v>576</v>
      </c>
      <c r="O914" s="14">
        <v>100.0</v>
      </c>
      <c r="P914" s="21">
        <v>90.0</v>
      </c>
      <c r="Q914" s="22" t="str">
        <f>"+0"</f>
        <v>+0</v>
      </c>
      <c r="S914" s="14" t="s">
        <v>577</v>
      </c>
    </row>
    <row r="915">
      <c r="A915" s="13">
        <v>45901.0</v>
      </c>
      <c r="B915" s="14" t="s">
        <v>47</v>
      </c>
      <c r="C915" s="14" t="s">
        <v>48</v>
      </c>
      <c r="D915" s="14" t="s">
        <v>56</v>
      </c>
      <c r="E915" s="14" t="s">
        <v>57</v>
      </c>
      <c r="F915" s="15" t="s">
        <v>51</v>
      </c>
      <c r="G915" s="14" t="s">
        <v>58</v>
      </c>
      <c r="H915" s="14" t="s">
        <v>56</v>
      </c>
      <c r="I915" s="14" t="s">
        <v>59</v>
      </c>
      <c r="J915" s="14" t="s">
        <v>200</v>
      </c>
      <c r="K915" s="14" t="s">
        <v>223</v>
      </c>
      <c r="L915" s="14" t="s">
        <v>607</v>
      </c>
      <c r="M915" s="14" t="s">
        <v>886</v>
      </c>
      <c r="N915" s="14" t="s">
        <v>887</v>
      </c>
      <c r="O915" s="14">
        <v>0.0</v>
      </c>
      <c r="P915" s="23">
        <v>0.0</v>
      </c>
      <c r="Q915" s="22" t="str">
        <f t="shared" ref="Q915:R915" si="547">"+0.00%"</f>
        <v>+0.00%</v>
      </c>
      <c r="R915" s="18" t="str">
        <f t="shared" si="547"/>
        <v>+0.00%</v>
      </c>
      <c r="S915" s="14" t="s">
        <v>371</v>
      </c>
    </row>
    <row r="916">
      <c r="A916" s="13">
        <v>45901.0</v>
      </c>
      <c r="B916" s="14" t="s">
        <v>47</v>
      </c>
      <c r="C916" s="14" t="s">
        <v>48</v>
      </c>
      <c r="D916" s="14" t="s">
        <v>155</v>
      </c>
      <c r="E916" s="14" t="s">
        <v>156</v>
      </c>
      <c r="F916" s="15" t="s">
        <v>51</v>
      </c>
      <c r="G916" s="14" t="s">
        <v>157</v>
      </c>
      <c r="H916" s="14" t="s">
        <v>155</v>
      </c>
      <c r="I916" s="14" t="s">
        <v>59</v>
      </c>
      <c r="J916" s="14" t="s">
        <v>198</v>
      </c>
      <c r="K916" s="14" t="s">
        <v>210</v>
      </c>
      <c r="L916" s="14" t="s">
        <v>278</v>
      </c>
      <c r="M916" s="14" t="s">
        <v>279</v>
      </c>
      <c r="N916" s="14" t="s">
        <v>280</v>
      </c>
      <c r="O916" s="14">
        <v>100.0</v>
      </c>
      <c r="P916" s="21">
        <v>0.0</v>
      </c>
      <c r="Q916" s="22" t="str">
        <f t="shared" ref="Q916:R916" si="548">"+0"</f>
        <v>+0</v>
      </c>
      <c r="R916" s="18" t="str">
        <f t="shared" si="548"/>
        <v>+0</v>
      </c>
      <c r="S916" s="14" t="s">
        <v>281</v>
      </c>
    </row>
    <row r="917">
      <c r="A917" s="13">
        <v>45901.0</v>
      </c>
      <c r="B917" s="14" t="s">
        <v>47</v>
      </c>
      <c r="C917" s="14" t="s">
        <v>48</v>
      </c>
      <c r="D917" s="14" t="s">
        <v>99</v>
      </c>
      <c r="E917" s="14" t="s">
        <v>100</v>
      </c>
      <c r="F917" s="15" t="s">
        <v>51</v>
      </c>
      <c r="G917" s="14" t="s">
        <v>101</v>
      </c>
      <c r="H917" s="14" t="s">
        <v>102</v>
      </c>
      <c r="I917" s="14" t="s">
        <v>54</v>
      </c>
      <c r="J917" s="14" t="s">
        <v>198</v>
      </c>
      <c r="K917" s="14" t="s">
        <v>205</v>
      </c>
      <c r="L917" s="14" t="s">
        <v>274</v>
      </c>
      <c r="M917" s="14" t="s">
        <v>473</v>
      </c>
      <c r="N917" s="14" t="s">
        <v>474</v>
      </c>
      <c r="O917" s="14">
        <v>50.0</v>
      </c>
      <c r="P917" s="21">
        <v>15.0</v>
      </c>
      <c r="Q917" s="22" t="str">
        <f>"+0"</f>
        <v>+0</v>
      </c>
      <c r="S917" s="14" t="s">
        <v>475</v>
      </c>
    </row>
    <row r="918">
      <c r="A918" s="13">
        <v>45901.0</v>
      </c>
      <c r="B918" s="14" t="s">
        <v>47</v>
      </c>
      <c r="C918" s="14" t="s">
        <v>48</v>
      </c>
      <c r="D918" s="14" t="s">
        <v>91</v>
      </c>
      <c r="E918" s="14" t="s">
        <v>92</v>
      </c>
      <c r="F918" s="14" t="s">
        <v>71</v>
      </c>
      <c r="G918" s="14">
        <v>1.00004432E8</v>
      </c>
      <c r="H918" s="14" t="s">
        <v>91</v>
      </c>
      <c r="I918" s="14" t="s">
        <v>59</v>
      </c>
      <c r="J918" s="14" t="s">
        <v>200</v>
      </c>
      <c r="K918" s="14" t="s">
        <v>218</v>
      </c>
      <c r="L918" s="14" t="s">
        <v>253</v>
      </c>
      <c r="M918" s="14" t="s">
        <v>1202</v>
      </c>
      <c r="N918" s="14" t="s">
        <v>1203</v>
      </c>
      <c r="O918" s="14">
        <v>62.0</v>
      </c>
      <c r="P918" s="23">
        <v>0.6233</v>
      </c>
      <c r="Q918" s="22" t="str">
        <f>"-1.60%"</f>
        <v>-1.60%</v>
      </c>
      <c r="R918" s="18" t="str">
        <f>"-1.38%"</f>
        <v>-1.38%</v>
      </c>
      <c r="S918" s="14" t="s">
        <v>787</v>
      </c>
    </row>
    <row r="919">
      <c r="A919" s="13">
        <v>45901.0</v>
      </c>
      <c r="B919" s="14" t="s">
        <v>47</v>
      </c>
      <c r="C919" s="14" t="s">
        <v>48</v>
      </c>
      <c r="D919" s="14" t="s">
        <v>91</v>
      </c>
      <c r="E919" s="14" t="s">
        <v>92</v>
      </c>
      <c r="F919" s="14" t="s">
        <v>71</v>
      </c>
      <c r="G919" s="14">
        <v>5.10011769E8</v>
      </c>
      <c r="H919" s="14" t="s">
        <v>91</v>
      </c>
      <c r="I919" s="14" t="s">
        <v>59</v>
      </c>
      <c r="J919" s="14" t="s">
        <v>199</v>
      </c>
      <c r="K919" s="14" t="s">
        <v>206</v>
      </c>
      <c r="L919" s="14" t="s">
        <v>295</v>
      </c>
      <c r="M919" s="14" t="s">
        <v>296</v>
      </c>
      <c r="N919" s="14" t="s">
        <v>297</v>
      </c>
      <c r="O919" s="14">
        <v>0.0</v>
      </c>
      <c r="P919" s="21">
        <v>0.0</v>
      </c>
      <c r="Q919" s="22" t="str">
        <f t="shared" ref="Q919:R919" si="549">"+0"</f>
        <v>+0</v>
      </c>
      <c r="R919" s="18" t="str">
        <f t="shared" si="549"/>
        <v>+0</v>
      </c>
      <c r="S919" s="14" t="s">
        <v>260</v>
      </c>
    </row>
    <row r="920">
      <c r="A920" s="13">
        <v>45901.0</v>
      </c>
      <c r="B920" s="14" t="s">
        <v>47</v>
      </c>
      <c r="C920" s="14" t="s">
        <v>48</v>
      </c>
      <c r="D920" s="14" t="s">
        <v>63</v>
      </c>
      <c r="E920" s="14" t="s">
        <v>64</v>
      </c>
      <c r="F920" s="15" t="s">
        <v>51</v>
      </c>
      <c r="G920" s="14" t="s">
        <v>65</v>
      </c>
      <c r="H920" s="14" t="s">
        <v>63</v>
      </c>
      <c r="I920" s="14" t="s">
        <v>54</v>
      </c>
      <c r="J920" s="14" t="s">
        <v>200</v>
      </c>
      <c r="K920" s="14" t="s">
        <v>213</v>
      </c>
      <c r="L920" s="14" t="s">
        <v>307</v>
      </c>
      <c r="M920" s="14" t="s">
        <v>1176</v>
      </c>
      <c r="N920" s="14" t="s">
        <v>1177</v>
      </c>
      <c r="O920" s="14">
        <v>0.0</v>
      </c>
      <c r="P920" s="23">
        <v>0.0</v>
      </c>
      <c r="Q920" s="22" t="str">
        <f t="shared" ref="Q920:R920" si="550">"+0.00%"</f>
        <v>+0.00%</v>
      </c>
      <c r="R920" s="18" t="str">
        <f t="shared" si="550"/>
        <v>+0.00%</v>
      </c>
      <c r="S920" s="14" t="s">
        <v>285</v>
      </c>
    </row>
    <row r="921">
      <c r="A921" s="13">
        <v>45901.0</v>
      </c>
      <c r="B921" s="14" t="s">
        <v>47</v>
      </c>
      <c r="C921" s="14" t="s">
        <v>48</v>
      </c>
      <c r="D921" s="14" t="s">
        <v>82</v>
      </c>
      <c r="E921" s="14" t="s">
        <v>83</v>
      </c>
      <c r="F921" s="15" t="s">
        <v>51</v>
      </c>
      <c r="G921" s="14" t="s">
        <v>84</v>
      </c>
      <c r="H921" s="14" t="s">
        <v>82</v>
      </c>
      <c r="I921" s="14" t="s">
        <v>59</v>
      </c>
      <c r="J921" s="14" t="s">
        <v>198</v>
      </c>
      <c r="K921" s="14" t="s">
        <v>205</v>
      </c>
      <c r="L921" s="14" t="s">
        <v>274</v>
      </c>
      <c r="M921" s="14" t="s">
        <v>791</v>
      </c>
      <c r="N921" s="14" t="s">
        <v>792</v>
      </c>
      <c r="O921" s="14">
        <v>100.0</v>
      </c>
      <c r="P921" s="21">
        <v>4.0</v>
      </c>
      <c r="Q921" s="22" t="str">
        <f>"+0"</f>
        <v>+0</v>
      </c>
      <c r="S921" s="14" t="s">
        <v>260</v>
      </c>
    </row>
    <row r="922">
      <c r="A922" s="13">
        <v>45901.0</v>
      </c>
      <c r="B922" s="14" t="s">
        <v>47</v>
      </c>
      <c r="C922" s="14" t="s">
        <v>48</v>
      </c>
      <c r="D922" s="14" t="s">
        <v>66</v>
      </c>
      <c r="E922" s="14" t="s">
        <v>67</v>
      </c>
      <c r="F922" s="15" t="s">
        <v>51</v>
      </c>
      <c r="G922" s="14" t="s">
        <v>68</v>
      </c>
      <c r="H922" s="14" t="s">
        <v>66</v>
      </c>
      <c r="I922" s="14" t="s">
        <v>59</v>
      </c>
      <c r="J922" s="14" t="s">
        <v>200</v>
      </c>
      <c r="K922" s="14" t="s">
        <v>223</v>
      </c>
      <c r="L922" s="14" t="s">
        <v>363</v>
      </c>
      <c r="M922" s="14" t="s">
        <v>1043</v>
      </c>
      <c r="N922" s="14" t="s">
        <v>1044</v>
      </c>
      <c r="O922" s="14">
        <v>0.0</v>
      </c>
      <c r="P922" s="23">
        <v>0.0</v>
      </c>
      <c r="Q922" s="22" t="str">
        <f t="shared" ref="Q922:R922" si="551">"+0.00%"</f>
        <v>+0.00%</v>
      </c>
      <c r="R922" s="18" t="str">
        <f t="shared" si="551"/>
        <v>+0.00%</v>
      </c>
      <c r="S922" s="14" t="s">
        <v>285</v>
      </c>
    </row>
    <row r="923">
      <c r="A923" s="13">
        <v>45901.0</v>
      </c>
      <c r="B923" s="14" t="s">
        <v>47</v>
      </c>
      <c r="C923" s="14" t="s">
        <v>48</v>
      </c>
      <c r="D923" s="14" t="s">
        <v>143</v>
      </c>
      <c r="E923" s="14" t="s">
        <v>144</v>
      </c>
      <c r="F923" s="15" t="s">
        <v>51</v>
      </c>
      <c r="G923" s="14" t="s">
        <v>145</v>
      </c>
      <c r="H923" s="14" t="s">
        <v>143</v>
      </c>
      <c r="I923" s="14" t="s">
        <v>59</v>
      </c>
      <c r="J923" s="14" t="s">
        <v>198</v>
      </c>
      <c r="K923" s="14" t="s">
        <v>205</v>
      </c>
      <c r="L923" s="14" t="s">
        <v>274</v>
      </c>
      <c r="M923" s="14" t="s">
        <v>575</v>
      </c>
      <c r="N923" s="14" t="s">
        <v>576</v>
      </c>
      <c r="O923" s="14">
        <v>100.0</v>
      </c>
      <c r="P923" s="21">
        <v>90.0</v>
      </c>
      <c r="Q923" s="22" t="str">
        <f t="shared" ref="Q923:Q928" si="552">"+0"</f>
        <v>+0</v>
      </c>
      <c r="S923" s="14" t="s">
        <v>577</v>
      </c>
    </row>
    <row r="924">
      <c r="A924" s="13">
        <v>45901.0</v>
      </c>
      <c r="B924" s="14" t="s">
        <v>47</v>
      </c>
      <c r="C924" s="14" t="s">
        <v>48</v>
      </c>
      <c r="D924" s="14" t="s">
        <v>143</v>
      </c>
      <c r="E924" s="14" t="s">
        <v>144</v>
      </c>
      <c r="F924" s="15" t="s">
        <v>51</v>
      </c>
      <c r="G924" s="14" t="s">
        <v>145</v>
      </c>
      <c r="H924" s="14" t="s">
        <v>143</v>
      </c>
      <c r="I924" s="14" t="s">
        <v>59</v>
      </c>
      <c r="J924" s="14" t="s">
        <v>200</v>
      </c>
      <c r="K924" s="14" t="s">
        <v>232</v>
      </c>
      <c r="L924" s="14" t="s">
        <v>607</v>
      </c>
      <c r="M924" s="14" t="s">
        <v>1204</v>
      </c>
      <c r="N924" s="14" t="s">
        <v>1205</v>
      </c>
      <c r="O924" s="14">
        <v>0.0</v>
      </c>
      <c r="P924" s="21">
        <v>0.0</v>
      </c>
      <c r="Q924" s="22" t="str">
        <f t="shared" si="552"/>
        <v>+0</v>
      </c>
      <c r="R924" s="18" t="str">
        <f>"+0"</f>
        <v>+0</v>
      </c>
      <c r="S924" s="14" t="s">
        <v>260</v>
      </c>
    </row>
    <row r="925">
      <c r="A925" s="13">
        <v>45901.0</v>
      </c>
      <c r="B925" s="14" t="s">
        <v>47</v>
      </c>
      <c r="C925" s="14" t="s">
        <v>48</v>
      </c>
      <c r="D925" s="14" t="s">
        <v>132</v>
      </c>
      <c r="E925" s="14" t="s">
        <v>133</v>
      </c>
      <c r="F925" s="15" t="s">
        <v>51</v>
      </c>
      <c r="G925" s="14" t="s">
        <v>134</v>
      </c>
      <c r="H925" s="14" t="s">
        <v>135</v>
      </c>
      <c r="I925" s="14" t="s">
        <v>59</v>
      </c>
      <c r="J925" s="14" t="s">
        <v>198</v>
      </c>
      <c r="K925" s="14" t="s">
        <v>205</v>
      </c>
      <c r="L925" s="14" t="s">
        <v>274</v>
      </c>
      <c r="M925" s="14" t="s">
        <v>387</v>
      </c>
      <c r="N925" s="14" t="s">
        <v>388</v>
      </c>
      <c r="O925" s="14">
        <v>0.0</v>
      </c>
      <c r="P925" s="21">
        <v>0.0</v>
      </c>
      <c r="Q925" s="22" t="str">
        <f t="shared" si="552"/>
        <v>+0</v>
      </c>
      <c r="S925" s="14" t="s">
        <v>281</v>
      </c>
    </row>
    <row r="926">
      <c r="A926" s="13">
        <v>45901.0</v>
      </c>
      <c r="B926" s="14" t="s">
        <v>47</v>
      </c>
      <c r="C926" s="14" t="s">
        <v>48</v>
      </c>
      <c r="D926" s="14" t="s">
        <v>132</v>
      </c>
      <c r="E926" s="14" t="s">
        <v>133</v>
      </c>
      <c r="F926" s="15" t="s">
        <v>51</v>
      </c>
      <c r="G926" s="14" t="s">
        <v>134</v>
      </c>
      <c r="H926" s="14" t="s">
        <v>135</v>
      </c>
      <c r="I926" s="14" t="s">
        <v>59</v>
      </c>
      <c r="J926" s="14" t="s">
        <v>198</v>
      </c>
      <c r="K926" s="14" t="s">
        <v>210</v>
      </c>
      <c r="L926" s="14" t="s">
        <v>278</v>
      </c>
      <c r="M926" s="14" t="s">
        <v>279</v>
      </c>
      <c r="N926" s="14" t="s">
        <v>280</v>
      </c>
      <c r="O926" s="14">
        <v>100.0</v>
      </c>
      <c r="P926" s="21">
        <v>0.0</v>
      </c>
      <c r="Q926" s="22" t="str">
        <f t="shared" si="552"/>
        <v>+0</v>
      </c>
      <c r="R926" s="18" t="str">
        <f>"+0"</f>
        <v>+0</v>
      </c>
      <c r="S926" s="14" t="s">
        <v>281</v>
      </c>
    </row>
    <row r="927">
      <c r="A927" s="13">
        <v>45901.0</v>
      </c>
      <c r="B927" s="14" t="s">
        <v>47</v>
      </c>
      <c r="C927" s="14" t="s">
        <v>48</v>
      </c>
      <c r="D927" s="14" t="s">
        <v>171</v>
      </c>
      <c r="E927" s="14" t="s">
        <v>172</v>
      </c>
      <c r="F927" s="15" t="s">
        <v>51</v>
      </c>
      <c r="G927" s="14" t="s">
        <v>173</v>
      </c>
      <c r="H927" s="14" t="s">
        <v>171</v>
      </c>
      <c r="I927" s="14" t="s">
        <v>59</v>
      </c>
      <c r="J927" s="14" t="s">
        <v>198</v>
      </c>
      <c r="K927" s="14" t="s">
        <v>205</v>
      </c>
      <c r="L927" s="14" t="s">
        <v>274</v>
      </c>
      <c r="M927" s="14" t="s">
        <v>482</v>
      </c>
      <c r="N927" s="14" t="s">
        <v>483</v>
      </c>
      <c r="O927" s="14">
        <v>100.0</v>
      </c>
      <c r="P927" s="21">
        <v>8.0</v>
      </c>
      <c r="Q927" s="22" t="str">
        <f t="shared" si="552"/>
        <v>+0</v>
      </c>
      <c r="S927" s="14" t="s">
        <v>484</v>
      </c>
    </row>
    <row r="928">
      <c r="A928" s="13">
        <v>45901.0</v>
      </c>
      <c r="B928" s="14" t="s">
        <v>47</v>
      </c>
      <c r="C928" s="14" t="s">
        <v>48</v>
      </c>
      <c r="D928" s="14" t="s">
        <v>129</v>
      </c>
      <c r="E928" s="14" t="s">
        <v>130</v>
      </c>
      <c r="F928" s="15" t="s">
        <v>51</v>
      </c>
      <c r="G928" s="14" t="s">
        <v>131</v>
      </c>
      <c r="H928" s="14" t="s">
        <v>129</v>
      </c>
      <c r="I928" s="14" t="s">
        <v>59</v>
      </c>
      <c r="J928" s="14" t="s">
        <v>200</v>
      </c>
      <c r="K928" s="14" t="s">
        <v>231</v>
      </c>
      <c r="L928" s="14" t="s">
        <v>512</v>
      </c>
      <c r="M928" s="14" t="s">
        <v>513</v>
      </c>
      <c r="N928" s="14" t="s">
        <v>514</v>
      </c>
      <c r="O928" s="14">
        <v>0.0</v>
      </c>
      <c r="P928" s="21">
        <v>0.0</v>
      </c>
      <c r="Q928" s="22" t="str">
        <f t="shared" si="552"/>
        <v>+0</v>
      </c>
      <c r="R928" s="18" t="str">
        <f>"+0"</f>
        <v>+0</v>
      </c>
      <c r="S928" s="14" t="s">
        <v>260</v>
      </c>
    </row>
    <row r="929">
      <c r="A929" s="13">
        <v>45901.0</v>
      </c>
      <c r="B929" s="14" t="s">
        <v>47</v>
      </c>
      <c r="C929" s="14" t="s">
        <v>48</v>
      </c>
      <c r="D929" s="14" t="s">
        <v>87</v>
      </c>
      <c r="E929" s="14" t="s">
        <v>88</v>
      </c>
      <c r="F929" s="15" t="s">
        <v>51</v>
      </c>
      <c r="G929" s="14" t="s">
        <v>89</v>
      </c>
      <c r="H929" s="14" t="s">
        <v>90</v>
      </c>
      <c r="I929" s="14" t="s">
        <v>59</v>
      </c>
      <c r="J929" s="14" t="s">
        <v>200</v>
      </c>
      <c r="K929" s="14" t="s">
        <v>246</v>
      </c>
      <c r="L929" s="14" t="s">
        <v>614</v>
      </c>
      <c r="M929" s="14" t="s">
        <v>1206</v>
      </c>
      <c r="N929" s="14" t="s">
        <v>1207</v>
      </c>
      <c r="O929" s="14">
        <v>0.0</v>
      </c>
      <c r="P929" s="23">
        <v>-1.0</v>
      </c>
      <c r="Q929" s="22" t="str">
        <f t="shared" ref="Q929:R929" si="553">"+0.00%"</f>
        <v>+0.00%</v>
      </c>
      <c r="R929" s="18" t="str">
        <f t="shared" si="553"/>
        <v>+0.00%</v>
      </c>
      <c r="S929" s="14" t="s">
        <v>1208</v>
      </c>
    </row>
    <row r="930">
      <c r="A930" s="13">
        <v>45901.0</v>
      </c>
      <c r="B930" s="14" t="s">
        <v>47</v>
      </c>
      <c r="C930" s="14" t="s">
        <v>48</v>
      </c>
      <c r="D930" s="14" t="s">
        <v>171</v>
      </c>
      <c r="E930" s="14" t="s">
        <v>172</v>
      </c>
      <c r="F930" s="15" t="s">
        <v>51</v>
      </c>
      <c r="G930" s="14" t="s">
        <v>173</v>
      </c>
      <c r="H930" s="14" t="s">
        <v>171</v>
      </c>
      <c r="I930" s="14" t="s">
        <v>59</v>
      </c>
      <c r="J930" s="14" t="s">
        <v>198</v>
      </c>
      <c r="K930" s="14" t="s">
        <v>210</v>
      </c>
      <c r="L930" s="14" t="s">
        <v>264</v>
      </c>
      <c r="M930" s="14" t="s">
        <v>407</v>
      </c>
      <c r="N930" s="14" t="s">
        <v>408</v>
      </c>
      <c r="O930" s="14">
        <v>100.0</v>
      </c>
      <c r="P930" s="21">
        <v>0.0</v>
      </c>
      <c r="Q930" s="22" t="str">
        <f t="shared" ref="Q930:R930" si="554">"+0"</f>
        <v>+0</v>
      </c>
      <c r="R930" s="18" t="str">
        <f t="shared" si="554"/>
        <v>+0</v>
      </c>
      <c r="S930" s="14" t="s">
        <v>281</v>
      </c>
    </row>
    <row r="931">
      <c r="A931" s="13">
        <v>45901.0</v>
      </c>
      <c r="B931" s="14" t="s">
        <v>47</v>
      </c>
      <c r="C931" s="14" t="s">
        <v>48</v>
      </c>
      <c r="D931" s="14" t="s">
        <v>69</v>
      </c>
      <c r="E931" s="14" t="s">
        <v>70</v>
      </c>
      <c r="F931" s="15" t="s">
        <v>51</v>
      </c>
      <c r="G931" s="14" t="s">
        <v>115</v>
      </c>
      <c r="H931" s="14" t="s">
        <v>72</v>
      </c>
      <c r="I931" s="14" t="s">
        <v>54</v>
      </c>
      <c r="J931" s="14" t="s">
        <v>199</v>
      </c>
      <c r="K931" s="14" t="s">
        <v>203</v>
      </c>
      <c r="L931" s="14" t="s">
        <v>1095</v>
      </c>
      <c r="M931" s="14" t="s">
        <v>1095</v>
      </c>
      <c r="N931" s="14" t="s">
        <v>1096</v>
      </c>
      <c r="O931" s="14">
        <v>100.0</v>
      </c>
      <c r="P931" s="21">
        <v>1.0</v>
      </c>
      <c r="Q931" s="22" t="str">
        <f t="shared" ref="Q931:R931" si="555">"+0"</f>
        <v>+0</v>
      </c>
      <c r="R931" s="18" t="str">
        <f t="shared" si="555"/>
        <v>+0</v>
      </c>
      <c r="S931" s="14" t="s">
        <v>260</v>
      </c>
    </row>
    <row r="932">
      <c r="A932" s="13">
        <v>45901.0</v>
      </c>
      <c r="B932" s="14" t="s">
        <v>47</v>
      </c>
      <c r="C932" s="14" t="s">
        <v>48</v>
      </c>
      <c r="D932" s="14" t="s">
        <v>69</v>
      </c>
      <c r="E932" s="14" t="s">
        <v>70</v>
      </c>
      <c r="F932" s="15" t="s">
        <v>51</v>
      </c>
      <c r="G932" s="14" t="s">
        <v>115</v>
      </c>
      <c r="H932" s="14" t="s">
        <v>72</v>
      </c>
      <c r="I932" s="14" t="s">
        <v>54</v>
      </c>
      <c r="J932" s="14" t="s">
        <v>200</v>
      </c>
      <c r="K932" s="14" t="s">
        <v>224</v>
      </c>
      <c r="L932" s="14" t="s">
        <v>427</v>
      </c>
      <c r="M932" s="14" t="s">
        <v>428</v>
      </c>
      <c r="N932" s="14" t="s">
        <v>429</v>
      </c>
      <c r="O932" s="14">
        <v>91.0</v>
      </c>
      <c r="P932" s="23">
        <v>0.9167</v>
      </c>
      <c r="Q932" s="22" t="str">
        <f>"-8.33%"</f>
        <v>-8.33%</v>
      </c>
      <c r="R932" s="18" t="str">
        <f>"+11.67%"</f>
        <v>+11.67%</v>
      </c>
      <c r="S932" s="14" t="s">
        <v>1209</v>
      </c>
    </row>
    <row r="933">
      <c r="A933" s="13">
        <v>45901.0</v>
      </c>
      <c r="B933" s="14" t="s">
        <v>47</v>
      </c>
      <c r="C933" s="14" t="s">
        <v>48</v>
      </c>
      <c r="D933" s="14" t="s">
        <v>69</v>
      </c>
      <c r="E933" s="14" t="s">
        <v>70</v>
      </c>
      <c r="F933" s="15" t="s">
        <v>51</v>
      </c>
      <c r="G933" s="14" t="s">
        <v>115</v>
      </c>
      <c r="H933" s="14" t="s">
        <v>72</v>
      </c>
      <c r="I933" s="14" t="s">
        <v>54</v>
      </c>
      <c r="J933" s="14" t="s">
        <v>200</v>
      </c>
      <c r="K933" s="14" t="s">
        <v>213</v>
      </c>
      <c r="L933" s="14" t="s">
        <v>289</v>
      </c>
      <c r="M933" s="14" t="s">
        <v>684</v>
      </c>
      <c r="N933" s="14" t="s">
        <v>685</v>
      </c>
      <c r="O933" s="14">
        <v>0.0</v>
      </c>
      <c r="P933" s="23">
        <v>0.0</v>
      </c>
      <c r="Q933" s="22" t="str">
        <f t="shared" ref="Q933:R933" si="556">"+0.00%"</f>
        <v>+0.00%</v>
      </c>
      <c r="R933" s="18" t="str">
        <f t="shared" si="556"/>
        <v>+0.00%</v>
      </c>
      <c r="S933" s="14" t="s">
        <v>285</v>
      </c>
    </row>
    <row r="934">
      <c r="A934" s="13">
        <v>45901.0</v>
      </c>
      <c r="B934" s="14" t="s">
        <v>47</v>
      </c>
      <c r="C934" s="14" t="s">
        <v>48</v>
      </c>
      <c r="D934" s="14" t="s">
        <v>116</v>
      </c>
      <c r="E934" s="14" t="s">
        <v>117</v>
      </c>
      <c r="F934" s="15" t="s">
        <v>51</v>
      </c>
      <c r="G934" s="14" t="s">
        <v>161</v>
      </c>
      <c r="H934" s="14" t="s">
        <v>116</v>
      </c>
      <c r="I934" s="14" t="s">
        <v>54</v>
      </c>
      <c r="J934" s="14" t="s">
        <v>198</v>
      </c>
      <c r="K934" s="14" t="s">
        <v>210</v>
      </c>
      <c r="L934" s="14" t="s">
        <v>264</v>
      </c>
      <c r="M934" s="14" t="s">
        <v>1210</v>
      </c>
      <c r="N934" s="14" t="s">
        <v>1211</v>
      </c>
      <c r="O934" s="14">
        <v>0.0</v>
      </c>
      <c r="P934" s="21">
        <v>0.0</v>
      </c>
      <c r="Q934" s="22" t="str">
        <f t="shared" ref="Q934:R934" si="557">"+0"</f>
        <v>+0</v>
      </c>
      <c r="R934" s="18" t="str">
        <f t="shared" si="557"/>
        <v>+0</v>
      </c>
      <c r="S934" s="14" t="s">
        <v>277</v>
      </c>
    </row>
    <row r="935">
      <c r="A935" s="13">
        <v>45901.0</v>
      </c>
      <c r="B935" s="14" t="s">
        <v>47</v>
      </c>
      <c r="C935" s="14" t="s">
        <v>48</v>
      </c>
      <c r="D935" s="14" t="s">
        <v>158</v>
      </c>
      <c r="E935" s="14" t="s">
        <v>159</v>
      </c>
      <c r="F935" s="15" t="s">
        <v>51</v>
      </c>
      <c r="G935" s="14" t="s">
        <v>160</v>
      </c>
      <c r="H935" s="14" t="s">
        <v>158</v>
      </c>
      <c r="I935" s="14" t="s">
        <v>54</v>
      </c>
      <c r="J935" s="14" t="s">
        <v>198</v>
      </c>
      <c r="K935" s="14" t="s">
        <v>210</v>
      </c>
      <c r="L935" s="14" t="s">
        <v>264</v>
      </c>
      <c r="M935" s="14" t="s">
        <v>943</v>
      </c>
      <c r="N935" s="14" t="s">
        <v>944</v>
      </c>
      <c r="O935" s="14">
        <v>0.0</v>
      </c>
      <c r="P935" s="21">
        <v>0.0</v>
      </c>
      <c r="Q935" s="22" t="str">
        <f t="shared" ref="Q935:R935" si="558">"+0"</f>
        <v>+0</v>
      </c>
      <c r="R935" s="18" t="str">
        <f t="shared" si="558"/>
        <v>+0</v>
      </c>
      <c r="S935" s="14" t="s">
        <v>277</v>
      </c>
    </row>
    <row r="936">
      <c r="A936" s="13">
        <v>45901.0</v>
      </c>
      <c r="B936" s="14" t="s">
        <v>47</v>
      </c>
      <c r="C936" s="14" t="s">
        <v>48</v>
      </c>
      <c r="D936" s="14" t="s">
        <v>116</v>
      </c>
      <c r="E936" s="14" t="s">
        <v>117</v>
      </c>
      <c r="F936" s="15" t="s">
        <v>51</v>
      </c>
      <c r="G936" s="14" t="s">
        <v>161</v>
      </c>
      <c r="H936" s="14" t="s">
        <v>116</v>
      </c>
      <c r="I936" s="14" t="s">
        <v>54</v>
      </c>
      <c r="J936" s="14" t="s">
        <v>198</v>
      </c>
      <c r="K936" s="14" t="s">
        <v>205</v>
      </c>
      <c r="L936" s="14" t="s">
        <v>274</v>
      </c>
      <c r="M936" s="14" t="s">
        <v>791</v>
      </c>
      <c r="N936" s="14" t="s">
        <v>792</v>
      </c>
      <c r="O936" s="14">
        <v>100.0</v>
      </c>
      <c r="P936" s="21">
        <v>4.0</v>
      </c>
      <c r="Q936" s="22" t="str">
        <f>"+0"</f>
        <v>+0</v>
      </c>
      <c r="S936" s="14" t="s">
        <v>260</v>
      </c>
    </row>
    <row r="937">
      <c r="A937" s="13">
        <v>45901.0</v>
      </c>
      <c r="B937" s="14" t="s">
        <v>47</v>
      </c>
      <c r="C937" s="14" t="s">
        <v>48</v>
      </c>
      <c r="D937" s="14" t="s">
        <v>174</v>
      </c>
      <c r="E937" s="14" t="s">
        <v>175</v>
      </c>
      <c r="F937" s="15" t="s">
        <v>51</v>
      </c>
      <c r="G937" s="14" t="s">
        <v>176</v>
      </c>
      <c r="H937" s="14" t="s">
        <v>174</v>
      </c>
      <c r="I937" s="14" t="s">
        <v>59</v>
      </c>
      <c r="J937" s="14" t="s">
        <v>200</v>
      </c>
      <c r="K937" s="14" t="s">
        <v>214</v>
      </c>
      <c r="L937" s="14" t="s">
        <v>253</v>
      </c>
      <c r="M937" s="14" t="s">
        <v>366</v>
      </c>
      <c r="N937" s="14" t="s">
        <v>367</v>
      </c>
      <c r="O937" s="14">
        <v>3.0</v>
      </c>
      <c r="P937" s="23">
        <v>0.0313</v>
      </c>
      <c r="Q937" s="22" t="str">
        <f t="shared" ref="Q937:R937" si="559">"+0.00%"</f>
        <v>+0.00%</v>
      </c>
      <c r="R937" s="18" t="str">
        <f t="shared" si="559"/>
        <v>+0.00%</v>
      </c>
      <c r="S937" s="14" t="s">
        <v>1212</v>
      </c>
    </row>
    <row r="938">
      <c r="A938" s="13">
        <v>45901.0</v>
      </c>
      <c r="B938" s="14" t="s">
        <v>47</v>
      </c>
      <c r="C938" s="14" t="s">
        <v>48</v>
      </c>
      <c r="D938" s="14" t="s">
        <v>174</v>
      </c>
      <c r="E938" s="14" t="s">
        <v>175</v>
      </c>
      <c r="F938" s="15" t="s">
        <v>51</v>
      </c>
      <c r="G938" s="14" t="s">
        <v>176</v>
      </c>
      <c r="H938" s="14" t="s">
        <v>174</v>
      </c>
      <c r="I938" s="14" t="s">
        <v>59</v>
      </c>
      <c r="J938" s="14" t="s">
        <v>198</v>
      </c>
      <c r="K938" s="14" t="s">
        <v>205</v>
      </c>
      <c r="L938" s="14" t="s">
        <v>274</v>
      </c>
      <c r="M938" s="14" t="s">
        <v>466</v>
      </c>
      <c r="N938" s="14" t="s">
        <v>467</v>
      </c>
      <c r="O938" s="14">
        <v>100.0</v>
      </c>
      <c r="P938" s="21">
        <v>1.0</v>
      </c>
      <c r="Q938" s="22" t="str">
        <f t="shared" ref="Q938:Q939" si="560">"+0"</f>
        <v>+0</v>
      </c>
      <c r="S938" s="14" t="s">
        <v>281</v>
      </c>
    </row>
    <row r="939">
      <c r="A939" s="13">
        <v>45901.0</v>
      </c>
      <c r="B939" s="14" t="s">
        <v>47</v>
      </c>
      <c r="C939" s="14" t="s">
        <v>48</v>
      </c>
      <c r="D939" s="14" t="s">
        <v>174</v>
      </c>
      <c r="E939" s="14" t="s">
        <v>175</v>
      </c>
      <c r="F939" s="15" t="s">
        <v>51</v>
      </c>
      <c r="G939" s="14" t="s">
        <v>176</v>
      </c>
      <c r="H939" s="14" t="s">
        <v>174</v>
      </c>
      <c r="I939" s="14" t="s">
        <v>59</v>
      </c>
      <c r="J939" s="14" t="s">
        <v>198</v>
      </c>
      <c r="K939" s="14" t="s">
        <v>210</v>
      </c>
      <c r="L939" s="14" t="s">
        <v>458</v>
      </c>
      <c r="M939" s="14" t="s">
        <v>459</v>
      </c>
      <c r="N939" s="14" t="s">
        <v>460</v>
      </c>
      <c r="O939" s="14">
        <v>100.0</v>
      </c>
      <c r="P939" s="21">
        <v>0.0</v>
      </c>
      <c r="Q939" s="22" t="str">
        <f t="shared" si="560"/>
        <v>+0</v>
      </c>
      <c r="R939" s="18" t="str">
        <f>"+0"</f>
        <v>+0</v>
      </c>
      <c r="S939" s="14" t="s">
        <v>281</v>
      </c>
    </row>
    <row r="940">
      <c r="A940" s="13">
        <v>45901.0</v>
      </c>
      <c r="B940" s="14" t="s">
        <v>47</v>
      </c>
      <c r="C940" s="14" t="s">
        <v>48</v>
      </c>
      <c r="D940" s="14" t="s">
        <v>77</v>
      </c>
      <c r="E940" s="14" t="s">
        <v>78</v>
      </c>
      <c r="F940" s="15" t="s">
        <v>51</v>
      </c>
      <c r="G940" s="14" t="s">
        <v>128</v>
      </c>
      <c r="H940" s="14" t="s">
        <v>81</v>
      </c>
      <c r="I940" s="14" t="s">
        <v>59</v>
      </c>
      <c r="J940" s="14" t="s">
        <v>200</v>
      </c>
      <c r="K940" s="14" t="s">
        <v>223</v>
      </c>
      <c r="L940" s="14" t="s">
        <v>304</v>
      </c>
      <c r="M940" s="14" t="s">
        <v>662</v>
      </c>
      <c r="N940" s="14" t="s">
        <v>663</v>
      </c>
      <c r="O940" s="14">
        <v>0.0</v>
      </c>
      <c r="P940" s="23">
        <v>-1.0</v>
      </c>
      <c r="Q940" s="22" t="str">
        <f t="shared" ref="Q940:R940" si="561">"+0.00%"</f>
        <v>+0.00%</v>
      </c>
      <c r="R940" s="18" t="str">
        <f t="shared" si="561"/>
        <v>+0.00%</v>
      </c>
      <c r="S940" s="14" t="s">
        <v>1213</v>
      </c>
    </row>
    <row r="941">
      <c r="A941" s="13">
        <v>45901.0</v>
      </c>
      <c r="B941" s="14" t="s">
        <v>47</v>
      </c>
      <c r="C941" s="14" t="s">
        <v>48</v>
      </c>
      <c r="D941" s="14" t="s">
        <v>155</v>
      </c>
      <c r="E941" s="14" t="s">
        <v>156</v>
      </c>
      <c r="F941" s="15" t="s">
        <v>51</v>
      </c>
      <c r="G941" s="14" t="s">
        <v>157</v>
      </c>
      <c r="H941" s="14" t="s">
        <v>155</v>
      </c>
      <c r="I941" s="14" t="s">
        <v>59</v>
      </c>
      <c r="J941" s="14" t="s">
        <v>199</v>
      </c>
      <c r="K941" s="14" t="s">
        <v>206</v>
      </c>
      <c r="L941" s="14" t="s">
        <v>531</v>
      </c>
      <c r="M941" s="14" t="s">
        <v>531</v>
      </c>
      <c r="N941" s="14" t="s">
        <v>532</v>
      </c>
      <c r="O941" s="14">
        <v>0.0</v>
      </c>
      <c r="P941" s="21">
        <v>0.0</v>
      </c>
      <c r="Q941" s="22" t="str">
        <f t="shared" ref="Q941:R941" si="562">"+0"</f>
        <v>+0</v>
      </c>
      <c r="R941" s="18" t="str">
        <f t="shared" si="562"/>
        <v>+0</v>
      </c>
      <c r="S941" s="14" t="s">
        <v>260</v>
      </c>
    </row>
    <row r="942">
      <c r="A942" s="13">
        <v>45901.0</v>
      </c>
      <c r="B942" s="14" t="s">
        <v>47</v>
      </c>
      <c r="C942" s="14" t="s">
        <v>48</v>
      </c>
      <c r="D942" s="14" t="s">
        <v>140</v>
      </c>
      <c r="E942" s="14" t="s">
        <v>141</v>
      </c>
      <c r="F942" s="15" t="s">
        <v>51</v>
      </c>
      <c r="G942" s="14" t="s">
        <v>142</v>
      </c>
      <c r="H942" s="14" t="s">
        <v>140</v>
      </c>
      <c r="I942" s="14" t="s">
        <v>59</v>
      </c>
      <c r="J942" s="14" t="s">
        <v>198</v>
      </c>
      <c r="K942" s="14" t="s">
        <v>205</v>
      </c>
      <c r="L942" s="14" t="s">
        <v>274</v>
      </c>
      <c r="M942" s="14" t="s">
        <v>738</v>
      </c>
      <c r="N942" s="14" t="s">
        <v>739</v>
      </c>
      <c r="O942" s="14">
        <v>0.0</v>
      </c>
      <c r="P942" s="21">
        <v>0.0</v>
      </c>
      <c r="Q942" s="22" t="str">
        <f>"+0"</f>
        <v>+0</v>
      </c>
      <c r="S942" s="14" t="s">
        <v>281</v>
      </c>
    </row>
    <row r="943">
      <c r="A943" s="13">
        <v>45901.0</v>
      </c>
      <c r="B943" s="14" t="s">
        <v>47</v>
      </c>
      <c r="C943" s="14" t="s">
        <v>48</v>
      </c>
      <c r="D943" s="14" t="s">
        <v>165</v>
      </c>
      <c r="E943" s="14" t="s">
        <v>166</v>
      </c>
      <c r="F943" s="15" t="s">
        <v>51</v>
      </c>
      <c r="G943" s="14" t="s">
        <v>167</v>
      </c>
      <c r="H943" s="14" t="s">
        <v>165</v>
      </c>
      <c r="I943" s="14" t="s">
        <v>54</v>
      </c>
      <c r="J943" s="14" t="s">
        <v>200</v>
      </c>
      <c r="K943" s="14" t="s">
        <v>213</v>
      </c>
      <c r="L943" s="14" t="s">
        <v>571</v>
      </c>
      <c r="M943" s="14" t="s">
        <v>572</v>
      </c>
      <c r="N943" s="14" t="s">
        <v>573</v>
      </c>
      <c r="O943" s="14">
        <v>0.0</v>
      </c>
      <c r="P943" s="23">
        <v>0.0</v>
      </c>
      <c r="Q943" s="22" t="str">
        <f t="shared" ref="Q943:R943" si="563">"+0.00%"</f>
        <v>+0.00%</v>
      </c>
      <c r="R943" s="18" t="str">
        <f t="shared" si="563"/>
        <v>+0.00%</v>
      </c>
      <c r="S943" s="14" t="s">
        <v>285</v>
      </c>
    </row>
    <row r="944">
      <c r="A944" s="13">
        <v>45901.0</v>
      </c>
      <c r="B944" s="14" t="s">
        <v>47</v>
      </c>
      <c r="C944" s="14" t="s">
        <v>48</v>
      </c>
      <c r="D944" s="14" t="s">
        <v>165</v>
      </c>
      <c r="E944" s="14" t="s">
        <v>166</v>
      </c>
      <c r="F944" s="15" t="s">
        <v>51</v>
      </c>
      <c r="G944" s="14" t="s">
        <v>167</v>
      </c>
      <c r="H944" s="14" t="s">
        <v>165</v>
      </c>
      <c r="I944" s="14" t="s">
        <v>54</v>
      </c>
      <c r="J944" s="14" t="s">
        <v>198</v>
      </c>
      <c r="K944" s="14" t="s">
        <v>210</v>
      </c>
      <c r="L944" s="14" t="s">
        <v>264</v>
      </c>
      <c r="M944" s="14" t="s">
        <v>1214</v>
      </c>
      <c r="N944" s="14" t="s">
        <v>1215</v>
      </c>
      <c r="O944" s="14">
        <v>0.0</v>
      </c>
      <c r="P944" s="21">
        <v>0.0</v>
      </c>
      <c r="Q944" s="22" t="str">
        <f t="shared" ref="Q944:R944" si="564">"+0"</f>
        <v>+0</v>
      </c>
      <c r="R944" s="18" t="str">
        <f t="shared" si="564"/>
        <v>+0</v>
      </c>
      <c r="S944" s="14" t="s">
        <v>277</v>
      </c>
    </row>
    <row r="945">
      <c r="A945" s="13">
        <v>45901.0</v>
      </c>
      <c r="B945" s="14" t="s">
        <v>47</v>
      </c>
      <c r="C945" s="14" t="s">
        <v>48</v>
      </c>
      <c r="D945" s="14" t="s">
        <v>118</v>
      </c>
      <c r="E945" s="14" t="s">
        <v>119</v>
      </c>
      <c r="F945" s="15" t="s">
        <v>51</v>
      </c>
      <c r="G945" s="14" t="s">
        <v>120</v>
      </c>
      <c r="H945" s="14" t="s">
        <v>118</v>
      </c>
      <c r="I945" s="14" t="s">
        <v>59</v>
      </c>
      <c r="J945" s="14" t="s">
        <v>200</v>
      </c>
      <c r="K945" s="14" t="s">
        <v>204</v>
      </c>
      <c r="L945" s="14" t="s">
        <v>253</v>
      </c>
      <c r="M945" s="14" t="s">
        <v>490</v>
      </c>
      <c r="N945" s="14" t="s">
        <v>491</v>
      </c>
      <c r="O945" s="14">
        <v>0.0</v>
      </c>
      <c r="P945" s="23">
        <v>0.0</v>
      </c>
      <c r="Q945" s="22" t="str">
        <f t="shared" ref="Q945:R945" si="565">"+0.00%"</f>
        <v>+0.00%</v>
      </c>
      <c r="R945" s="18" t="str">
        <f t="shared" si="565"/>
        <v>+0.00%</v>
      </c>
      <c r="S945" s="14" t="s">
        <v>492</v>
      </c>
    </row>
    <row r="946">
      <c r="A946" s="13">
        <v>45901.0</v>
      </c>
      <c r="B946" s="14" t="s">
        <v>47</v>
      </c>
      <c r="C946" s="14" t="s">
        <v>48</v>
      </c>
      <c r="D946" s="14" t="s">
        <v>91</v>
      </c>
      <c r="E946" s="14" t="s">
        <v>92</v>
      </c>
      <c r="F946" s="15" t="s">
        <v>51</v>
      </c>
      <c r="G946" s="14" t="s">
        <v>163</v>
      </c>
      <c r="H946" s="14" t="s">
        <v>91</v>
      </c>
      <c r="I946" s="14" t="s">
        <v>59</v>
      </c>
      <c r="J946" s="14" t="s">
        <v>200</v>
      </c>
      <c r="K946" s="14" t="s">
        <v>223</v>
      </c>
      <c r="L946" s="14" t="s">
        <v>607</v>
      </c>
      <c r="M946" s="14" t="s">
        <v>765</v>
      </c>
      <c r="N946" s="14" t="s">
        <v>766</v>
      </c>
      <c r="O946" s="14">
        <v>100.0</v>
      </c>
      <c r="P946" s="21">
        <v>11.0</v>
      </c>
      <c r="Q946" s="22" t="str">
        <f t="shared" ref="Q946:R946" si="566">"+0"</f>
        <v>+0</v>
      </c>
      <c r="R946" s="18" t="str">
        <f t="shared" si="566"/>
        <v>+0</v>
      </c>
      <c r="S946" s="14" t="s">
        <v>260</v>
      </c>
    </row>
    <row r="947">
      <c r="A947" s="13">
        <v>45901.0</v>
      </c>
      <c r="B947" s="14" t="s">
        <v>47</v>
      </c>
      <c r="C947" s="14" t="s">
        <v>48</v>
      </c>
      <c r="D947" s="14" t="s">
        <v>91</v>
      </c>
      <c r="E947" s="14" t="s">
        <v>92</v>
      </c>
      <c r="F947" s="15" t="s">
        <v>51</v>
      </c>
      <c r="G947" s="14" t="s">
        <v>163</v>
      </c>
      <c r="H947" s="14" t="s">
        <v>91</v>
      </c>
      <c r="I947" s="14" t="s">
        <v>59</v>
      </c>
      <c r="J947" s="14" t="s">
        <v>198</v>
      </c>
      <c r="K947" s="14" t="s">
        <v>205</v>
      </c>
      <c r="L947" s="14" t="s">
        <v>274</v>
      </c>
      <c r="M947" s="14" t="s">
        <v>466</v>
      </c>
      <c r="N947" s="14" t="s">
        <v>467</v>
      </c>
      <c r="O947" s="14">
        <v>100.0</v>
      </c>
      <c r="P947" s="21">
        <v>1.0</v>
      </c>
      <c r="Q947" s="22" t="str">
        <f>"+0"</f>
        <v>+0</v>
      </c>
      <c r="S947" s="14" t="s">
        <v>281</v>
      </c>
    </row>
    <row r="948">
      <c r="A948" s="13">
        <v>45901.0</v>
      </c>
      <c r="B948" s="14" t="s">
        <v>47</v>
      </c>
      <c r="C948" s="14" t="s">
        <v>48</v>
      </c>
      <c r="D948" s="14" t="s">
        <v>91</v>
      </c>
      <c r="E948" s="14" t="s">
        <v>92</v>
      </c>
      <c r="F948" s="15" t="s">
        <v>51</v>
      </c>
      <c r="G948" s="14" t="s">
        <v>163</v>
      </c>
      <c r="H948" s="14" t="s">
        <v>91</v>
      </c>
      <c r="I948" s="14" t="s">
        <v>59</v>
      </c>
      <c r="J948" s="14" t="s">
        <v>200</v>
      </c>
      <c r="K948" s="14" t="s">
        <v>223</v>
      </c>
      <c r="L948" s="14" t="s">
        <v>289</v>
      </c>
      <c r="M948" s="14" t="s">
        <v>290</v>
      </c>
      <c r="N948" s="14" t="s">
        <v>291</v>
      </c>
      <c r="O948" s="14">
        <v>0.0</v>
      </c>
      <c r="P948" s="23">
        <v>0.0</v>
      </c>
      <c r="Q948" s="22" t="str">
        <f t="shared" ref="Q948:R948" si="567">"+0.00%"</f>
        <v>+0.00%</v>
      </c>
      <c r="R948" s="18" t="str">
        <f t="shared" si="567"/>
        <v>+0.00%</v>
      </c>
      <c r="S948" s="14" t="s">
        <v>285</v>
      </c>
    </row>
    <row r="949">
      <c r="A949" s="13">
        <v>45901.0</v>
      </c>
      <c r="B949" s="14" t="s">
        <v>47</v>
      </c>
      <c r="C949" s="14" t="s">
        <v>48</v>
      </c>
      <c r="D949" s="14" t="s">
        <v>63</v>
      </c>
      <c r="E949" s="14" t="s">
        <v>64</v>
      </c>
      <c r="F949" s="15" t="s">
        <v>51</v>
      </c>
      <c r="G949" s="14" t="s">
        <v>65</v>
      </c>
      <c r="H949" s="14" t="s">
        <v>63</v>
      </c>
      <c r="I949" s="14" t="s">
        <v>54</v>
      </c>
      <c r="J949" s="14" t="s">
        <v>198</v>
      </c>
      <c r="K949" s="14" t="s">
        <v>210</v>
      </c>
      <c r="L949" s="14" t="s">
        <v>505</v>
      </c>
      <c r="M949" s="14" t="s">
        <v>1128</v>
      </c>
      <c r="N949" s="14" t="s">
        <v>1129</v>
      </c>
      <c r="O949" s="14">
        <v>0.0</v>
      </c>
      <c r="P949" s="21">
        <v>0.0</v>
      </c>
      <c r="Q949" s="22" t="str">
        <f t="shared" ref="Q949:R949" si="568">"+0"</f>
        <v>+0</v>
      </c>
      <c r="R949" s="18" t="str">
        <f t="shared" si="568"/>
        <v>+0</v>
      </c>
      <c r="S949" s="14" t="s">
        <v>277</v>
      </c>
    </row>
    <row r="950">
      <c r="A950" s="13">
        <v>45901.0</v>
      </c>
      <c r="B950" s="14" t="s">
        <v>47</v>
      </c>
      <c r="C950" s="14" t="s">
        <v>48</v>
      </c>
      <c r="D950" s="14" t="s">
        <v>66</v>
      </c>
      <c r="E950" s="14" t="s">
        <v>67</v>
      </c>
      <c r="F950" s="15" t="s">
        <v>51</v>
      </c>
      <c r="G950" s="14" t="s">
        <v>68</v>
      </c>
      <c r="H950" s="14" t="s">
        <v>66</v>
      </c>
      <c r="I950" s="14" t="s">
        <v>59</v>
      </c>
      <c r="J950" s="14" t="s">
        <v>198</v>
      </c>
      <c r="K950" s="14" t="s">
        <v>212</v>
      </c>
      <c r="L950" s="14" t="s">
        <v>249</v>
      </c>
      <c r="M950" s="14" t="s">
        <v>598</v>
      </c>
      <c r="N950" s="14" t="s">
        <v>599</v>
      </c>
      <c r="O950" s="14">
        <v>0.0</v>
      </c>
      <c r="P950" s="21">
        <v>4530.0</v>
      </c>
      <c r="Q950" s="22" t="str">
        <f>"-131"</f>
        <v>-131</v>
      </c>
      <c r="R950" s="18" t="str">
        <f>"+30"</f>
        <v>+30</v>
      </c>
      <c r="S950" s="14" t="s">
        <v>1216</v>
      </c>
    </row>
    <row r="951">
      <c r="A951" s="13">
        <v>45901.0</v>
      </c>
      <c r="B951" s="14" t="s">
        <v>47</v>
      </c>
      <c r="C951" s="14" t="s">
        <v>48</v>
      </c>
      <c r="D951" s="14" t="s">
        <v>73</v>
      </c>
      <c r="E951" s="14" t="s">
        <v>74</v>
      </c>
      <c r="F951" s="15" t="s">
        <v>51</v>
      </c>
      <c r="G951" s="14" t="s">
        <v>75</v>
      </c>
      <c r="H951" s="14" t="s">
        <v>76</v>
      </c>
      <c r="I951" s="14" t="s">
        <v>59</v>
      </c>
      <c r="J951" s="14" t="s">
        <v>199</v>
      </c>
      <c r="K951" s="14" t="s">
        <v>203</v>
      </c>
      <c r="L951" s="14" t="s">
        <v>725</v>
      </c>
      <c r="M951" s="14" t="s">
        <v>725</v>
      </c>
      <c r="N951" s="14" t="s">
        <v>726</v>
      </c>
      <c r="O951" s="14">
        <v>0.0</v>
      </c>
      <c r="P951" s="21">
        <v>0.0</v>
      </c>
      <c r="Q951" s="22" t="str">
        <f t="shared" ref="Q951:R951" si="569">"+0"</f>
        <v>+0</v>
      </c>
      <c r="R951" s="18" t="str">
        <f t="shared" si="569"/>
        <v>+0</v>
      </c>
      <c r="S951" s="14" t="s">
        <v>260</v>
      </c>
    </row>
    <row r="952">
      <c r="A952" s="13">
        <v>45901.0</v>
      </c>
      <c r="B952" s="14" t="s">
        <v>47</v>
      </c>
      <c r="C952" s="14" t="s">
        <v>48</v>
      </c>
      <c r="D952" s="14" t="s">
        <v>103</v>
      </c>
      <c r="E952" s="14" t="s">
        <v>104</v>
      </c>
      <c r="F952" s="15" t="s">
        <v>51</v>
      </c>
      <c r="G952" s="14" t="s">
        <v>105</v>
      </c>
      <c r="H952" s="14" t="s">
        <v>106</v>
      </c>
      <c r="I952" s="14" t="s">
        <v>59</v>
      </c>
      <c r="J952" s="14" t="s">
        <v>199</v>
      </c>
      <c r="K952" s="14" t="s">
        <v>206</v>
      </c>
      <c r="L952" s="14" t="s">
        <v>381</v>
      </c>
      <c r="M952" s="14" t="s">
        <v>381</v>
      </c>
      <c r="N952" s="14" t="s">
        <v>382</v>
      </c>
      <c r="O952" s="14">
        <v>0.0</v>
      </c>
      <c r="P952" s="21">
        <v>0.0</v>
      </c>
      <c r="Q952" s="22" t="str">
        <f t="shared" ref="Q952:R952" si="570">"+0"</f>
        <v>+0</v>
      </c>
      <c r="R952" s="18" t="str">
        <f t="shared" si="570"/>
        <v>+0</v>
      </c>
      <c r="S952" s="14" t="s">
        <v>383</v>
      </c>
    </row>
    <row r="953">
      <c r="A953" s="13">
        <v>45901.0</v>
      </c>
      <c r="B953" s="14" t="s">
        <v>47</v>
      </c>
      <c r="C953" s="14" t="s">
        <v>48</v>
      </c>
      <c r="D953" s="14" t="s">
        <v>87</v>
      </c>
      <c r="E953" s="14" t="s">
        <v>88</v>
      </c>
      <c r="F953" s="15" t="s">
        <v>51</v>
      </c>
      <c r="G953" s="14" t="s">
        <v>89</v>
      </c>
      <c r="H953" s="14" t="s">
        <v>90</v>
      </c>
      <c r="I953" s="14" t="s">
        <v>59</v>
      </c>
      <c r="J953" s="14" t="s">
        <v>200</v>
      </c>
      <c r="K953" s="14" t="s">
        <v>211</v>
      </c>
      <c r="L953" s="14" t="s">
        <v>253</v>
      </c>
      <c r="M953" s="14" t="s">
        <v>1085</v>
      </c>
      <c r="N953" s="14" t="s">
        <v>1086</v>
      </c>
      <c r="O953" s="14">
        <v>0.0</v>
      </c>
      <c r="P953" s="23">
        <v>0.0</v>
      </c>
      <c r="Q953" s="22" t="str">
        <f t="shared" ref="Q953:R953" si="571">"+0.00%"</f>
        <v>+0.00%</v>
      </c>
      <c r="R953" s="18" t="str">
        <f t="shared" si="571"/>
        <v>+0.00%</v>
      </c>
      <c r="S953" s="14" t="s">
        <v>1217</v>
      </c>
    </row>
    <row r="954">
      <c r="A954" s="13">
        <v>45901.0</v>
      </c>
      <c r="B954" s="14" t="s">
        <v>47</v>
      </c>
      <c r="C954" s="14" t="s">
        <v>48</v>
      </c>
      <c r="D954" s="14" t="s">
        <v>149</v>
      </c>
      <c r="E954" s="14" t="s">
        <v>150</v>
      </c>
      <c r="F954" s="15" t="s">
        <v>51</v>
      </c>
      <c r="G954" s="14" t="s">
        <v>151</v>
      </c>
      <c r="H954" s="14" t="s">
        <v>152</v>
      </c>
      <c r="I954" s="14" t="s">
        <v>54</v>
      </c>
      <c r="J954" s="14" t="s">
        <v>200</v>
      </c>
      <c r="K954" s="14" t="s">
        <v>231</v>
      </c>
      <c r="L954" s="14" t="s">
        <v>762</v>
      </c>
      <c r="M954" s="14" t="s">
        <v>1218</v>
      </c>
      <c r="N954" s="14" t="s">
        <v>1219</v>
      </c>
      <c r="O954" s="14">
        <v>1.0</v>
      </c>
      <c r="P954" s="23">
        <v>0.0147</v>
      </c>
      <c r="Q954" s="22" t="str">
        <f>"+1.47%"</f>
        <v>+1.47%</v>
      </c>
      <c r="R954" s="18" t="str">
        <f>"-3.93%"</f>
        <v>-3.93%</v>
      </c>
      <c r="S954" s="14" t="s">
        <v>1220</v>
      </c>
    </row>
    <row r="955">
      <c r="A955" s="13">
        <v>45901.0</v>
      </c>
      <c r="B955" s="14" t="s">
        <v>47</v>
      </c>
      <c r="C955" s="14" t="s">
        <v>48</v>
      </c>
      <c r="D955" s="14" t="s">
        <v>149</v>
      </c>
      <c r="E955" s="14" t="s">
        <v>150</v>
      </c>
      <c r="F955" s="15" t="s">
        <v>51</v>
      </c>
      <c r="G955" s="14" t="s">
        <v>151</v>
      </c>
      <c r="H955" s="14" t="s">
        <v>152</v>
      </c>
      <c r="I955" s="14" t="s">
        <v>54</v>
      </c>
      <c r="J955" s="14" t="s">
        <v>200</v>
      </c>
      <c r="K955" s="14" t="s">
        <v>223</v>
      </c>
      <c r="L955" s="14" t="s">
        <v>289</v>
      </c>
      <c r="M955" s="14" t="s">
        <v>684</v>
      </c>
      <c r="N955" s="14" t="s">
        <v>685</v>
      </c>
      <c r="O955" s="14">
        <v>100.0</v>
      </c>
      <c r="P955" s="23">
        <v>0.1029</v>
      </c>
      <c r="Q955" s="22" t="str">
        <f>"-0.69%"</f>
        <v>-0.69%</v>
      </c>
      <c r="R955" s="18" t="str">
        <f>"-0.21%"</f>
        <v>-0.21%</v>
      </c>
      <c r="S955" s="14" t="s">
        <v>285</v>
      </c>
    </row>
    <row r="956">
      <c r="A956" s="13">
        <v>45901.0</v>
      </c>
      <c r="B956" s="14" t="s">
        <v>47</v>
      </c>
      <c r="C956" s="14" t="s">
        <v>48</v>
      </c>
      <c r="D956" s="14" t="s">
        <v>136</v>
      </c>
      <c r="E956" s="14" t="s">
        <v>137</v>
      </c>
      <c r="F956" s="15" t="s">
        <v>51</v>
      </c>
      <c r="G956" s="14" t="s">
        <v>138</v>
      </c>
      <c r="H956" s="14" t="s">
        <v>139</v>
      </c>
      <c r="I956" s="14" t="s">
        <v>59</v>
      </c>
      <c r="J956" s="14" t="s">
        <v>200</v>
      </c>
      <c r="K956" s="14" t="s">
        <v>214</v>
      </c>
      <c r="L956" s="14" t="s">
        <v>253</v>
      </c>
      <c r="M956" s="14" t="s">
        <v>389</v>
      </c>
      <c r="N956" s="14" t="s">
        <v>390</v>
      </c>
      <c r="O956" s="14">
        <v>37.0</v>
      </c>
      <c r="P956" s="23">
        <v>0.3726</v>
      </c>
      <c r="Q956" s="22" t="str">
        <f>"-3.39%"</f>
        <v>-3.39%</v>
      </c>
      <c r="R956" s="18" t="str">
        <f>"-19.50%"</f>
        <v>-19.50%</v>
      </c>
      <c r="S956" s="14" t="s">
        <v>1221</v>
      </c>
    </row>
    <row r="957">
      <c r="A957" s="13">
        <v>45901.0</v>
      </c>
      <c r="B957" s="14" t="s">
        <v>47</v>
      </c>
      <c r="C957" s="14" t="s">
        <v>48</v>
      </c>
      <c r="D957" s="14" t="s">
        <v>171</v>
      </c>
      <c r="E957" s="14" t="s">
        <v>172</v>
      </c>
      <c r="F957" s="15" t="s">
        <v>51</v>
      </c>
      <c r="G957" s="14" t="s">
        <v>173</v>
      </c>
      <c r="H957" s="14" t="s">
        <v>171</v>
      </c>
      <c r="I957" s="14" t="s">
        <v>59</v>
      </c>
      <c r="J957" s="14" t="s">
        <v>200</v>
      </c>
      <c r="K957" s="14" t="s">
        <v>201</v>
      </c>
      <c r="L957" s="14" t="s">
        <v>253</v>
      </c>
      <c r="M957" s="14" t="s">
        <v>538</v>
      </c>
      <c r="N957" s="14" t="s">
        <v>539</v>
      </c>
      <c r="O957" s="14">
        <v>1.0</v>
      </c>
      <c r="P957" s="23">
        <v>0.0</v>
      </c>
      <c r="Q957" s="22" t="str">
        <f>"-0.00%"</f>
        <v>-0.00%</v>
      </c>
      <c r="R957" s="18" t="str">
        <f>"+0.00%"</f>
        <v>+0.00%</v>
      </c>
      <c r="S957" s="14" t="s">
        <v>540</v>
      </c>
    </row>
    <row r="958">
      <c r="A958" s="13">
        <v>45901.0</v>
      </c>
      <c r="B958" s="14" t="s">
        <v>47</v>
      </c>
      <c r="C958" s="14" t="s">
        <v>48</v>
      </c>
      <c r="D958" s="14" t="s">
        <v>149</v>
      </c>
      <c r="E958" s="14" t="s">
        <v>150</v>
      </c>
      <c r="F958" s="15" t="s">
        <v>51</v>
      </c>
      <c r="G958" s="14" t="s">
        <v>151</v>
      </c>
      <c r="H958" s="14" t="s">
        <v>152</v>
      </c>
      <c r="I958" s="14" t="s">
        <v>54</v>
      </c>
      <c r="J958" s="14" t="s">
        <v>198</v>
      </c>
      <c r="K958" s="14" t="s">
        <v>210</v>
      </c>
      <c r="L958" s="14" t="s">
        <v>505</v>
      </c>
      <c r="M958" s="14" t="s">
        <v>1222</v>
      </c>
      <c r="N958" s="14" t="s">
        <v>1223</v>
      </c>
      <c r="O958" s="14">
        <v>0.0</v>
      </c>
      <c r="P958" s="21">
        <v>0.0</v>
      </c>
      <c r="Q958" s="22" t="str">
        <f t="shared" ref="Q958:R958" si="572">"+0"</f>
        <v>+0</v>
      </c>
      <c r="R958" s="18" t="str">
        <f t="shared" si="572"/>
        <v>+0</v>
      </c>
      <c r="S958" s="14" t="s">
        <v>277</v>
      </c>
    </row>
    <row r="959">
      <c r="A959" s="13">
        <v>45901.0</v>
      </c>
      <c r="B959" s="14" t="s">
        <v>47</v>
      </c>
      <c r="C959" s="14" t="s">
        <v>48</v>
      </c>
      <c r="D959" s="14" t="s">
        <v>87</v>
      </c>
      <c r="E959" s="14" t="s">
        <v>88</v>
      </c>
      <c r="F959" s="15" t="s">
        <v>51</v>
      </c>
      <c r="G959" s="14" t="s">
        <v>89</v>
      </c>
      <c r="H959" s="14" t="s">
        <v>90</v>
      </c>
      <c r="I959" s="14" t="s">
        <v>59</v>
      </c>
      <c r="J959" s="14" t="s">
        <v>200</v>
      </c>
      <c r="K959" s="14" t="s">
        <v>223</v>
      </c>
      <c r="L959" s="14" t="s">
        <v>359</v>
      </c>
      <c r="M959" s="14" t="s">
        <v>628</v>
      </c>
      <c r="N959" s="14" t="s">
        <v>629</v>
      </c>
      <c r="O959" s="14">
        <v>100.0</v>
      </c>
      <c r="P959" s="21">
        <v>87.0</v>
      </c>
      <c r="Q959" s="22" t="str">
        <f t="shared" ref="Q959:Q963" si="573">"+0"</f>
        <v>+0</v>
      </c>
      <c r="R959" s="18" t="str">
        <f>"+1"</f>
        <v>+1</v>
      </c>
      <c r="S959" s="14" t="s">
        <v>260</v>
      </c>
    </row>
    <row r="960">
      <c r="A960" s="13">
        <v>45901.0</v>
      </c>
      <c r="B960" s="14" t="s">
        <v>47</v>
      </c>
      <c r="C960" s="14" t="s">
        <v>48</v>
      </c>
      <c r="D960" s="14" t="s">
        <v>171</v>
      </c>
      <c r="E960" s="14" t="s">
        <v>172</v>
      </c>
      <c r="F960" s="15" t="s">
        <v>51</v>
      </c>
      <c r="G960" s="14" t="s">
        <v>173</v>
      </c>
      <c r="H960" s="14" t="s">
        <v>171</v>
      </c>
      <c r="I960" s="14" t="s">
        <v>59</v>
      </c>
      <c r="J960" s="14" t="s">
        <v>200</v>
      </c>
      <c r="K960" s="14" t="s">
        <v>222</v>
      </c>
      <c r="L960" s="14" t="s">
        <v>301</v>
      </c>
      <c r="M960" s="14" t="s">
        <v>302</v>
      </c>
      <c r="N960" s="14" t="s">
        <v>303</v>
      </c>
      <c r="O960" s="14">
        <v>0.0</v>
      </c>
      <c r="P960" s="21">
        <v>0.0</v>
      </c>
      <c r="Q960" s="22" t="str">
        <f t="shared" si="573"/>
        <v>+0</v>
      </c>
      <c r="R960" s="18" t="str">
        <f t="shared" ref="R960:R962" si="574">"+0"</f>
        <v>+0</v>
      </c>
      <c r="S960" s="14" t="s">
        <v>260</v>
      </c>
    </row>
    <row r="961">
      <c r="A961" s="13">
        <v>45901.0</v>
      </c>
      <c r="B961" s="14" t="s">
        <v>47</v>
      </c>
      <c r="C961" s="14" t="s">
        <v>48</v>
      </c>
      <c r="D961" s="14" t="s">
        <v>136</v>
      </c>
      <c r="E961" s="14" t="s">
        <v>137</v>
      </c>
      <c r="F961" s="15" t="s">
        <v>51</v>
      </c>
      <c r="G961" s="14" t="s">
        <v>138</v>
      </c>
      <c r="H961" s="14" t="s">
        <v>139</v>
      </c>
      <c r="I961" s="14" t="s">
        <v>59</v>
      </c>
      <c r="J961" s="14" t="s">
        <v>199</v>
      </c>
      <c r="K961" s="14" t="s">
        <v>206</v>
      </c>
      <c r="L961" s="14" t="s">
        <v>515</v>
      </c>
      <c r="M961" s="14" t="s">
        <v>515</v>
      </c>
      <c r="N961" s="14" t="s">
        <v>516</v>
      </c>
      <c r="O961" s="14">
        <v>0.0</v>
      </c>
      <c r="P961" s="21">
        <v>0.0</v>
      </c>
      <c r="Q961" s="22" t="str">
        <f t="shared" si="573"/>
        <v>+0</v>
      </c>
      <c r="R961" s="18" t="str">
        <f t="shared" si="574"/>
        <v>+0</v>
      </c>
      <c r="S961" s="14" t="s">
        <v>383</v>
      </c>
    </row>
    <row r="962">
      <c r="A962" s="13">
        <v>45901.0</v>
      </c>
      <c r="B962" s="14" t="s">
        <v>47</v>
      </c>
      <c r="C962" s="14" t="s">
        <v>48</v>
      </c>
      <c r="D962" s="14" t="s">
        <v>149</v>
      </c>
      <c r="E962" s="14" t="s">
        <v>150</v>
      </c>
      <c r="F962" s="15" t="s">
        <v>51</v>
      </c>
      <c r="G962" s="14" t="s">
        <v>151</v>
      </c>
      <c r="H962" s="14" t="s">
        <v>152</v>
      </c>
      <c r="I962" s="14" t="s">
        <v>54</v>
      </c>
      <c r="J962" s="14" t="s">
        <v>198</v>
      </c>
      <c r="K962" s="14" t="s">
        <v>210</v>
      </c>
      <c r="L962" s="14" t="s">
        <v>505</v>
      </c>
      <c r="M962" s="14" t="s">
        <v>880</v>
      </c>
      <c r="N962" s="14" t="s">
        <v>881</v>
      </c>
      <c r="O962" s="14">
        <v>0.0</v>
      </c>
      <c r="P962" s="21">
        <v>0.0</v>
      </c>
      <c r="Q962" s="22" t="str">
        <f t="shared" si="573"/>
        <v>+0</v>
      </c>
      <c r="R962" s="18" t="str">
        <f t="shared" si="574"/>
        <v>+0</v>
      </c>
      <c r="S962" s="14" t="s">
        <v>277</v>
      </c>
    </row>
    <row r="963">
      <c r="A963" s="13">
        <v>45901.0</v>
      </c>
      <c r="B963" s="14" t="s">
        <v>47</v>
      </c>
      <c r="C963" s="14" t="s">
        <v>48</v>
      </c>
      <c r="D963" s="14" t="s">
        <v>69</v>
      </c>
      <c r="E963" s="14" t="s">
        <v>70</v>
      </c>
      <c r="F963" s="15" t="s">
        <v>51</v>
      </c>
      <c r="G963" s="14" t="s">
        <v>115</v>
      </c>
      <c r="H963" s="14" t="s">
        <v>72</v>
      </c>
      <c r="I963" s="14" t="s">
        <v>54</v>
      </c>
      <c r="J963" s="14" t="s">
        <v>198</v>
      </c>
      <c r="K963" s="14" t="s">
        <v>205</v>
      </c>
      <c r="L963" s="14" t="s">
        <v>274</v>
      </c>
      <c r="M963" s="14" t="s">
        <v>482</v>
      </c>
      <c r="N963" s="14" t="s">
        <v>483</v>
      </c>
      <c r="O963" s="14">
        <v>100.0</v>
      </c>
      <c r="P963" s="21">
        <v>8.0</v>
      </c>
      <c r="Q963" s="22" t="str">
        <f t="shared" si="573"/>
        <v>+0</v>
      </c>
      <c r="S963" s="14" t="s">
        <v>484</v>
      </c>
    </row>
    <row r="964">
      <c r="A964" s="13">
        <v>45901.0</v>
      </c>
      <c r="B964" s="14" t="s">
        <v>47</v>
      </c>
      <c r="C964" s="14" t="s">
        <v>48</v>
      </c>
      <c r="D964" s="14" t="s">
        <v>69</v>
      </c>
      <c r="E964" s="14" t="s">
        <v>70</v>
      </c>
      <c r="F964" s="15" t="s">
        <v>51</v>
      </c>
      <c r="G964" s="14" t="s">
        <v>115</v>
      </c>
      <c r="H964" s="14" t="s">
        <v>72</v>
      </c>
      <c r="I964" s="14" t="s">
        <v>54</v>
      </c>
      <c r="J964" s="14" t="s">
        <v>200</v>
      </c>
      <c r="K964" s="14" t="s">
        <v>213</v>
      </c>
      <c r="L964" s="14" t="s">
        <v>307</v>
      </c>
      <c r="M964" s="14" t="s">
        <v>856</v>
      </c>
      <c r="N964" s="14" t="s">
        <v>857</v>
      </c>
      <c r="O964" s="14">
        <v>0.0</v>
      </c>
      <c r="P964" s="23">
        <v>0.0</v>
      </c>
      <c r="Q964" s="22" t="str">
        <f t="shared" ref="Q964:R964" si="575">"+0.00%"</f>
        <v>+0.00%</v>
      </c>
      <c r="R964" s="18" t="str">
        <f t="shared" si="575"/>
        <v>+0.00%</v>
      </c>
      <c r="S964" s="14" t="s">
        <v>285</v>
      </c>
    </row>
    <row r="965">
      <c r="A965" s="13">
        <v>45901.0</v>
      </c>
      <c r="B965" s="14" t="s">
        <v>47</v>
      </c>
      <c r="C965" s="14" t="s">
        <v>48</v>
      </c>
      <c r="D965" s="14" t="s">
        <v>69</v>
      </c>
      <c r="E965" s="14" t="s">
        <v>70</v>
      </c>
      <c r="F965" s="15" t="s">
        <v>51</v>
      </c>
      <c r="G965" s="14" t="s">
        <v>115</v>
      </c>
      <c r="H965" s="14" t="s">
        <v>72</v>
      </c>
      <c r="I965" s="14" t="s">
        <v>54</v>
      </c>
      <c r="J965" s="14" t="s">
        <v>200</v>
      </c>
      <c r="K965" s="14" t="s">
        <v>224</v>
      </c>
      <c r="L965" s="14" t="s">
        <v>253</v>
      </c>
      <c r="M965" s="14" t="s">
        <v>1224</v>
      </c>
      <c r="N965" s="14" t="s">
        <v>1225</v>
      </c>
      <c r="O965" s="14">
        <v>40.0</v>
      </c>
      <c r="P965" s="23">
        <v>0.4</v>
      </c>
      <c r="Q965" s="22" t="str">
        <f>"+29.29%"</f>
        <v>+29.29%</v>
      </c>
      <c r="R965" s="18" t="str">
        <f>"+19.17%"</f>
        <v>+19.17%</v>
      </c>
      <c r="S965" s="14" t="s">
        <v>1226</v>
      </c>
    </row>
    <row r="966">
      <c r="A966" s="13">
        <v>45901.0</v>
      </c>
      <c r="B966" s="14" t="s">
        <v>47</v>
      </c>
      <c r="C966" s="14" t="s">
        <v>48</v>
      </c>
      <c r="D966" s="14" t="s">
        <v>116</v>
      </c>
      <c r="E966" s="14" t="s">
        <v>117</v>
      </c>
      <c r="F966" s="14" t="s">
        <v>111</v>
      </c>
      <c r="G966" s="14">
        <v>5298600.0</v>
      </c>
      <c r="H966" s="14" t="s">
        <v>116</v>
      </c>
      <c r="I966" s="14" t="s">
        <v>59</v>
      </c>
      <c r="J966" s="14" t="s">
        <v>199</v>
      </c>
      <c r="K966" s="14" t="s">
        <v>206</v>
      </c>
      <c r="L966" s="14" t="s">
        <v>295</v>
      </c>
      <c r="M966" s="14" t="s">
        <v>986</v>
      </c>
      <c r="N966" s="14" t="s">
        <v>987</v>
      </c>
      <c r="O966" s="14">
        <v>0.0</v>
      </c>
      <c r="P966" s="21">
        <v>0.0</v>
      </c>
      <c r="Q966" s="22" t="str">
        <f t="shared" ref="Q966:R966" si="576">"+0"</f>
        <v>+0</v>
      </c>
      <c r="R966" s="18" t="str">
        <f t="shared" si="576"/>
        <v>+0</v>
      </c>
      <c r="S966" s="14" t="s">
        <v>260</v>
      </c>
    </row>
    <row r="967">
      <c r="A967" s="13">
        <v>45901.0</v>
      </c>
      <c r="B967" s="14" t="s">
        <v>47</v>
      </c>
      <c r="C967" s="14" t="s">
        <v>48</v>
      </c>
      <c r="D967" s="14" t="s">
        <v>77</v>
      </c>
      <c r="E967" s="14" t="s">
        <v>78</v>
      </c>
      <c r="F967" s="15" t="s">
        <v>51</v>
      </c>
      <c r="G967" s="14" t="s">
        <v>128</v>
      </c>
      <c r="H967" s="14" t="s">
        <v>81</v>
      </c>
      <c r="I967" s="14" t="s">
        <v>59</v>
      </c>
      <c r="J967" s="14" t="s">
        <v>200</v>
      </c>
      <c r="K967" s="14" t="s">
        <v>223</v>
      </c>
      <c r="L967" s="14" t="s">
        <v>286</v>
      </c>
      <c r="M967" s="14" t="s">
        <v>369</v>
      </c>
      <c r="N967" s="14" t="s">
        <v>370</v>
      </c>
      <c r="O967" s="14">
        <v>0.0</v>
      </c>
      <c r="P967" s="23">
        <v>0.0</v>
      </c>
      <c r="Q967" s="22" t="str">
        <f t="shared" ref="Q967:R967" si="577">"+0.00%"</f>
        <v>+0.00%</v>
      </c>
      <c r="R967" s="18" t="str">
        <f t="shared" si="577"/>
        <v>+0.00%</v>
      </c>
      <c r="S967" s="14" t="s">
        <v>371</v>
      </c>
    </row>
    <row r="968">
      <c r="A968" s="13">
        <v>45901.0</v>
      </c>
      <c r="B968" s="14" t="s">
        <v>47</v>
      </c>
      <c r="C968" s="14" t="s">
        <v>48</v>
      </c>
      <c r="D968" s="14" t="s">
        <v>116</v>
      </c>
      <c r="E968" s="14" t="s">
        <v>117</v>
      </c>
      <c r="F968" s="15" t="s">
        <v>51</v>
      </c>
      <c r="G968" s="14" t="s">
        <v>161</v>
      </c>
      <c r="H968" s="14" t="s">
        <v>116</v>
      </c>
      <c r="I968" s="14" t="s">
        <v>54</v>
      </c>
      <c r="J968" s="14" t="s">
        <v>198</v>
      </c>
      <c r="K968" s="14" t="s">
        <v>210</v>
      </c>
      <c r="L968" s="14" t="s">
        <v>278</v>
      </c>
      <c r="M968" s="14" t="s">
        <v>1227</v>
      </c>
      <c r="N968" s="14" t="s">
        <v>1228</v>
      </c>
      <c r="O968" s="14">
        <v>0.0</v>
      </c>
      <c r="P968" s="21">
        <v>0.0</v>
      </c>
      <c r="Q968" s="22" t="str">
        <f t="shared" ref="Q968:R968" si="578">"+0"</f>
        <v>+0</v>
      </c>
      <c r="R968" s="18" t="str">
        <f t="shared" si="578"/>
        <v>+0</v>
      </c>
      <c r="S968" s="14" t="s">
        <v>277</v>
      </c>
    </row>
    <row r="969">
      <c r="A969" s="13">
        <v>45901.0</v>
      </c>
      <c r="B969" s="14" t="s">
        <v>47</v>
      </c>
      <c r="C969" s="14" t="s">
        <v>48</v>
      </c>
      <c r="D969" s="14" t="s">
        <v>112</v>
      </c>
      <c r="E969" s="14" t="s">
        <v>113</v>
      </c>
      <c r="F969" s="15" t="s">
        <v>51</v>
      </c>
      <c r="G969" s="14" t="s">
        <v>114</v>
      </c>
      <c r="H969" s="14" t="s">
        <v>112</v>
      </c>
      <c r="I969" s="14" t="s">
        <v>59</v>
      </c>
      <c r="J969" s="14" t="s">
        <v>198</v>
      </c>
      <c r="K969" s="14" t="s">
        <v>205</v>
      </c>
      <c r="L969" s="14" t="s">
        <v>274</v>
      </c>
      <c r="M969" s="14" t="s">
        <v>354</v>
      </c>
      <c r="N969" s="14" t="s">
        <v>355</v>
      </c>
      <c r="O969" s="14">
        <v>28.0</v>
      </c>
      <c r="P969" s="21">
        <v>10.0</v>
      </c>
      <c r="Q969" s="22" t="str">
        <f t="shared" ref="Q969:Q971" si="579">"+0"</f>
        <v>+0</v>
      </c>
      <c r="S969" s="14" t="s">
        <v>356</v>
      </c>
    </row>
    <row r="970">
      <c r="A970" s="13">
        <v>45901.0</v>
      </c>
      <c r="B970" s="14" t="s">
        <v>47</v>
      </c>
      <c r="C970" s="14" t="s">
        <v>48</v>
      </c>
      <c r="D970" s="14" t="s">
        <v>108</v>
      </c>
      <c r="E970" s="14" t="s">
        <v>109</v>
      </c>
      <c r="F970" s="14" t="s">
        <v>79</v>
      </c>
      <c r="G970" s="14" t="s">
        <v>153</v>
      </c>
      <c r="H970" s="14" t="s">
        <v>108</v>
      </c>
      <c r="I970" s="14" t="s">
        <v>154</v>
      </c>
      <c r="J970" s="14" t="s">
        <v>198</v>
      </c>
      <c r="K970" s="14" t="s">
        <v>205</v>
      </c>
      <c r="L970" s="14" t="s">
        <v>274</v>
      </c>
      <c r="M970" s="14" t="s">
        <v>1102</v>
      </c>
      <c r="N970" s="14" t="s">
        <v>1103</v>
      </c>
      <c r="O970" s="14">
        <v>0.0</v>
      </c>
      <c r="P970" s="21">
        <v>0.0</v>
      </c>
      <c r="Q970" s="22" t="str">
        <f t="shared" si="579"/>
        <v>+0</v>
      </c>
      <c r="S970" s="14" t="s">
        <v>281</v>
      </c>
    </row>
    <row r="971">
      <c r="A971" s="13">
        <v>45901.0</v>
      </c>
      <c r="B971" s="14" t="s">
        <v>47</v>
      </c>
      <c r="C971" s="14" t="s">
        <v>48</v>
      </c>
      <c r="D971" s="14" t="s">
        <v>77</v>
      </c>
      <c r="E971" s="14" t="s">
        <v>78</v>
      </c>
      <c r="F971" s="15" t="s">
        <v>51</v>
      </c>
      <c r="G971" s="14" t="s">
        <v>128</v>
      </c>
      <c r="H971" s="14" t="s">
        <v>81</v>
      </c>
      <c r="I971" s="14" t="s">
        <v>59</v>
      </c>
      <c r="J971" s="14" t="s">
        <v>199</v>
      </c>
      <c r="K971" s="14" t="s">
        <v>206</v>
      </c>
      <c r="L971" s="14" t="s">
        <v>569</v>
      </c>
      <c r="M971" s="14" t="s">
        <v>569</v>
      </c>
      <c r="N971" s="14" t="s">
        <v>570</v>
      </c>
      <c r="O971" s="14">
        <v>0.0</v>
      </c>
      <c r="P971" s="21">
        <v>0.0</v>
      </c>
      <c r="Q971" s="22" t="str">
        <f t="shared" si="579"/>
        <v>+0</v>
      </c>
      <c r="R971" s="18" t="str">
        <f>"+0"</f>
        <v>+0</v>
      </c>
      <c r="S971" s="14" t="s">
        <v>383</v>
      </c>
    </row>
    <row r="972">
      <c r="A972" s="13">
        <v>45901.0</v>
      </c>
      <c r="B972" s="14" t="s">
        <v>47</v>
      </c>
      <c r="C972" s="14" t="s">
        <v>48</v>
      </c>
      <c r="D972" s="14" t="s">
        <v>60</v>
      </c>
      <c r="E972" s="14" t="s">
        <v>61</v>
      </c>
      <c r="F972" s="15" t="s">
        <v>51</v>
      </c>
      <c r="G972" s="14" t="s">
        <v>62</v>
      </c>
      <c r="H972" s="14" t="s">
        <v>60</v>
      </c>
      <c r="I972" s="14" t="s">
        <v>59</v>
      </c>
      <c r="J972" s="14" t="s">
        <v>200</v>
      </c>
      <c r="K972" s="14" t="s">
        <v>223</v>
      </c>
      <c r="L972" s="14" t="s">
        <v>307</v>
      </c>
      <c r="M972" s="14" t="s">
        <v>1176</v>
      </c>
      <c r="N972" s="14" t="s">
        <v>1177</v>
      </c>
      <c r="O972" s="14">
        <v>0.0</v>
      </c>
      <c r="P972" s="23">
        <v>0.0</v>
      </c>
      <c r="Q972" s="22" t="str">
        <f t="shared" ref="Q972:R972" si="580">"+0.00%"</f>
        <v>+0.00%</v>
      </c>
      <c r="R972" s="18" t="str">
        <f t="shared" si="580"/>
        <v>+0.00%</v>
      </c>
      <c r="S972" s="14" t="s">
        <v>285</v>
      </c>
    </row>
    <row r="973">
      <c r="A973" s="13">
        <v>45901.0</v>
      </c>
      <c r="B973" s="14" t="s">
        <v>47</v>
      </c>
      <c r="C973" s="14" t="s">
        <v>48</v>
      </c>
      <c r="D973" s="14" t="s">
        <v>60</v>
      </c>
      <c r="E973" s="14" t="s">
        <v>61</v>
      </c>
      <c r="F973" s="15" t="s">
        <v>51</v>
      </c>
      <c r="G973" s="14" t="s">
        <v>62</v>
      </c>
      <c r="H973" s="14" t="s">
        <v>60</v>
      </c>
      <c r="I973" s="14" t="s">
        <v>59</v>
      </c>
      <c r="J973" s="14" t="s">
        <v>200</v>
      </c>
      <c r="K973" s="14" t="s">
        <v>223</v>
      </c>
      <c r="L973" s="14" t="s">
        <v>289</v>
      </c>
      <c r="M973" s="14" t="s">
        <v>684</v>
      </c>
      <c r="N973" s="14" t="s">
        <v>685</v>
      </c>
      <c r="O973" s="14">
        <v>0.0</v>
      </c>
      <c r="P973" s="23">
        <v>0.0</v>
      </c>
      <c r="Q973" s="22" t="str">
        <f t="shared" ref="Q973:R973" si="581">"+0.00%"</f>
        <v>+0.00%</v>
      </c>
      <c r="R973" s="18" t="str">
        <f t="shared" si="581"/>
        <v>+0.00%</v>
      </c>
      <c r="S973" s="14" t="s">
        <v>285</v>
      </c>
    </row>
    <row r="974">
      <c r="A974" s="13">
        <v>45901.0</v>
      </c>
      <c r="B974" s="14" t="s">
        <v>47</v>
      </c>
      <c r="C974" s="14" t="s">
        <v>48</v>
      </c>
      <c r="D974" s="14" t="s">
        <v>181</v>
      </c>
      <c r="E974" s="14" t="s">
        <v>182</v>
      </c>
      <c r="F974" s="15" t="s">
        <v>51</v>
      </c>
      <c r="G974" s="14" t="s">
        <v>183</v>
      </c>
      <c r="H974" s="14" t="s">
        <v>181</v>
      </c>
      <c r="I974" s="14" t="s">
        <v>59</v>
      </c>
      <c r="J974" s="14" t="s">
        <v>199</v>
      </c>
      <c r="K974" s="14" t="s">
        <v>206</v>
      </c>
      <c r="L974" s="14" t="s">
        <v>433</v>
      </c>
      <c r="M974" s="14" t="s">
        <v>433</v>
      </c>
      <c r="N974" s="14" t="s">
        <v>434</v>
      </c>
      <c r="O974" s="14">
        <v>0.0</v>
      </c>
      <c r="P974" s="21">
        <v>0.0</v>
      </c>
      <c r="Q974" s="22" t="str">
        <f t="shared" ref="Q974:R974" si="582">"+0"</f>
        <v>+0</v>
      </c>
      <c r="R974" s="18" t="str">
        <f t="shared" si="582"/>
        <v>+0</v>
      </c>
      <c r="S974" s="14" t="s">
        <v>383</v>
      </c>
    </row>
    <row r="975">
      <c r="A975" s="13">
        <v>45901.0</v>
      </c>
      <c r="B975" s="14" t="s">
        <v>47</v>
      </c>
      <c r="C975" s="14" t="s">
        <v>48</v>
      </c>
      <c r="D975" s="14" t="s">
        <v>155</v>
      </c>
      <c r="E975" s="14" t="s">
        <v>156</v>
      </c>
      <c r="F975" s="15" t="s">
        <v>51</v>
      </c>
      <c r="G975" s="14" t="s">
        <v>157</v>
      </c>
      <c r="H975" s="14" t="s">
        <v>155</v>
      </c>
      <c r="I975" s="14" t="s">
        <v>59</v>
      </c>
      <c r="J975" s="14" t="s">
        <v>200</v>
      </c>
      <c r="K975" s="14" t="s">
        <v>223</v>
      </c>
      <c r="L975" s="14" t="s">
        <v>487</v>
      </c>
      <c r="M975" s="14" t="s">
        <v>670</v>
      </c>
      <c r="N975" s="14" t="s">
        <v>671</v>
      </c>
      <c r="O975" s="14">
        <v>0.0</v>
      </c>
      <c r="P975" s="21">
        <v>0.0</v>
      </c>
      <c r="Q975" s="22" t="str">
        <f t="shared" ref="Q975:R975" si="583">"+0"</f>
        <v>+0</v>
      </c>
      <c r="R975" s="18" t="str">
        <f t="shared" si="583"/>
        <v>+0</v>
      </c>
      <c r="S975" s="14" t="s">
        <v>260</v>
      </c>
    </row>
    <row r="976">
      <c r="A976" s="13">
        <v>45901.0</v>
      </c>
      <c r="B976" s="14" t="s">
        <v>47</v>
      </c>
      <c r="C976" s="14" t="s">
        <v>48</v>
      </c>
      <c r="D976" s="14" t="s">
        <v>56</v>
      </c>
      <c r="E976" s="14" t="s">
        <v>57</v>
      </c>
      <c r="F976" s="15" t="s">
        <v>51</v>
      </c>
      <c r="G976" s="14" t="s">
        <v>58</v>
      </c>
      <c r="H976" s="14" t="s">
        <v>56</v>
      </c>
      <c r="I976" s="14" t="s">
        <v>59</v>
      </c>
      <c r="J976" s="14" t="s">
        <v>200</v>
      </c>
      <c r="K976" s="14" t="s">
        <v>223</v>
      </c>
      <c r="L976" s="14" t="s">
        <v>607</v>
      </c>
      <c r="M976" s="14" t="s">
        <v>692</v>
      </c>
      <c r="N976" s="14" t="s">
        <v>693</v>
      </c>
      <c r="O976" s="14">
        <v>0.0</v>
      </c>
      <c r="P976" s="23">
        <v>0.0</v>
      </c>
      <c r="Q976" s="22" t="str">
        <f t="shared" ref="Q976:R976" si="584">"+0.00%"</f>
        <v>+0.00%</v>
      </c>
      <c r="R976" s="18" t="str">
        <f t="shared" si="584"/>
        <v>+0.00%</v>
      </c>
      <c r="S976" s="14" t="s">
        <v>285</v>
      </c>
    </row>
    <row r="977">
      <c r="A977" s="13">
        <v>45901.0</v>
      </c>
      <c r="B977" s="14" t="s">
        <v>47</v>
      </c>
      <c r="C977" s="14" t="s">
        <v>48</v>
      </c>
      <c r="D977" s="14" t="s">
        <v>155</v>
      </c>
      <c r="E977" s="14" t="s">
        <v>156</v>
      </c>
      <c r="F977" s="15" t="s">
        <v>51</v>
      </c>
      <c r="G977" s="14" t="s">
        <v>157</v>
      </c>
      <c r="H977" s="14" t="s">
        <v>155</v>
      </c>
      <c r="I977" s="14" t="s">
        <v>59</v>
      </c>
      <c r="J977" s="14" t="s">
        <v>198</v>
      </c>
      <c r="K977" s="14" t="s">
        <v>207</v>
      </c>
      <c r="L977" s="14" t="s">
        <v>318</v>
      </c>
      <c r="M977" s="14" t="s">
        <v>508</v>
      </c>
      <c r="N977" s="14" t="s">
        <v>509</v>
      </c>
      <c r="O977" s="14">
        <v>0.0</v>
      </c>
      <c r="P977" s="21">
        <v>0.0</v>
      </c>
      <c r="Q977" s="22" t="str">
        <f>"+0"</f>
        <v>+0</v>
      </c>
      <c r="S977" s="14" t="s">
        <v>281</v>
      </c>
    </row>
    <row r="978">
      <c r="A978" s="13">
        <v>45901.0</v>
      </c>
      <c r="B978" s="14" t="s">
        <v>47</v>
      </c>
      <c r="C978" s="14" t="s">
        <v>48</v>
      </c>
      <c r="D978" s="14" t="s">
        <v>121</v>
      </c>
      <c r="E978" s="14" t="s">
        <v>122</v>
      </c>
      <c r="F978" s="15" t="s">
        <v>51</v>
      </c>
      <c r="G978" s="14" t="s">
        <v>123</v>
      </c>
      <c r="H978" s="14" t="s">
        <v>124</v>
      </c>
      <c r="I978" s="14" t="s">
        <v>59</v>
      </c>
      <c r="J978" s="14" t="s">
        <v>200</v>
      </c>
      <c r="K978" s="14" t="s">
        <v>227</v>
      </c>
      <c r="L978" s="14" t="s">
        <v>721</v>
      </c>
      <c r="M978" s="14" t="s">
        <v>1060</v>
      </c>
      <c r="N978" s="14" t="s">
        <v>1061</v>
      </c>
      <c r="O978" s="14">
        <v>44.0</v>
      </c>
      <c r="P978" s="23">
        <v>-0.1136</v>
      </c>
      <c r="Q978" s="22" t="str">
        <f>"+21.60%"</f>
        <v>+21.60%</v>
      </c>
      <c r="R978" s="18" t="str">
        <f>"+11.22%"</f>
        <v>+11.22%</v>
      </c>
      <c r="S978" s="14" t="s">
        <v>1062</v>
      </c>
    </row>
    <row r="979">
      <c r="A979" s="13">
        <v>45901.0</v>
      </c>
      <c r="B979" s="14" t="s">
        <v>47</v>
      </c>
      <c r="C979" s="14" t="s">
        <v>48</v>
      </c>
      <c r="D979" s="14" t="s">
        <v>121</v>
      </c>
      <c r="E979" s="14" t="s">
        <v>122</v>
      </c>
      <c r="F979" s="15" t="s">
        <v>51</v>
      </c>
      <c r="G979" s="14" t="s">
        <v>123</v>
      </c>
      <c r="H979" s="14" t="s">
        <v>124</v>
      </c>
      <c r="I979" s="14" t="s">
        <v>59</v>
      </c>
      <c r="J979" s="14" t="s">
        <v>198</v>
      </c>
      <c r="K979" s="14" t="s">
        <v>210</v>
      </c>
      <c r="L979" s="14" t="s">
        <v>264</v>
      </c>
      <c r="M979" s="14" t="s">
        <v>470</v>
      </c>
      <c r="N979" s="14" t="s">
        <v>471</v>
      </c>
      <c r="O979" s="14">
        <v>100.0</v>
      </c>
      <c r="P979" s="21">
        <v>0.0</v>
      </c>
      <c r="Q979" s="22" t="str">
        <f t="shared" ref="Q979:R979" si="585">"+0"</f>
        <v>+0</v>
      </c>
      <c r="R979" s="18" t="str">
        <f t="shared" si="585"/>
        <v>+0</v>
      </c>
      <c r="S979" s="14" t="s">
        <v>281</v>
      </c>
    </row>
    <row r="980">
      <c r="A980" s="13">
        <v>45901.0</v>
      </c>
      <c r="B980" s="14" t="s">
        <v>47</v>
      </c>
      <c r="C980" s="14" t="s">
        <v>48</v>
      </c>
      <c r="D980" s="14" t="s">
        <v>181</v>
      </c>
      <c r="E980" s="14" t="s">
        <v>182</v>
      </c>
      <c r="F980" s="15" t="s">
        <v>51</v>
      </c>
      <c r="G980" s="14" t="s">
        <v>183</v>
      </c>
      <c r="H980" s="14" t="s">
        <v>181</v>
      </c>
      <c r="I980" s="14" t="s">
        <v>59</v>
      </c>
      <c r="J980" s="14" t="s">
        <v>200</v>
      </c>
      <c r="K980" s="14" t="s">
        <v>232</v>
      </c>
      <c r="L980" s="14" t="s">
        <v>363</v>
      </c>
      <c r="M980" s="14" t="s">
        <v>842</v>
      </c>
      <c r="N980" s="14" t="s">
        <v>843</v>
      </c>
      <c r="O980" s="14">
        <v>100.0</v>
      </c>
      <c r="P980" s="21">
        <v>23.0</v>
      </c>
      <c r="Q980" s="22" t="str">
        <f t="shared" ref="Q980:R980" si="586">"+0"</f>
        <v>+0</v>
      </c>
      <c r="R980" s="18" t="str">
        <f t="shared" si="586"/>
        <v>+0</v>
      </c>
      <c r="S980" s="14" t="s">
        <v>260</v>
      </c>
    </row>
    <row r="981">
      <c r="A981" s="13">
        <v>45901.0</v>
      </c>
      <c r="B981" s="14" t="s">
        <v>47</v>
      </c>
      <c r="C981" s="14" t="s">
        <v>48</v>
      </c>
      <c r="D981" s="14" t="s">
        <v>49</v>
      </c>
      <c r="E981" s="14" t="s">
        <v>50</v>
      </c>
      <c r="F981" s="15" t="s">
        <v>51</v>
      </c>
      <c r="G981" s="14" t="s">
        <v>52</v>
      </c>
      <c r="H981" s="14" t="s">
        <v>53</v>
      </c>
      <c r="I981" s="14" t="s">
        <v>54</v>
      </c>
      <c r="J981" s="14" t="s">
        <v>200</v>
      </c>
      <c r="K981" s="14" t="s">
        <v>224</v>
      </c>
      <c r="L981" s="14" t="s">
        <v>253</v>
      </c>
      <c r="M981" s="14" t="s">
        <v>1224</v>
      </c>
      <c r="N981" s="14" t="s">
        <v>1225</v>
      </c>
      <c r="O981" s="14">
        <v>30.0</v>
      </c>
      <c r="P981" s="23">
        <v>0.3</v>
      </c>
      <c r="Q981" s="22" t="str">
        <f>"+23.10%"</f>
        <v>+23.10%</v>
      </c>
      <c r="R981" s="18" t="str">
        <f>"+5.86%"</f>
        <v>+5.86%</v>
      </c>
      <c r="S981" s="14" t="s">
        <v>1229</v>
      </c>
    </row>
    <row r="982">
      <c r="A982" s="13">
        <v>45901.0</v>
      </c>
      <c r="B982" s="14" t="s">
        <v>47</v>
      </c>
      <c r="C982" s="14" t="s">
        <v>48</v>
      </c>
      <c r="D982" s="14" t="s">
        <v>165</v>
      </c>
      <c r="E982" s="14" t="s">
        <v>166</v>
      </c>
      <c r="F982" s="15" t="s">
        <v>51</v>
      </c>
      <c r="G982" s="14" t="s">
        <v>167</v>
      </c>
      <c r="H982" s="14" t="s">
        <v>165</v>
      </c>
      <c r="I982" s="14" t="s">
        <v>54</v>
      </c>
      <c r="J982" s="14" t="s">
        <v>200</v>
      </c>
      <c r="K982" s="14" t="s">
        <v>224</v>
      </c>
      <c r="L982" s="14" t="s">
        <v>427</v>
      </c>
      <c r="M982" s="14" t="s">
        <v>895</v>
      </c>
      <c r="N982" s="14" t="s">
        <v>896</v>
      </c>
      <c r="O982" s="14">
        <v>0.0</v>
      </c>
      <c r="P982" s="23">
        <v>0.0</v>
      </c>
      <c r="Q982" s="22" t="str">
        <f t="shared" ref="Q982:R982" si="587">"+0.00%"</f>
        <v>+0.00%</v>
      </c>
      <c r="R982" s="18" t="str">
        <f t="shared" si="587"/>
        <v>+0.00%</v>
      </c>
      <c r="S982" s="14" t="s">
        <v>897</v>
      </c>
    </row>
    <row r="983">
      <c r="A983" s="13">
        <v>45901.0</v>
      </c>
      <c r="B983" s="14" t="s">
        <v>47</v>
      </c>
      <c r="C983" s="14" t="s">
        <v>48</v>
      </c>
      <c r="D983" s="14" t="s">
        <v>165</v>
      </c>
      <c r="E983" s="14" t="s">
        <v>166</v>
      </c>
      <c r="F983" s="15" t="s">
        <v>51</v>
      </c>
      <c r="G983" s="14" t="s">
        <v>167</v>
      </c>
      <c r="H983" s="14" t="s">
        <v>165</v>
      </c>
      <c r="I983" s="14" t="s">
        <v>54</v>
      </c>
      <c r="J983" s="14" t="s">
        <v>198</v>
      </c>
      <c r="K983" s="14" t="s">
        <v>210</v>
      </c>
      <c r="L983" s="14" t="s">
        <v>458</v>
      </c>
      <c r="M983" s="14" t="s">
        <v>1230</v>
      </c>
      <c r="N983" s="14" t="s">
        <v>1231</v>
      </c>
      <c r="O983" s="14">
        <v>0.0</v>
      </c>
      <c r="P983" s="21">
        <v>0.0</v>
      </c>
      <c r="Q983" s="22" t="str">
        <f t="shared" ref="Q983:R983" si="588">"+0"</f>
        <v>+0</v>
      </c>
      <c r="R983" s="18" t="str">
        <f t="shared" si="588"/>
        <v>+0</v>
      </c>
      <c r="S983" s="14" t="s">
        <v>277</v>
      </c>
    </row>
    <row r="984">
      <c r="A984" s="13">
        <v>45901.0</v>
      </c>
      <c r="B984" s="14" t="s">
        <v>47</v>
      </c>
      <c r="C984" s="14" t="s">
        <v>48</v>
      </c>
      <c r="D984" s="14" t="s">
        <v>49</v>
      </c>
      <c r="E984" s="14" t="s">
        <v>50</v>
      </c>
      <c r="F984" s="15" t="s">
        <v>51</v>
      </c>
      <c r="G984" s="14" t="s">
        <v>52</v>
      </c>
      <c r="H984" s="14" t="s">
        <v>53</v>
      </c>
      <c r="I984" s="14" t="s">
        <v>54</v>
      </c>
      <c r="J984" s="14" t="s">
        <v>200</v>
      </c>
      <c r="K984" s="14" t="s">
        <v>213</v>
      </c>
      <c r="L984" s="14" t="s">
        <v>289</v>
      </c>
      <c r="M984" s="14" t="s">
        <v>684</v>
      </c>
      <c r="N984" s="14" t="s">
        <v>685</v>
      </c>
      <c r="O984" s="14">
        <v>0.0</v>
      </c>
      <c r="P984" s="23">
        <v>0.0</v>
      </c>
      <c r="Q984" s="22" t="str">
        <f t="shared" ref="Q984:R984" si="589">"+0.00%"</f>
        <v>+0.00%</v>
      </c>
      <c r="R984" s="18" t="str">
        <f t="shared" si="589"/>
        <v>+0.00%</v>
      </c>
      <c r="S984" s="14" t="s">
        <v>285</v>
      </c>
    </row>
    <row r="985">
      <c r="A985" s="13">
        <v>45901.0</v>
      </c>
      <c r="B985" s="14" t="s">
        <v>47</v>
      </c>
      <c r="C985" s="14" t="s">
        <v>48</v>
      </c>
      <c r="D985" s="14" t="s">
        <v>177</v>
      </c>
      <c r="E985" s="14" t="s">
        <v>178</v>
      </c>
      <c r="F985" s="14" t="s">
        <v>146</v>
      </c>
      <c r="G985" s="14" t="s">
        <v>179</v>
      </c>
      <c r="H985" s="14" t="s">
        <v>177</v>
      </c>
      <c r="I985" s="14" t="s">
        <v>107</v>
      </c>
      <c r="J985" s="14" t="s">
        <v>199</v>
      </c>
      <c r="K985" s="14" t="s">
        <v>206</v>
      </c>
      <c r="L985" s="14" t="s">
        <v>569</v>
      </c>
      <c r="M985" s="14" t="s">
        <v>569</v>
      </c>
      <c r="N985" s="14" t="s">
        <v>570</v>
      </c>
      <c r="O985" s="14">
        <v>0.0</v>
      </c>
      <c r="P985" s="21">
        <v>0.0</v>
      </c>
      <c r="Q985" s="22" t="str">
        <f t="shared" ref="Q985:R985" si="590">"+0"</f>
        <v>+0</v>
      </c>
      <c r="R985" s="18" t="str">
        <f t="shared" si="590"/>
        <v>+0</v>
      </c>
      <c r="S985" s="14" t="s">
        <v>383</v>
      </c>
    </row>
    <row r="986">
      <c r="A986" s="13">
        <v>45901.0</v>
      </c>
      <c r="B986" s="14" t="s">
        <v>47</v>
      </c>
      <c r="C986" s="14" t="s">
        <v>48</v>
      </c>
      <c r="D986" s="14" t="s">
        <v>118</v>
      </c>
      <c r="E986" s="14" t="s">
        <v>119</v>
      </c>
      <c r="F986" s="15" t="s">
        <v>51</v>
      </c>
      <c r="G986" s="14" t="s">
        <v>120</v>
      </c>
      <c r="H986" s="14" t="s">
        <v>118</v>
      </c>
      <c r="I986" s="14" t="s">
        <v>59</v>
      </c>
      <c r="J986" s="14" t="s">
        <v>199</v>
      </c>
      <c r="K986" s="14" t="s">
        <v>203</v>
      </c>
      <c r="L986" s="14" t="s">
        <v>725</v>
      </c>
      <c r="M986" s="14" t="s">
        <v>725</v>
      </c>
      <c r="N986" s="14" t="s">
        <v>726</v>
      </c>
      <c r="O986" s="14">
        <v>0.0</v>
      </c>
      <c r="P986" s="21">
        <v>0.0</v>
      </c>
      <c r="Q986" s="22" t="str">
        <f t="shared" ref="Q986:R986" si="591">"+0"</f>
        <v>+0</v>
      </c>
      <c r="R986" s="18" t="str">
        <f t="shared" si="591"/>
        <v>+0</v>
      </c>
      <c r="S986" s="14" t="s">
        <v>260</v>
      </c>
    </row>
    <row r="987">
      <c r="A987" s="13">
        <v>45901.0</v>
      </c>
      <c r="B987" s="14" t="s">
        <v>47</v>
      </c>
      <c r="C987" s="14" t="s">
        <v>48</v>
      </c>
      <c r="D987" s="14" t="s">
        <v>91</v>
      </c>
      <c r="E987" s="14" t="s">
        <v>92</v>
      </c>
      <c r="F987" s="14" t="s">
        <v>146</v>
      </c>
      <c r="G987" s="14" t="s">
        <v>147</v>
      </c>
      <c r="H987" s="14" t="s">
        <v>91</v>
      </c>
      <c r="I987" s="14" t="s">
        <v>107</v>
      </c>
      <c r="J987" s="14" t="s">
        <v>199</v>
      </c>
      <c r="K987" s="14" t="s">
        <v>206</v>
      </c>
      <c r="L987" s="14" t="s">
        <v>433</v>
      </c>
      <c r="M987" s="14" t="s">
        <v>433</v>
      </c>
      <c r="N987" s="14" t="s">
        <v>434</v>
      </c>
      <c r="O987" s="14">
        <v>100.0</v>
      </c>
      <c r="P987" s="21">
        <v>101.0</v>
      </c>
      <c r="Q987" s="22" t="str">
        <f>"-32"</f>
        <v>-32</v>
      </c>
      <c r="R987" s="18" t="str">
        <f>"+4"</f>
        <v>+4</v>
      </c>
      <c r="S987" s="14" t="s">
        <v>383</v>
      </c>
    </row>
    <row r="988">
      <c r="A988" s="13">
        <v>45901.0</v>
      </c>
      <c r="B988" s="14" t="s">
        <v>47</v>
      </c>
      <c r="C988" s="14" t="s">
        <v>48</v>
      </c>
      <c r="D988" s="14" t="s">
        <v>192</v>
      </c>
      <c r="E988" s="14" t="s">
        <v>193</v>
      </c>
      <c r="F988" s="15" t="s">
        <v>51</v>
      </c>
      <c r="G988" s="14" t="s">
        <v>194</v>
      </c>
      <c r="H988" s="14" t="s">
        <v>192</v>
      </c>
      <c r="I988" s="14" t="s">
        <v>54</v>
      </c>
      <c r="J988" s="14" t="s">
        <v>198</v>
      </c>
      <c r="K988" s="14" t="s">
        <v>210</v>
      </c>
      <c r="L988" s="14" t="s">
        <v>264</v>
      </c>
      <c r="M988" s="14" t="s">
        <v>527</v>
      </c>
      <c r="N988" s="14" t="s">
        <v>528</v>
      </c>
      <c r="O988" s="14">
        <v>0.0</v>
      </c>
      <c r="P988" s="21">
        <v>0.0</v>
      </c>
      <c r="Q988" s="22" t="str">
        <f t="shared" ref="Q988:R988" si="592">"+0"</f>
        <v>+0</v>
      </c>
      <c r="R988" s="18" t="str">
        <f t="shared" si="592"/>
        <v>+0</v>
      </c>
      <c r="S988" s="14" t="s">
        <v>277</v>
      </c>
    </row>
    <row r="989">
      <c r="A989" s="13">
        <v>45901.0</v>
      </c>
      <c r="B989" s="14" t="s">
        <v>47</v>
      </c>
      <c r="C989" s="14" t="s">
        <v>48</v>
      </c>
      <c r="D989" s="14" t="s">
        <v>184</v>
      </c>
      <c r="E989" s="14" t="s">
        <v>185</v>
      </c>
      <c r="F989" s="15" t="s">
        <v>51</v>
      </c>
      <c r="G989" s="14" t="s">
        <v>186</v>
      </c>
      <c r="H989" s="14" t="s">
        <v>187</v>
      </c>
      <c r="I989" s="14" t="s">
        <v>59</v>
      </c>
      <c r="J989" s="14" t="s">
        <v>199</v>
      </c>
      <c r="K989" s="14" t="s">
        <v>206</v>
      </c>
      <c r="L989" s="14" t="s">
        <v>295</v>
      </c>
      <c r="M989" s="14" t="s">
        <v>986</v>
      </c>
      <c r="N989" s="14" t="s">
        <v>987</v>
      </c>
      <c r="O989" s="14">
        <v>0.0</v>
      </c>
      <c r="P989" s="21">
        <v>0.0</v>
      </c>
      <c r="Q989" s="22" t="str">
        <f t="shared" ref="Q989:R989" si="593">"+0"</f>
        <v>+0</v>
      </c>
      <c r="R989" s="18" t="str">
        <f t="shared" si="593"/>
        <v>+0</v>
      </c>
      <c r="S989" s="14" t="s">
        <v>260</v>
      </c>
    </row>
    <row r="990">
      <c r="A990" s="13">
        <v>45901.0</v>
      </c>
      <c r="B990" s="14" t="s">
        <v>47</v>
      </c>
      <c r="C990" s="14" t="s">
        <v>48</v>
      </c>
      <c r="D990" s="14" t="s">
        <v>192</v>
      </c>
      <c r="E990" s="14" t="s">
        <v>193</v>
      </c>
      <c r="F990" s="15" t="s">
        <v>51</v>
      </c>
      <c r="G990" s="14" t="s">
        <v>194</v>
      </c>
      <c r="H990" s="14" t="s">
        <v>192</v>
      </c>
      <c r="I990" s="14" t="s">
        <v>54</v>
      </c>
      <c r="J990" s="14" t="s">
        <v>200</v>
      </c>
      <c r="K990" s="14" t="s">
        <v>204</v>
      </c>
      <c r="L990" s="14" t="s">
        <v>253</v>
      </c>
      <c r="M990" s="14" t="s">
        <v>793</v>
      </c>
      <c r="N990" s="14" t="s">
        <v>794</v>
      </c>
      <c r="O990" s="14">
        <v>1.0</v>
      </c>
      <c r="P990" s="23">
        <v>0.0073</v>
      </c>
      <c r="Q990" s="22" t="str">
        <f>"-0.06%"</f>
        <v>-0.06%</v>
      </c>
      <c r="R990" s="18" t="str">
        <f>"-0.49%"</f>
        <v>-0.49%</v>
      </c>
      <c r="S990" s="14" t="s">
        <v>1232</v>
      </c>
    </row>
    <row r="991">
      <c r="A991" s="13">
        <v>45901.0</v>
      </c>
      <c r="B991" s="14" t="s">
        <v>47</v>
      </c>
      <c r="C991" s="14" t="s">
        <v>48</v>
      </c>
      <c r="D991" s="14" t="s">
        <v>73</v>
      </c>
      <c r="E991" s="14" t="s">
        <v>74</v>
      </c>
      <c r="F991" s="15" t="s">
        <v>51</v>
      </c>
      <c r="G991" s="14" t="s">
        <v>75</v>
      </c>
      <c r="H991" s="14" t="s">
        <v>76</v>
      </c>
      <c r="I991" s="14" t="s">
        <v>59</v>
      </c>
      <c r="J991" s="14" t="s">
        <v>200</v>
      </c>
      <c r="K991" s="14" t="s">
        <v>232</v>
      </c>
      <c r="L991" s="14" t="s">
        <v>363</v>
      </c>
      <c r="M991" s="14" t="s">
        <v>1043</v>
      </c>
      <c r="N991" s="14" t="s">
        <v>1044</v>
      </c>
      <c r="O991" s="14">
        <v>0.0</v>
      </c>
      <c r="P991" s="23">
        <v>0.0</v>
      </c>
      <c r="Q991" s="22" t="str">
        <f t="shared" ref="Q991:R991" si="594">"+0.00%"</f>
        <v>+0.00%</v>
      </c>
      <c r="R991" s="18" t="str">
        <f t="shared" si="594"/>
        <v>+0.00%</v>
      </c>
      <c r="S991" s="14" t="s">
        <v>285</v>
      </c>
    </row>
    <row r="992">
      <c r="A992" s="13">
        <v>45901.0</v>
      </c>
      <c r="B992" s="14" t="s">
        <v>47</v>
      </c>
      <c r="C992" s="14" t="s">
        <v>48</v>
      </c>
      <c r="D992" s="14" t="s">
        <v>103</v>
      </c>
      <c r="E992" s="14" t="s">
        <v>104</v>
      </c>
      <c r="F992" s="15" t="s">
        <v>51</v>
      </c>
      <c r="G992" s="14" t="s">
        <v>105</v>
      </c>
      <c r="H992" s="14" t="s">
        <v>106</v>
      </c>
      <c r="I992" s="14" t="s">
        <v>59</v>
      </c>
      <c r="J992" s="14" t="s">
        <v>200</v>
      </c>
      <c r="K992" s="14" t="s">
        <v>232</v>
      </c>
      <c r="L992" s="14" t="s">
        <v>286</v>
      </c>
      <c r="M992" s="14" t="s">
        <v>656</v>
      </c>
      <c r="N992" s="14" t="s">
        <v>657</v>
      </c>
      <c r="O992" s="14">
        <v>0.0</v>
      </c>
      <c r="P992" s="23">
        <v>0.0</v>
      </c>
      <c r="Q992" s="22" t="str">
        <f t="shared" ref="Q992:R992" si="595">"+0.00%"</f>
        <v>+0.00%</v>
      </c>
      <c r="R992" s="18" t="str">
        <f t="shared" si="595"/>
        <v>+0.00%</v>
      </c>
      <c r="S992" s="14" t="s">
        <v>285</v>
      </c>
    </row>
    <row r="993">
      <c r="A993" s="13">
        <v>45901.0</v>
      </c>
      <c r="B993" s="14" t="s">
        <v>47</v>
      </c>
      <c r="C993" s="14" t="s">
        <v>48</v>
      </c>
      <c r="D993" s="14" t="s">
        <v>143</v>
      </c>
      <c r="E993" s="14" t="s">
        <v>144</v>
      </c>
      <c r="F993" s="15" t="s">
        <v>51</v>
      </c>
      <c r="G993" s="14" t="s">
        <v>145</v>
      </c>
      <c r="H993" s="14" t="s">
        <v>143</v>
      </c>
      <c r="I993" s="14" t="s">
        <v>59</v>
      </c>
      <c r="J993" s="14" t="s">
        <v>200</v>
      </c>
      <c r="K993" s="14" t="s">
        <v>222</v>
      </c>
      <c r="L993" s="14" t="s">
        <v>253</v>
      </c>
      <c r="M993" s="14" t="s">
        <v>732</v>
      </c>
      <c r="N993" s="14" t="s">
        <v>733</v>
      </c>
      <c r="O993" s="14">
        <v>50.0</v>
      </c>
      <c r="P993" s="21">
        <v>1.0</v>
      </c>
      <c r="Q993" s="22" t="str">
        <f t="shared" ref="Q993:R993" si="596">"+0"</f>
        <v>+0</v>
      </c>
      <c r="R993" s="18" t="str">
        <f t="shared" si="596"/>
        <v>+0</v>
      </c>
      <c r="S993" s="14" t="s">
        <v>450</v>
      </c>
    </row>
    <row r="994">
      <c r="A994" s="13">
        <v>45901.0</v>
      </c>
      <c r="B994" s="14" t="s">
        <v>47</v>
      </c>
      <c r="C994" s="14" t="s">
        <v>48</v>
      </c>
      <c r="D994" s="14" t="s">
        <v>149</v>
      </c>
      <c r="E994" s="14" t="s">
        <v>150</v>
      </c>
      <c r="F994" s="15" t="s">
        <v>51</v>
      </c>
      <c r="G994" s="14" t="s">
        <v>151</v>
      </c>
      <c r="H994" s="14" t="s">
        <v>152</v>
      </c>
      <c r="I994" s="14" t="s">
        <v>54</v>
      </c>
      <c r="J994" s="14" t="s">
        <v>200</v>
      </c>
      <c r="K994" s="14" t="s">
        <v>223</v>
      </c>
      <c r="L994" s="14" t="s">
        <v>304</v>
      </c>
      <c r="M994" s="14" t="s">
        <v>877</v>
      </c>
      <c r="N994" s="14" t="s">
        <v>878</v>
      </c>
      <c r="O994" s="14">
        <v>0.0</v>
      </c>
      <c r="P994" s="23">
        <v>0.0</v>
      </c>
      <c r="Q994" s="22" t="str">
        <f t="shared" ref="Q994:R994" si="597">"+0.00%"</f>
        <v>+0.00%</v>
      </c>
      <c r="R994" s="18" t="str">
        <f t="shared" si="597"/>
        <v>+0.00%</v>
      </c>
      <c r="S994" s="14" t="s">
        <v>1233</v>
      </c>
    </row>
    <row r="995">
      <c r="A995" s="13">
        <v>45901.0</v>
      </c>
      <c r="B995" s="14" t="s">
        <v>47</v>
      </c>
      <c r="C995" s="14" t="s">
        <v>48</v>
      </c>
      <c r="D995" s="14" t="s">
        <v>136</v>
      </c>
      <c r="E995" s="14" t="s">
        <v>137</v>
      </c>
      <c r="F995" s="15" t="s">
        <v>51</v>
      </c>
      <c r="G995" s="14" t="s">
        <v>138</v>
      </c>
      <c r="H995" s="14" t="s">
        <v>139</v>
      </c>
      <c r="I995" s="14" t="s">
        <v>59</v>
      </c>
      <c r="J995" s="14" t="s">
        <v>198</v>
      </c>
      <c r="K995" s="14" t="s">
        <v>205</v>
      </c>
      <c r="L995" s="14" t="s">
        <v>274</v>
      </c>
      <c r="M995" s="14" t="s">
        <v>473</v>
      </c>
      <c r="N995" s="14" t="s">
        <v>474</v>
      </c>
      <c r="O995" s="14">
        <v>50.0</v>
      </c>
      <c r="P995" s="21">
        <v>15.0</v>
      </c>
      <c r="Q995" s="22" t="str">
        <f t="shared" ref="Q995:Q998" si="598">"+0"</f>
        <v>+0</v>
      </c>
      <c r="S995" s="14" t="s">
        <v>475</v>
      </c>
    </row>
    <row r="996">
      <c r="A996" s="13">
        <v>45901.0</v>
      </c>
      <c r="B996" s="14" t="s">
        <v>47</v>
      </c>
      <c r="C996" s="14" t="s">
        <v>48</v>
      </c>
      <c r="D996" s="14" t="s">
        <v>171</v>
      </c>
      <c r="E996" s="14" t="s">
        <v>172</v>
      </c>
      <c r="F996" s="15" t="s">
        <v>51</v>
      </c>
      <c r="G996" s="14" t="s">
        <v>173</v>
      </c>
      <c r="H996" s="14" t="s">
        <v>171</v>
      </c>
      <c r="I996" s="14" t="s">
        <v>59</v>
      </c>
      <c r="J996" s="14" t="s">
        <v>199</v>
      </c>
      <c r="K996" s="14" t="s">
        <v>206</v>
      </c>
      <c r="L996" s="14" t="s">
        <v>433</v>
      </c>
      <c r="M996" s="14" t="s">
        <v>433</v>
      </c>
      <c r="N996" s="14" t="s">
        <v>434</v>
      </c>
      <c r="O996" s="14">
        <v>0.0</v>
      </c>
      <c r="P996" s="21">
        <v>0.0</v>
      </c>
      <c r="Q996" s="22" t="str">
        <f t="shared" si="598"/>
        <v>+0</v>
      </c>
      <c r="R996" s="18" t="str">
        <f>"+0"</f>
        <v>+0</v>
      </c>
      <c r="S996" s="14" t="s">
        <v>383</v>
      </c>
    </row>
    <row r="997">
      <c r="A997" s="13">
        <v>45901.0</v>
      </c>
      <c r="B997" s="14" t="s">
        <v>47</v>
      </c>
      <c r="C997" s="14" t="s">
        <v>48</v>
      </c>
      <c r="D997" s="14" t="s">
        <v>96</v>
      </c>
      <c r="E997" s="14" t="s">
        <v>97</v>
      </c>
      <c r="F997" s="15" t="s">
        <v>51</v>
      </c>
      <c r="G997" s="14" t="s">
        <v>98</v>
      </c>
      <c r="H997" s="14" t="s">
        <v>96</v>
      </c>
      <c r="I997" s="14" t="s">
        <v>59</v>
      </c>
      <c r="J997" s="14" t="s">
        <v>198</v>
      </c>
      <c r="K997" s="14" t="s">
        <v>205</v>
      </c>
      <c r="L997" s="14" t="s">
        <v>274</v>
      </c>
      <c r="M997" s="14" t="s">
        <v>275</v>
      </c>
      <c r="N997" s="14" t="s">
        <v>276</v>
      </c>
      <c r="O997" s="14">
        <v>0.0</v>
      </c>
      <c r="P997" s="21">
        <v>1.0</v>
      </c>
      <c r="Q997" s="22" t="str">
        <f t="shared" si="598"/>
        <v>+0</v>
      </c>
      <c r="S997" s="14" t="s">
        <v>277</v>
      </c>
    </row>
    <row r="998">
      <c r="A998" s="13">
        <v>45901.0</v>
      </c>
      <c r="B998" s="14" t="s">
        <v>47</v>
      </c>
      <c r="C998" s="14" t="s">
        <v>48</v>
      </c>
      <c r="D998" s="14" t="s">
        <v>85</v>
      </c>
      <c r="E998" s="14" t="s">
        <v>86</v>
      </c>
      <c r="F998" s="15" t="s">
        <v>51</v>
      </c>
      <c r="G998" s="14" t="s">
        <v>148</v>
      </c>
      <c r="H998" s="14" t="s">
        <v>85</v>
      </c>
      <c r="I998" s="14" t="s">
        <v>59</v>
      </c>
      <c r="J998" s="14" t="s">
        <v>198</v>
      </c>
      <c r="K998" s="14" t="s">
        <v>207</v>
      </c>
      <c r="L998" s="14" t="s">
        <v>318</v>
      </c>
      <c r="M998" s="14" t="s">
        <v>319</v>
      </c>
      <c r="N998" s="14" t="s">
        <v>320</v>
      </c>
      <c r="O998" s="14">
        <v>0.0</v>
      </c>
      <c r="P998" s="21">
        <v>0.0</v>
      </c>
      <c r="Q998" s="22" t="str">
        <f t="shared" si="598"/>
        <v>+0</v>
      </c>
      <c r="S998" s="14" t="s">
        <v>281</v>
      </c>
    </row>
    <row r="999">
      <c r="A999" s="13">
        <v>45901.0</v>
      </c>
      <c r="B999" s="14" t="s">
        <v>47</v>
      </c>
      <c r="C999" s="14" t="s">
        <v>48</v>
      </c>
      <c r="D999" s="14" t="s">
        <v>125</v>
      </c>
      <c r="E999" s="14" t="s">
        <v>126</v>
      </c>
      <c r="F999" s="15" t="s">
        <v>51</v>
      </c>
      <c r="G999" s="14" t="s">
        <v>127</v>
      </c>
      <c r="H999" s="14" t="s">
        <v>125</v>
      </c>
      <c r="I999" s="14" t="s">
        <v>59</v>
      </c>
      <c r="J999" s="14" t="s">
        <v>200</v>
      </c>
      <c r="K999" s="14" t="s">
        <v>232</v>
      </c>
      <c r="L999" s="14" t="s">
        <v>286</v>
      </c>
      <c r="M999" s="14" t="s">
        <v>287</v>
      </c>
      <c r="N999" s="14" t="s">
        <v>288</v>
      </c>
      <c r="O999" s="14">
        <v>0.0</v>
      </c>
      <c r="P999" s="23">
        <v>0.0</v>
      </c>
      <c r="Q999" s="22" t="str">
        <f t="shared" ref="Q999:R999" si="599">"+0.00%"</f>
        <v>+0.00%</v>
      </c>
      <c r="R999" s="18" t="str">
        <f t="shared" si="599"/>
        <v>+0.00%</v>
      </c>
      <c r="S999" s="14" t="s">
        <v>285</v>
      </c>
    </row>
    <row r="1000">
      <c r="A1000" s="13">
        <v>45901.0</v>
      </c>
      <c r="B1000" s="14" t="s">
        <v>47</v>
      </c>
      <c r="C1000" s="14" t="s">
        <v>48</v>
      </c>
      <c r="D1000" s="14" t="s">
        <v>195</v>
      </c>
      <c r="E1000" s="14" t="s">
        <v>196</v>
      </c>
      <c r="F1000" s="14" t="s">
        <v>111</v>
      </c>
      <c r="G1000" s="14">
        <v>5252823.0</v>
      </c>
      <c r="H1000" s="14" t="s">
        <v>197</v>
      </c>
      <c r="I1000" s="14" t="s">
        <v>59</v>
      </c>
      <c r="J1000" s="14" t="s">
        <v>199</v>
      </c>
      <c r="K1000" s="14" t="s">
        <v>206</v>
      </c>
      <c r="L1000" s="14" t="s">
        <v>569</v>
      </c>
      <c r="M1000" s="14" t="s">
        <v>569</v>
      </c>
      <c r="N1000" s="14" t="s">
        <v>570</v>
      </c>
      <c r="O1000" s="14">
        <v>75.0</v>
      </c>
      <c r="P1000" s="21">
        <v>1.0</v>
      </c>
      <c r="Q1000" s="22" t="str">
        <f>"-2"</f>
        <v>-2</v>
      </c>
      <c r="R1000" s="18" t="str">
        <f>"+0"</f>
        <v>+0</v>
      </c>
      <c r="S1000" s="14" t="s">
        <v>383</v>
      </c>
    </row>
    <row r="1001">
      <c r="A1001" s="13">
        <v>45901.0</v>
      </c>
      <c r="B1001" s="14" t="s">
        <v>47</v>
      </c>
      <c r="C1001" s="14" t="s">
        <v>48</v>
      </c>
      <c r="D1001" s="14" t="s">
        <v>158</v>
      </c>
      <c r="E1001" s="14" t="s">
        <v>159</v>
      </c>
      <c r="F1001" s="15" t="s">
        <v>51</v>
      </c>
      <c r="G1001" s="14" t="s">
        <v>160</v>
      </c>
      <c r="H1001" s="14" t="s">
        <v>158</v>
      </c>
      <c r="I1001" s="14" t="s">
        <v>54</v>
      </c>
      <c r="J1001" s="14" t="s">
        <v>198</v>
      </c>
      <c r="K1001" s="14" t="s">
        <v>210</v>
      </c>
      <c r="L1001" s="14" t="s">
        <v>505</v>
      </c>
      <c r="M1001" s="14" t="s">
        <v>746</v>
      </c>
      <c r="N1001" s="14" t="s">
        <v>747</v>
      </c>
      <c r="O1001" s="14">
        <v>0.0</v>
      </c>
      <c r="P1001" s="21">
        <v>0.0</v>
      </c>
      <c r="Q1001" s="22" t="str">
        <f t="shared" ref="Q1001:R1001" si="600">"+0"</f>
        <v>+0</v>
      </c>
      <c r="R1001" s="18" t="str">
        <f t="shared" si="600"/>
        <v>+0</v>
      </c>
      <c r="S1001" s="14" t="s">
        <v>277</v>
      </c>
    </row>
    <row r="1002">
      <c r="A1002" s="13">
        <v>45901.0</v>
      </c>
      <c r="B1002" s="14" t="s">
        <v>47</v>
      </c>
      <c r="C1002" s="14" t="s">
        <v>48</v>
      </c>
      <c r="D1002" s="14" t="s">
        <v>116</v>
      </c>
      <c r="E1002" s="14" t="s">
        <v>117</v>
      </c>
      <c r="F1002" s="15" t="s">
        <v>51</v>
      </c>
      <c r="G1002" s="14" t="s">
        <v>161</v>
      </c>
      <c r="H1002" s="14" t="s">
        <v>116</v>
      </c>
      <c r="I1002" s="14" t="s">
        <v>54</v>
      </c>
      <c r="J1002" s="14" t="s">
        <v>198</v>
      </c>
      <c r="K1002" s="14" t="s">
        <v>205</v>
      </c>
      <c r="L1002" s="14" t="s">
        <v>274</v>
      </c>
      <c r="M1002" s="14" t="s">
        <v>575</v>
      </c>
      <c r="N1002" s="14" t="s">
        <v>576</v>
      </c>
      <c r="O1002" s="14">
        <v>100.0</v>
      </c>
      <c r="P1002" s="21">
        <v>90.0</v>
      </c>
      <c r="Q1002" s="22" t="str">
        <f>"+0"</f>
        <v>+0</v>
      </c>
      <c r="S1002" s="14" t="s">
        <v>577</v>
      </c>
    </row>
    <row r="1003">
      <c r="A1003" s="13">
        <v>45901.0</v>
      </c>
      <c r="B1003" s="14" t="s">
        <v>47</v>
      </c>
      <c r="C1003" s="14" t="s">
        <v>48</v>
      </c>
      <c r="D1003" s="14" t="s">
        <v>60</v>
      </c>
      <c r="E1003" s="14" t="s">
        <v>61</v>
      </c>
      <c r="F1003" s="15" t="s">
        <v>51</v>
      </c>
      <c r="G1003" s="14" t="s">
        <v>62</v>
      </c>
      <c r="H1003" s="14" t="s">
        <v>60</v>
      </c>
      <c r="I1003" s="14" t="s">
        <v>59</v>
      </c>
      <c r="J1003" s="14" t="s">
        <v>200</v>
      </c>
      <c r="K1003" s="14" t="s">
        <v>227</v>
      </c>
      <c r="L1003" s="14" t="s">
        <v>328</v>
      </c>
      <c r="M1003" s="14" t="s">
        <v>329</v>
      </c>
      <c r="N1003" s="14" t="s">
        <v>330</v>
      </c>
      <c r="O1003" s="14">
        <v>40.0</v>
      </c>
      <c r="P1003" s="21">
        <v>2.0</v>
      </c>
      <c r="Q1003" s="22" t="str">
        <f>"+2"</f>
        <v>+2</v>
      </c>
      <c r="R1003" s="18" t="str">
        <f>"+1"</f>
        <v>+1</v>
      </c>
      <c r="S1003" s="14" t="s">
        <v>260</v>
      </c>
    </row>
    <row r="1004">
      <c r="A1004" s="13">
        <v>45901.0</v>
      </c>
      <c r="B1004" s="14" t="s">
        <v>47</v>
      </c>
      <c r="C1004" s="14" t="s">
        <v>48</v>
      </c>
      <c r="D1004" s="14" t="s">
        <v>56</v>
      </c>
      <c r="E1004" s="14" t="s">
        <v>57</v>
      </c>
      <c r="F1004" s="15" t="s">
        <v>51</v>
      </c>
      <c r="G1004" s="14" t="s">
        <v>58</v>
      </c>
      <c r="H1004" s="14" t="s">
        <v>56</v>
      </c>
      <c r="I1004" s="14" t="s">
        <v>59</v>
      </c>
      <c r="J1004" s="14" t="s">
        <v>200</v>
      </c>
      <c r="K1004" s="14" t="s">
        <v>223</v>
      </c>
      <c r="L1004" s="14" t="s">
        <v>571</v>
      </c>
      <c r="M1004" s="14" t="s">
        <v>578</v>
      </c>
      <c r="N1004" s="14" t="s">
        <v>579</v>
      </c>
      <c r="O1004" s="14">
        <v>0.0</v>
      </c>
      <c r="P1004" s="23">
        <v>0.0</v>
      </c>
      <c r="Q1004" s="22" t="str">
        <f t="shared" ref="Q1004:R1004" si="601">"+0.00%"</f>
        <v>+0.00%</v>
      </c>
      <c r="R1004" s="18" t="str">
        <f t="shared" si="601"/>
        <v>+0.00%</v>
      </c>
      <c r="S1004" s="14" t="s">
        <v>285</v>
      </c>
    </row>
    <row r="1005">
      <c r="A1005" s="13">
        <v>45901.0</v>
      </c>
      <c r="B1005" s="14" t="s">
        <v>47</v>
      </c>
      <c r="C1005" s="14" t="s">
        <v>48</v>
      </c>
      <c r="D1005" s="14" t="s">
        <v>155</v>
      </c>
      <c r="E1005" s="14" t="s">
        <v>156</v>
      </c>
      <c r="F1005" s="15" t="s">
        <v>51</v>
      </c>
      <c r="G1005" s="14" t="s">
        <v>157</v>
      </c>
      <c r="H1005" s="14" t="s">
        <v>155</v>
      </c>
      <c r="I1005" s="14" t="s">
        <v>59</v>
      </c>
      <c r="J1005" s="14" t="s">
        <v>198</v>
      </c>
      <c r="K1005" s="14" t="s">
        <v>212</v>
      </c>
      <c r="L1005" s="14" t="s">
        <v>344</v>
      </c>
      <c r="M1005" s="14" t="s">
        <v>580</v>
      </c>
      <c r="N1005" s="14" t="s">
        <v>581</v>
      </c>
      <c r="O1005" s="14">
        <v>100.0</v>
      </c>
      <c r="P1005" s="21">
        <v>1.0</v>
      </c>
      <c r="Q1005" s="22" t="str">
        <f>"+1"</f>
        <v>+1</v>
      </c>
      <c r="S1005" s="14" t="s">
        <v>281</v>
      </c>
    </row>
    <row r="1006">
      <c r="A1006" s="13">
        <v>45901.0</v>
      </c>
      <c r="B1006" s="14" t="s">
        <v>47</v>
      </c>
      <c r="C1006" s="14" t="s">
        <v>48</v>
      </c>
      <c r="D1006" s="14" t="s">
        <v>121</v>
      </c>
      <c r="E1006" s="14" t="s">
        <v>122</v>
      </c>
      <c r="F1006" s="15" t="s">
        <v>51</v>
      </c>
      <c r="G1006" s="14" t="s">
        <v>123</v>
      </c>
      <c r="H1006" s="14" t="s">
        <v>124</v>
      </c>
      <c r="I1006" s="14" t="s">
        <v>59</v>
      </c>
      <c r="J1006" s="14" t="s">
        <v>200</v>
      </c>
      <c r="K1006" s="14" t="s">
        <v>232</v>
      </c>
      <c r="L1006" s="14" t="s">
        <v>487</v>
      </c>
      <c r="M1006" s="14" t="s">
        <v>1075</v>
      </c>
      <c r="N1006" s="14" t="s">
        <v>1076</v>
      </c>
      <c r="O1006" s="14">
        <v>0.0</v>
      </c>
      <c r="P1006" s="23">
        <v>0.0</v>
      </c>
      <c r="Q1006" s="22" t="str">
        <f t="shared" ref="Q1006:R1006" si="602">"+0.00%"</f>
        <v>+0.00%</v>
      </c>
      <c r="R1006" s="18" t="str">
        <f t="shared" si="602"/>
        <v>+0.00%</v>
      </c>
      <c r="S1006" s="14" t="s">
        <v>285</v>
      </c>
    </row>
    <row r="1007">
      <c r="A1007" s="13">
        <v>45901.0</v>
      </c>
      <c r="B1007" s="14" t="s">
        <v>47</v>
      </c>
      <c r="C1007" s="14" t="s">
        <v>48</v>
      </c>
      <c r="D1007" s="14" t="s">
        <v>56</v>
      </c>
      <c r="E1007" s="14" t="s">
        <v>57</v>
      </c>
      <c r="F1007" s="15" t="s">
        <v>51</v>
      </c>
      <c r="G1007" s="14" t="s">
        <v>58</v>
      </c>
      <c r="H1007" s="14" t="s">
        <v>56</v>
      </c>
      <c r="I1007" s="14" t="s">
        <v>59</v>
      </c>
      <c r="J1007" s="14" t="s">
        <v>199</v>
      </c>
      <c r="K1007" s="14" t="s">
        <v>206</v>
      </c>
      <c r="L1007" s="14" t="s">
        <v>531</v>
      </c>
      <c r="M1007" s="14" t="s">
        <v>531</v>
      </c>
      <c r="N1007" s="14" t="s">
        <v>532</v>
      </c>
      <c r="O1007" s="14">
        <v>0.0</v>
      </c>
      <c r="P1007" s="21">
        <v>0.0</v>
      </c>
      <c r="Q1007" s="22" t="str">
        <f t="shared" ref="Q1007:R1007" si="603">"+0"</f>
        <v>+0</v>
      </c>
      <c r="R1007" s="18" t="str">
        <f t="shared" si="603"/>
        <v>+0</v>
      </c>
      <c r="S1007" s="14" t="s">
        <v>260</v>
      </c>
    </row>
    <row r="1008">
      <c r="A1008" s="13">
        <v>45901.0</v>
      </c>
      <c r="B1008" s="14" t="s">
        <v>47</v>
      </c>
      <c r="C1008" s="14" t="s">
        <v>48</v>
      </c>
      <c r="D1008" s="14" t="s">
        <v>181</v>
      </c>
      <c r="E1008" s="14" t="s">
        <v>182</v>
      </c>
      <c r="F1008" s="15" t="s">
        <v>51</v>
      </c>
      <c r="G1008" s="14" t="s">
        <v>183</v>
      </c>
      <c r="H1008" s="14" t="s">
        <v>181</v>
      </c>
      <c r="I1008" s="14" t="s">
        <v>59</v>
      </c>
      <c r="J1008" s="14" t="s">
        <v>199</v>
      </c>
      <c r="K1008" s="14" t="s">
        <v>203</v>
      </c>
      <c r="L1008" s="14" t="s">
        <v>431</v>
      </c>
      <c r="M1008" s="14" t="s">
        <v>431</v>
      </c>
      <c r="N1008" s="14" t="s">
        <v>432</v>
      </c>
      <c r="O1008" s="14">
        <v>0.0</v>
      </c>
      <c r="P1008" s="21">
        <v>0.0</v>
      </c>
      <c r="Q1008" s="22" t="str">
        <f t="shared" ref="Q1008:R1008" si="604">"+0"</f>
        <v>+0</v>
      </c>
      <c r="R1008" s="18" t="str">
        <f t="shared" si="604"/>
        <v>+0</v>
      </c>
      <c r="S1008" s="14" t="s">
        <v>260</v>
      </c>
    </row>
    <row r="1009">
      <c r="A1009" s="13">
        <v>45901.0</v>
      </c>
      <c r="B1009" s="14" t="s">
        <v>47</v>
      </c>
      <c r="C1009" s="14" t="s">
        <v>48</v>
      </c>
      <c r="D1009" s="14" t="s">
        <v>165</v>
      </c>
      <c r="E1009" s="14" t="s">
        <v>166</v>
      </c>
      <c r="F1009" s="15" t="s">
        <v>51</v>
      </c>
      <c r="G1009" s="14" t="s">
        <v>167</v>
      </c>
      <c r="H1009" s="14" t="s">
        <v>165</v>
      </c>
      <c r="I1009" s="14" t="s">
        <v>54</v>
      </c>
      <c r="J1009" s="14" t="s">
        <v>198</v>
      </c>
      <c r="K1009" s="14" t="s">
        <v>210</v>
      </c>
      <c r="L1009" s="14" t="s">
        <v>278</v>
      </c>
      <c r="M1009" s="14" t="s">
        <v>947</v>
      </c>
      <c r="N1009" s="14" t="s">
        <v>948</v>
      </c>
      <c r="O1009" s="14">
        <v>0.0</v>
      </c>
      <c r="P1009" s="21">
        <v>0.0</v>
      </c>
      <c r="Q1009" s="22" t="str">
        <f t="shared" ref="Q1009:R1009" si="605">"+0"</f>
        <v>+0</v>
      </c>
      <c r="R1009" s="18" t="str">
        <f t="shared" si="605"/>
        <v>+0</v>
      </c>
      <c r="S1009" s="14" t="s">
        <v>277</v>
      </c>
    </row>
    <row r="1010">
      <c r="A1010" s="13">
        <v>45901.0</v>
      </c>
      <c r="B1010" s="14" t="s">
        <v>47</v>
      </c>
      <c r="C1010" s="14" t="s">
        <v>48</v>
      </c>
      <c r="D1010" s="14" t="s">
        <v>49</v>
      </c>
      <c r="E1010" s="14" t="s">
        <v>50</v>
      </c>
      <c r="F1010" s="15" t="s">
        <v>51</v>
      </c>
      <c r="G1010" s="14" t="s">
        <v>52</v>
      </c>
      <c r="H1010" s="14" t="s">
        <v>53</v>
      </c>
      <c r="I1010" s="14" t="s">
        <v>54</v>
      </c>
      <c r="J1010" s="14" t="s">
        <v>200</v>
      </c>
      <c r="K1010" s="14" t="s">
        <v>214</v>
      </c>
      <c r="L1010" s="14" t="s">
        <v>253</v>
      </c>
      <c r="M1010" s="14" t="s">
        <v>366</v>
      </c>
      <c r="N1010" s="14" t="s">
        <v>367</v>
      </c>
      <c r="O1010" s="14">
        <v>59.0</v>
      </c>
      <c r="P1010" s="23">
        <v>0.5914</v>
      </c>
      <c r="Q1010" s="22" t="str">
        <f>"-0.12%"</f>
        <v>-0.12%</v>
      </c>
      <c r="R1010" s="18" t="str">
        <f>"-0.86%"</f>
        <v>-0.86%</v>
      </c>
      <c r="S1010" s="14" t="s">
        <v>1234</v>
      </c>
    </row>
    <row r="1011">
      <c r="A1011" s="13">
        <v>45901.0</v>
      </c>
      <c r="B1011" s="14" t="s">
        <v>47</v>
      </c>
      <c r="C1011" s="14" t="s">
        <v>48</v>
      </c>
      <c r="D1011" s="14" t="s">
        <v>91</v>
      </c>
      <c r="E1011" s="14" t="s">
        <v>92</v>
      </c>
      <c r="F1011" s="14" t="s">
        <v>71</v>
      </c>
      <c r="G1011" s="14">
        <v>5.10000484E8</v>
      </c>
      <c r="H1011" s="14" t="s">
        <v>91</v>
      </c>
      <c r="I1011" s="14" t="s">
        <v>54</v>
      </c>
      <c r="J1011" s="14" t="s">
        <v>199</v>
      </c>
      <c r="K1011" s="14" t="s">
        <v>206</v>
      </c>
      <c r="L1011" s="14" t="s">
        <v>295</v>
      </c>
      <c r="M1011" s="14" t="s">
        <v>986</v>
      </c>
      <c r="N1011" s="14" t="s">
        <v>987</v>
      </c>
      <c r="O1011" s="14">
        <v>0.0</v>
      </c>
      <c r="P1011" s="21">
        <v>0.0</v>
      </c>
      <c r="Q1011" s="22" t="str">
        <f t="shared" ref="Q1011:R1011" si="606">"-6"</f>
        <v>-6</v>
      </c>
      <c r="R1011" s="18" t="str">
        <f t="shared" si="606"/>
        <v>-6</v>
      </c>
      <c r="S1011" s="14" t="s">
        <v>260</v>
      </c>
    </row>
    <row r="1012">
      <c r="A1012" s="13">
        <v>45901.0</v>
      </c>
      <c r="B1012" s="14" t="s">
        <v>47</v>
      </c>
      <c r="C1012" s="14" t="s">
        <v>48</v>
      </c>
      <c r="D1012" s="14" t="s">
        <v>91</v>
      </c>
      <c r="E1012" s="14" t="s">
        <v>92</v>
      </c>
      <c r="F1012" s="14" t="s">
        <v>71</v>
      </c>
      <c r="G1012" s="14">
        <v>5.10000484E8</v>
      </c>
      <c r="H1012" s="14" t="s">
        <v>91</v>
      </c>
      <c r="I1012" s="14" t="s">
        <v>54</v>
      </c>
      <c r="J1012" s="14" t="s">
        <v>199</v>
      </c>
      <c r="K1012" s="14" t="s">
        <v>203</v>
      </c>
      <c r="L1012" s="14" t="s">
        <v>485</v>
      </c>
      <c r="M1012" s="14" t="s">
        <v>485</v>
      </c>
      <c r="N1012" s="14" t="s">
        <v>486</v>
      </c>
      <c r="O1012" s="14">
        <v>100.0</v>
      </c>
      <c r="P1012" s="21">
        <v>1.0</v>
      </c>
      <c r="Q1012" s="22" t="str">
        <f t="shared" ref="Q1012:R1012" si="607">"+0"</f>
        <v>+0</v>
      </c>
      <c r="R1012" s="18" t="str">
        <f t="shared" si="607"/>
        <v>+0</v>
      </c>
      <c r="S1012" s="14" t="s">
        <v>260</v>
      </c>
    </row>
    <row r="1013">
      <c r="A1013" s="13">
        <v>45901.0</v>
      </c>
      <c r="B1013" s="14" t="s">
        <v>47</v>
      </c>
      <c r="C1013" s="14" t="s">
        <v>48</v>
      </c>
      <c r="D1013" s="14" t="s">
        <v>60</v>
      </c>
      <c r="E1013" s="14" t="s">
        <v>61</v>
      </c>
      <c r="F1013" s="15" t="s">
        <v>51</v>
      </c>
      <c r="G1013" s="14" t="s">
        <v>62</v>
      </c>
      <c r="H1013" s="14" t="s">
        <v>60</v>
      </c>
      <c r="I1013" s="14" t="s">
        <v>59</v>
      </c>
      <c r="J1013" s="14" t="s">
        <v>200</v>
      </c>
      <c r="K1013" s="14" t="s">
        <v>216</v>
      </c>
      <c r="L1013" s="14" t="s">
        <v>1235</v>
      </c>
      <c r="M1013" s="14" t="s">
        <v>1236</v>
      </c>
      <c r="N1013" s="14" t="s">
        <v>1237</v>
      </c>
      <c r="O1013" s="14">
        <v>0.0</v>
      </c>
      <c r="P1013" s="21">
        <v>0.0</v>
      </c>
      <c r="Q1013" s="22" t="str">
        <f t="shared" ref="Q1013:R1013" si="608">"+0"</f>
        <v>+0</v>
      </c>
      <c r="R1013" s="18" t="str">
        <f t="shared" si="608"/>
        <v>+0</v>
      </c>
      <c r="S1013" s="14" t="s">
        <v>260</v>
      </c>
    </row>
    <row r="1014">
      <c r="A1014" s="13">
        <v>45901.0</v>
      </c>
      <c r="B1014" s="14" t="s">
        <v>47</v>
      </c>
      <c r="C1014" s="14" t="s">
        <v>48</v>
      </c>
      <c r="D1014" s="14" t="s">
        <v>77</v>
      </c>
      <c r="E1014" s="14" t="s">
        <v>78</v>
      </c>
      <c r="F1014" s="14" t="s">
        <v>79</v>
      </c>
      <c r="G1014" s="14" t="s">
        <v>80</v>
      </c>
      <c r="H1014" s="14" t="s">
        <v>81</v>
      </c>
      <c r="J1014" s="14" t="s">
        <v>200</v>
      </c>
      <c r="K1014" s="14" t="s">
        <v>237</v>
      </c>
      <c r="L1014" s="14" t="s">
        <v>333</v>
      </c>
      <c r="M1014" s="14" t="s">
        <v>1238</v>
      </c>
      <c r="N1014" s="14" t="s">
        <v>1239</v>
      </c>
      <c r="O1014" s="14">
        <v>0.0</v>
      </c>
      <c r="P1014" s="23">
        <v>-1.0</v>
      </c>
      <c r="Q1014" s="22" t="str">
        <f t="shared" ref="Q1014:R1014" si="609">"+0.00%"</f>
        <v>+0.00%</v>
      </c>
      <c r="R1014" s="18" t="str">
        <f t="shared" si="609"/>
        <v>+0.00%</v>
      </c>
      <c r="S1014" s="14" t="s">
        <v>336</v>
      </c>
    </row>
    <row r="1015">
      <c r="A1015" s="13">
        <v>45901.0</v>
      </c>
      <c r="B1015" s="14" t="s">
        <v>47</v>
      </c>
      <c r="C1015" s="14" t="s">
        <v>48</v>
      </c>
      <c r="D1015" s="14" t="s">
        <v>63</v>
      </c>
      <c r="E1015" s="14" t="s">
        <v>64</v>
      </c>
      <c r="F1015" s="15" t="s">
        <v>51</v>
      </c>
      <c r="G1015" s="14" t="s">
        <v>65</v>
      </c>
      <c r="H1015" s="14" t="s">
        <v>63</v>
      </c>
      <c r="I1015" s="14" t="s">
        <v>54</v>
      </c>
      <c r="J1015" s="14" t="s">
        <v>198</v>
      </c>
      <c r="K1015" s="14" t="s">
        <v>210</v>
      </c>
      <c r="L1015" s="14" t="s">
        <v>264</v>
      </c>
      <c r="M1015" s="14" t="s">
        <v>989</v>
      </c>
      <c r="N1015" s="14" t="s">
        <v>990</v>
      </c>
      <c r="O1015" s="14">
        <v>0.0</v>
      </c>
      <c r="P1015" s="21">
        <v>0.0</v>
      </c>
      <c r="Q1015" s="22" t="str">
        <f t="shared" ref="Q1015:R1015" si="610">"+0"</f>
        <v>+0</v>
      </c>
      <c r="R1015" s="18" t="str">
        <f t="shared" si="610"/>
        <v>+0</v>
      </c>
      <c r="S1015" s="14" t="s">
        <v>277</v>
      </c>
    </row>
    <row r="1016">
      <c r="A1016" s="13">
        <v>45901.0</v>
      </c>
      <c r="B1016" s="14" t="s">
        <v>47</v>
      </c>
      <c r="C1016" s="14" t="s">
        <v>48</v>
      </c>
      <c r="D1016" s="14" t="s">
        <v>82</v>
      </c>
      <c r="E1016" s="14" t="s">
        <v>83</v>
      </c>
      <c r="F1016" s="15" t="s">
        <v>51</v>
      </c>
      <c r="G1016" s="14" t="s">
        <v>84</v>
      </c>
      <c r="H1016" s="14" t="s">
        <v>82</v>
      </c>
      <c r="I1016" s="14" t="s">
        <v>59</v>
      </c>
      <c r="J1016" s="14" t="s">
        <v>200</v>
      </c>
      <c r="K1016" s="14" t="s">
        <v>213</v>
      </c>
      <c r="L1016" s="14" t="s">
        <v>253</v>
      </c>
      <c r="M1016" s="14" t="s">
        <v>366</v>
      </c>
      <c r="N1016" s="14" t="s">
        <v>367</v>
      </c>
      <c r="O1016" s="14">
        <v>63.0</v>
      </c>
      <c r="P1016" s="23">
        <v>0.6364</v>
      </c>
      <c r="Q1016" s="22" t="str">
        <f>"+1.82%"</f>
        <v>+1.82%</v>
      </c>
      <c r="R1016" s="18" t="str">
        <f>"-12.73%"</f>
        <v>-12.73%</v>
      </c>
      <c r="S1016" s="14" t="s">
        <v>1240</v>
      </c>
    </row>
    <row r="1017">
      <c r="A1017" s="13">
        <v>45901.0</v>
      </c>
      <c r="B1017" s="14" t="s">
        <v>47</v>
      </c>
      <c r="C1017" s="14" t="s">
        <v>48</v>
      </c>
      <c r="D1017" s="14" t="s">
        <v>132</v>
      </c>
      <c r="E1017" s="14" t="s">
        <v>133</v>
      </c>
      <c r="F1017" s="15" t="s">
        <v>51</v>
      </c>
      <c r="G1017" s="14" t="s">
        <v>134</v>
      </c>
      <c r="H1017" s="14" t="s">
        <v>135</v>
      </c>
      <c r="I1017" s="14" t="s">
        <v>59</v>
      </c>
      <c r="J1017" s="14" t="s">
        <v>200</v>
      </c>
      <c r="K1017" s="14" t="s">
        <v>213</v>
      </c>
      <c r="L1017" s="14" t="s">
        <v>257</v>
      </c>
      <c r="M1017" s="14" t="s">
        <v>622</v>
      </c>
      <c r="N1017" s="14" t="s">
        <v>623</v>
      </c>
      <c r="O1017" s="14">
        <v>6.0</v>
      </c>
      <c r="P1017" s="23">
        <v>-0.8665</v>
      </c>
      <c r="Q1017" s="22" t="str">
        <f>"+7.03%"</f>
        <v>+7.03%</v>
      </c>
      <c r="R1017" s="18" t="str">
        <f>"+0.32%"</f>
        <v>+0.32%</v>
      </c>
      <c r="S1017" s="14" t="s">
        <v>1241</v>
      </c>
    </row>
    <row r="1018">
      <c r="A1018" s="13">
        <v>45901.0</v>
      </c>
      <c r="B1018" s="14" t="s">
        <v>47</v>
      </c>
      <c r="C1018" s="14" t="s">
        <v>48</v>
      </c>
      <c r="D1018" s="14" t="s">
        <v>99</v>
      </c>
      <c r="E1018" s="14" t="s">
        <v>100</v>
      </c>
      <c r="F1018" s="15" t="s">
        <v>51</v>
      </c>
      <c r="G1018" s="14" t="s">
        <v>101</v>
      </c>
      <c r="H1018" s="14" t="s">
        <v>102</v>
      </c>
      <c r="I1018" s="14" t="s">
        <v>54</v>
      </c>
      <c r="J1018" s="14" t="s">
        <v>200</v>
      </c>
      <c r="K1018" s="14" t="s">
        <v>213</v>
      </c>
      <c r="L1018" s="14" t="s">
        <v>253</v>
      </c>
      <c r="M1018" s="14" t="s">
        <v>389</v>
      </c>
      <c r="N1018" s="14" t="s">
        <v>390</v>
      </c>
      <c r="O1018" s="14">
        <v>76.0</v>
      </c>
      <c r="P1018" s="23">
        <v>0.7692</v>
      </c>
      <c r="Q1018" s="22" t="str">
        <f>"+0.00%"</f>
        <v>+0.00%</v>
      </c>
      <c r="R1018" s="18" t="str">
        <f>"+7.69%"</f>
        <v>+7.69%</v>
      </c>
      <c r="S1018" s="14" t="s">
        <v>1242</v>
      </c>
    </row>
    <row r="1019">
      <c r="A1019" s="13">
        <v>45901.0</v>
      </c>
      <c r="B1019" s="14" t="s">
        <v>47</v>
      </c>
      <c r="C1019" s="14" t="s">
        <v>48</v>
      </c>
      <c r="D1019" s="14" t="s">
        <v>66</v>
      </c>
      <c r="E1019" s="14" t="s">
        <v>67</v>
      </c>
      <c r="F1019" s="15" t="s">
        <v>51</v>
      </c>
      <c r="G1019" s="14" t="s">
        <v>68</v>
      </c>
      <c r="H1019" s="14" t="s">
        <v>66</v>
      </c>
      <c r="I1019" s="14" t="s">
        <v>59</v>
      </c>
      <c r="J1019" s="14" t="s">
        <v>198</v>
      </c>
      <c r="K1019" s="14" t="s">
        <v>205</v>
      </c>
      <c r="L1019" s="14" t="s">
        <v>274</v>
      </c>
      <c r="M1019" s="14" t="s">
        <v>473</v>
      </c>
      <c r="N1019" s="14" t="s">
        <v>474</v>
      </c>
      <c r="O1019" s="14">
        <v>50.0</v>
      </c>
      <c r="P1019" s="21">
        <v>15.0</v>
      </c>
      <c r="Q1019" s="22" t="str">
        <f>"+0"</f>
        <v>+0</v>
      </c>
      <c r="S1019" s="14" t="s">
        <v>475</v>
      </c>
    </row>
    <row r="1020">
      <c r="A1020" s="13">
        <v>45901.0</v>
      </c>
      <c r="B1020" s="14" t="s">
        <v>47</v>
      </c>
      <c r="C1020" s="14" t="s">
        <v>48</v>
      </c>
      <c r="D1020" s="14" t="s">
        <v>192</v>
      </c>
      <c r="E1020" s="14" t="s">
        <v>193</v>
      </c>
      <c r="F1020" s="15" t="s">
        <v>51</v>
      </c>
      <c r="G1020" s="14" t="s">
        <v>194</v>
      </c>
      <c r="H1020" s="14" t="s">
        <v>192</v>
      </c>
      <c r="I1020" s="14" t="s">
        <v>54</v>
      </c>
      <c r="J1020" s="14" t="s">
        <v>198</v>
      </c>
      <c r="K1020" s="14" t="s">
        <v>210</v>
      </c>
      <c r="L1020" s="14" t="s">
        <v>278</v>
      </c>
      <c r="M1020" s="14" t="s">
        <v>839</v>
      </c>
      <c r="N1020" s="14" t="s">
        <v>840</v>
      </c>
      <c r="O1020" s="14">
        <v>3.0</v>
      </c>
      <c r="P1020" s="21">
        <v>2586.0</v>
      </c>
      <c r="Q1020" s="22" t="str">
        <f>"+233"</f>
        <v>+233</v>
      </c>
      <c r="R1020" s="18" t="str">
        <f>"+174"</f>
        <v>+174</v>
      </c>
      <c r="S1020" s="14" t="s">
        <v>1243</v>
      </c>
    </row>
    <row r="1021">
      <c r="A1021" s="13">
        <v>45901.0</v>
      </c>
      <c r="B1021" s="14" t="s">
        <v>47</v>
      </c>
      <c r="C1021" s="14" t="s">
        <v>48</v>
      </c>
      <c r="D1021" s="14" t="s">
        <v>192</v>
      </c>
      <c r="E1021" s="14" t="s">
        <v>193</v>
      </c>
      <c r="F1021" s="15" t="s">
        <v>51</v>
      </c>
      <c r="G1021" s="14" t="s">
        <v>194</v>
      </c>
      <c r="H1021" s="14" t="s">
        <v>192</v>
      </c>
      <c r="I1021" s="14" t="s">
        <v>54</v>
      </c>
      <c r="J1021" s="14" t="s">
        <v>198</v>
      </c>
      <c r="K1021" s="14" t="s">
        <v>212</v>
      </c>
      <c r="L1021" s="14" t="s">
        <v>249</v>
      </c>
      <c r="M1021" s="14" t="s">
        <v>1149</v>
      </c>
      <c r="N1021" s="14" t="s">
        <v>1150</v>
      </c>
      <c r="O1021" s="14">
        <v>0.0</v>
      </c>
      <c r="P1021" s="21">
        <v>0.0</v>
      </c>
      <c r="Q1021" s="22" t="str">
        <f t="shared" ref="Q1021:R1021" si="611">"+0"</f>
        <v>+0</v>
      </c>
      <c r="R1021" s="18" t="str">
        <f t="shared" si="611"/>
        <v>+0</v>
      </c>
      <c r="S1021" s="14" t="s">
        <v>277</v>
      </c>
    </row>
    <row r="1022">
      <c r="A1022" s="13">
        <v>45901.0</v>
      </c>
      <c r="B1022" s="14" t="s">
        <v>47</v>
      </c>
      <c r="C1022" s="14" t="s">
        <v>48</v>
      </c>
      <c r="D1022" s="14" t="s">
        <v>82</v>
      </c>
      <c r="E1022" s="14" t="s">
        <v>83</v>
      </c>
      <c r="F1022" s="15" t="s">
        <v>51</v>
      </c>
      <c r="G1022" s="14" t="s">
        <v>84</v>
      </c>
      <c r="H1022" s="14" t="s">
        <v>82</v>
      </c>
      <c r="I1022" s="14" t="s">
        <v>59</v>
      </c>
      <c r="J1022" s="14" t="s">
        <v>200</v>
      </c>
      <c r="K1022" s="14" t="s">
        <v>213</v>
      </c>
      <c r="L1022" s="14" t="s">
        <v>676</v>
      </c>
      <c r="M1022" s="14" t="s">
        <v>858</v>
      </c>
      <c r="N1022" s="14" t="s">
        <v>859</v>
      </c>
      <c r="O1022" s="14">
        <v>0.0</v>
      </c>
      <c r="P1022" s="23">
        <v>-1.0</v>
      </c>
      <c r="Q1022" s="22" t="str">
        <f t="shared" ref="Q1022:R1022" si="612">"+0.00%"</f>
        <v>+0.00%</v>
      </c>
      <c r="R1022" s="18" t="str">
        <f t="shared" si="612"/>
        <v>+0.00%</v>
      </c>
      <c r="S1022" s="14" t="s">
        <v>1244</v>
      </c>
    </row>
    <row r="1023">
      <c r="A1023" s="13">
        <v>45901.0</v>
      </c>
      <c r="B1023" s="14" t="s">
        <v>47</v>
      </c>
      <c r="C1023" s="14" t="s">
        <v>48</v>
      </c>
      <c r="D1023" s="14" t="s">
        <v>66</v>
      </c>
      <c r="E1023" s="14" t="s">
        <v>67</v>
      </c>
      <c r="F1023" s="15" t="s">
        <v>51</v>
      </c>
      <c r="G1023" s="14" t="s">
        <v>68</v>
      </c>
      <c r="H1023" s="14" t="s">
        <v>66</v>
      </c>
      <c r="I1023" s="14" t="s">
        <v>59</v>
      </c>
      <c r="J1023" s="14" t="s">
        <v>200</v>
      </c>
      <c r="K1023" s="14" t="s">
        <v>223</v>
      </c>
      <c r="L1023" s="14" t="s">
        <v>422</v>
      </c>
      <c r="M1023" s="14" t="s">
        <v>423</v>
      </c>
      <c r="N1023" s="14" t="s">
        <v>424</v>
      </c>
      <c r="O1023" s="14">
        <v>100.0</v>
      </c>
      <c r="P1023" s="21">
        <v>11.0</v>
      </c>
      <c r="Q1023" s="22" t="str">
        <f t="shared" ref="Q1023:R1023" si="613">"+0"</f>
        <v>+0</v>
      </c>
      <c r="R1023" s="18" t="str">
        <f t="shared" si="613"/>
        <v>+0</v>
      </c>
      <c r="S1023" s="14" t="s">
        <v>260</v>
      </c>
    </row>
    <row r="1024">
      <c r="A1024" s="13">
        <v>45901.0</v>
      </c>
      <c r="B1024" s="14" t="s">
        <v>47</v>
      </c>
      <c r="C1024" s="14" t="s">
        <v>48</v>
      </c>
      <c r="D1024" s="14" t="s">
        <v>132</v>
      </c>
      <c r="E1024" s="14" t="s">
        <v>133</v>
      </c>
      <c r="F1024" s="15" t="s">
        <v>51</v>
      </c>
      <c r="G1024" s="14" t="s">
        <v>134</v>
      </c>
      <c r="H1024" s="14" t="s">
        <v>135</v>
      </c>
      <c r="I1024" s="14" t="s">
        <v>59</v>
      </c>
      <c r="J1024" s="14" t="s">
        <v>198</v>
      </c>
      <c r="K1024" s="14" t="s">
        <v>205</v>
      </c>
      <c r="L1024" s="14" t="s">
        <v>274</v>
      </c>
      <c r="M1024" s="14" t="s">
        <v>482</v>
      </c>
      <c r="N1024" s="14" t="s">
        <v>483</v>
      </c>
      <c r="O1024" s="14">
        <v>100.0</v>
      </c>
      <c r="P1024" s="21">
        <v>8.0</v>
      </c>
      <c r="Q1024" s="22" t="str">
        <f t="shared" ref="Q1024:Q1027" si="614">"+0"</f>
        <v>+0</v>
      </c>
      <c r="S1024" s="14" t="s">
        <v>484</v>
      </c>
    </row>
    <row r="1025">
      <c r="A1025" s="13">
        <v>45901.0</v>
      </c>
      <c r="B1025" s="14" t="s">
        <v>47</v>
      </c>
      <c r="C1025" s="14" t="s">
        <v>48</v>
      </c>
      <c r="D1025" s="14" t="s">
        <v>132</v>
      </c>
      <c r="E1025" s="14" t="s">
        <v>133</v>
      </c>
      <c r="F1025" s="15" t="s">
        <v>51</v>
      </c>
      <c r="G1025" s="14" t="s">
        <v>134</v>
      </c>
      <c r="H1025" s="14" t="s">
        <v>135</v>
      </c>
      <c r="I1025" s="14" t="s">
        <v>59</v>
      </c>
      <c r="J1025" s="14" t="s">
        <v>199</v>
      </c>
      <c r="K1025" s="14" t="s">
        <v>203</v>
      </c>
      <c r="L1025" s="14" t="s">
        <v>340</v>
      </c>
      <c r="M1025" s="14" t="s">
        <v>340</v>
      </c>
      <c r="N1025" s="14" t="s">
        <v>341</v>
      </c>
      <c r="O1025" s="14">
        <v>0.0</v>
      </c>
      <c r="P1025" s="21">
        <v>0.0</v>
      </c>
      <c r="Q1025" s="22" t="str">
        <f t="shared" si="614"/>
        <v>+0</v>
      </c>
      <c r="R1025" s="18" t="str">
        <f t="shared" ref="R1025:R1028" si="615">"+0"</f>
        <v>+0</v>
      </c>
      <c r="S1025" s="14" t="s">
        <v>260</v>
      </c>
    </row>
    <row r="1026">
      <c r="A1026" s="13">
        <v>45901.0</v>
      </c>
      <c r="B1026" s="14" t="s">
        <v>47</v>
      </c>
      <c r="C1026" s="14" t="s">
        <v>48</v>
      </c>
      <c r="D1026" s="14" t="s">
        <v>103</v>
      </c>
      <c r="E1026" s="14" t="s">
        <v>104</v>
      </c>
      <c r="F1026" s="15" t="s">
        <v>51</v>
      </c>
      <c r="G1026" s="14" t="s">
        <v>105</v>
      </c>
      <c r="H1026" s="14" t="s">
        <v>106</v>
      </c>
      <c r="I1026" s="14" t="s">
        <v>59</v>
      </c>
      <c r="J1026" s="14" t="s">
        <v>199</v>
      </c>
      <c r="K1026" s="14" t="s">
        <v>203</v>
      </c>
      <c r="L1026" s="14" t="s">
        <v>342</v>
      </c>
      <c r="M1026" s="14" t="s">
        <v>342</v>
      </c>
      <c r="N1026" s="14" t="s">
        <v>343</v>
      </c>
      <c r="O1026" s="14">
        <v>0.0</v>
      </c>
      <c r="P1026" s="21">
        <v>0.0</v>
      </c>
      <c r="Q1026" s="22" t="str">
        <f t="shared" si="614"/>
        <v>+0</v>
      </c>
      <c r="R1026" s="18" t="str">
        <f t="shared" si="615"/>
        <v>+0</v>
      </c>
      <c r="S1026" s="14" t="s">
        <v>260</v>
      </c>
    </row>
    <row r="1027">
      <c r="A1027" s="13">
        <v>45901.0</v>
      </c>
      <c r="B1027" s="14" t="s">
        <v>47</v>
      </c>
      <c r="C1027" s="14" t="s">
        <v>48</v>
      </c>
      <c r="D1027" s="14" t="s">
        <v>136</v>
      </c>
      <c r="E1027" s="14" t="s">
        <v>137</v>
      </c>
      <c r="F1027" s="15" t="s">
        <v>51</v>
      </c>
      <c r="G1027" s="14" t="s">
        <v>138</v>
      </c>
      <c r="H1027" s="14" t="s">
        <v>139</v>
      </c>
      <c r="I1027" s="14" t="s">
        <v>59</v>
      </c>
      <c r="J1027" s="14" t="s">
        <v>200</v>
      </c>
      <c r="K1027" s="14" t="s">
        <v>222</v>
      </c>
      <c r="L1027" s="14" t="s">
        <v>337</v>
      </c>
      <c r="M1027" s="14" t="s">
        <v>1000</v>
      </c>
      <c r="N1027" s="14" t="s">
        <v>1001</v>
      </c>
      <c r="O1027" s="14">
        <v>0.0</v>
      </c>
      <c r="P1027" s="21">
        <v>0.0</v>
      </c>
      <c r="Q1027" s="22" t="str">
        <f t="shared" si="614"/>
        <v>+0</v>
      </c>
      <c r="R1027" s="18" t="str">
        <f t="shared" si="615"/>
        <v>+0</v>
      </c>
      <c r="S1027" s="14" t="s">
        <v>260</v>
      </c>
    </row>
    <row r="1028">
      <c r="A1028" s="13">
        <v>45901.0</v>
      </c>
      <c r="B1028" s="14" t="s">
        <v>47</v>
      </c>
      <c r="C1028" s="14" t="s">
        <v>48</v>
      </c>
      <c r="D1028" s="14" t="s">
        <v>69</v>
      </c>
      <c r="E1028" s="14" t="s">
        <v>70</v>
      </c>
      <c r="F1028" s="15" t="s">
        <v>51</v>
      </c>
      <c r="G1028" s="14" t="s">
        <v>115</v>
      </c>
      <c r="H1028" s="14" t="s">
        <v>72</v>
      </c>
      <c r="I1028" s="14" t="s">
        <v>54</v>
      </c>
      <c r="J1028" s="14" t="s">
        <v>200</v>
      </c>
      <c r="K1028" s="14" t="s">
        <v>227</v>
      </c>
      <c r="L1028" s="14" t="s">
        <v>270</v>
      </c>
      <c r="M1028" s="14" t="s">
        <v>400</v>
      </c>
      <c r="N1028" s="14" t="s">
        <v>401</v>
      </c>
      <c r="O1028" s="14">
        <v>45.0</v>
      </c>
      <c r="P1028" s="21">
        <v>11.0</v>
      </c>
      <c r="Q1028" s="22" t="str">
        <f>"+2"</f>
        <v>+2</v>
      </c>
      <c r="R1028" s="18" t="str">
        <f t="shared" si="615"/>
        <v>+0</v>
      </c>
      <c r="S1028" s="14" t="s">
        <v>260</v>
      </c>
    </row>
    <row r="1029">
      <c r="A1029" s="13">
        <v>45901.0</v>
      </c>
      <c r="B1029" s="14" t="s">
        <v>47</v>
      </c>
      <c r="C1029" s="14" t="s">
        <v>48</v>
      </c>
      <c r="D1029" s="14" t="s">
        <v>96</v>
      </c>
      <c r="E1029" s="14" t="s">
        <v>97</v>
      </c>
      <c r="F1029" s="15" t="s">
        <v>51</v>
      </c>
      <c r="G1029" s="14" t="s">
        <v>98</v>
      </c>
      <c r="H1029" s="14" t="s">
        <v>96</v>
      </c>
      <c r="I1029" s="14" t="s">
        <v>59</v>
      </c>
      <c r="J1029" s="14" t="s">
        <v>199</v>
      </c>
      <c r="K1029" s="14" t="s">
        <v>206</v>
      </c>
      <c r="L1029" s="14" t="s">
        <v>531</v>
      </c>
      <c r="M1029" s="14" t="s">
        <v>531</v>
      </c>
      <c r="N1029" s="14" t="s">
        <v>532</v>
      </c>
      <c r="O1029" s="14">
        <v>0.0</v>
      </c>
      <c r="P1029" s="21">
        <v>0.0</v>
      </c>
      <c r="Q1029" s="22" t="str">
        <f t="shared" ref="Q1029:R1029" si="616">"+0"</f>
        <v>+0</v>
      </c>
      <c r="R1029" s="18" t="str">
        <f t="shared" si="616"/>
        <v>+0</v>
      </c>
      <c r="S1029" s="14" t="s">
        <v>260</v>
      </c>
    </row>
    <row r="1030">
      <c r="A1030" s="13">
        <v>45901.0</v>
      </c>
      <c r="B1030" s="14" t="s">
        <v>47</v>
      </c>
      <c r="C1030" s="14" t="s">
        <v>48</v>
      </c>
      <c r="D1030" s="14" t="s">
        <v>96</v>
      </c>
      <c r="E1030" s="14" t="s">
        <v>97</v>
      </c>
      <c r="F1030" s="15" t="s">
        <v>51</v>
      </c>
      <c r="G1030" s="14" t="s">
        <v>98</v>
      </c>
      <c r="H1030" s="14" t="s">
        <v>96</v>
      </c>
      <c r="I1030" s="14" t="s">
        <v>59</v>
      </c>
      <c r="J1030" s="14" t="s">
        <v>200</v>
      </c>
      <c r="K1030" s="14" t="s">
        <v>223</v>
      </c>
      <c r="L1030" s="14" t="s">
        <v>253</v>
      </c>
      <c r="M1030" s="14" t="s">
        <v>366</v>
      </c>
      <c r="N1030" s="14" t="s">
        <v>367</v>
      </c>
      <c r="O1030" s="14">
        <v>15.0</v>
      </c>
      <c r="P1030" s="23">
        <v>0.1524</v>
      </c>
      <c r="Q1030" s="22" t="str">
        <f>"-7.62%"</f>
        <v>-7.62%</v>
      </c>
      <c r="R1030" s="18" t="str">
        <f>"-20.00%"</f>
        <v>-20.00%</v>
      </c>
      <c r="S1030" s="14" t="s">
        <v>1245</v>
      </c>
    </row>
    <row r="1031">
      <c r="A1031" s="13">
        <v>45901.0</v>
      </c>
      <c r="B1031" s="14" t="s">
        <v>47</v>
      </c>
      <c r="C1031" s="14" t="s">
        <v>48</v>
      </c>
      <c r="D1031" s="14" t="s">
        <v>69</v>
      </c>
      <c r="E1031" s="14" t="s">
        <v>70</v>
      </c>
      <c r="F1031" s="15" t="s">
        <v>51</v>
      </c>
      <c r="G1031" s="14" t="s">
        <v>115</v>
      </c>
      <c r="H1031" s="14" t="s">
        <v>72</v>
      </c>
      <c r="I1031" s="14" t="s">
        <v>54</v>
      </c>
      <c r="J1031" s="14" t="s">
        <v>200</v>
      </c>
      <c r="K1031" s="14" t="s">
        <v>224</v>
      </c>
      <c r="L1031" s="14" t="s">
        <v>392</v>
      </c>
      <c r="M1031" s="14" t="s">
        <v>826</v>
      </c>
      <c r="N1031" s="14" t="s">
        <v>827</v>
      </c>
      <c r="O1031" s="14">
        <v>0.0</v>
      </c>
      <c r="P1031" s="23">
        <v>0.0</v>
      </c>
      <c r="Q1031" s="22" t="str">
        <f t="shared" ref="Q1031:R1031" si="617">"+0.00%"</f>
        <v>+0.00%</v>
      </c>
      <c r="R1031" s="18" t="str">
        <f t="shared" si="617"/>
        <v>+0.00%</v>
      </c>
      <c r="S1031" s="14" t="s">
        <v>1246</v>
      </c>
    </row>
    <row r="1032">
      <c r="A1032" s="13">
        <v>45901.0</v>
      </c>
      <c r="B1032" s="14" t="s">
        <v>47</v>
      </c>
      <c r="C1032" s="14" t="s">
        <v>48</v>
      </c>
      <c r="D1032" s="14" t="s">
        <v>85</v>
      </c>
      <c r="E1032" s="14" t="s">
        <v>86</v>
      </c>
      <c r="F1032" s="15" t="s">
        <v>51</v>
      </c>
      <c r="G1032" s="14" t="s">
        <v>148</v>
      </c>
      <c r="H1032" s="14" t="s">
        <v>85</v>
      </c>
      <c r="I1032" s="14" t="s">
        <v>59</v>
      </c>
      <c r="J1032" s="14" t="s">
        <v>200</v>
      </c>
      <c r="K1032" s="14" t="s">
        <v>213</v>
      </c>
      <c r="L1032" s="14" t="s">
        <v>676</v>
      </c>
      <c r="M1032" s="14" t="s">
        <v>858</v>
      </c>
      <c r="N1032" s="14" t="s">
        <v>859</v>
      </c>
      <c r="O1032" s="14">
        <v>100.0</v>
      </c>
      <c r="P1032" s="23">
        <v>1.0</v>
      </c>
      <c r="Q1032" s="22" t="str">
        <f t="shared" ref="Q1032:Q1033" si="618">"+0.00%"</f>
        <v>+0.00%</v>
      </c>
      <c r="R1032" s="18" t="str">
        <f>"+200.00%"</f>
        <v>+200.00%</v>
      </c>
      <c r="S1032" s="14" t="s">
        <v>1038</v>
      </c>
    </row>
    <row r="1033">
      <c r="A1033" s="13">
        <v>45901.0</v>
      </c>
      <c r="B1033" s="14" t="s">
        <v>47</v>
      </c>
      <c r="C1033" s="14" t="s">
        <v>48</v>
      </c>
      <c r="D1033" s="14" t="s">
        <v>77</v>
      </c>
      <c r="E1033" s="14" t="s">
        <v>78</v>
      </c>
      <c r="F1033" s="15" t="s">
        <v>51</v>
      </c>
      <c r="G1033" s="14" t="s">
        <v>128</v>
      </c>
      <c r="H1033" s="14" t="s">
        <v>81</v>
      </c>
      <c r="I1033" s="14" t="s">
        <v>59</v>
      </c>
      <c r="J1033" s="14" t="s">
        <v>200</v>
      </c>
      <c r="K1033" s="14" t="s">
        <v>211</v>
      </c>
      <c r="L1033" s="14" t="s">
        <v>253</v>
      </c>
      <c r="M1033" s="14" t="s">
        <v>1247</v>
      </c>
      <c r="N1033" s="14" t="s">
        <v>1248</v>
      </c>
      <c r="O1033" s="14">
        <v>0.0</v>
      </c>
      <c r="P1033" s="23">
        <v>0.0</v>
      </c>
      <c r="Q1033" s="22" t="str">
        <f t="shared" si="618"/>
        <v>+0.00%</v>
      </c>
      <c r="R1033" s="18" t="str">
        <f>"+0.00%"</f>
        <v>+0.00%</v>
      </c>
      <c r="S1033" s="14" t="s">
        <v>1249</v>
      </c>
    </row>
    <row r="1034">
      <c r="A1034" s="13">
        <v>45901.0</v>
      </c>
      <c r="B1034" s="14" t="s">
        <v>47</v>
      </c>
      <c r="C1034" s="14" t="s">
        <v>48</v>
      </c>
      <c r="D1034" s="14" t="s">
        <v>108</v>
      </c>
      <c r="E1034" s="14" t="s">
        <v>109</v>
      </c>
      <c r="F1034" s="15" t="s">
        <v>51</v>
      </c>
      <c r="G1034" s="14" t="s">
        <v>110</v>
      </c>
      <c r="H1034" s="14" t="s">
        <v>108</v>
      </c>
      <c r="I1034" s="14" t="s">
        <v>59</v>
      </c>
      <c r="J1034" s="14" t="s">
        <v>200</v>
      </c>
      <c r="K1034" s="14" t="s">
        <v>213</v>
      </c>
      <c r="L1034" s="14" t="s">
        <v>359</v>
      </c>
      <c r="M1034" s="14" t="s">
        <v>519</v>
      </c>
      <c r="N1034" s="14" t="s">
        <v>520</v>
      </c>
      <c r="O1034" s="14">
        <v>0.0</v>
      </c>
      <c r="P1034" s="21">
        <v>0.0</v>
      </c>
      <c r="Q1034" s="22" t="str">
        <f>"+0"</f>
        <v>+0</v>
      </c>
      <c r="S1034" s="14" t="s">
        <v>260</v>
      </c>
    </row>
    <row r="1035">
      <c r="A1035" s="13">
        <v>45901.0</v>
      </c>
      <c r="B1035" s="14" t="s">
        <v>47</v>
      </c>
      <c r="C1035" s="14" t="s">
        <v>48</v>
      </c>
      <c r="D1035" s="14" t="s">
        <v>174</v>
      </c>
      <c r="E1035" s="14" t="s">
        <v>175</v>
      </c>
      <c r="F1035" s="15" t="s">
        <v>51</v>
      </c>
      <c r="G1035" s="14" t="s">
        <v>176</v>
      </c>
      <c r="H1035" s="14" t="s">
        <v>174</v>
      </c>
      <c r="I1035" s="14" t="s">
        <v>59</v>
      </c>
      <c r="J1035" s="14" t="s">
        <v>200</v>
      </c>
      <c r="K1035" s="14" t="s">
        <v>213</v>
      </c>
      <c r="L1035" s="14" t="s">
        <v>289</v>
      </c>
      <c r="M1035" s="14" t="s">
        <v>290</v>
      </c>
      <c r="N1035" s="14" t="s">
        <v>291</v>
      </c>
      <c r="O1035" s="14">
        <v>0.0</v>
      </c>
      <c r="P1035" s="23">
        <v>0.0</v>
      </c>
      <c r="Q1035" s="22" t="str">
        <f t="shared" ref="Q1035:R1035" si="619">"+0.00%"</f>
        <v>+0.00%</v>
      </c>
      <c r="R1035" s="18" t="str">
        <f t="shared" si="619"/>
        <v>+0.00%</v>
      </c>
      <c r="S1035" s="14" t="s">
        <v>285</v>
      </c>
    </row>
    <row r="1036">
      <c r="A1036" s="13">
        <v>45901.0</v>
      </c>
      <c r="B1036" s="14" t="s">
        <v>47</v>
      </c>
      <c r="C1036" s="14" t="s">
        <v>48</v>
      </c>
      <c r="D1036" s="14" t="s">
        <v>108</v>
      </c>
      <c r="E1036" s="14" t="s">
        <v>109</v>
      </c>
      <c r="F1036" s="14" t="s">
        <v>79</v>
      </c>
      <c r="G1036" s="14" t="s">
        <v>153</v>
      </c>
      <c r="H1036" s="14" t="s">
        <v>108</v>
      </c>
      <c r="I1036" s="14" t="s">
        <v>154</v>
      </c>
      <c r="J1036" s="14" t="s">
        <v>198</v>
      </c>
      <c r="K1036" s="14" t="s">
        <v>212</v>
      </c>
      <c r="L1036" s="14" t="s">
        <v>249</v>
      </c>
      <c r="M1036" s="14" t="s">
        <v>1134</v>
      </c>
      <c r="N1036" s="14" t="s">
        <v>1135</v>
      </c>
      <c r="O1036" s="14">
        <v>100.0</v>
      </c>
      <c r="P1036" s="21">
        <v>0.0</v>
      </c>
      <c r="Q1036" s="22" t="str">
        <f>"+0"</f>
        <v>+0</v>
      </c>
      <c r="S1036" s="14" t="s">
        <v>281</v>
      </c>
    </row>
    <row r="1037">
      <c r="A1037" s="13">
        <v>45901.0</v>
      </c>
      <c r="B1037" s="14" t="s">
        <v>47</v>
      </c>
      <c r="C1037" s="14" t="s">
        <v>48</v>
      </c>
      <c r="D1037" s="14" t="s">
        <v>108</v>
      </c>
      <c r="E1037" s="14" t="s">
        <v>109</v>
      </c>
      <c r="F1037" s="15" t="s">
        <v>51</v>
      </c>
      <c r="G1037" s="14" t="s">
        <v>110</v>
      </c>
      <c r="H1037" s="14" t="s">
        <v>108</v>
      </c>
      <c r="I1037" s="14" t="s">
        <v>59</v>
      </c>
      <c r="J1037" s="14" t="s">
        <v>200</v>
      </c>
      <c r="K1037" s="14" t="s">
        <v>215</v>
      </c>
      <c r="L1037" s="14" t="s">
        <v>548</v>
      </c>
      <c r="M1037" s="14" t="s">
        <v>1250</v>
      </c>
      <c r="N1037" s="14" t="s">
        <v>1251</v>
      </c>
      <c r="O1037" s="14">
        <v>0.0</v>
      </c>
      <c r="P1037" s="23">
        <v>-1.0</v>
      </c>
      <c r="Q1037" s="22" t="str">
        <f t="shared" ref="Q1037:R1037" si="620">"+0.00%"</f>
        <v>+0.00%</v>
      </c>
      <c r="R1037" s="18" t="str">
        <f t="shared" si="620"/>
        <v>+0.00%</v>
      </c>
      <c r="S1037" s="14" t="s">
        <v>336</v>
      </c>
    </row>
    <row r="1038">
      <c r="A1038" s="13">
        <v>45901.0</v>
      </c>
      <c r="B1038" s="14" t="s">
        <v>47</v>
      </c>
      <c r="C1038" s="14" t="s">
        <v>48</v>
      </c>
      <c r="D1038" s="14" t="s">
        <v>77</v>
      </c>
      <c r="E1038" s="14" t="s">
        <v>78</v>
      </c>
      <c r="F1038" s="15" t="s">
        <v>51</v>
      </c>
      <c r="G1038" s="14" t="s">
        <v>128</v>
      </c>
      <c r="H1038" s="14" t="s">
        <v>81</v>
      </c>
      <c r="I1038" s="14" t="s">
        <v>59</v>
      </c>
      <c r="J1038" s="14" t="s">
        <v>200</v>
      </c>
      <c r="K1038" s="14" t="s">
        <v>223</v>
      </c>
      <c r="L1038" s="14" t="s">
        <v>261</v>
      </c>
      <c r="M1038" s="14" t="s">
        <v>808</v>
      </c>
      <c r="N1038" s="14" t="s">
        <v>809</v>
      </c>
      <c r="O1038" s="14">
        <v>0.0</v>
      </c>
      <c r="P1038" s="23">
        <v>0.0</v>
      </c>
      <c r="Q1038" s="22" t="str">
        <f t="shared" ref="Q1038:R1038" si="621">"+0.00%"</f>
        <v>+0.00%</v>
      </c>
      <c r="R1038" s="18" t="str">
        <f t="shared" si="621"/>
        <v>+0.00%</v>
      </c>
      <c r="S1038" s="14" t="s">
        <v>1252</v>
      </c>
    </row>
    <row r="1039">
      <c r="A1039" s="13">
        <v>45901.0</v>
      </c>
      <c r="B1039" s="14" t="s">
        <v>47</v>
      </c>
      <c r="C1039" s="14" t="s">
        <v>48</v>
      </c>
      <c r="D1039" s="14" t="s">
        <v>121</v>
      </c>
      <c r="E1039" s="14" t="s">
        <v>122</v>
      </c>
      <c r="F1039" s="15" t="s">
        <v>51</v>
      </c>
      <c r="G1039" s="14" t="s">
        <v>123</v>
      </c>
      <c r="H1039" s="14" t="s">
        <v>124</v>
      </c>
      <c r="I1039" s="14" t="s">
        <v>59</v>
      </c>
      <c r="J1039" s="14" t="s">
        <v>199</v>
      </c>
      <c r="K1039" s="14" t="s">
        <v>203</v>
      </c>
      <c r="L1039" s="14" t="s">
        <v>340</v>
      </c>
      <c r="M1039" s="14" t="s">
        <v>340</v>
      </c>
      <c r="N1039" s="14" t="s">
        <v>341</v>
      </c>
      <c r="O1039" s="14">
        <v>0.0</v>
      </c>
      <c r="P1039" s="21">
        <v>0.0</v>
      </c>
      <c r="Q1039" s="22" t="str">
        <f t="shared" ref="Q1039:R1039" si="622">"+0"</f>
        <v>+0</v>
      </c>
      <c r="R1039" s="18" t="str">
        <f t="shared" si="622"/>
        <v>+0</v>
      </c>
      <c r="S1039" s="14" t="s">
        <v>260</v>
      </c>
    </row>
    <row r="1040">
      <c r="A1040" s="13">
        <v>45901.0</v>
      </c>
      <c r="B1040" s="14" t="s">
        <v>47</v>
      </c>
      <c r="C1040" s="14" t="s">
        <v>48</v>
      </c>
      <c r="D1040" s="14" t="s">
        <v>121</v>
      </c>
      <c r="E1040" s="14" t="s">
        <v>122</v>
      </c>
      <c r="F1040" s="15" t="s">
        <v>51</v>
      </c>
      <c r="G1040" s="14" t="s">
        <v>123</v>
      </c>
      <c r="H1040" s="14" t="s">
        <v>124</v>
      </c>
      <c r="I1040" s="14" t="s">
        <v>59</v>
      </c>
      <c r="J1040" s="14" t="s">
        <v>200</v>
      </c>
      <c r="K1040" s="14" t="s">
        <v>232</v>
      </c>
      <c r="L1040" s="14" t="s">
        <v>261</v>
      </c>
      <c r="M1040" s="14" t="s">
        <v>808</v>
      </c>
      <c r="N1040" s="14" t="s">
        <v>809</v>
      </c>
      <c r="O1040" s="14">
        <v>15.0</v>
      </c>
      <c r="P1040" s="23">
        <v>0.1538</v>
      </c>
      <c r="Q1040" s="22" t="str">
        <f>"+15.38%"</f>
        <v>+15.38%</v>
      </c>
      <c r="R1040" s="18" t="str">
        <f>"+6.29%"</f>
        <v>+6.29%</v>
      </c>
      <c r="S1040" s="14" t="s">
        <v>1253</v>
      </c>
    </row>
    <row r="1041">
      <c r="A1041" s="13">
        <v>45901.0</v>
      </c>
      <c r="B1041" s="14" t="s">
        <v>47</v>
      </c>
      <c r="C1041" s="14" t="s">
        <v>48</v>
      </c>
      <c r="D1041" s="14" t="s">
        <v>140</v>
      </c>
      <c r="E1041" s="14" t="s">
        <v>141</v>
      </c>
      <c r="F1041" s="15" t="s">
        <v>51</v>
      </c>
      <c r="G1041" s="14" t="s">
        <v>142</v>
      </c>
      <c r="H1041" s="14" t="s">
        <v>140</v>
      </c>
      <c r="I1041" s="14" t="s">
        <v>59</v>
      </c>
      <c r="J1041" s="14" t="s">
        <v>200</v>
      </c>
      <c r="K1041" s="14" t="s">
        <v>213</v>
      </c>
      <c r="L1041" s="14" t="s">
        <v>257</v>
      </c>
      <c r="M1041" s="14" t="s">
        <v>622</v>
      </c>
      <c r="N1041" s="14" t="s">
        <v>623</v>
      </c>
      <c r="O1041" s="14">
        <v>56.0</v>
      </c>
      <c r="P1041" s="23">
        <v>0.1344</v>
      </c>
      <c r="Q1041" s="22" t="str">
        <f>"+40.67%"</f>
        <v>+40.67%</v>
      </c>
      <c r="R1041" s="18" t="str">
        <f>"+19.09%"</f>
        <v>+19.09%</v>
      </c>
      <c r="S1041" s="14" t="s">
        <v>1254</v>
      </c>
    </row>
    <row r="1042">
      <c r="A1042" s="13">
        <v>45901.0</v>
      </c>
      <c r="B1042" s="14" t="s">
        <v>47</v>
      </c>
      <c r="C1042" s="14" t="s">
        <v>48</v>
      </c>
      <c r="D1042" s="14" t="s">
        <v>60</v>
      </c>
      <c r="E1042" s="14" t="s">
        <v>61</v>
      </c>
      <c r="F1042" s="15" t="s">
        <v>51</v>
      </c>
      <c r="G1042" s="14" t="s">
        <v>62</v>
      </c>
      <c r="H1042" s="14" t="s">
        <v>60</v>
      </c>
      <c r="I1042" s="14" t="s">
        <v>59</v>
      </c>
      <c r="J1042" s="14" t="s">
        <v>200</v>
      </c>
      <c r="K1042" s="14" t="s">
        <v>202</v>
      </c>
      <c r="L1042" s="14" t="s">
        <v>253</v>
      </c>
      <c r="M1042" s="14" t="s">
        <v>347</v>
      </c>
      <c r="N1042" s="14" t="s">
        <v>348</v>
      </c>
      <c r="O1042" s="14">
        <v>13.0</v>
      </c>
      <c r="P1042" s="23">
        <v>0.1429</v>
      </c>
      <c r="Q1042" s="22" t="str">
        <f t="shared" ref="Q1042:R1042" si="623">"+0.00%"</f>
        <v>+0.00%</v>
      </c>
      <c r="R1042" s="18" t="str">
        <f t="shared" si="623"/>
        <v>+0.00%</v>
      </c>
      <c r="S1042" s="14" t="s">
        <v>1255</v>
      </c>
    </row>
    <row r="1043">
      <c r="A1043" s="13">
        <v>45901.0</v>
      </c>
      <c r="B1043" s="14" t="s">
        <v>47</v>
      </c>
      <c r="C1043" s="14" t="s">
        <v>48</v>
      </c>
      <c r="D1043" s="14" t="s">
        <v>168</v>
      </c>
      <c r="E1043" s="14" t="s">
        <v>169</v>
      </c>
      <c r="F1043" s="15" t="s">
        <v>51</v>
      </c>
      <c r="G1043" s="14" t="s">
        <v>170</v>
      </c>
      <c r="H1043" s="14" t="s">
        <v>168</v>
      </c>
      <c r="I1043" s="14" t="s">
        <v>59</v>
      </c>
      <c r="J1043" s="14" t="s">
        <v>200</v>
      </c>
      <c r="K1043" s="14" t="s">
        <v>213</v>
      </c>
      <c r="L1043" s="14" t="s">
        <v>440</v>
      </c>
      <c r="M1043" s="14" t="s">
        <v>441</v>
      </c>
      <c r="N1043" s="14" t="s">
        <v>442</v>
      </c>
      <c r="O1043" s="14">
        <v>0.0</v>
      </c>
      <c r="P1043" s="23">
        <v>0.0</v>
      </c>
      <c r="Q1043" s="22" t="str">
        <f t="shared" ref="Q1043:R1043" si="624">"+0.00%"</f>
        <v>+0.00%</v>
      </c>
      <c r="R1043" s="18" t="str">
        <f t="shared" si="624"/>
        <v>+0.00%</v>
      </c>
      <c r="S1043" s="14" t="s">
        <v>285</v>
      </c>
    </row>
    <row r="1044">
      <c r="A1044" s="13">
        <v>45901.0</v>
      </c>
      <c r="B1044" s="14" t="s">
        <v>47</v>
      </c>
      <c r="C1044" s="14" t="s">
        <v>48</v>
      </c>
      <c r="D1044" s="14" t="s">
        <v>140</v>
      </c>
      <c r="E1044" s="14" t="s">
        <v>141</v>
      </c>
      <c r="F1044" s="15" t="s">
        <v>51</v>
      </c>
      <c r="G1044" s="14" t="s">
        <v>142</v>
      </c>
      <c r="H1044" s="14" t="s">
        <v>140</v>
      </c>
      <c r="I1044" s="14" t="s">
        <v>59</v>
      </c>
      <c r="J1044" s="14" t="s">
        <v>200</v>
      </c>
      <c r="K1044" s="14" t="s">
        <v>227</v>
      </c>
      <c r="L1044" s="14" t="s">
        <v>270</v>
      </c>
      <c r="M1044" s="14" t="s">
        <v>321</v>
      </c>
      <c r="N1044" s="14" t="s">
        <v>322</v>
      </c>
      <c r="O1044" s="14">
        <v>52.0</v>
      </c>
      <c r="P1044" s="23">
        <v>0.0435</v>
      </c>
      <c r="Q1044" s="22" t="str">
        <f>"-4.74%"</f>
        <v>-4.74%</v>
      </c>
      <c r="R1044" s="18" t="str">
        <f>"-85.13%"</f>
        <v>-85.13%</v>
      </c>
      <c r="S1044" s="14" t="s">
        <v>323</v>
      </c>
    </row>
    <row r="1045">
      <c r="A1045" s="13">
        <v>45901.0</v>
      </c>
      <c r="B1045" s="14" t="s">
        <v>47</v>
      </c>
      <c r="C1045" s="14" t="s">
        <v>48</v>
      </c>
      <c r="D1045" s="14" t="s">
        <v>181</v>
      </c>
      <c r="E1045" s="14" t="s">
        <v>182</v>
      </c>
      <c r="F1045" s="15" t="s">
        <v>51</v>
      </c>
      <c r="G1045" s="14" t="s">
        <v>183</v>
      </c>
      <c r="H1045" s="14" t="s">
        <v>181</v>
      </c>
      <c r="I1045" s="14" t="s">
        <v>59</v>
      </c>
      <c r="J1045" s="14" t="s">
        <v>198</v>
      </c>
      <c r="K1045" s="14" t="s">
        <v>205</v>
      </c>
      <c r="L1045" s="14" t="s">
        <v>274</v>
      </c>
      <c r="M1045" s="14" t="s">
        <v>791</v>
      </c>
      <c r="N1045" s="14" t="s">
        <v>792</v>
      </c>
      <c r="O1045" s="14">
        <v>50.0</v>
      </c>
      <c r="P1045" s="21">
        <v>1.0</v>
      </c>
      <c r="Q1045" s="22" t="str">
        <f t="shared" ref="Q1045:Q1047" si="625">"+0"</f>
        <v>+0</v>
      </c>
      <c r="S1045" s="14" t="s">
        <v>260</v>
      </c>
    </row>
    <row r="1046">
      <c r="A1046" s="13">
        <v>45901.0</v>
      </c>
      <c r="B1046" s="14" t="s">
        <v>47</v>
      </c>
      <c r="C1046" s="14" t="s">
        <v>48</v>
      </c>
      <c r="D1046" s="14" t="s">
        <v>56</v>
      </c>
      <c r="E1046" s="14" t="s">
        <v>57</v>
      </c>
      <c r="F1046" s="15" t="s">
        <v>51</v>
      </c>
      <c r="G1046" s="14" t="s">
        <v>58</v>
      </c>
      <c r="H1046" s="14" t="s">
        <v>56</v>
      </c>
      <c r="I1046" s="14" t="s">
        <v>59</v>
      </c>
      <c r="J1046" s="14" t="s">
        <v>198</v>
      </c>
      <c r="K1046" s="14" t="s">
        <v>205</v>
      </c>
      <c r="L1046" s="14" t="s">
        <v>274</v>
      </c>
      <c r="M1046" s="14" t="s">
        <v>451</v>
      </c>
      <c r="N1046" s="14" t="s">
        <v>452</v>
      </c>
      <c r="O1046" s="14">
        <v>0.0</v>
      </c>
      <c r="P1046" s="21">
        <v>0.0</v>
      </c>
      <c r="Q1046" s="22" t="str">
        <f t="shared" si="625"/>
        <v>+0</v>
      </c>
      <c r="S1046" s="14" t="s">
        <v>281</v>
      </c>
    </row>
    <row r="1047">
      <c r="A1047" s="13">
        <v>45901.0</v>
      </c>
      <c r="B1047" s="14" t="s">
        <v>47</v>
      </c>
      <c r="C1047" s="14" t="s">
        <v>48</v>
      </c>
      <c r="D1047" s="14" t="s">
        <v>165</v>
      </c>
      <c r="E1047" s="14" t="s">
        <v>166</v>
      </c>
      <c r="F1047" s="15" t="s">
        <v>51</v>
      </c>
      <c r="G1047" s="14" t="s">
        <v>167</v>
      </c>
      <c r="H1047" s="14" t="s">
        <v>165</v>
      </c>
      <c r="I1047" s="14" t="s">
        <v>54</v>
      </c>
      <c r="J1047" s="14" t="s">
        <v>199</v>
      </c>
      <c r="K1047" s="14" t="s">
        <v>203</v>
      </c>
      <c r="L1047" s="14" t="s">
        <v>340</v>
      </c>
      <c r="M1047" s="14" t="s">
        <v>340</v>
      </c>
      <c r="N1047" s="14" t="s">
        <v>341</v>
      </c>
      <c r="O1047" s="14">
        <v>0.0</v>
      </c>
      <c r="P1047" s="21">
        <v>0.0</v>
      </c>
      <c r="Q1047" s="22" t="str">
        <f t="shared" si="625"/>
        <v>+0</v>
      </c>
      <c r="R1047" s="18" t="str">
        <f>"+0"</f>
        <v>+0</v>
      </c>
      <c r="S1047" s="14" t="s">
        <v>260</v>
      </c>
    </row>
    <row r="1048">
      <c r="A1048" s="13">
        <v>45901.0</v>
      </c>
      <c r="B1048" s="14" t="s">
        <v>47</v>
      </c>
      <c r="C1048" s="14" t="s">
        <v>48</v>
      </c>
      <c r="D1048" s="14" t="s">
        <v>63</v>
      </c>
      <c r="E1048" s="14" t="s">
        <v>64</v>
      </c>
      <c r="F1048" s="15" t="s">
        <v>51</v>
      </c>
      <c r="G1048" s="14" t="s">
        <v>65</v>
      </c>
      <c r="H1048" s="14" t="s">
        <v>63</v>
      </c>
      <c r="I1048" s="14" t="s">
        <v>54</v>
      </c>
      <c r="J1048" s="14" t="s">
        <v>198</v>
      </c>
      <c r="K1048" s="14" t="s">
        <v>210</v>
      </c>
      <c r="L1048" s="14" t="s">
        <v>505</v>
      </c>
      <c r="M1048" s="14" t="s">
        <v>506</v>
      </c>
      <c r="N1048" s="14" t="s">
        <v>507</v>
      </c>
      <c r="O1048" s="14">
        <v>0.0</v>
      </c>
      <c r="P1048" s="21">
        <v>384.0</v>
      </c>
      <c r="Q1048" s="22" t="str">
        <f>"+215"</f>
        <v>+215</v>
      </c>
      <c r="R1048" s="18" t="str">
        <f>"-198"</f>
        <v>-198</v>
      </c>
      <c r="S1048" s="14" t="s">
        <v>1256</v>
      </c>
    </row>
    <row r="1049">
      <c r="A1049" s="13">
        <v>45901.0</v>
      </c>
      <c r="B1049" s="14" t="s">
        <v>47</v>
      </c>
      <c r="C1049" s="14" t="s">
        <v>48</v>
      </c>
      <c r="D1049" s="14" t="s">
        <v>99</v>
      </c>
      <c r="E1049" s="14" t="s">
        <v>100</v>
      </c>
      <c r="F1049" s="15" t="s">
        <v>51</v>
      </c>
      <c r="G1049" s="14" t="s">
        <v>101</v>
      </c>
      <c r="H1049" s="14" t="s">
        <v>102</v>
      </c>
      <c r="I1049" s="14" t="s">
        <v>54</v>
      </c>
      <c r="J1049" s="14" t="s">
        <v>200</v>
      </c>
      <c r="K1049" s="14" t="s">
        <v>201</v>
      </c>
      <c r="L1049" s="14" t="s">
        <v>253</v>
      </c>
      <c r="M1049" s="14" t="s">
        <v>585</v>
      </c>
      <c r="N1049" s="14" t="s">
        <v>586</v>
      </c>
      <c r="O1049" s="14">
        <v>48.0</v>
      </c>
      <c r="P1049" s="23">
        <v>0.4818</v>
      </c>
      <c r="Q1049" s="22" t="str">
        <f>"-2.62%"</f>
        <v>-2.62%</v>
      </c>
      <c r="R1049" s="18" t="str">
        <f>"-0.94%"</f>
        <v>-0.94%</v>
      </c>
      <c r="S1049" s="14" t="s">
        <v>587</v>
      </c>
    </row>
    <row r="1050">
      <c r="A1050" s="13">
        <v>45901.0</v>
      </c>
      <c r="B1050" s="14" t="s">
        <v>47</v>
      </c>
      <c r="C1050" s="14" t="s">
        <v>48</v>
      </c>
      <c r="D1050" s="14" t="s">
        <v>91</v>
      </c>
      <c r="E1050" s="14" t="s">
        <v>92</v>
      </c>
      <c r="F1050" s="14" t="s">
        <v>71</v>
      </c>
      <c r="G1050" s="14">
        <v>1.00005882E8</v>
      </c>
      <c r="H1050" s="14" t="s">
        <v>91</v>
      </c>
      <c r="I1050" s="14" t="s">
        <v>59</v>
      </c>
      <c r="J1050" s="14" t="s">
        <v>199</v>
      </c>
      <c r="K1050" s="14" t="s">
        <v>206</v>
      </c>
      <c r="L1050" s="14" t="s">
        <v>295</v>
      </c>
      <c r="M1050" s="14" t="s">
        <v>296</v>
      </c>
      <c r="N1050" s="14" t="s">
        <v>297</v>
      </c>
      <c r="O1050" s="14">
        <v>100.0</v>
      </c>
      <c r="P1050" s="21">
        <v>2.0</v>
      </c>
      <c r="Q1050" s="22" t="str">
        <f t="shared" ref="Q1050:R1050" si="626">"+0"</f>
        <v>+0</v>
      </c>
      <c r="R1050" s="18" t="str">
        <f t="shared" si="626"/>
        <v>+0</v>
      </c>
      <c r="S1050" s="14" t="s">
        <v>260</v>
      </c>
    </row>
    <row r="1051">
      <c r="A1051" s="13">
        <v>45901.0</v>
      </c>
      <c r="B1051" s="14" t="s">
        <v>47</v>
      </c>
      <c r="C1051" s="14" t="s">
        <v>48</v>
      </c>
      <c r="D1051" s="14" t="s">
        <v>192</v>
      </c>
      <c r="E1051" s="14" t="s">
        <v>193</v>
      </c>
      <c r="F1051" s="15" t="s">
        <v>51</v>
      </c>
      <c r="G1051" s="14" t="s">
        <v>194</v>
      </c>
      <c r="H1051" s="14" t="s">
        <v>192</v>
      </c>
      <c r="I1051" s="14" t="s">
        <v>54</v>
      </c>
      <c r="J1051" s="14" t="s">
        <v>200</v>
      </c>
      <c r="K1051" s="14" t="s">
        <v>223</v>
      </c>
      <c r="L1051" s="14" t="s">
        <v>304</v>
      </c>
      <c r="M1051" s="14" t="s">
        <v>305</v>
      </c>
      <c r="N1051" s="14" t="s">
        <v>306</v>
      </c>
      <c r="O1051" s="14">
        <v>100.0</v>
      </c>
      <c r="P1051" s="21">
        <v>71.0</v>
      </c>
      <c r="Q1051" s="22" t="str">
        <f>"+0"</f>
        <v>+0</v>
      </c>
      <c r="R1051" s="18" t="str">
        <f>"+8"</f>
        <v>+8</v>
      </c>
      <c r="S1051" s="14" t="s">
        <v>260</v>
      </c>
    </row>
    <row r="1052">
      <c r="A1052" s="13">
        <v>45901.0</v>
      </c>
      <c r="B1052" s="14" t="s">
        <v>47</v>
      </c>
      <c r="C1052" s="14" t="s">
        <v>48</v>
      </c>
      <c r="D1052" s="14" t="s">
        <v>103</v>
      </c>
      <c r="E1052" s="14" t="s">
        <v>104</v>
      </c>
      <c r="F1052" s="15" t="s">
        <v>51</v>
      </c>
      <c r="G1052" s="14" t="s">
        <v>105</v>
      </c>
      <c r="H1052" s="14" t="s">
        <v>106</v>
      </c>
      <c r="I1052" s="14" t="s">
        <v>59</v>
      </c>
      <c r="J1052" s="14" t="s">
        <v>198</v>
      </c>
      <c r="K1052" s="14" t="s">
        <v>210</v>
      </c>
      <c r="L1052" s="14" t="s">
        <v>278</v>
      </c>
      <c r="M1052" s="14" t="s">
        <v>443</v>
      </c>
      <c r="N1052" s="14" t="s">
        <v>444</v>
      </c>
      <c r="O1052" s="14">
        <v>18.0</v>
      </c>
      <c r="P1052" s="21">
        <v>201.0</v>
      </c>
      <c r="Q1052" s="22" t="str">
        <f>"+133"</f>
        <v>+133</v>
      </c>
      <c r="R1052" s="18" t="str">
        <f>"+129"</f>
        <v>+129</v>
      </c>
      <c r="S1052" s="14" t="s">
        <v>1257</v>
      </c>
    </row>
    <row r="1053">
      <c r="A1053" s="13">
        <v>45901.0</v>
      </c>
      <c r="B1053" s="14" t="s">
        <v>47</v>
      </c>
      <c r="C1053" s="14" t="s">
        <v>48</v>
      </c>
      <c r="D1053" s="14" t="s">
        <v>132</v>
      </c>
      <c r="E1053" s="14" t="s">
        <v>133</v>
      </c>
      <c r="F1053" s="15" t="s">
        <v>51</v>
      </c>
      <c r="G1053" s="14" t="s">
        <v>134</v>
      </c>
      <c r="H1053" s="14" t="s">
        <v>135</v>
      </c>
      <c r="I1053" s="14" t="s">
        <v>59</v>
      </c>
      <c r="J1053" s="14" t="s">
        <v>198</v>
      </c>
      <c r="K1053" s="14" t="s">
        <v>205</v>
      </c>
      <c r="L1053" s="14" t="s">
        <v>274</v>
      </c>
      <c r="M1053" s="14" t="s">
        <v>451</v>
      </c>
      <c r="N1053" s="14" t="s">
        <v>452</v>
      </c>
      <c r="O1053" s="14">
        <v>0.0</v>
      </c>
      <c r="P1053" s="21">
        <v>0.0</v>
      </c>
      <c r="Q1053" s="22" t="str">
        <f>"+0"</f>
        <v>+0</v>
      </c>
      <c r="S1053" s="14" t="s">
        <v>281</v>
      </c>
    </row>
    <row r="1054">
      <c r="A1054" s="13">
        <v>45901.0</v>
      </c>
      <c r="B1054" s="14" t="s">
        <v>47</v>
      </c>
      <c r="C1054" s="14" t="s">
        <v>48</v>
      </c>
      <c r="D1054" s="14" t="s">
        <v>171</v>
      </c>
      <c r="E1054" s="14" t="s">
        <v>172</v>
      </c>
      <c r="F1054" s="15" t="s">
        <v>51</v>
      </c>
      <c r="G1054" s="14" t="s">
        <v>173</v>
      </c>
      <c r="H1054" s="14" t="s">
        <v>171</v>
      </c>
      <c r="I1054" s="14" t="s">
        <v>59</v>
      </c>
      <c r="J1054" s="14" t="s">
        <v>200</v>
      </c>
      <c r="K1054" s="14" t="s">
        <v>213</v>
      </c>
      <c r="L1054" s="14" t="s">
        <v>257</v>
      </c>
      <c r="M1054" s="14" t="s">
        <v>315</v>
      </c>
      <c r="N1054" s="14" t="s">
        <v>316</v>
      </c>
      <c r="O1054" s="14">
        <v>40.0</v>
      </c>
      <c r="P1054" s="23">
        <v>0.4</v>
      </c>
      <c r="Q1054" s="22" t="str">
        <f>"+6.67%"</f>
        <v>+6.67%</v>
      </c>
      <c r="R1054" s="18" t="str">
        <f>"-10.00%"</f>
        <v>-10.00%</v>
      </c>
      <c r="S1054" s="14" t="s">
        <v>1258</v>
      </c>
    </row>
    <row r="1055">
      <c r="A1055" s="13">
        <v>45901.0</v>
      </c>
      <c r="B1055" s="14" t="s">
        <v>47</v>
      </c>
      <c r="C1055" s="14" t="s">
        <v>48</v>
      </c>
      <c r="D1055" s="14" t="s">
        <v>129</v>
      </c>
      <c r="E1055" s="14" t="s">
        <v>130</v>
      </c>
      <c r="F1055" s="15" t="s">
        <v>51</v>
      </c>
      <c r="G1055" s="14" t="s">
        <v>131</v>
      </c>
      <c r="H1055" s="14" t="s">
        <v>129</v>
      </c>
      <c r="I1055" s="14" t="s">
        <v>59</v>
      </c>
      <c r="J1055" s="14" t="s">
        <v>200</v>
      </c>
      <c r="K1055" s="14" t="s">
        <v>213</v>
      </c>
      <c r="L1055" s="14" t="s">
        <v>307</v>
      </c>
      <c r="M1055" s="14" t="s">
        <v>533</v>
      </c>
      <c r="N1055" s="14" t="s">
        <v>534</v>
      </c>
      <c r="O1055" s="14">
        <v>1.0</v>
      </c>
      <c r="P1055" s="23">
        <v>0.0062</v>
      </c>
      <c r="Q1055" s="22" t="str">
        <f>"-0.14%"</f>
        <v>-0.14%</v>
      </c>
      <c r="R1055" s="18" t="str">
        <f>"-0.01%"</f>
        <v>-0.01%</v>
      </c>
      <c r="S1055" s="14" t="s">
        <v>1259</v>
      </c>
    </row>
    <row r="1056">
      <c r="A1056" s="13">
        <v>45901.0</v>
      </c>
      <c r="B1056" s="14" t="s">
        <v>47</v>
      </c>
      <c r="C1056" s="14" t="s">
        <v>48</v>
      </c>
      <c r="D1056" s="14" t="s">
        <v>149</v>
      </c>
      <c r="E1056" s="14" t="s">
        <v>150</v>
      </c>
      <c r="F1056" s="15" t="s">
        <v>51</v>
      </c>
      <c r="G1056" s="14" t="s">
        <v>151</v>
      </c>
      <c r="H1056" s="14" t="s">
        <v>152</v>
      </c>
      <c r="I1056" s="14" t="s">
        <v>54</v>
      </c>
      <c r="J1056" s="14" t="s">
        <v>200</v>
      </c>
      <c r="K1056" s="14" t="s">
        <v>227</v>
      </c>
      <c r="L1056" s="14" t="s">
        <v>270</v>
      </c>
      <c r="M1056" s="14" t="s">
        <v>417</v>
      </c>
      <c r="N1056" s="14" t="s">
        <v>418</v>
      </c>
      <c r="O1056" s="14">
        <v>15.0</v>
      </c>
      <c r="P1056" s="21">
        <v>5.0</v>
      </c>
      <c r="Q1056" s="22" t="str">
        <f>"-3"</f>
        <v>-3</v>
      </c>
      <c r="R1056" s="18" t="str">
        <f>"-4"</f>
        <v>-4</v>
      </c>
      <c r="S1056" s="14" t="s">
        <v>260</v>
      </c>
    </row>
    <row r="1057">
      <c r="A1057" s="13">
        <v>45901.0</v>
      </c>
      <c r="B1057" s="14" t="s">
        <v>47</v>
      </c>
      <c r="C1057" s="14" t="s">
        <v>48</v>
      </c>
      <c r="D1057" s="14" t="s">
        <v>96</v>
      </c>
      <c r="E1057" s="14" t="s">
        <v>97</v>
      </c>
      <c r="F1057" s="15" t="s">
        <v>51</v>
      </c>
      <c r="G1057" s="14" t="s">
        <v>98</v>
      </c>
      <c r="H1057" s="14" t="s">
        <v>96</v>
      </c>
      <c r="I1057" s="14" t="s">
        <v>59</v>
      </c>
      <c r="J1057" s="14" t="s">
        <v>200</v>
      </c>
      <c r="K1057" s="14" t="s">
        <v>223</v>
      </c>
      <c r="L1057" s="14" t="s">
        <v>487</v>
      </c>
      <c r="M1057" s="14" t="s">
        <v>488</v>
      </c>
      <c r="N1057" s="14" t="s">
        <v>489</v>
      </c>
      <c r="O1057" s="14">
        <v>0.0</v>
      </c>
      <c r="P1057" s="21">
        <v>0.0</v>
      </c>
      <c r="Q1057" s="22" t="str">
        <f t="shared" ref="Q1057:R1057" si="627">"+0"</f>
        <v>+0</v>
      </c>
      <c r="R1057" s="18" t="str">
        <f t="shared" si="627"/>
        <v>+0</v>
      </c>
      <c r="S1057" s="14" t="s">
        <v>260</v>
      </c>
    </row>
    <row r="1058">
      <c r="A1058" s="13">
        <v>45901.0</v>
      </c>
      <c r="B1058" s="14" t="s">
        <v>47</v>
      </c>
      <c r="C1058" s="14" t="s">
        <v>48</v>
      </c>
      <c r="D1058" s="14" t="s">
        <v>69</v>
      </c>
      <c r="E1058" s="14" t="s">
        <v>70</v>
      </c>
      <c r="F1058" s="15" t="s">
        <v>51</v>
      </c>
      <c r="G1058" s="14" t="s">
        <v>115</v>
      </c>
      <c r="H1058" s="14" t="s">
        <v>72</v>
      </c>
      <c r="I1058" s="14" t="s">
        <v>54</v>
      </c>
      <c r="J1058" s="14" t="s">
        <v>198</v>
      </c>
      <c r="K1058" s="14" t="s">
        <v>210</v>
      </c>
      <c r="L1058" s="14" t="s">
        <v>264</v>
      </c>
      <c r="M1058" s="14" t="s">
        <v>694</v>
      </c>
      <c r="N1058" s="14" t="s">
        <v>695</v>
      </c>
      <c r="O1058" s="14">
        <v>0.0</v>
      </c>
      <c r="P1058" s="21">
        <v>0.0</v>
      </c>
      <c r="Q1058" s="22" t="str">
        <f t="shared" ref="Q1058:R1058" si="628">"+0"</f>
        <v>+0</v>
      </c>
      <c r="R1058" s="18" t="str">
        <f t="shared" si="628"/>
        <v>+0</v>
      </c>
      <c r="S1058" s="14" t="s">
        <v>277</v>
      </c>
    </row>
    <row r="1059">
      <c r="A1059" s="13">
        <v>45901.0</v>
      </c>
      <c r="B1059" s="14" t="s">
        <v>47</v>
      </c>
      <c r="C1059" s="14" t="s">
        <v>48</v>
      </c>
      <c r="D1059" s="14" t="s">
        <v>69</v>
      </c>
      <c r="E1059" s="14" t="s">
        <v>70</v>
      </c>
      <c r="F1059" s="15" t="s">
        <v>51</v>
      </c>
      <c r="G1059" s="14" t="s">
        <v>115</v>
      </c>
      <c r="H1059" s="14" t="s">
        <v>72</v>
      </c>
      <c r="I1059" s="14" t="s">
        <v>54</v>
      </c>
      <c r="J1059" s="14" t="s">
        <v>200</v>
      </c>
      <c r="K1059" s="14" t="s">
        <v>211</v>
      </c>
      <c r="L1059" s="14" t="s">
        <v>253</v>
      </c>
      <c r="M1059" s="14" t="s">
        <v>1260</v>
      </c>
      <c r="N1059" s="14" t="s">
        <v>1261</v>
      </c>
      <c r="O1059" s="14">
        <v>0.0</v>
      </c>
      <c r="P1059" s="23">
        <v>0.0</v>
      </c>
      <c r="Q1059" s="22" t="str">
        <f t="shared" ref="Q1059:R1059" si="629">"+0.00%"</f>
        <v>+0.00%</v>
      </c>
      <c r="R1059" s="18" t="str">
        <f t="shared" si="629"/>
        <v>+0.00%</v>
      </c>
      <c r="S1059" s="14" t="s">
        <v>371</v>
      </c>
    </row>
    <row r="1060">
      <c r="A1060" s="13">
        <v>45901.0</v>
      </c>
      <c r="B1060" s="14" t="s">
        <v>47</v>
      </c>
      <c r="C1060" s="14" t="s">
        <v>48</v>
      </c>
      <c r="D1060" s="14" t="s">
        <v>125</v>
      </c>
      <c r="E1060" s="14" t="s">
        <v>126</v>
      </c>
      <c r="F1060" s="15" t="s">
        <v>51</v>
      </c>
      <c r="G1060" s="14" t="s">
        <v>127</v>
      </c>
      <c r="H1060" s="14" t="s">
        <v>125</v>
      </c>
      <c r="I1060" s="14" t="s">
        <v>59</v>
      </c>
      <c r="J1060" s="14" t="s">
        <v>199</v>
      </c>
      <c r="K1060" s="14" t="s">
        <v>208</v>
      </c>
      <c r="L1060" s="14" t="s">
        <v>352</v>
      </c>
      <c r="M1060" s="14" t="s">
        <v>352</v>
      </c>
      <c r="N1060" s="14" t="s">
        <v>353</v>
      </c>
      <c r="O1060" s="14">
        <v>0.0</v>
      </c>
      <c r="P1060" s="21">
        <v>0.0</v>
      </c>
      <c r="Q1060" s="22" t="str">
        <f t="shared" ref="Q1060:R1060" si="630">"+0"</f>
        <v>+0</v>
      </c>
      <c r="R1060" s="18" t="str">
        <f t="shared" si="630"/>
        <v>+0</v>
      </c>
      <c r="S1060" s="14" t="s">
        <v>260</v>
      </c>
    </row>
    <row r="1061">
      <c r="A1061" s="13">
        <v>45901.0</v>
      </c>
      <c r="B1061" s="14" t="s">
        <v>47</v>
      </c>
      <c r="C1061" s="14" t="s">
        <v>48</v>
      </c>
      <c r="D1061" s="14" t="s">
        <v>158</v>
      </c>
      <c r="E1061" s="14" t="s">
        <v>159</v>
      </c>
      <c r="F1061" s="15" t="s">
        <v>51</v>
      </c>
      <c r="G1061" s="14" t="s">
        <v>160</v>
      </c>
      <c r="H1061" s="14" t="s">
        <v>158</v>
      </c>
      <c r="I1061" s="14" t="s">
        <v>54</v>
      </c>
      <c r="J1061" s="14" t="s">
        <v>199</v>
      </c>
      <c r="K1061" s="14" t="s">
        <v>203</v>
      </c>
      <c r="L1061" s="14" t="s">
        <v>862</v>
      </c>
      <c r="M1061" s="14" t="s">
        <v>862</v>
      </c>
      <c r="N1061" s="14" t="s">
        <v>863</v>
      </c>
      <c r="O1061" s="14">
        <v>100.0</v>
      </c>
      <c r="P1061" s="21">
        <v>1.0</v>
      </c>
      <c r="Q1061" s="22" t="str">
        <f t="shared" ref="Q1061:R1061" si="631">"+0"</f>
        <v>+0</v>
      </c>
      <c r="R1061" s="18" t="str">
        <f t="shared" si="631"/>
        <v>+0</v>
      </c>
      <c r="S1061" s="14" t="s">
        <v>260</v>
      </c>
    </row>
    <row r="1062">
      <c r="A1062" s="13">
        <v>45901.0</v>
      </c>
      <c r="B1062" s="14" t="s">
        <v>47</v>
      </c>
      <c r="C1062" s="14" t="s">
        <v>48</v>
      </c>
      <c r="D1062" s="14" t="s">
        <v>174</v>
      </c>
      <c r="E1062" s="14" t="s">
        <v>175</v>
      </c>
      <c r="F1062" s="15" t="s">
        <v>51</v>
      </c>
      <c r="G1062" s="14" t="s">
        <v>176</v>
      </c>
      <c r="H1062" s="14" t="s">
        <v>174</v>
      </c>
      <c r="I1062" s="14" t="s">
        <v>59</v>
      </c>
      <c r="J1062" s="14" t="s">
        <v>200</v>
      </c>
      <c r="K1062" s="14" t="s">
        <v>213</v>
      </c>
      <c r="L1062" s="14" t="s">
        <v>307</v>
      </c>
      <c r="M1062" s="14" t="s">
        <v>533</v>
      </c>
      <c r="N1062" s="14" t="s">
        <v>534</v>
      </c>
      <c r="O1062" s="14">
        <v>3.0</v>
      </c>
      <c r="P1062" s="23">
        <v>0.0341</v>
      </c>
      <c r="Q1062" s="22" t="str">
        <f>"+0.47%"</f>
        <v>+0.47%</v>
      </c>
      <c r="R1062" s="18" t="str">
        <f>"-0.01%"</f>
        <v>-0.01%</v>
      </c>
      <c r="S1062" s="14" t="s">
        <v>1262</v>
      </c>
    </row>
    <row r="1063">
      <c r="A1063" s="13">
        <v>45901.0</v>
      </c>
      <c r="B1063" s="14" t="s">
        <v>47</v>
      </c>
      <c r="C1063" s="14" t="s">
        <v>48</v>
      </c>
      <c r="D1063" s="14" t="s">
        <v>108</v>
      </c>
      <c r="E1063" s="14" t="s">
        <v>109</v>
      </c>
      <c r="F1063" s="15" t="s">
        <v>51</v>
      </c>
      <c r="G1063" s="14" t="s">
        <v>110</v>
      </c>
      <c r="H1063" s="14" t="s">
        <v>108</v>
      </c>
      <c r="I1063" s="14" t="s">
        <v>59</v>
      </c>
      <c r="J1063" s="14" t="s">
        <v>200</v>
      </c>
      <c r="K1063" s="14" t="s">
        <v>227</v>
      </c>
      <c r="L1063" s="14" t="s">
        <v>721</v>
      </c>
      <c r="M1063" s="14" t="s">
        <v>1060</v>
      </c>
      <c r="N1063" s="14" t="s">
        <v>1061</v>
      </c>
      <c r="O1063" s="14">
        <v>67.0</v>
      </c>
      <c r="P1063" s="23">
        <v>0.35</v>
      </c>
      <c r="Q1063" s="22" t="str">
        <f>"+27.31%"</f>
        <v>+27.31%</v>
      </c>
      <c r="R1063" s="18" t="str">
        <f>"+35.00%"</f>
        <v>+35.00%</v>
      </c>
      <c r="S1063" s="14" t="s">
        <v>1062</v>
      </c>
    </row>
    <row r="1064">
      <c r="A1064" s="13">
        <v>45901.0</v>
      </c>
      <c r="B1064" s="14" t="s">
        <v>47</v>
      </c>
      <c r="C1064" s="14" t="s">
        <v>48</v>
      </c>
      <c r="D1064" s="14" t="s">
        <v>165</v>
      </c>
      <c r="E1064" s="14" t="s">
        <v>166</v>
      </c>
      <c r="F1064" s="15" t="s">
        <v>51</v>
      </c>
      <c r="G1064" s="14" t="s">
        <v>167</v>
      </c>
      <c r="H1064" s="14" t="s">
        <v>165</v>
      </c>
      <c r="I1064" s="14" t="s">
        <v>54</v>
      </c>
      <c r="J1064" s="14" t="s">
        <v>198</v>
      </c>
      <c r="K1064" s="14" t="s">
        <v>210</v>
      </c>
      <c r="L1064" s="14" t="s">
        <v>278</v>
      </c>
      <c r="M1064" s="14" t="s">
        <v>1005</v>
      </c>
      <c r="N1064" s="14" t="s">
        <v>1006</v>
      </c>
      <c r="O1064" s="14">
        <v>0.0</v>
      </c>
      <c r="P1064" s="21">
        <v>0.0</v>
      </c>
      <c r="Q1064" s="22" t="str">
        <f t="shared" ref="Q1064:R1064" si="632">"+0"</f>
        <v>+0</v>
      </c>
      <c r="R1064" s="18" t="str">
        <f t="shared" si="632"/>
        <v>+0</v>
      </c>
      <c r="S1064" s="14" t="s">
        <v>277</v>
      </c>
    </row>
    <row r="1065">
      <c r="A1065" s="13">
        <v>45901.0</v>
      </c>
      <c r="B1065" s="14" t="s">
        <v>47</v>
      </c>
      <c r="C1065" s="14" t="s">
        <v>48</v>
      </c>
      <c r="D1065" s="14" t="s">
        <v>91</v>
      </c>
      <c r="E1065" s="14" t="s">
        <v>92</v>
      </c>
      <c r="F1065" s="14" t="s">
        <v>71</v>
      </c>
      <c r="G1065" s="14">
        <v>1.00005882E8</v>
      </c>
      <c r="H1065" s="14" t="s">
        <v>91</v>
      </c>
      <c r="I1065" s="14" t="s">
        <v>59</v>
      </c>
      <c r="J1065" s="14" t="s">
        <v>199</v>
      </c>
      <c r="K1065" s="14" t="s">
        <v>206</v>
      </c>
      <c r="L1065" s="14" t="s">
        <v>381</v>
      </c>
      <c r="M1065" s="14" t="s">
        <v>381</v>
      </c>
      <c r="N1065" s="14" t="s">
        <v>382</v>
      </c>
      <c r="O1065" s="14">
        <v>0.0</v>
      </c>
      <c r="P1065" s="21">
        <v>0.0</v>
      </c>
      <c r="Q1065" s="22" t="str">
        <f t="shared" ref="Q1065:R1065" si="633">"+0"</f>
        <v>+0</v>
      </c>
      <c r="R1065" s="18" t="str">
        <f t="shared" si="633"/>
        <v>+0</v>
      </c>
      <c r="S1065" s="14" t="s">
        <v>383</v>
      </c>
    </row>
    <row r="1066">
      <c r="A1066" s="13">
        <v>45901.0</v>
      </c>
      <c r="B1066" s="14" t="s">
        <v>47</v>
      </c>
      <c r="C1066" s="14" t="s">
        <v>48</v>
      </c>
      <c r="D1066" s="14" t="s">
        <v>63</v>
      </c>
      <c r="E1066" s="14" t="s">
        <v>64</v>
      </c>
      <c r="F1066" s="15" t="s">
        <v>51</v>
      </c>
      <c r="G1066" s="14" t="s">
        <v>65</v>
      </c>
      <c r="H1066" s="14" t="s">
        <v>63</v>
      </c>
      <c r="I1066" s="14" t="s">
        <v>54</v>
      </c>
      <c r="J1066" s="14" t="s">
        <v>200</v>
      </c>
      <c r="K1066" s="14" t="s">
        <v>245</v>
      </c>
      <c r="L1066" s="14" t="s">
        <v>253</v>
      </c>
      <c r="M1066" s="14" t="s">
        <v>1263</v>
      </c>
      <c r="N1066" s="14" t="s">
        <v>1264</v>
      </c>
      <c r="O1066" s="14">
        <v>1.0</v>
      </c>
      <c r="P1066" s="23">
        <v>0.0128</v>
      </c>
      <c r="Q1066" s="22" t="str">
        <f>"+0.59%"</f>
        <v>+0.59%</v>
      </c>
      <c r="R1066" s="18" t="str">
        <f>"+1.25%"</f>
        <v>+1.25%</v>
      </c>
      <c r="S1066" s="14" t="s">
        <v>1265</v>
      </c>
    </row>
    <row r="1067">
      <c r="A1067" s="13">
        <v>45901.0</v>
      </c>
      <c r="B1067" s="14" t="s">
        <v>47</v>
      </c>
      <c r="C1067" s="14" t="s">
        <v>48</v>
      </c>
      <c r="D1067" s="14" t="s">
        <v>91</v>
      </c>
      <c r="E1067" s="14" t="s">
        <v>92</v>
      </c>
      <c r="F1067" s="15" t="s">
        <v>51</v>
      </c>
      <c r="G1067" s="14" t="s">
        <v>163</v>
      </c>
      <c r="H1067" s="14" t="s">
        <v>91</v>
      </c>
      <c r="I1067" s="14" t="s">
        <v>59</v>
      </c>
      <c r="J1067" s="14" t="s">
        <v>200</v>
      </c>
      <c r="K1067" s="14" t="s">
        <v>223</v>
      </c>
      <c r="L1067" s="14" t="s">
        <v>282</v>
      </c>
      <c r="M1067" s="14" t="s">
        <v>914</v>
      </c>
      <c r="N1067" s="14" t="s">
        <v>915</v>
      </c>
      <c r="O1067" s="14">
        <v>0.0</v>
      </c>
      <c r="P1067" s="21">
        <v>0.0</v>
      </c>
      <c r="Q1067" s="22" t="str">
        <f t="shared" ref="Q1067:R1067" si="634">"+0"</f>
        <v>+0</v>
      </c>
      <c r="R1067" s="18" t="str">
        <f t="shared" si="634"/>
        <v>+0</v>
      </c>
      <c r="S1067" s="14" t="s">
        <v>260</v>
      </c>
    </row>
    <row r="1068">
      <c r="A1068" s="13">
        <v>45901.0</v>
      </c>
      <c r="B1068" s="14" t="s">
        <v>47</v>
      </c>
      <c r="C1068" s="14" t="s">
        <v>48</v>
      </c>
      <c r="D1068" s="14" t="s">
        <v>93</v>
      </c>
      <c r="E1068" s="14" t="s">
        <v>94</v>
      </c>
      <c r="F1068" s="14" t="s">
        <v>71</v>
      </c>
      <c r="G1068" s="14">
        <v>5.36001438E8</v>
      </c>
      <c r="H1068" s="14" t="s">
        <v>95</v>
      </c>
      <c r="I1068" s="14" t="s">
        <v>59</v>
      </c>
      <c r="J1068" s="14" t="s">
        <v>200</v>
      </c>
      <c r="K1068" s="14" t="s">
        <v>230</v>
      </c>
      <c r="L1068" s="14" t="s">
        <v>253</v>
      </c>
      <c r="M1068" s="14" t="s">
        <v>1066</v>
      </c>
      <c r="N1068" s="14" t="s">
        <v>1067</v>
      </c>
      <c r="O1068" s="14">
        <v>0.0</v>
      </c>
      <c r="P1068" s="23">
        <v>0.0</v>
      </c>
      <c r="Q1068" s="22" t="str">
        <f t="shared" ref="Q1068:R1068" si="635">"+0.00%"</f>
        <v>+0.00%</v>
      </c>
      <c r="R1068" s="18" t="str">
        <f t="shared" si="635"/>
        <v>+0.00%</v>
      </c>
      <c r="S1068" s="14" t="s">
        <v>1266</v>
      </c>
    </row>
    <row r="1069">
      <c r="A1069" s="13">
        <v>45901.0</v>
      </c>
      <c r="B1069" s="14" t="s">
        <v>47</v>
      </c>
      <c r="C1069" s="14" t="s">
        <v>48</v>
      </c>
      <c r="D1069" s="14" t="s">
        <v>184</v>
      </c>
      <c r="E1069" s="14" t="s">
        <v>185</v>
      </c>
      <c r="F1069" s="15" t="s">
        <v>51</v>
      </c>
      <c r="G1069" s="14" t="s">
        <v>186</v>
      </c>
      <c r="H1069" s="14" t="s">
        <v>187</v>
      </c>
      <c r="I1069" s="14" t="s">
        <v>59</v>
      </c>
      <c r="J1069" s="14" t="s">
        <v>200</v>
      </c>
      <c r="K1069" s="14" t="s">
        <v>204</v>
      </c>
      <c r="L1069" s="14" t="s">
        <v>253</v>
      </c>
      <c r="M1069" s="14" t="s">
        <v>844</v>
      </c>
      <c r="N1069" s="14" t="s">
        <v>845</v>
      </c>
      <c r="O1069" s="14">
        <v>0.0</v>
      </c>
      <c r="P1069" s="17"/>
      <c r="Q1069" s="22"/>
      <c r="S1069" s="14" t="s">
        <v>846</v>
      </c>
    </row>
    <row r="1070">
      <c r="A1070" s="13">
        <v>45901.0</v>
      </c>
      <c r="B1070" s="14" t="s">
        <v>47</v>
      </c>
      <c r="C1070" s="14" t="s">
        <v>48</v>
      </c>
      <c r="D1070" s="14" t="s">
        <v>73</v>
      </c>
      <c r="E1070" s="14" t="s">
        <v>74</v>
      </c>
      <c r="F1070" s="15" t="s">
        <v>51</v>
      </c>
      <c r="G1070" s="14" t="s">
        <v>75</v>
      </c>
      <c r="H1070" s="14" t="s">
        <v>76</v>
      </c>
      <c r="I1070" s="14" t="s">
        <v>59</v>
      </c>
      <c r="J1070" s="14" t="s">
        <v>200</v>
      </c>
      <c r="K1070" s="14" t="s">
        <v>232</v>
      </c>
      <c r="L1070" s="14" t="s">
        <v>422</v>
      </c>
      <c r="M1070" s="14" t="s">
        <v>1197</v>
      </c>
      <c r="N1070" s="14" t="s">
        <v>1198</v>
      </c>
      <c r="O1070" s="14">
        <v>0.0</v>
      </c>
      <c r="P1070" s="23">
        <v>0.0</v>
      </c>
      <c r="Q1070" s="22" t="str">
        <f t="shared" ref="Q1070:R1070" si="636">"+0.00%"</f>
        <v>+0.00%</v>
      </c>
      <c r="R1070" s="18" t="str">
        <f t="shared" si="636"/>
        <v>+0.00%</v>
      </c>
      <c r="S1070" s="14" t="s">
        <v>285</v>
      </c>
    </row>
    <row r="1071">
      <c r="A1071" s="13">
        <v>45901.0</v>
      </c>
      <c r="B1071" s="14" t="s">
        <v>47</v>
      </c>
      <c r="C1071" s="14" t="s">
        <v>48</v>
      </c>
      <c r="D1071" s="14" t="s">
        <v>132</v>
      </c>
      <c r="E1071" s="14" t="s">
        <v>133</v>
      </c>
      <c r="F1071" s="15" t="s">
        <v>51</v>
      </c>
      <c r="G1071" s="14" t="s">
        <v>134</v>
      </c>
      <c r="H1071" s="14" t="s">
        <v>135</v>
      </c>
      <c r="I1071" s="14" t="s">
        <v>59</v>
      </c>
      <c r="J1071" s="14" t="s">
        <v>200</v>
      </c>
      <c r="K1071" s="14" t="s">
        <v>213</v>
      </c>
      <c r="L1071" s="14" t="s">
        <v>257</v>
      </c>
      <c r="M1071" s="14" t="s">
        <v>298</v>
      </c>
      <c r="N1071" s="14" t="s">
        <v>299</v>
      </c>
      <c r="O1071" s="14">
        <v>0.0</v>
      </c>
      <c r="P1071" s="23">
        <v>0.0</v>
      </c>
      <c r="Q1071" s="22" t="str">
        <f t="shared" ref="Q1071:R1071" si="637">"+0.00%"</f>
        <v>+0.00%</v>
      </c>
      <c r="R1071" s="18" t="str">
        <f t="shared" si="637"/>
        <v>+0.00%</v>
      </c>
      <c r="S1071" s="14" t="s">
        <v>1267</v>
      </c>
    </row>
    <row r="1072">
      <c r="A1072" s="13">
        <v>45901.0</v>
      </c>
      <c r="B1072" s="14" t="s">
        <v>47</v>
      </c>
      <c r="C1072" s="14" t="s">
        <v>48</v>
      </c>
      <c r="D1072" s="14" t="s">
        <v>136</v>
      </c>
      <c r="E1072" s="14" t="s">
        <v>137</v>
      </c>
      <c r="F1072" s="15" t="s">
        <v>51</v>
      </c>
      <c r="G1072" s="14" t="s">
        <v>138</v>
      </c>
      <c r="H1072" s="14" t="s">
        <v>139</v>
      </c>
      <c r="I1072" s="14" t="s">
        <v>59</v>
      </c>
      <c r="J1072" s="14" t="s">
        <v>199</v>
      </c>
      <c r="K1072" s="14" t="s">
        <v>206</v>
      </c>
      <c r="L1072" s="14" t="s">
        <v>268</v>
      </c>
      <c r="M1072" s="14" t="s">
        <v>268</v>
      </c>
      <c r="N1072" s="14" t="s">
        <v>269</v>
      </c>
      <c r="O1072" s="14">
        <v>0.0</v>
      </c>
      <c r="P1072" s="21">
        <v>0.0</v>
      </c>
      <c r="Q1072" s="22" t="str">
        <f t="shared" ref="Q1072:R1072" si="638">"+0"</f>
        <v>+0</v>
      </c>
      <c r="R1072" s="18" t="str">
        <f t="shared" si="638"/>
        <v>+0</v>
      </c>
      <c r="S1072" s="14" t="s">
        <v>260</v>
      </c>
    </row>
    <row r="1073">
      <c r="A1073" s="13">
        <v>45901.0</v>
      </c>
      <c r="B1073" s="14" t="s">
        <v>47</v>
      </c>
      <c r="C1073" s="14" t="s">
        <v>48</v>
      </c>
      <c r="D1073" s="14" t="s">
        <v>87</v>
      </c>
      <c r="E1073" s="14" t="s">
        <v>88</v>
      </c>
      <c r="F1073" s="15" t="s">
        <v>51</v>
      </c>
      <c r="G1073" s="14" t="s">
        <v>89</v>
      </c>
      <c r="H1073" s="14" t="s">
        <v>90</v>
      </c>
      <c r="I1073" s="14" t="s">
        <v>59</v>
      </c>
      <c r="J1073" s="14" t="s">
        <v>200</v>
      </c>
      <c r="K1073" s="14" t="s">
        <v>223</v>
      </c>
      <c r="L1073" s="14" t="s">
        <v>282</v>
      </c>
      <c r="M1073" s="14" t="s">
        <v>914</v>
      </c>
      <c r="N1073" s="14" t="s">
        <v>915</v>
      </c>
      <c r="O1073" s="14">
        <v>0.0</v>
      </c>
      <c r="P1073" s="21">
        <v>0.0</v>
      </c>
      <c r="Q1073" s="22" t="str">
        <f t="shared" ref="Q1073:R1073" si="639">"+0"</f>
        <v>+0</v>
      </c>
      <c r="R1073" s="18" t="str">
        <f t="shared" si="639"/>
        <v>+0</v>
      </c>
      <c r="S1073" s="14" t="s">
        <v>260</v>
      </c>
    </row>
    <row r="1074">
      <c r="A1074" s="13">
        <v>45901.0</v>
      </c>
      <c r="B1074" s="14" t="s">
        <v>47</v>
      </c>
      <c r="C1074" s="14" t="s">
        <v>48</v>
      </c>
      <c r="D1074" s="14" t="s">
        <v>171</v>
      </c>
      <c r="E1074" s="14" t="s">
        <v>172</v>
      </c>
      <c r="F1074" s="15" t="s">
        <v>51</v>
      </c>
      <c r="G1074" s="14" t="s">
        <v>173</v>
      </c>
      <c r="H1074" s="14" t="s">
        <v>171</v>
      </c>
      <c r="I1074" s="14" t="s">
        <v>59</v>
      </c>
      <c r="J1074" s="14" t="s">
        <v>198</v>
      </c>
      <c r="K1074" s="14" t="s">
        <v>205</v>
      </c>
      <c r="L1074" s="14" t="s">
        <v>274</v>
      </c>
      <c r="M1074" s="14" t="s">
        <v>466</v>
      </c>
      <c r="N1074" s="14" t="s">
        <v>467</v>
      </c>
      <c r="O1074" s="14">
        <v>100.0</v>
      </c>
      <c r="P1074" s="21">
        <v>1.0</v>
      </c>
      <c r="Q1074" s="22" t="str">
        <f>"+0"</f>
        <v>+0</v>
      </c>
      <c r="S1074" s="14" t="s">
        <v>281</v>
      </c>
    </row>
    <row r="1075">
      <c r="A1075" s="13">
        <v>45901.0</v>
      </c>
      <c r="B1075" s="14" t="s">
        <v>47</v>
      </c>
      <c r="C1075" s="14" t="s">
        <v>48</v>
      </c>
      <c r="D1075" s="14" t="s">
        <v>129</v>
      </c>
      <c r="E1075" s="14" t="s">
        <v>130</v>
      </c>
      <c r="F1075" s="15" t="s">
        <v>51</v>
      </c>
      <c r="G1075" s="14" t="s">
        <v>131</v>
      </c>
      <c r="H1075" s="14" t="s">
        <v>129</v>
      </c>
      <c r="I1075" s="14" t="s">
        <v>59</v>
      </c>
      <c r="J1075" s="14" t="s">
        <v>198</v>
      </c>
      <c r="K1075" s="14" t="s">
        <v>210</v>
      </c>
      <c r="L1075" s="14" t="s">
        <v>264</v>
      </c>
      <c r="M1075" s="14" t="s">
        <v>265</v>
      </c>
      <c r="N1075" s="14" t="s">
        <v>266</v>
      </c>
      <c r="O1075" s="14">
        <v>78.0</v>
      </c>
      <c r="P1075" s="21">
        <v>43.0</v>
      </c>
      <c r="Q1075" s="22" t="str">
        <f>"-1"</f>
        <v>-1</v>
      </c>
      <c r="R1075" s="18" t="str">
        <f>"-214"</f>
        <v>-214</v>
      </c>
      <c r="S1075" s="14" t="s">
        <v>1268</v>
      </c>
    </row>
    <row r="1076">
      <c r="A1076" s="13">
        <v>45901.0</v>
      </c>
      <c r="B1076" s="14" t="s">
        <v>47</v>
      </c>
      <c r="C1076" s="14" t="s">
        <v>48</v>
      </c>
      <c r="D1076" s="14" t="s">
        <v>87</v>
      </c>
      <c r="E1076" s="14" t="s">
        <v>88</v>
      </c>
      <c r="F1076" s="15" t="s">
        <v>51</v>
      </c>
      <c r="G1076" s="14" t="s">
        <v>89</v>
      </c>
      <c r="H1076" s="14" t="s">
        <v>90</v>
      </c>
      <c r="I1076" s="14" t="s">
        <v>59</v>
      </c>
      <c r="J1076" s="14" t="s">
        <v>200</v>
      </c>
      <c r="K1076" s="14" t="s">
        <v>223</v>
      </c>
      <c r="L1076" s="14" t="s">
        <v>607</v>
      </c>
      <c r="M1076" s="14" t="s">
        <v>932</v>
      </c>
      <c r="N1076" s="14" t="s">
        <v>933</v>
      </c>
      <c r="O1076" s="14">
        <v>100.0</v>
      </c>
      <c r="P1076" s="23">
        <v>0.0604</v>
      </c>
      <c r="Q1076" s="22" t="str">
        <f>"+0.64%"</f>
        <v>+0.64%</v>
      </c>
      <c r="R1076" s="18" t="str">
        <f>"+0.78%"</f>
        <v>+0.78%</v>
      </c>
      <c r="S1076" s="14" t="s">
        <v>285</v>
      </c>
    </row>
    <row r="1077">
      <c r="A1077" s="13">
        <v>45901.0</v>
      </c>
      <c r="B1077" s="14" t="s">
        <v>47</v>
      </c>
      <c r="C1077" s="14" t="s">
        <v>48</v>
      </c>
      <c r="D1077" s="14" t="s">
        <v>96</v>
      </c>
      <c r="E1077" s="14" t="s">
        <v>97</v>
      </c>
      <c r="F1077" s="15" t="s">
        <v>51</v>
      </c>
      <c r="G1077" s="14" t="s">
        <v>98</v>
      </c>
      <c r="H1077" s="14" t="s">
        <v>96</v>
      </c>
      <c r="I1077" s="14" t="s">
        <v>59</v>
      </c>
      <c r="J1077" s="14" t="s">
        <v>200</v>
      </c>
      <c r="K1077" s="14" t="s">
        <v>223</v>
      </c>
      <c r="L1077" s="14" t="s">
        <v>363</v>
      </c>
      <c r="M1077" s="14" t="s">
        <v>364</v>
      </c>
      <c r="N1077" s="14" t="s">
        <v>365</v>
      </c>
      <c r="O1077" s="14">
        <v>0.0</v>
      </c>
      <c r="P1077" s="23">
        <v>0.0</v>
      </c>
      <c r="Q1077" s="22" t="str">
        <f t="shared" ref="Q1077:R1077" si="640">"+0.00%"</f>
        <v>+0.00%</v>
      </c>
      <c r="R1077" s="18" t="str">
        <f t="shared" si="640"/>
        <v>+0.00%</v>
      </c>
      <c r="S1077" s="14" t="s">
        <v>285</v>
      </c>
    </row>
    <row r="1078">
      <c r="A1078" s="13">
        <v>45901.0</v>
      </c>
      <c r="B1078" s="14" t="s">
        <v>47</v>
      </c>
      <c r="C1078" s="14" t="s">
        <v>48</v>
      </c>
      <c r="D1078" s="14" t="s">
        <v>96</v>
      </c>
      <c r="E1078" s="14" t="s">
        <v>97</v>
      </c>
      <c r="F1078" s="15" t="s">
        <v>51</v>
      </c>
      <c r="G1078" s="14" t="s">
        <v>98</v>
      </c>
      <c r="H1078" s="14" t="s">
        <v>96</v>
      </c>
      <c r="I1078" s="14" t="s">
        <v>59</v>
      </c>
      <c r="J1078" s="14" t="s">
        <v>200</v>
      </c>
      <c r="K1078" s="14" t="s">
        <v>204</v>
      </c>
      <c r="L1078" s="14" t="s">
        <v>253</v>
      </c>
      <c r="M1078" s="14" t="s">
        <v>844</v>
      </c>
      <c r="N1078" s="14" t="s">
        <v>845</v>
      </c>
      <c r="O1078" s="14">
        <v>0.0</v>
      </c>
      <c r="P1078" s="17"/>
      <c r="Q1078" s="22"/>
      <c r="S1078" s="14" t="s">
        <v>846</v>
      </c>
    </row>
    <row r="1079">
      <c r="A1079" s="13">
        <v>45901.0</v>
      </c>
      <c r="B1079" s="14" t="s">
        <v>47</v>
      </c>
      <c r="C1079" s="14" t="s">
        <v>48</v>
      </c>
      <c r="D1079" s="14" t="s">
        <v>96</v>
      </c>
      <c r="E1079" s="14" t="s">
        <v>97</v>
      </c>
      <c r="F1079" s="15" t="s">
        <v>51</v>
      </c>
      <c r="G1079" s="14" t="s">
        <v>98</v>
      </c>
      <c r="H1079" s="14" t="s">
        <v>96</v>
      </c>
      <c r="I1079" s="14" t="s">
        <v>59</v>
      </c>
      <c r="J1079" s="14" t="s">
        <v>200</v>
      </c>
      <c r="K1079" s="14" t="s">
        <v>223</v>
      </c>
      <c r="L1079" s="14" t="s">
        <v>286</v>
      </c>
      <c r="M1079" s="14" t="s">
        <v>287</v>
      </c>
      <c r="N1079" s="14" t="s">
        <v>288</v>
      </c>
      <c r="O1079" s="14">
        <v>0.0</v>
      </c>
      <c r="P1079" s="23">
        <v>0.0</v>
      </c>
      <c r="Q1079" s="22" t="str">
        <f t="shared" ref="Q1079:R1079" si="641">"+0.00%"</f>
        <v>+0.00%</v>
      </c>
      <c r="R1079" s="18" t="str">
        <f t="shared" si="641"/>
        <v>+0.00%</v>
      </c>
      <c r="S1079" s="14" t="s">
        <v>285</v>
      </c>
    </row>
    <row r="1080">
      <c r="A1080" s="13">
        <v>45901.0</v>
      </c>
      <c r="B1080" s="14" t="s">
        <v>47</v>
      </c>
      <c r="C1080" s="14" t="s">
        <v>48</v>
      </c>
      <c r="D1080" s="14" t="s">
        <v>69</v>
      </c>
      <c r="E1080" s="14" t="s">
        <v>70</v>
      </c>
      <c r="F1080" s="14" t="s">
        <v>71</v>
      </c>
      <c r="G1080" s="14">
        <v>1.00002092E8</v>
      </c>
      <c r="H1080" s="14" t="s">
        <v>72</v>
      </c>
      <c r="I1080" s="14" t="s">
        <v>54</v>
      </c>
      <c r="J1080" s="14" t="s">
        <v>199</v>
      </c>
      <c r="K1080" s="14" t="s">
        <v>208</v>
      </c>
      <c r="L1080" s="14" t="s">
        <v>352</v>
      </c>
      <c r="M1080" s="14" t="s">
        <v>352</v>
      </c>
      <c r="N1080" s="14" t="s">
        <v>353</v>
      </c>
      <c r="O1080" s="14">
        <v>0.0</v>
      </c>
      <c r="P1080" s="21">
        <v>0.0</v>
      </c>
      <c r="Q1080" s="22" t="str">
        <f t="shared" ref="Q1080:R1080" si="642">"+0"</f>
        <v>+0</v>
      </c>
      <c r="R1080" s="18" t="str">
        <f t="shared" si="642"/>
        <v>+0</v>
      </c>
      <c r="S1080" s="14" t="s">
        <v>260</v>
      </c>
    </row>
    <row r="1081">
      <c r="A1081" s="13">
        <v>45901.0</v>
      </c>
      <c r="B1081" s="14" t="s">
        <v>47</v>
      </c>
      <c r="C1081" s="14" t="s">
        <v>48</v>
      </c>
      <c r="D1081" s="14" t="s">
        <v>96</v>
      </c>
      <c r="E1081" s="14" t="s">
        <v>97</v>
      </c>
      <c r="F1081" s="15" t="s">
        <v>51</v>
      </c>
      <c r="G1081" s="14" t="s">
        <v>98</v>
      </c>
      <c r="H1081" s="14" t="s">
        <v>96</v>
      </c>
      <c r="I1081" s="14" t="s">
        <v>59</v>
      </c>
      <c r="J1081" s="14" t="s">
        <v>200</v>
      </c>
      <c r="K1081" s="14" t="s">
        <v>223</v>
      </c>
      <c r="L1081" s="14" t="s">
        <v>607</v>
      </c>
      <c r="M1081" s="14" t="s">
        <v>692</v>
      </c>
      <c r="N1081" s="14" t="s">
        <v>693</v>
      </c>
      <c r="O1081" s="14">
        <v>0.0</v>
      </c>
      <c r="P1081" s="23">
        <v>0.0</v>
      </c>
      <c r="Q1081" s="22" t="str">
        <f t="shared" ref="Q1081:R1081" si="643">"+0.00%"</f>
        <v>+0.00%</v>
      </c>
      <c r="R1081" s="18" t="str">
        <f t="shared" si="643"/>
        <v>+0.00%</v>
      </c>
      <c r="S1081" s="14" t="s">
        <v>285</v>
      </c>
    </row>
    <row r="1082">
      <c r="A1082" s="13">
        <v>45901.0</v>
      </c>
      <c r="B1082" s="14" t="s">
        <v>47</v>
      </c>
      <c r="C1082" s="14" t="s">
        <v>48</v>
      </c>
      <c r="D1082" s="14" t="s">
        <v>116</v>
      </c>
      <c r="E1082" s="14" t="s">
        <v>117</v>
      </c>
      <c r="F1082" s="15" t="s">
        <v>51</v>
      </c>
      <c r="G1082" s="14" t="s">
        <v>161</v>
      </c>
      <c r="H1082" s="14" t="s">
        <v>116</v>
      </c>
      <c r="I1082" s="14" t="s">
        <v>54</v>
      </c>
      <c r="J1082" s="14" t="s">
        <v>200</v>
      </c>
      <c r="K1082" s="14" t="s">
        <v>213</v>
      </c>
      <c r="L1082" s="14" t="s">
        <v>440</v>
      </c>
      <c r="M1082" s="14" t="s">
        <v>441</v>
      </c>
      <c r="N1082" s="14" t="s">
        <v>442</v>
      </c>
      <c r="O1082" s="14">
        <v>0.0</v>
      </c>
      <c r="P1082" s="23">
        <v>0.0</v>
      </c>
      <c r="Q1082" s="22" t="str">
        <f t="shared" ref="Q1082:R1082" si="644">"+0.00%"</f>
        <v>+0.00%</v>
      </c>
      <c r="R1082" s="18" t="str">
        <f t="shared" si="644"/>
        <v>+0.00%</v>
      </c>
      <c r="S1082" s="14" t="s">
        <v>285</v>
      </c>
    </row>
    <row r="1083">
      <c r="A1083" s="13">
        <v>45901.0</v>
      </c>
      <c r="B1083" s="14" t="s">
        <v>47</v>
      </c>
      <c r="C1083" s="14" t="s">
        <v>48</v>
      </c>
      <c r="D1083" s="14" t="s">
        <v>108</v>
      </c>
      <c r="E1083" s="14" t="s">
        <v>109</v>
      </c>
      <c r="F1083" s="14" t="s">
        <v>146</v>
      </c>
      <c r="G1083" s="14" t="s">
        <v>180</v>
      </c>
      <c r="H1083" s="14" t="s">
        <v>108</v>
      </c>
      <c r="I1083" s="14" t="s">
        <v>59</v>
      </c>
      <c r="J1083" s="14" t="s">
        <v>199</v>
      </c>
      <c r="K1083" s="14" t="s">
        <v>206</v>
      </c>
      <c r="L1083" s="14" t="s">
        <v>433</v>
      </c>
      <c r="M1083" s="14" t="s">
        <v>433</v>
      </c>
      <c r="N1083" s="14" t="s">
        <v>434</v>
      </c>
      <c r="O1083" s="14">
        <v>100.0</v>
      </c>
      <c r="P1083" s="21">
        <v>11.0</v>
      </c>
      <c r="Q1083" s="22" t="str">
        <f>"+4"</f>
        <v>+4</v>
      </c>
      <c r="S1083" s="14" t="s">
        <v>383</v>
      </c>
    </row>
    <row r="1084">
      <c r="A1084" s="13">
        <v>45901.0</v>
      </c>
      <c r="B1084" s="14" t="s">
        <v>47</v>
      </c>
      <c r="C1084" s="14" t="s">
        <v>48</v>
      </c>
      <c r="D1084" s="14" t="s">
        <v>108</v>
      </c>
      <c r="E1084" s="14" t="s">
        <v>109</v>
      </c>
      <c r="F1084" s="14" t="s">
        <v>79</v>
      </c>
      <c r="G1084" s="14" t="s">
        <v>153</v>
      </c>
      <c r="H1084" s="14" t="s">
        <v>108</v>
      </c>
      <c r="I1084" s="14" t="s">
        <v>154</v>
      </c>
      <c r="J1084" s="14" t="s">
        <v>200</v>
      </c>
      <c r="K1084" s="14" t="s">
        <v>238</v>
      </c>
      <c r="L1084" s="14" t="s">
        <v>333</v>
      </c>
      <c r="M1084" s="14" t="s">
        <v>446</v>
      </c>
      <c r="N1084" s="14" t="s">
        <v>447</v>
      </c>
      <c r="O1084" s="14">
        <v>0.0</v>
      </c>
      <c r="P1084" s="23">
        <v>-1.0</v>
      </c>
      <c r="Q1084" s="22" t="str">
        <f>"+0.00%"</f>
        <v>+0.00%</v>
      </c>
      <c r="S1084" s="14" t="s">
        <v>336</v>
      </c>
    </row>
    <row r="1085">
      <c r="A1085" s="13">
        <v>45901.0</v>
      </c>
      <c r="B1085" s="14" t="s">
        <v>47</v>
      </c>
      <c r="C1085" s="14" t="s">
        <v>48</v>
      </c>
      <c r="D1085" s="14" t="s">
        <v>158</v>
      </c>
      <c r="E1085" s="14" t="s">
        <v>159</v>
      </c>
      <c r="F1085" s="15" t="s">
        <v>51</v>
      </c>
      <c r="G1085" s="14" t="s">
        <v>160</v>
      </c>
      <c r="H1085" s="14" t="s">
        <v>158</v>
      </c>
      <c r="I1085" s="14" t="s">
        <v>54</v>
      </c>
      <c r="J1085" s="14" t="s">
        <v>199</v>
      </c>
      <c r="K1085" s="14" t="s">
        <v>208</v>
      </c>
      <c r="L1085" s="14" t="s">
        <v>352</v>
      </c>
      <c r="M1085" s="14" t="s">
        <v>352</v>
      </c>
      <c r="N1085" s="14" t="s">
        <v>353</v>
      </c>
      <c r="O1085" s="14">
        <v>85.0</v>
      </c>
      <c r="P1085" s="21">
        <v>3.0</v>
      </c>
      <c r="Q1085" s="22" t="str">
        <f t="shared" ref="Q1085:R1085" si="645">"+0"</f>
        <v>+0</v>
      </c>
      <c r="R1085" s="18" t="str">
        <f t="shared" si="645"/>
        <v>+0</v>
      </c>
      <c r="S1085" s="14" t="s">
        <v>260</v>
      </c>
    </row>
    <row r="1086">
      <c r="A1086" s="13">
        <v>45901.0</v>
      </c>
      <c r="B1086" s="14" t="s">
        <v>47</v>
      </c>
      <c r="C1086" s="14" t="s">
        <v>48</v>
      </c>
      <c r="D1086" s="14" t="s">
        <v>77</v>
      </c>
      <c r="E1086" s="14" t="s">
        <v>78</v>
      </c>
      <c r="F1086" s="15" t="s">
        <v>51</v>
      </c>
      <c r="G1086" s="14" t="s">
        <v>128</v>
      </c>
      <c r="H1086" s="14" t="s">
        <v>81</v>
      </c>
      <c r="I1086" s="14" t="s">
        <v>59</v>
      </c>
      <c r="J1086" s="14" t="s">
        <v>200</v>
      </c>
      <c r="K1086" s="14" t="s">
        <v>227</v>
      </c>
      <c r="L1086" s="14" t="s">
        <v>721</v>
      </c>
      <c r="M1086" s="14" t="s">
        <v>1060</v>
      </c>
      <c r="N1086" s="14" t="s">
        <v>1061</v>
      </c>
      <c r="O1086" s="14">
        <v>32.0</v>
      </c>
      <c r="P1086" s="23">
        <v>-0.3571</v>
      </c>
      <c r="Q1086" s="22" t="str">
        <f>"+4.29%"</f>
        <v>+4.29%</v>
      </c>
      <c r="R1086" s="18" t="str">
        <f>"-29.46%"</f>
        <v>-29.46%</v>
      </c>
      <c r="S1086" s="14" t="s">
        <v>1062</v>
      </c>
    </row>
    <row r="1087">
      <c r="A1087" s="13">
        <v>45901.0</v>
      </c>
      <c r="B1087" s="14" t="s">
        <v>47</v>
      </c>
      <c r="C1087" s="14" t="s">
        <v>48</v>
      </c>
      <c r="D1087" s="14" t="s">
        <v>108</v>
      </c>
      <c r="E1087" s="14" t="s">
        <v>109</v>
      </c>
      <c r="F1087" s="15" t="s">
        <v>51</v>
      </c>
      <c r="G1087" s="14" t="s">
        <v>110</v>
      </c>
      <c r="H1087" s="14" t="s">
        <v>108</v>
      </c>
      <c r="I1087" s="14" t="s">
        <v>59</v>
      </c>
      <c r="J1087" s="14" t="s">
        <v>199</v>
      </c>
      <c r="K1087" s="14" t="s">
        <v>203</v>
      </c>
      <c r="L1087" s="14" t="s">
        <v>725</v>
      </c>
      <c r="M1087" s="14" t="s">
        <v>725</v>
      </c>
      <c r="N1087" s="14" t="s">
        <v>726</v>
      </c>
      <c r="O1087" s="14">
        <v>0.0</v>
      </c>
      <c r="P1087" s="21">
        <v>0.0</v>
      </c>
      <c r="Q1087" s="22" t="str">
        <f t="shared" ref="Q1087:R1087" si="646">"+0"</f>
        <v>+0</v>
      </c>
      <c r="R1087" s="18" t="str">
        <f t="shared" si="646"/>
        <v>+0</v>
      </c>
      <c r="S1087" s="14" t="s">
        <v>260</v>
      </c>
    </row>
    <row r="1088">
      <c r="A1088" s="13">
        <v>45901.0</v>
      </c>
      <c r="B1088" s="14" t="s">
        <v>47</v>
      </c>
      <c r="C1088" s="14" t="s">
        <v>48</v>
      </c>
      <c r="D1088" s="14" t="s">
        <v>108</v>
      </c>
      <c r="E1088" s="14" t="s">
        <v>109</v>
      </c>
      <c r="F1088" s="15" t="s">
        <v>51</v>
      </c>
      <c r="G1088" s="14" t="s">
        <v>110</v>
      </c>
      <c r="H1088" s="14" t="s">
        <v>108</v>
      </c>
      <c r="I1088" s="14" t="s">
        <v>59</v>
      </c>
      <c r="J1088" s="14" t="s">
        <v>200</v>
      </c>
      <c r="K1088" s="14" t="s">
        <v>233</v>
      </c>
      <c r="L1088" s="14" t="s">
        <v>1269</v>
      </c>
      <c r="M1088" s="14" t="s">
        <v>1270</v>
      </c>
      <c r="N1088" s="14" t="s">
        <v>1271</v>
      </c>
      <c r="O1088" s="14">
        <v>0.0</v>
      </c>
      <c r="P1088" s="21">
        <v>0.0</v>
      </c>
      <c r="Q1088" s="22" t="str">
        <f>"+0"</f>
        <v>+0</v>
      </c>
      <c r="S1088" s="14" t="s">
        <v>260</v>
      </c>
    </row>
    <row r="1089">
      <c r="A1089" s="13">
        <v>45901.0</v>
      </c>
      <c r="B1089" s="14" t="s">
        <v>47</v>
      </c>
      <c r="C1089" s="14" t="s">
        <v>48</v>
      </c>
      <c r="D1089" s="14" t="s">
        <v>140</v>
      </c>
      <c r="E1089" s="14" t="s">
        <v>141</v>
      </c>
      <c r="F1089" s="15" t="s">
        <v>51</v>
      </c>
      <c r="G1089" s="14" t="s">
        <v>142</v>
      </c>
      <c r="H1089" s="14" t="s">
        <v>140</v>
      </c>
      <c r="I1089" s="14" t="s">
        <v>59</v>
      </c>
      <c r="J1089" s="14" t="s">
        <v>200</v>
      </c>
      <c r="K1089" s="14" t="s">
        <v>213</v>
      </c>
      <c r="L1089" s="14" t="s">
        <v>253</v>
      </c>
      <c r="M1089" s="14" t="s">
        <v>389</v>
      </c>
      <c r="N1089" s="14" t="s">
        <v>390</v>
      </c>
      <c r="O1089" s="14">
        <v>20.0</v>
      </c>
      <c r="P1089" s="23">
        <v>0.2023</v>
      </c>
      <c r="Q1089" s="22" t="str">
        <f>"+4.35%"</f>
        <v>+4.35%</v>
      </c>
      <c r="R1089" s="18" t="str">
        <f>"+0.53%"</f>
        <v>+0.53%</v>
      </c>
      <c r="S1089" s="14" t="s">
        <v>1272</v>
      </c>
    </row>
    <row r="1090">
      <c r="A1090" s="13">
        <v>45901.0</v>
      </c>
      <c r="B1090" s="14" t="s">
        <v>47</v>
      </c>
      <c r="C1090" s="14" t="s">
        <v>48</v>
      </c>
      <c r="D1090" s="14" t="s">
        <v>165</v>
      </c>
      <c r="E1090" s="14" t="s">
        <v>166</v>
      </c>
      <c r="F1090" s="15" t="s">
        <v>51</v>
      </c>
      <c r="G1090" s="14" t="s">
        <v>167</v>
      </c>
      <c r="H1090" s="14" t="s">
        <v>165</v>
      </c>
      <c r="I1090" s="14" t="s">
        <v>54</v>
      </c>
      <c r="J1090" s="14" t="s">
        <v>198</v>
      </c>
      <c r="K1090" s="14" t="s">
        <v>210</v>
      </c>
      <c r="L1090" s="14" t="s">
        <v>264</v>
      </c>
      <c r="M1090" s="14" t="s">
        <v>943</v>
      </c>
      <c r="N1090" s="14" t="s">
        <v>944</v>
      </c>
      <c r="O1090" s="14">
        <v>0.0</v>
      </c>
      <c r="P1090" s="21">
        <v>0.0</v>
      </c>
      <c r="Q1090" s="22" t="str">
        <f t="shared" ref="Q1090:R1090" si="647">"+0"</f>
        <v>+0</v>
      </c>
      <c r="R1090" s="18" t="str">
        <f t="shared" si="647"/>
        <v>+0</v>
      </c>
      <c r="S1090" s="14" t="s">
        <v>277</v>
      </c>
    </row>
    <row r="1091">
      <c r="A1091" s="13">
        <v>45901.0</v>
      </c>
      <c r="B1091" s="14" t="s">
        <v>47</v>
      </c>
      <c r="C1091" s="14" t="s">
        <v>48</v>
      </c>
      <c r="D1091" s="14" t="s">
        <v>99</v>
      </c>
      <c r="E1091" s="14" t="s">
        <v>100</v>
      </c>
      <c r="F1091" s="15" t="s">
        <v>51</v>
      </c>
      <c r="G1091" s="14" t="s">
        <v>101</v>
      </c>
      <c r="H1091" s="14" t="s">
        <v>102</v>
      </c>
      <c r="I1091" s="14" t="s">
        <v>54</v>
      </c>
      <c r="J1091" s="14" t="s">
        <v>200</v>
      </c>
      <c r="K1091" s="14" t="s">
        <v>229</v>
      </c>
      <c r="L1091" s="14" t="s">
        <v>253</v>
      </c>
      <c r="M1091" s="14" t="s">
        <v>366</v>
      </c>
      <c r="N1091" s="14" t="s">
        <v>367</v>
      </c>
      <c r="O1091" s="14">
        <v>1.0</v>
      </c>
      <c r="P1091" s="23">
        <v>0.02</v>
      </c>
      <c r="Q1091" s="22" t="str">
        <f>"+0.00%"</f>
        <v>+0.00%</v>
      </c>
      <c r="R1091" s="18" t="str">
        <f>"+2.00%"</f>
        <v>+2.00%</v>
      </c>
      <c r="S1091" s="14" t="s">
        <v>1273</v>
      </c>
    </row>
    <row r="1092">
      <c r="A1092" s="13">
        <v>45901.0</v>
      </c>
      <c r="B1092" s="14" t="s">
        <v>47</v>
      </c>
      <c r="C1092" s="14" t="s">
        <v>48</v>
      </c>
      <c r="D1092" s="14" t="s">
        <v>91</v>
      </c>
      <c r="E1092" s="14" t="s">
        <v>92</v>
      </c>
      <c r="F1092" s="14" t="s">
        <v>71</v>
      </c>
      <c r="G1092" s="14">
        <v>5.00008613E8</v>
      </c>
      <c r="H1092" s="14" t="s">
        <v>91</v>
      </c>
      <c r="I1092" s="14" t="s">
        <v>59</v>
      </c>
      <c r="J1092" s="14" t="s">
        <v>199</v>
      </c>
      <c r="K1092" s="14" t="s">
        <v>206</v>
      </c>
      <c r="L1092" s="14" t="s">
        <v>295</v>
      </c>
      <c r="M1092" s="14" t="s">
        <v>529</v>
      </c>
      <c r="N1092" s="14" t="s">
        <v>530</v>
      </c>
      <c r="O1092" s="14">
        <v>100.0</v>
      </c>
      <c r="P1092" s="21">
        <v>20.0</v>
      </c>
      <c r="Q1092" s="22" t="str">
        <f t="shared" ref="Q1092:R1092" si="648">"+0"</f>
        <v>+0</v>
      </c>
      <c r="R1092" s="18" t="str">
        <f t="shared" si="648"/>
        <v>+0</v>
      </c>
      <c r="S1092" s="14" t="s">
        <v>260</v>
      </c>
    </row>
    <row r="1093">
      <c r="A1093" s="13">
        <v>45901.0</v>
      </c>
      <c r="B1093" s="14" t="s">
        <v>47</v>
      </c>
      <c r="C1093" s="14" t="s">
        <v>48</v>
      </c>
      <c r="D1093" s="14" t="s">
        <v>91</v>
      </c>
      <c r="E1093" s="14" t="s">
        <v>92</v>
      </c>
      <c r="F1093" s="14" t="s">
        <v>71</v>
      </c>
      <c r="G1093" s="14">
        <v>7295600.0</v>
      </c>
      <c r="H1093" s="14" t="s">
        <v>91</v>
      </c>
      <c r="I1093" s="14" t="s">
        <v>54</v>
      </c>
      <c r="J1093" s="14" t="s">
        <v>199</v>
      </c>
      <c r="K1093" s="14" t="s">
        <v>203</v>
      </c>
      <c r="L1093" s="14" t="s">
        <v>1083</v>
      </c>
      <c r="M1093" s="14" t="s">
        <v>1083</v>
      </c>
      <c r="N1093" s="14" t="s">
        <v>1084</v>
      </c>
      <c r="O1093" s="14">
        <v>100.0</v>
      </c>
      <c r="P1093" s="21">
        <v>1.0</v>
      </c>
      <c r="Q1093" s="22" t="str">
        <f t="shared" ref="Q1093:Q1095" si="649">"+0"</f>
        <v>+0</v>
      </c>
      <c r="R1093" s="18" t="str">
        <f>"+1"</f>
        <v>+1</v>
      </c>
      <c r="S1093" s="14" t="s">
        <v>260</v>
      </c>
    </row>
    <row r="1094">
      <c r="A1094" s="13">
        <v>45901.0</v>
      </c>
      <c r="B1094" s="14" t="s">
        <v>47</v>
      </c>
      <c r="C1094" s="14" t="s">
        <v>48</v>
      </c>
      <c r="D1094" s="14" t="s">
        <v>118</v>
      </c>
      <c r="E1094" s="14" t="s">
        <v>119</v>
      </c>
      <c r="F1094" s="15" t="s">
        <v>51</v>
      </c>
      <c r="G1094" s="14" t="s">
        <v>120</v>
      </c>
      <c r="H1094" s="14" t="s">
        <v>118</v>
      </c>
      <c r="I1094" s="14" t="s">
        <v>59</v>
      </c>
      <c r="J1094" s="14" t="s">
        <v>200</v>
      </c>
      <c r="K1094" s="14" t="s">
        <v>213</v>
      </c>
      <c r="L1094" s="14" t="s">
        <v>359</v>
      </c>
      <c r="M1094" s="14" t="s">
        <v>519</v>
      </c>
      <c r="N1094" s="14" t="s">
        <v>520</v>
      </c>
      <c r="O1094" s="14">
        <v>0.0</v>
      </c>
      <c r="P1094" s="21">
        <v>0.0</v>
      </c>
      <c r="Q1094" s="22" t="str">
        <f t="shared" si="649"/>
        <v>+0</v>
      </c>
      <c r="R1094" s="18" t="str">
        <f t="shared" ref="R1094:R1095" si="650">"+0"</f>
        <v>+0</v>
      </c>
      <c r="S1094" s="14" t="s">
        <v>260</v>
      </c>
    </row>
    <row r="1095">
      <c r="A1095" s="13">
        <v>45901.0</v>
      </c>
      <c r="B1095" s="14" t="s">
        <v>47</v>
      </c>
      <c r="C1095" s="14" t="s">
        <v>48</v>
      </c>
      <c r="D1095" s="14" t="s">
        <v>118</v>
      </c>
      <c r="E1095" s="14" t="s">
        <v>119</v>
      </c>
      <c r="F1095" s="15" t="s">
        <v>51</v>
      </c>
      <c r="G1095" s="14" t="s">
        <v>120</v>
      </c>
      <c r="H1095" s="14" t="s">
        <v>118</v>
      </c>
      <c r="I1095" s="14" t="s">
        <v>59</v>
      </c>
      <c r="J1095" s="14" t="s">
        <v>200</v>
      </c>
      <c r="K1095" s="14" t="s">
        <v>227</v>
      </c>
      <c r="L1095" s="14" t="s">
        <v>328</v>
      </c>
      <c r="M1095" s="14" t="s">
        <v>329</v>
      </c>
      <c r="N1095" s="14" t="s">
        <v>330</v>
      </c>
      <c r="O1095" s="14">
        <v>0.0</v>
      </c>
      <c r="P1095" s="21">
        <v>0.0</v>
      </c>
      <c r="Q1095" s="22" t="str">
        <f t="shared" si="649"/>
        <v>+0</v>
      </c>
      <c r="R1095" s="18" t="str">
        <f t="shared" si="650"/>
        <v>+0</v>
      </c>
      <c r="S1095" s="14" t="s">
        <v>260</v>
      </c>
    </row>
    <row r="1096">
      <c r="A1096" s="13">
        <v>45901.0</v>
      </c>
      <c r="B1096" s="14" t="s">
        <v>47</v>
      </c>
      <c r="C1096" s="14" t="s">
        <v>48</v>
      </c>
      <c r="D1096" s="14" t="s">
        <v>63</v>
      </c>
      <c r="E1096" s="14" t="s">
        <v>64</v>
      </c>
      <c r="F1096" s="15" t="s">
        <v>51</v>
      </c>
      <c r="G1096" s="14" t="s">
        <v>65</v>
      </c>
      <c r="H1096" s="14" t="s">
        <v>63</v>
      </c>
      <c r="I1096" s="14" t="s">
        <v>54</v>
      </c>
      <c r="J1096" s="14" t="s">
        <v>200</v>
      </c>
      <c r="K1096" s="14" t="s">
        <v>227</v>
      </c>
      <c r="L1096" s="14" t="s">
        <v>721</v>
      </c>
      <c r="M1096" s="14" t="s">
        <v>722</v>
      </c>
      <c r="N1096" s="14" t="s">
        <v>723</v>
      </c>
      <c r="O1096" s="14">
        <v>36.0</v>
      </c>
      <c r="P1096" s="23">
        <v>-0.2777</v>
      </c>
      <c r="Q1096" s="22" t="str">
        <f>"+3.64%"</f>
        <v>+3.64%</v>
      </c>
      <c r="R1096" s="18" t="str">
        <f>"+0.05%"</f>
        <v>+0.05%</v>
      </c>
      <c r="S1096" s="14" t="s">
        <v>724</v>
      </c>
    </row>
    <row r="1097">
      <c r="A1097" s="13">
        <v>45901.0</v>
      </c>
      <c r="B1097" s="14" t="s">
        <v>47</v>
      </c>
      <c r="C1097" s="14" t="s">
        <v>48</v>
      </c>
      <c r="D1097" s="14" t="s">
        <v>158</v>
      </c>
      <c r="E1097" s="14" t="s">
        <v>159</v>
      </c>
      <c r="F1097" s="15" t="s">
        <v>51</v>
      </c>
      <c r="G1097" s="14" t="s">
        <v>160</v>
      </c>
      <c r="H1097" s="14" t="s">
        <v>158</v>
      </c>
      <c r="I1097" s="14" t="s">
        <v>54</v>
      </c>
      <c r="J1097" s="14" t="s">
        <v>200</v>
      </c>
      <c r="K1097" s="14" t="s">
        <v>224</v>
      </c>
      <c r="L1097" s="14" t="s">
        <v>453</v>
      </c>
      <c r="M1097" s="14" t="s">
        <v>665</v>
      </c>
      <c r="N1097" s="14" t="s">
        <v>666</v>
      </c>
      <c r="O1097" s="14">
        <v>0.0</v>
      </c>
      <c r="P1097" s="17"/>
      <c r="Q1097" s="22"/>
      <c r="S1097" s="14" t="s">
        <v>667</v>
      </c>
    </row>
    <row r="1098">
      <c r="A1098" s="13">
        <v>45901.0</v>
      </c>
      <c r="B1098" s="14" t="s">
        <v>47</v>
      </c>
      <c r="C1098" s="14" t="s">
        <v>48</v>
      </c>
      <c r="D1098" s="14" t="s">
        <v>158</v>
      </c>
      <c r="E1098" s="14" t="s">
        <v>159</v>
      </c>
      <c r="F1098" s="15" t="s">
        <v>51</v>
      </c>
      <c r="G1098" s="14" t="s">
        <v>160</v>
      </c>
      <c r="H1098" s="14" t="s">
        <v>158</v>
      </c>
      <c r="I1098" s="14" t="s">
        <v>54</v>
      </c>
      <c r="J1098" s="14" t="s">
        <v>198</v>
      </c>
      <c r="K1098" s="14" t="s">
        <v>210</v>
      </c>
      <c r="L1098" s="14" t="s">
        <v>264</v>
      </c>
      <c r="M1098" s="14" t="s">
        <v>1274</v>
      </c>
      <c r="N1098" s="14" t="s">
        <v>1275</v>
      </c>
      <c r="O1098" s="14">
        <v>0.0</v>
      </c>
      <c r="P1098" s="21">
        <v>0.0</v>
      </c>
      <c r="Q1098" s="22" t="str">
        <f t="shared" ref="Q1098:R1098" si="651">"+0"</f>
        <v>+0</v>
      </c>
      <c r="R1098" s="18" t="str">
        <f t="shared" si="651"/>
        <v>+0</v>
      </c>
      <c r="S1098" s="14" t="s">
        <v>277</v>
      </c>
    </row>
    <row r="1099">
      <c r="A1099" s="13">
        <v>45901.0</v>
      </c>
      <c r="B1099" s="14" t="s">
        <v>47</v>
      </c>
      <c r="C1099" s="14" t="s">
        <v>48</v>
      </c>
      <c r="D1099" s="14" t="s">
        <v>77</v>
      </c>
      <c r="E1099" s="14" t="s">
        <v>78</v>
      </c>
      <c r="F1099" s="15" t="s">
        <v>51</v>
      </c>
      <c r="G1099" s="14" t="s">
        <v>128</v>
      </c>
      <c r="H1099" s="14" t="s">
        <v>81</v>
      </c>
      <c r="I1099" s="14" t="s">
        <v>59</v>
      </c>
      <c r="J1099" s="14" t="s">
        <v>200</v>
      </c>
      <c r="K1099" s="14" t="s">
        <v>222</v>
      </c>
      <c r="L1099" s="14" t="s">
        <v>253</v>
      </c>
      <c r="M1099" s="14" t="s">
        <v>732</v>
      </c>
      <c r="N1099" s="14" t="s">
        <v>733</v>
      </c>
      <c r="O1099" s="14">
        <v>50.0</v>
      </c>
      <c r="P1099" s="21">
        <v>1.0</v>
      </c>
      <c r="Q1099" s="22" t="str">
        <f t="shared" ref="Q1099:R1099" si="652">"+0"</f>
        <v>+0</v>
      </c>
      <c r="R1099" s="18" t="str">
        <f t="shared" si="652"/>
        <v>+0</v>
      </c>
      <c r="S1099" s="14" t="s">
        <v>450</v>
      </c>
    </row>
    <row r="1100">
      <c r="A1100" s="13">
        <v>45901.0</v>
      </c>
      <c r="B1100" s="14" t="s">
        <v>47</v>
      </c>
      <c r="C1100" s="14" t="s">
        <v>48</v>
      </c>
      <c r="D1100" s="14" t="s">
        <v>56</v>
      </c>
      <c r="E1100" s="14" t="s">
        <v>57</v>
      </c>
      <c r="F1100" s="15" t="s">
        <v>51</v>
      </c>
      <c r="G1100" s="14" t="s">
        <v>58</v>
      </c>
      <c r="H1100" s="14" t="s">
        <v>56</v>
      </c>
      <c r="I1100" s="14" t="s">
        <v>59</v>
      </c>
      <c r="J1100" s="14" t="s">
        <v>200</v>
      </c>
      <c r="K1100" s="14" t="s">
        <v>204</v>
      </c>
      <c r="L1100" s="14" t="s">
        <v>253</v>
      </c>
      <c r="M1100" s="14" t="s">
        <v>490</v>
      </c>
      <c r="N1100" s="14" t="s">
        <v>491</v>
      </c>
      <c r="O1100" s="14">
        <v>0.0</v>
      </c>
      <c r="P1100" s="23">
        <v>0.0</v>
      </c>
      <c r="Q1100" s="22" t="str">
        <f t="shared" ref="Q1100:R1100" si="653">"+0.00%"</f>
        <v>+0.00%</v>
      </c>
      <c r="R1100" s="18" t="str">
        <f t="shared" si="653"/>
        <v>+0.00%</v>
      </c>
      <c r="S1100" s="14" t="s">
        <v>492</v>
      </c>
    </row>
    <row r="1101">
      <c r="A1101" s="13">
        <v>45901.0</v>
      </c>
      <c r="B1101" s="14" t="s">
        <v>47</v>
      </c>
      <c r="C1101" s="14" t="s">
        <v>48</v>
      </c>
      <c r="D1101" s="14" t="s">
        <v>91</v>
      </c>
      <c r="E1101" s="14" t="s">
        <v>92</v>
      </c>
      <c r="F1101" s="14" t="s">
        <v>79</v>
      </c>
      <c r="G1101" s="14" t="s">
        <v>164</v>
      </c>
      <c r="H1101" s="14" t="s">
        <v>91</v>
      </c>
      <c r="I1101" s="14" t="s">
        <v>154</v>
      </c>
      <c r="J1101" s="14" t="s">
        <v>199</v>
      </c>
      <c r="K1101" s="14" t="s">
        <v>206</v>
      </c>
      <c r="L1101" s="14" t="s">
        <v>531</v>
      </c>
      <c r="M1101" s="14" t="s">
        <v>531</v>
      </c>
      <c r="N1101" s="14" t="s">
        <v>532</v>
      </c>
      <c r="O1101" s="14">
        <v>100.0</v>
      </c>
      <c r="P1101" s="21">
        <v>13.0</v>
      </c>
      <c r="Q1101" s="22" t="str">
        <f t="shared" ref="Q1101:R1101" si="654">"+0"</f>
        <v>+0</v>
      </c>
      <c r="R1101" s="18" t="str">
        <f t="shared" si="654"/>
        <v>+0</v>
      </c>
      <c r="S1101" s="14" t="s">
        <v>260</v>
      </c>
    </row>
    <row r="1102">
      <c r="A1102" s="13">
        <v>45901.0</v>
      </c>
      <c r="B1102" s="14" t="s">
        <v>47</v>
      </c>
      <c r="C1102" s="14" t="s">
        <v>48</v>
      </c>
      <c r="D1102" s="14" t="s">
        <v>192</v>
      </c>
      <c r="E1102" s="14" t="s">
        <v>193</v>
      </c>
      <c r="F1102" s="15" t="s">
        <v>51</v>
      </c>
      <c r="G1102" s="14" t="s">
        <v>194</v>
      </c>
      <c r="H1102" s="14" t="s">
        <v>192</v>
      </c>
      <c r="I1102" s="14" t="s">
        <v>54</v>
      </c>
      <c r="J1102" s="14" t="s">
        <v>200</v>
      </c>
      <c r="K1102" s="14" t="s">
        <v>231</v>
      </c>
      <c r="L1102" s="14" t="s">
        <v>512</v>
      </c>
      <c r="M1102" s="14" t="s">
        <v>1276</v>
      </c>
      <c r="N1102" s="14" t="s">
        <v>1277</v>
      </c>
      <c r="O1102" s="14">
        <v>100.0</v>
      </c>
      <c r="P1102" s="21">
        <v>2242.0</v>
      </c>
      <c r="Q1102" s="22" t="str">
        <f>"+327"</f>
        <v>+327</v>
      </c>
      <c r="R1102" s="18" t="str">
        <f>"-1,271"</f>
        <v>-1,271</v>
      </c>
      <c r="S1102" s="14" t="s">
        <v>260</v>
      </c>
    </row>
    <row r="1103">
      <c r="A1103" s="13">
        <v>45901.0</v>
      </c>
      <c r="B1103" s="14" t="s">
        <v>47</v>
      </c>
      <c r="C1103" s="14" t="s">
        <v>48</v>
      </c>
      <c r="D1103" s="14" t="s">
        <v>66</v>
      </c>
      <c r="E1103" s="14" t="s">
        <v>67</v>
      </c>
      <c r="F1103" s="15" t="s">
        <v>51</v>
      </c>
      <c r="G1103" s="14" t="s">
        <v>68</v>
      </c>
      <c r="H1103" s="14" t="s">
        <v>66</v>
      </c>
      <c r="I1103" s="14" t="s">
        <v>59</v>
      </c>
      <c r="J1103" s="14" t="s">
        <v>198</v>
      </c>
      <c r="K1103" s="14" t="s">
        <v>205</v>
      </c>
      <c r="L1103" s="14" t="s">
        <v>274</v>
      </c>
      <c r="M1103" s="14" t="s">
        <v>791</v>
      </c>
      <c r="N1103" s="14" t="s">
        <v>792</v>
      </c>
      <c r="O1103" s="14">
        <v>50.0</v>
      </c>
      <c r="P1103" s="21">
        <v>1.0</v>
      </c>
      <c r="Q1103" s="22" t="str">
        <f>"+0"</f>
        <v>+0</v>
      </c>
      <c r="S1103" s="14" t="s">
        <v>260</v>
      </c>
    </row>
    <row r="1104">
      <c r="A1104" s="13">
        <v>45901.0</v>
      </c>
      <c r="B1104" s="14" t="s">
        <v>47</v>
      </c>
      <c r="C1104" s="14" t="s">
        <v>48</v>
      </c>
      <c r="D1104" s="14" t="s">
        <v>93</v>
      </c>
      <c r="E1104" s="14" t="s">
        <v>94</v>
      </c>
      <c r="F1104" s="15" t="s">
        <v>51</v>
      </c>
      <c r="G1104" s="14" t="s">
        <v>191</v>
      </c>
      <c r="H1104" s="14" t="s">
        <v>95</v>
      </c>
      <c r="I1104" s="14" t="s">
        <v>59</v>
      </c>
      <c r="J1104" s="14" t="s">
        <v>200</v>
      </c>
      <c r="K1104" s="14" t="s">
        <v>215</v>
      </c>
      <c r="L1104" s="14" t="s">
        <v>253</v>
      </c>
      <c r="M1104" s="14" t="s">
        <v>630</v>
      </c>
      <c r="N1104" s="14" t="s">
        <v>631</v>
      </c>
      <c r="O1104" s="14">
        <v>1.0</v>
      </c>
      <c r="P1104" s="23">
        <v>0.0049</v>
      </c>
      <c r="Q1104" s="22" t="str">
        <f t="shared" ref="Q1104:R1104" si="655">"+0.00%"</f>
        <v>+0.00%</v>
      </c>
      <c r="R1104" s="18" t="str">
        <f t="shared" si="655"/>
        <v>+0.00%</v>
      </c>
      <c r="S1104" s="14" t="s">
        <v>1278</v>
      </c>
    </row>
    <row r="1105">
      <c r="A1105" s="13">
        <v>45901.0</v>
      </c>
      <c r="B1105" s="14" t="s">
        <v>47</v>
      </c>
      <c r="C1105" s="14" t="s">
        <v>48</v>
      </c>
      <c r="D1105" s="14" t="s">
        <v>66</v>
      </c>
      <c r="E1105" s="14" t="s">
        <v>67</v>
      </c>
      <c r="F1105" s="15" t="s">
        <v>51</v>
      </c>
      <c r="G1105" s="14" t="s">
        <v>68</v>
      </c>
      <c r="H1105" s="14" t="s">
        <v>66</v>
      </c>
      <c r="I1105" s="14" t="s">
        <v>59</v>
      </c>
      <c r="J1105" s="14" t="s">
        <v>200</v>
      </c>
      <c r="K1105" s="14" t="s">
        <v>231</v>
      </c>
      <c r="L1105" s="14" t="s">
        <v>372</v>
      </c>
      <c r="M1105" s="14" t="s">
        <v>1279</v>
      </c>
      <c r="N1105" s="14" t="s">
        <v>1280</v>
      </c>
      <c r="O1105" s="14">
        <v>0.0</v>
      </c>
      <c r="P1105" s="21">
        <v>0.0</v>
      </c>
      <c r="Q1105" s="22" t="str">
        <f t="shared" ref="Q1105:R1105" si="656">"+0"</f>
        <v>+0</v>
      </c>
      <c r="R1105" s="18" t="str">
        <f t="shared" si="656"/>
        <v>+0</v>
      </c>
      <c r="S1105" s="14" t="s">
        <v>260</v>
      </c>
    </row>
    <row r="1106">
      <c r="A1106" s="13">
        <v>45901.0</v>
      </c>
      <c r="B1106" s="14" t="s">
        <v>47</v>
      </c>
      <c r="C1106" s="14" t="s">
        <v>48</v>
      </c>
      <c r="D1106" s="14" t="s">
        <v>93</v>
      </c>
      <c r="E1106" s="14" t="s">
        <v>94</v>
      </c>
      <c r="F1106" s="15" t="s">
        <v>51</v>
      </c>
      <c r="G1106" s="14" t="s">
        <v>191</v>
      </c>
      <c r="H1106" s="14" t="s">
        <v>95</v>
      </c>
      <c r="I1106" s="14" t="s">
        <v>59</v>
      </c>
      <c r="J1106" s="14" t="s">
        <v>198</v>
      </c>
      <c r="K1106" s="14" t="s">
        <v>205</v>
      </c>
      <c r="L1106" s="14" t="s">
        <v>274</v>
      </c>
      <c r="M1106" s="14" t="s">
        <v>738</v>
      </c>
      <c r="N1106" s="14" t="s">
        <v>739</v>
      </c>
      <c r="O1106" s="14">
        <v>0.0</v>
      </c>
      <c r="P1106" s="21">
        <v>0.0</v>
      </c>
      <c r="Q1106" s="22" t="str">
        <f>"+0"</f>
        <v>+0</v>
      </c>
      <c r="S1106" s="14" t="s">
        <v>281</v>
      </c>
    </row>
    <row r="1107">
      <c r="A1107" s="13">
        <v>45901.0</v>
      </c>
      <c r="B1107" s="14" t="s">
        <v>47</v>
      </c>
      <c r="C1107" s="14" t="s">
        <v>48</v>
      </c>
      <c r="D1107" s="14" t="s">
        <v>192</v>
      </c>
      <c r="E1107" s="14" t="s">
        <v>193</v>
      </c>
      <c r="F1107" s="15" t="s">
        <v>51</v>
      </c>
      <c r="G1107" s="14" t="s">
        <v>194</v>
      </c>
      <c r="H1107" s="14" t="s">
        <v>192</v>
      </c>
      <c r="I1107" s="14" t="s">
        <v>54</v>
      </c>
      <c r="J1107" s="14" t="s">
        <v>200</v>
      </c>
      <c r="K1107" s="14" t="s">
        <v>211</v>
      </c>
      <c r="L1107" s="14" t="s">
        <v>253</v>
      </c>
      <c r="M1107" s="14" t="s">
        <v>1024</v>
      </c>
      <c r="N1107" s="14" t="s">
        <v>1025</v>
      </c>
      <c r="O1107" s="14">
        <v>0.0</v>
      </c>
      <c r="P1107" s="23">
        <v>0.0</v>
      </c>
      <c r="Q1107" s="22" t="str">
        <f t="shared" ref="Q1107:R1107" si="657">"+0.00%"</f>
        <v>+0.00%</v>
      </c>
      <c r="R1107" s="18" t="str">
        <f t="shared" si="657"/>
        <v>+0.00%</v>
      </c>
      <c r="S1107" s="14" t="s">
        <v>1281</v>
      </c>
    </row>
    <row r="1108">
      <c r="A1108" s="13">
        <v>45901.0</v>
      </c>
      <c r="B1108" s="14" t="s">
        <v>47</v>
      </c>
      <c r="C1108" s="14" t="s">
        <v>48</v>
      </c>
      <c r="D1108" s="14" t="s">
        <v>82</v>
      </c>
      <c r="E1108" s="14" t="s">
        <v>83</v>
      </c>
      <c r="F1108" s="15" t="s">
        <v>51</v>
      </c>
      <c r="G1108" s="14" t="s">
        <v>84</v>
      </c>
      <c r="H1108" s="14" t="s">
        <v>82</v>
      </c>
      <c r="I1108" s="14" t="s">
        <v>59</v>
      </c>
      <c r="J1108" s="14" t="s">
        <v>200</v>
      </c>
      <c r="K1108" s="14" t="s">
        <v>213</v>
      </c>
      <c r="L1108" s="14" t="s">
        <v>257</v>
      </c>
      <c r="M1108" s="14" t="s">
        <v>315</v>
      </c>
      <c r="N1108" s="14" t="s">
        <v>316</v>
      </c>
      <c r="O1108" s="14">
        <v>54.0</v>
      </c>
      <c r="P1108" s="23">
        <v>0.5405</v>
      </c>
      <c r="Q1108" s="22" t="str">
        <f>"-11.57%"</f>
        <v>-11.57%</v>
      </c>
      <c r="R1108" s="18" t="str">
        <f>"-2.04%"</f>
        <v>-2.04%</v>
      </c>
      <c r="S1108" s="14" t="s">
        <v>1282</v>
      </c>
    </row>
    <row r="1109">
      <c r="A1109" s="13">
        <v>45901.0</v>
      </c>
      <c r="B1109" s="14" t="s">
        <v>47</v>
      </c>
      <c r="C1109" s="14" t="s">
        <v>48</v>
      </c>
      <c r="D1109" s="14" t="s">
        <v>143</v>
      </c>
      <c r="E1109" s="14" t="s">
        <v>144</v>
      </c>
      <c r="F1109" s="15" t="s">
        <v>51</v>
      </c>
      <c r="G1109" s="14" t="s">
        <v>145</v>
      </c>
      <c r="H1109" s="14" t="s">
        <v>143</v>
      </c>
      <c r="I1109" s="14" t="s">
        <v>59</v>
      </c>
      <c r="J1109" s="14" t="s">
        <v>200</v>
      </c>
      <c r="K1109" s="14" t="s">
        <v>227</v>
      </c>
      <c r="L1109" s="14" t="s">
        <v>270</v>
      </c>
      <c r="M1109" s="14" t="s">
        <v>321</v>
      </c>
      <c r="N1109" s="14" t="s">
        <v>322</v>
      </c>
      <c r="O1109" s="14">
        <v>54.0</v>
      </c>
      <c r="P1109" s="23">
        <v>0.0909</v>
      </c>
      <c r="Q1109" s="22" t="str">
        <f>"+109.09%"</f>
        <v>+109.09%</v>
      </c>
      <c r="R1109" s="18" t="str">
        <f>"-5.19%"</f>
        <v>-5.19%</v>
      </c>
      <c r="S1109" s="14" t="s">
        <v>323</v>
      </c>
    </row>
    <row r="1110">
      <c r="A1110" s="13">
        <v>45901.0</v>
      </c>
      <c r="B1110" s="14" t="s">
        <v>47</v>
      </c>
      <c r="C1110" s="14" t="s">
        <v>48</v>
      </c>
      <c r="D1110" s="14" t="s">
        <v>73</v>
      </c>
      <c r="E1110" s="14" t="s">
        <v>74</v>
      </c>
      <c r="F1110" s="15" t="s">
        <v>51</v>
      </c>
      <c r="G1110" s="14" t="s">
        <v>75</v>
      </c>
      <c r="H1110" s="14" t="s">
        <v>76</v>
      </c>
      <c r="I1110" s="14" t="s">
        <v>59</v>
      </c>
      <c r="J1110" s="14" t="s">
        <v>200</v>
      </c>
      <c r="K1110" s="14" t="s">
        <v>232</v>
      </c>
      <c r="L1110" s="14" t="s">
        <v>487</v>
      </c>
      <c r="M1110" s="14" t="s">
        <v>1015</v>
      </c>
      <c r="N1110" s="14" t="s">
        <v>1016</v>
      </c>
      <c r="O1110" s="14">
        <v>0.0</v>
      </c>
      <c r="P1110" s="23">
        <v>0.0</v>
      </c>
      <c r="Q1110" s="22" t="str">
        <f t="shared" ref="Q1110:R1110" si="658">"+0.00%"</f>
        <v>+0.00%</v>
      </c>
      <c r="R1110" s="18" t="str">
        <f t="shared" si="658"/>
        <v>+0.00%</v>
      </c>
      <c r="S1110" s="14" t="s">
        <v>285</v>
      </c>
    </row>
    <row r="1111">
      <c r="A1111" s="13">
        <v>45901.0</v>
      </c>
      <c r="B1111" s="14" t="s">
        <v>47</v>
      </c>
      <c r="C1111" s="14" t="s">
        <v>48</v>
      </c>
      <c r="D1111" s="14" t="s">
        <v>136</v>
      </c>
      <c r="E1111" s="14" t="s">
        <v>137</v>
      </c>
      <c r="F1111" s="15" t="s">
        <v>51</v>
      </c>
      <c r="G1111" s="14" t="s">
        <v>138</v>
      </c>
      <c r="H1111" s="14" t="s">
        <v>139</v>
      </c>
      <c r="I1111" s="14" t="s">
        <v>59</v>
      </c>
      <c r="J1111" s="14" t="s">
        <v>200</v>
      </c>
      <c r="K1111" s="14" t="s">
        <v>213</v>
      </c>
      <c r="L1111" s="14" t="s">
        <v>289</v>
      </c>
      <c r="M1111" s="14" t="s">
        <v>984</v>
      </c>
      <c r="N1111" s="14" t="s">
        <v>985</v>
      </c>
      <c r="O1111" s="14">
        <v>0.0</v>
      </c>
      <c r="P1111" s="23">
        <v>0.0</v>
      </c>
      <c r="Q1111" s="22" t="str">
        <f t="shared" ref="Q1111:R1111" si="659">"+0.00%"</f>
        <v>+0.00%</v>
      </c>
      <c r="R1111" s="18" t="str">
        <f t="shared" si="659"/>
        <v>+0.00%</v>
      </c>
      <c r="S1111" s="14" t="s">
        <v>285</v>
      </c>
    </row>
    <row r="1112">
      <c r="A1112" s="13">
        <v>45901.0</v>
      </c>
      <c r="B1112" s="14" t="s">
        <v>47</v>
      </c>
      <c r="C1112" s="14" t="s">
        <v>48</v>
      </c>
      <c r="D1112" s="14" t="s">
        <v>129</v>
      </c>
      <c r="E1112" s="14" t="s">
        <v>130</v>
      </c>
      <c r="F1112" s="15" t="s">
        <v>51</v>
      </c>
      <c r="G1112" s="14" t="s">
        <v>131</v>
      </c>
      <c r="H1112" s="14" t="s">
        <v>129</v>
      </c>
      <c r="I1112" s="14" t="s">
        <v>59</v>
      </c>
      <c r="J1112" s="14" t="s">
        <v>198</v>
      </c>
      <c r="K1112" s="14" t="s">
        <v>205</v>
      </c>
      <c r="L1112" s="14" t="s">
        <v>274</v>
      </c>
      <c r="M1112" s="14" t="s">
        <v>738</v>
      </c>
      <c r="N1112" s="14" t="s">
        <v>739</v>
      </c>
      <c r="O1112" s="14">
        <v>0.0</v>
      </c>
      <c r="P1112" s="21">
        <v>0.0</v>
      </c>
      <c r="Q1112" s="22" t="str">
        <f t="shared" ref="Q1112:Q1114" si="660">"+0"</f>
        <v>+0</v>
      </c>
      <c r="S1112" s="14" t="s">
        <v>281</v>
      </c>
    </row>
    <row r="1113">
      <c r="A1113" s="13">
        <v>45901.0</v>
      </c>
      <c r="B1113" s="14" t="s">
        <v>47</v>
      </c>
      <c r="C1113" s="14" t="s">
        <v>48</v>
      </c>
      <c r="D1113" s="14" t="s">
        <v>171</v>
      </c>
      <c r="E1113" s="14" t="s">
        <v>172</v>
      </c>
      <c r="F1113" s="15" t="s">
        <v>51</v>
      </c>
      <c r="G1113" s="14" t="s">
        <v>173</v>
      </c>
      <c r="H1113" s="14" t="s">
        <v>171</v>
      </c>
      <c r="I1113" s="14" t="s">
        <v>59</v>
      </c>
      <c r="J1113" s="14" t="s">
        <v>198</v>
      </c>
      <c r="K1113" s="14" t="s">
        <v>205</v>
      </c>
      <c r="L1113" s="14" t="s">
        <v>274</v>
      </c>
      <c r="M1113" s="14" t="s">
        <v>387</v>
      </c>
      <c r="N1113" s="14" t="s">
        <v>388</v>
      </c>
      <c r="O1113" s="14">
        <v>0.0</v>
      </c>
      <c r="P1113" s="21">
        <v>0.0</v>
      </c>
      <c r="Q1113" s="22" t="str">
        <f t="shared" si="660"/>
        <v>+0</v>
      </c>
      <c r="S1113" s="14" t="s">
        <v>281</v>
      </c>
    </row>
    <row r="1114">
      <c r="A1114" s="13">
        <v>45901.0</v>
      </c>
      <c r="B1114" s="14" t="s">
        <v>47</v>
      </c>
      <c r="C1114" s="14" t="s">
        <v>48</v>
      </c>
      <c r="D1114" s="14" t="s">
        <v>149</v>
      </c>
      <c r="E1114" s="14" t="s">
        <v>150</v>
      </c>
      <c r="F1114" s="15" t="s">
        <v>51</v>
      </c>
      <c r="G1114" s="14" t="s">
        <v>151</v>
      </c>
      <c r="H1114" s="14" t="s">
        <v>152</v>
      </c>
      <c r="I1114" s="14" t="s">
        <v>54</v>
      </c>
      <c r="J1114" s="14" t="s">
        <v>199</v>
      </c>
      <c r="K1114" s="14" t="s">
        <v>203</v>
      </c>
      <c r="L1114" s="14" t="s">
        <v>725</v>
      </c>
      <c r="M1114" s="14" t="s">
        <v>725</v>
      </c>
      <c r="N1114" s="14" t="s">
        <v>726</v>
      </c>
      <c r="O1114" s="14">
        <v>100.0</v>
      </c>
      <c r="P1114" s="21">
        <v>1.0</v>
      </c>
      <c r="Q1114" s="22" t="str">
        <f t="shared" si="660"/>
        <v>+0</v>
      </c>
      <c r="R1114" s="18" t="str">
        <f>"+1"</f>
        <v>+1</v>
      </c>
      <c r="S1114" s="14" t="s">
        <v>260</v>
      </c>
    </row>
    <row r="1115">
      <c r="A1115" s="13">
        <v>45901.0</v>
      </c>
      <c r="B1115" s="14" t="s">
        <v>47</v>
      </c>
      <c r="C1115" s="14" t="s">
        <v>48</v>
      </c>
      <c r="D1115" s="14" t="s">
        <v>96</v>
      </c>
      <c r="E1115" s="14" t="s">
        <v>97</v>
      </c>
      <c r="F1115" s="15" t="s">
        <v>51</v>
      </c>
      <c r="G1115" s="14" t="s">
        <v>98</v>
      </c>
      <c r="H1115" s="14" t="s">
        <v>96</v>
      </c>
      <c r="I1115" s="14" t="s">
        <v>59</v>
      </c>
      <c r="J1115" s="14" t="s">
        <v>200</v>
      </c>
      <c r="K1115" s="14" t="s">
        <v>227</v>
      </c>
      <c r="L1115" s="14" t="s">
        <v>253</v>
      </c>
      <c r="M1115" s="14" t="s">
        <v>811</v>
      </c>
      <c r="N1115" s="14" t="s">
        <v>812</v>
      </c>
      <c r="O1115" s="14">
        <v>0.0</v>
      </c>
      <c r="P1115" s="23">
        <v>0.0</v>
      </c>
      <c r="Q1115" s="22" t="str">
        <f t="shared" ref="Q1115:R1115" si="661">"+0.00%"</f>
        <v>+0.00%</v>
      </c>
      <c r="R1115" s="18" t="str">
        <f t="shared" si="661"/>
        <v>+0.00%</v>
      </c>
      <c r="S1115" s="14" t="s">
        <v>813</v>
      </c>
    </row>
    <row r="1116">
      <c r="A1116" s="13">
        <v>45901.0</v>
      </c>
      <c r="B1116" s="14" t="s">
        <v>47</v>
      </c>
      <c r="C1116" s="14" t="s">
        <v>48</v>
      </c>
      <c r="D1116" s="14" t="s">
        <v>69</v>
      </c>
      <c r="E1116" s="14" t="s">
        <v>70</v>
      </c>
      <c r="F1116" s="15" t="s">
        <v>51</v>
      </c>
      <c r="G1116" s="14" t="s">
        <v>115</v>
      </c>
      <c r="H1116" s="14" t="s">
        <v>72</v>
      </c>
      <c r="I1116" s="14" t="s">
        <v>54</v>
      </c>
      <c r="J1116" s="14" t="s">
        <v>198</v>
      </c>
      <c r="K1116" s="14" t="s">
        <v>210</v>
      </c>
      <c r="L1116" s="14" t="s">
        <v>264</v>
      </c>
      <c r="M1116" s="14" t="s">
        <v>1283</v>
      </c>
      <c r="N1116" s="14" t="s">
        <v>1284</v>
      </c>
      <c r="O1116" s="14">
        <v>0.0</v>
      </c>
      <c r="P1116" s="21">
        <v>0.0</v>
      </c>
      <c r="Q1116" s="22" t="str">
        <f t="shared" ref="Q1116:R1116" si="662">"+0"</f>
        <v>+0</v>
      </c>
      <c r="R1116" s="18" t="str">
        <f t="shared" si="662"/>
        <v>+0</v>
      </c>
      <c r="S1116" s="14" t="s">
        <v>277</v>
      </c>
    </row>
    <row r="1117">
      <c r="A1117" s="13">
        <v>45901.0</v>
      </c>
      <c r="B1117" s="14" t="s">
        <v>47</v>
      </c>
      <c r="C1117" s="14" t="s">
        <v>48</v>
      </c>
      <c r="D1117" s="14" t="s">
        <v>174</v>
      </c>
      <c r="E1117" s="14" t="s">
        <v>175</v>
      </c>
      <c r="F1117" s="15" t="s">
        <v>51</v>
      </c>
      <c r="G1117" s="14" t="s">
        <v>176</v>
      </c>
      <c r="H1117" s="14" t="s">
        <v>174</v>
      </c>
      <c r="I1117" s="14" t="s">
        <v>59</v>
      </c>
      <c r="J1117" s="14" t="s">
        <v>199</v>
      </c>
      <c r="K1117" s="14" t="s">
        <v>206</v>
      </c>
      <c r="L1117" s="14" t="s">
        <v>295</v>
      </c>
      <c r="M1117" s="14" t="s">
        <v>986</v>
      </c>
      <c r="N1117" s="14" t="s">
        <v>987</v>
      </c>
      <c r="O1117" s="14">
        <v>0.0</v>
      </c>
      <c r="P1117" s="21">
        <v>0.0</v>
      </c>
      <c r="Q1117" s="22" t="str">
        <f t="shared" ref="Q1117:R1117" si="663">"+0"</f>
        <v>+0</v>
      </c>
      <c r="R1117" s="18" t="str">
        <f t="shared" si="663"/>
        <v>+0</v>
      </c>
      <c r="S1117" s="14" t="s">
        <v>260</v>
      </c>
    </row>
    <row r="1118">
      <c r="A1118" s="13">
        <v>45901.0</v>
      </c>
      <c r="B1118" s="14" t="s">
        <v>47</v>
      </c>
      <c r="C1118" s="14" t="s">
        <v>48</v>
      </c>
      <c r="D1118" s="14" t="s">
        <v>108</v>
      </c>
      <c r="E1118" s="14" t="s">
        <v>109</v>
      </c>
      <c r="F1118" s="15" t="s">
        <v>51</v>
      </c>
      <c r="G1118" s="14" t="s">
        <v>110</v>
      </c>
      <c r="H1118" s="14" t="s">
        <v>108</v>
      </c>
      <c r="I1118" s="14" t="s">
        <v>59</v>
      </c>
      <c r="J1118" s="14" t="s">
        <v>200</v>
      </c>
      <c r="K1118" s="14" t="s">
        <v>215</v>
      </c>
      <c r="L1118" s="14" t="s">
        <v>253</v>
      </c>
      <c r="M1118" s="14" t="s">
        <v>1285</v>
      </c>
      <c r="N1118" s="14" t="s">
        <v>1286</v>
      </c>
      <c r="O1118" s="14">
        <v>0.0</v>
      </c>
      <c r="P1118" s="23">
        <v>0.0</v>
      </c>
      <c r="Q1118" s="22" t="str">
        <f t="shared" ref="Q1118:R1118" si="664">"+0.00%"</f>
        <v>+0.00%</v>
      </c>
      <c r="R1118" s="18" t="str">
        <f t="shared" si="664"/>
        <v>+0.00%</v>
      </c>
      <c r="S1118" s="14" t="s">
        <v>1287</v>
      </c>
    </row>
    <row r="1119">
      <c r="A1119" s="13">
        <v>45901.0</v>
      </c>
      <c r="B1119" s="14" t="s">
        <v>47</v>
      </c>
      <c r="C1119" s="14" t="s">
        <v>48</v>
      </c>
      <c r="D1119" s="14" t="s">
        <v>116</v>
      </c>
      <c r="E1119" s="14" t="s">
        <v>117</v>
      </c>
      <c r="F1119" s="15" t="s">
        <v>51</v>
      </c>
      <c r="G1119" s="14" t="s">
        <v>161</v>
      </c>
      <c r="H1119" s="14" t="s">
        <v>116</v>
      </c>
      <c r="I1119" s="14" t="s">
        <v>54</v>
      </c>
      <c r="J1119" s="14" t="s">
        <v>200</v>
      </c>
      <c r="K1119" s="14" t="s">
        <v>213</v>
      </c>
      <c r="L1119" s="14" t="s">
        <v>289</v>
      </c>
      <c r="M1119" s="14" t="s">
        <v>984</v>
      </c>
      <c r="N1119" s="14" t="s">
        <v>985</v>
      </c>
      <c r="O1119" s="14">
        <v>0.0</v>
      </c>
      <c r="P1119" s="23">
        <v>0.0</v>
      </c>
      <c r="Q1119" s="22" t="str">
        <f t="shared" ref="Q1119:R1119" si="665">"+0.00%"</f>
        <v>+0.00%</v>
      </c>
      <c r="R1119" s="18" t="str">
        <f t="shared" si="665"/>
        <v>+0.00%</v>
      </c>
      <c r="S1119" s="14" t="s">
        <v>285</v>
      </c>
    </row>
    <row r="1120">
      <c r="A1120" s="13">
        <v>45901.0</v>
      </c>
      <c r="B1120" s="14" t="s">
        <v>47</v>
      </c>
      <c r="C1120" s="14" t="s">
        <v>48</v>
      </c>
      <c r="D1120" s="14" t="s">
        <v>116</v>
      </c>
      <c r="E1120" s="14" t="s">
        <v>117</v>
      </c>
      <c r="F1120" s="15" t="s">
        <v>51</v>
      </c>
      <c r="G1120" s="14" t="s">
        <v>161</v>
      </c>
      <c r="H1120" s="14" t="s">
        <v>116</v>
      </c>
      <c r="I1120" s="14" t="s">
        <v>54</v>
      </c>
      <c r="J1120" s="14" t="s">
        <v>198</v>
      </c>
      <c r="K1120" s="14" t="s">
        <v>205</v>
      </c>
      <c r="L1120" s="14" t="s">
        <v>274</v>
      </c>
      <c r="M1120" s="14" t="s">
        <v>275</v>
      </c>
      <c r="N1120" s="14" t="s">
        <v>276</v>
      </c>
      <c r="O1120" s="14">
        <v>0.0</v>
      </c>
      <c r="P1120" s="21">
        <v>1.0</v>
      </c>
      <c r="Q1120" s="22" t="str">
        <f>"+0"</f>
        <v>+0</v>
      </c>
      <c r="S1120" s="14" t="s">
        <v>277</v>
      </c>
    </row>
    <row r="1121">
      <c r="A1121" s="13">
        <v>45901.0</v>
      </c>
      <c r="B1121" s="14" t="s">
        <v>47</v>
      </c>
      <c r="C1121" s="14" t="s">
        <v>48</v>
      </c>
      <c r="D1121" s="14" t="s">
        <v>158</v>
      </c>
      <c r="E1121" s="14" t="s">
        <v>159</v>
      </c>
      <c r="F1121" s="15" t="s">
        <v>51</v>
      </c>
      <c r="G1121" s="14" t="s">
        <v>160</v>
      </c>
      <c r="H1121" s="14" t="s">
        <v>158</v>
      </c>
      <c r="I1121" s="14" t="s">
        <v>54</v>
      </c>
      <c r="J1121" s="14" t="s">
        <v>200</v>
      </c>
      <c r="K1121" s="14" t="s">
        <v>224</v>
      </c>
      <c r="L1121" s="14" t="s">
        <v>964</v>
      </c>
      <c r="M1121" s="14" t="s">
        <v>1288</v>
      </c>
      <c r="N1121" s="14" t="s">
        <v>1289</v>
      </c>
      <c r="O1121" s="14">
        <v>0.0</v>
      </c>
      <c r="P1121" s="17"/>
      <c r="Q1121" s="22"/>
      <c r="S1121" s="14" t="s">
        <v>1290</v>
      </c>
    </row>
    <row r="1122">
      <c r="A1122" s="13">
        <v>45901.0</v>
      </c>
      <c r="B1122" s="14" t="s">
        <v>47</v>
      </c>
      <c r="C1122" s="14" t="s">
        <v>48</v>
      </c>
      <c r="D1122" s="14" t="s">
        <v>108</v>
      </c>
      <c r="E1122" s="14" t="s">
        <v>109</v>
      </c>
      <c r="F1122" s="15" t="s">
        <v>51</v>
      </c>
      <c r="G1122" s="14" t="s">
        <v>110</v>
      </c>
      <c r="H1122" s="14" t="s">
        <v>108</v>
      </c>
      <c r="I1122" s="14" t="s">
        <v>59</v>
      </c>
      <c r="J1122" s="14" t="s">
        <v>200</v>
      </c>
      <c r="K1122" s="14" t="s">
        <v>215</v>
      </c>
      <c r="L1122" s="14" t="s">
        <v>253</v>
      </c>
      <c r="M1122" s="14" t="s">
        <v>969</v>
      </c>
      <c r="N1122" s="14" t="s">
        <v>970</v>
      </c>
      <c r="O1122" s="14">
        <v>1.0</v>
      </c>
      <c r="P1122" s="23">
        <v>0.0</v>
      </c>
      <c r="Q1122" s="22" t="str">
        <f t="shared" ref="Q1122:R1122" si="666">"+0.00%"</f>
        <v>+0.00%</v>
      </c>
      <c r="R1122" s="18" t="str">
        <f t="shared" si="666"/>
        <v>+0.00%</v>
      </c>
      <c r="S1122" s="14" t="s">
        <v>1291</v>
      </c>
    </row>
    <row r="1123">
      <c r="A1123" s="13">
        <v>45901.0</v>
      </c>
      <c r="B1123" s="14" t="s">
        <v>47</v>
      </c>
      <c r="C1123" s="14" t="s">
        <v>48</v>
      </c>
      <c r="D1123" s="14" t="s">
        <v>112</v>
      </c>
      <c r="E1123" s="14" t="s">
        <v>113</v>
      </c>
      <c r="F1123" s="15" t="s">
        <v>51</v>
      </c>
      <c r="G1123" s="14" t="s">
        <v>114</v>
      </c>
      <c r="H1123" s="14" t="s">
        <v>112</v>
      </c>
      <c r="I1123" s="14" t="s">
        <v>59</v>
      </c>
      <c r="J1123" s="14" t="s">
        <v>200</v>
      </c>
      <c r="K1123" s="14" t="s">
        <v>213</v>
      </c>
      <c r="L1123" s="14" t="s">
        <v>257</v>
      </c>
      <c r="M1123" s="14" t="s">
        <v>493</v>
      </c>
      <c r="N1123" s="14" t="s">
        <v>494</v>
      </c>
      <c r="O1123" s="14">
        <v>0.0</v>
      </c>
      <c r="P1123" s="23">
        <v>-1.0</v>
      </c>
      <c r="Q1123" s="22" t="str">
        <f t="shared" ref="Q1123:R1123" si="667">"+0.00%"</f>
        <v>+0.00%</v>
      </c>
      <c r="R1123" s="18" t="str">
        <f t="shared" si="667"/>
        <v>+0.00%</v>
      </c>
      <c r="S1123" s="14" t="s">
        <v>1292</v>
      </c>
    </row>
    <row r="1124">
      <c r="A1124" s="13">
        <v>45901.0</v>
      </c>
      <c r="B1124" s="14" t="s">
        <v>47</v>
      </c>
      <c r="C1124" s="14" t="s">
        <v>48</v>
      </c>
      <c r="D1124" s="14" t="s">
        <v>116</v>
      </c>
      <c r="E1124" s="14" t="s">
        <v>117</v>
      </c>
      <c r="F1124" s="15" t="s">
        <v>51</v>
      </c>
      <c r="G1124" s="14" t="s">
        <v>161</v>
      </c>
      <c r="H1124" s="14" t="s">
        <v>116</v>
      </c>
      <c r="I1124" s="14" t="s">
        <v>54</v>
      </c>
      <c r="J1124" s="14" t="s">
        <v>200</v>
      </c>
      <c r="K1124" s="14" t="s">
        <v>213</v>
      </c>
      <c r="L1124" s="14" t="s">
        <v>257</v>
      </c>
      <c r="M1124" s="14" t="s">
        <v>517</v>
      </c>
      <c r="N1124" s="14" t="s">
        <v>518</v>
      </c>
      <c r="O1124" s="14">
        <v>100.0</v>
      </c>
      <c r="P1124" s="21">
        <v>10.0</v>
      </c>
      <c r="Q1124" s="22" t="str">
        <f t="shared" ref="Q1124:R1124" si="668">"+0"</f>
        <v>+0</v>
      </c>
      <c r="R1124" s="18" t="str">
        <f t="shared" si="668"/>
        <v>+0</v>
      </c>
      <c r="S1124" s="14" t="s">
        <v>260</v>
      </c>
    </row>
    <row r="1125">
      <c r="A1125" s="13">
        <v>45901.0</v>
      </c>
      <c r="B1125" s="14" t="s">
        <v>47</v>
      </c>
      <c r="C1125" s="14" t="s">
        <v>48</v>
      </c>
      <c r="D1125" s="14" t="s">
        <v>77</v>
      </c>
      <c r="E1125" s="14" t="s">
        <v>78</v>
      </c>
      <c r="F1125" s="15" t="s">
        <v>51</v>
      </c>
      <c r="G1125" s="14" t="s">
        <v>128</v>
      </c>
      <c r="H1125" s="14" t="s">
        <v>81</v>
      </c>
      <c r="I1125" s="14" t="s">
        <v>59</v>
      </c>
      <c r="J1125" s="14" t="s">
        <v>200</v>
      </c>
      <c r="K1125" s="14" t="s">
        <v>223</v>
      </c>
      <c r="L1125" s="14" t="s">
        <v>253</v>
      </c>
      <c r="M1125" s="14" t="s">
        <v>366</v>
      </c>
      <c r="N1125" s="14" t="s">
        <v>367</v>
      </c>
      <c r="O1125" s="14">
        <v>1.0</v>
      </c>
      <c r="P1125" s="23">
        <v>0.0148</v>
      </c>
      <c r="Q1125" s="22" t="str">
        <f t="shared" ref="Q1125:R1125" si="669">"+0.00%"</f>
        <v>+0.00%</v>
      </c>
      <c r="R1125" s="18" t="str">
        <f t="shared" si="669"/>
        <v>+0.00%</v>
      </c>
      <c r="S1125" s="14" t="s">
        <v>1293</v>
      </c>
    </row>
    <row r="1126">
      <c r="A1126" s="13">
        <v>45901.0</v>
      </c>
      <c r="B1126" s="14" t="s">
        <v>47</v>
      </c>
      <c r="C1126" s="14" t="s">
        <v>48</v>
      </c>
      <c r="D1126" s="14" t="s">
        <v>121</v>
      </c>
      <c r="E1126" s="14" t="s">
        <v>122</v>
      </c>
      <c r="F1126" s="15" t="s">
        <v>51</v>
      </c>
      <c r="G1126" s="14" t="s">
        <v>123</v>
      </c>
      <c r="H1126" s="14" t="s">
        <v>124</v>
      </c>
      <c r="I1126" s="14" t="s">
        <v>59</v>
      </c>
      <c r="J1126" s="14" t="s">
        <v>200</v>
      </c>
      <c r="K1126" s="14" t="s">
        <v>232</v>
      </c>
      <c r="L1126" s="14" t="s">
        <v>487</v>
      </c>
      <c r="M1126" s="14" t="s">
        <v>788</v>
      </c>
      <c r="N1126" s="14" t="s">
        <v>789</v>
      </c>
      <c r="O1126" s="14">
        <v>100.0</v>
      </c>
      <c r="P1126" s="23">
        <v>0.3077</v>
      </c>
      <c r="Q1126" s="22" t="str">
        <f>"+19.66%"</f>
        <v>+19.66%</v>
      </c>
      <c r="R1126" s="18" t="str">
        <f>"+3.50%"</f>
        <v>+3.50%</v>
      </c>
      <c r="S1126" s="14" t="s">
        <v>285</v>
      </c>
    </row>
    <row r="1127">
      <c r="A1127" s="13">
        <v>45901.0</v>
      </c>
      <c r="B1127" s="14" t="s">
        <v>47</v>
      </c>
      <c r="C1127" s="14" t="s">
        <v>48</v>
      </c>
      <c r="D1127" s="14" t="s">
        <v>60</v>
      </c>
      <c r="E1127" s="14" t="s">
        <v>61</v>
      </c>
      <c r="F1127" s="15" t="s">
        <v>51</v>
      </c>
      <c r="G1127" s="14" t="s">
        <v>62</v>
      </c>
      <c r="H1127" s="14" t="s">
        <v>60</v>
      </c>
      <c r="I1127" s="14" t="s">
        <v>59</v>
      </c>
      <c r="J1127" s="14" t="s">
        <v>198</v>
      </c>
      <c r="K1127" s="14" t="s">
        <v>210</v>
      </c>
      <c r="L1127" s="14" t="s">
        <v>458</v>
      </c>
      <c r="M1127" s="14" t="s">
        <v>459</v>
      </c>
      <c r="N1127" s="14" t="s">
        <v>460</v>
      </c>
      <c r="O1127" s="14">
        <v>100.0</v>
      </c>
      <c r="P1127" s="21">
        <v>0.0</v>
      </c>
      <c r="Q1127" s="22" t="str">
        <f t="shared" ref="Q1127:R1127" si="670">"+0"</f>
        <v>+0</v>
      </c>
      <c r="R1127" s="18" t="str">
        <f t="shared" si="670"/>
        <v>+0</v>
      </c>
      <c r="S1127" s="14" t="s">
        <v>281</v>
      </c>
    </row>
    <row r="1128">
      <c r="A1128" s="13">
        <v>45901.0</v>
      </c>
      <c r="B1128" s="14" t="s">
        <v>47</v>
      </c>
      <c r="C1128" s="14" t="s">
        <v>48</v>
      </c>
      <c r="D1128" s="14" t="s">
        <v>165</v>
      </c>
      <c r="E1128" s="14" t="s">
        <v>166</v>
      </c>
      <c r="F1128" s="15" t="s">
        <v>51</v>
      </c>
      <c r="G1128" s="14" t="s">
        <v>167</v>
      </c>
      <c r="H1128" s="14" t="s">
        <v>165</v>
      </c>
      <c r="I1128" s="14" t="s">
        <v>54</v>
      </c>
      <c r="J1128" s="14" t="s">
        <v>198</v>
      </c>
      <c r="K1128" s="14" t="s">
        <v>210</v>
      </c>
      <c r="L1128" s="14" t="s">
        <v>264</v>
      </c>
      <c r="M1128" s="14" t="s">
        <v>694</v>
      </c>
      <c r="N1128" s="14" t="s">
        <v>695</v>
      </c>
      <c r="O1128" s="14">
        <v>0.0</v>
      </c>
      <c r="P1128" s="21">
        <v>0.0</v>
      </c>
      <c r="Q1128" s="22" t="str">
        <f t="shared" ref="Q1128:R1128" si="671">"+0"</f>
        <v>+0</v>
      </c>
      <c r="R1128" s="18" t="str">
        <f t="shared" si="671"/>
        <v>+0</v>
      </c>
      <c r="S1128" s="14" t="s">
        <v>277</v>
      </c>
    </row>
    <row r="1129">
      <c r="A1129" s="13">
        <v>45901.0</v>
      </c>
      <c r="B1129" s="14" t="s">
        <v>47</v>
      </c>
      <c r="C1129" s="14" t="s">
        <v>48</v>
      </c>
      <c r="D1129" s="14" t="s">
        <v>165</v>
      </c>
      <c r="E1129" s="14" t="s">
        <v>166</v>
      </c>
      <c r="F1129" s="15" t="s">
        <v>51</v>
      </c>
      <c r="G1129" s="14" t="s">
        <v>167</v>
      </c>
      <c r="H1129" s="14" t="s">
        <v>165</v>
      </c>
      <c r="I1129" s="14" t="s">
        <v>54</v>
      </c>
      <c r="J1129" s="14" t="s">
        <v>198</v>
      </c>
      <c r="K1129" s="14" t="s">
        <v>210</v>
      </c>
      <c r="L1129" s="14" t="s">
        <v>264</v>
      </c>
      <c r="M1129" s="14" t="s">
        <v>470</v>
      </c>
      <c r="N1129" s="14" t="s">
        <v>471</v>
      </c>
      <c r="O1129" s="14">
        <v>89.0</v>
      </c>
      <c r="P1129" s="21">
        <v>2.0</v>
      </c>
      <c r="Q1129" s="22" t="str">
        <f>"-4"</f>
        <v>-4</v>
      </c>
      <c r="R1129" s="18" t="str">
        <f>"-17"</f>
        <v>-17</v>
      </c>
      <c r="S1129" s="14" t="s">
        <v>1294</v>
      </c>
    </row>
    <row r="1130">
      <c r="A1130" s="13">
        <v>45901.0</v>
      </c>
      <c r="B1130" s="14" t="s">
        <v>47</v>
      </c>
      <c r="C1130" s="14" t="s">
        <v>48</v>
      </c>
      <c r="D1130" s="14" t="s">
        <v>49</v>
      </c>
      <c r="E1130" s="14" t="s">
        <v>50</v>
      </c>
      <c r="F1130" s="15" t="s">
        <v>51</v>
      </c>
      <c r="G1130" s="14" t="s">
        <v>52</v>
      </c>
      <c r="H1130" s="14" t="s">
        <v>53</v>
      </c>
      <c r="I1130" s="14" t="s">
        <v>54</v>
      </c>
      <c r="J1130" s="14" t="s">
        <v>198</v>
      </c>
      <c r="K1130" s="14" t="s">
        <v>205</v>
      </c>
      <c r="L1130" s="14" t="s">
        <v>274</v>
      </c>
      <c r="M1130" s="14" t="s">
        <v>696</v>
      </c>
      <c r="N1130" s="14" t="s">
        <v>697</v>
      </c>
      <c r="O1130" s="14">
        <v>100.0</v>
      </c>
      <c r="P1130" s="21">
        <v>1.0</v>
      </c>
      <c r="Q1130" s="22" t="str">
        <f>"+0"</f>
        <v>+0</v>
      </c>
      <c r="S1130" s="14" t="s">
        <v>281</v>
      </c>
    </row>
    <row r="1131">
      <c r="A1131" s="13">
        <v>45901.0</v>
      </c>
      <c r="B1131" s="14" t="s">
        <v>47</v>
      </c>
      <c r="C1131" s="14" t="s">
        <v>48</v>
      </c>
      <c r="D1131" s="14" t="s">
        <v>91</v>
      </c>
      <c r="E1131" s="14" t="s">
        <v>92</v>
      </c>
      <c r="F1131" s="15" t="s">
        <v>51</v>
      </c>
      <c r="G1131" s="14" t="s">
        <v>163</v>
      </c>
      <c r="H1131" s="14" t="s">
        <v>91</v>
      </c>
      <c r="I1131" s="14" t="s">
        <v>59</v>
      </c>
      <c r="J1131" s="14" t="s">
        <v>200</v>
      </c>
      <c r="K1131" s="14" t="s">
        <v>211</v>
      </c>
      <c r="L1131" s="14" t="s">
        <v>991</v>
      </c>
      <c r="M1131" s="14" t="s">
        <v>992</v>
      </c>
      <c r="N1131" s="14" t="s">
        <v>993</v>
      </c>
      <c r="O1131" s="14">
        <v>0.0</v>
      </c>
      <c r="P1131" s="23">
        <v>-1.0</v>
      </c>
      <c r="Q1131" s="22" t="str">
        <f t="shared" ref="Q1131:R1131" si="672">"+0.00%"</f>
        <v>+0.00%</v>
      </c>
      <c r="R1131" s="18" t="str">
        <f t="shared" si="672"/>
        <v>+0.00%</v>
      </c>
      <c r="S1131" s="14" t="s">
        <v>1295</v>
      </c>
    </row>
    <row r="1132">
      <c r="A1132" s="13">
        <v>45901.0</v>
      </c>
      <c r="B1132" s="14" t="s">
        <v>47</v>
      </c>
      <c r="C1132" s="14" t="s">
        <v>48</v>
      </c>
      <c r="D1132" s="14" t="s">
        <v>91</v>
      </c>
      <c r="E1132" s="14" t="s">
        <v>92</v>
      </c>
      <c r="F1132" s="14" t="s">
        <v>79</v>
      </c>
      <c r="G1132" s="14" t="s">
        <v>164</v>
      </c>
      <c r="H1132" s="14" t="s">
        <v>91</v>
      </c>
      <c r="I1132" s="14" t="s">
        <v>154</v>
      </c>
      <c r="J1132" s="14" t="s">
        <v>200</v>
      </c>
      <c r="K1132" s="14" t="s">
        <v>237</v>
      </c>
      <c r="L1132" s="14" t="s">
        <v>253</v>
      </c>
      <c r="M1132" s="14" t="s">
        <v>1296</v>
      </c>
      <c r="N1132" s="14" t="s">
        <v>1297</v>
      </c>
      <c r="O1132" s="14">
        <v>0.0</v>
      </c>
      <c r="P1132" s="23">
        <v>0.0</v>
      </c>
      <c r="Q1132" s="22" t="str">
        <f t="shared" ref="Q1132:R1132" si="673">"+0.00%"</f>
        <v>+0.00%</v>
      </c>
      <c r="R1132" s="18" t="str">
        <f t="shared" si="673"/>
        <v>+0.00%</v>
      </c>
      <c r="S1132" s="14" t="s">
        <v>1298</v>
      </c>
    </row>
    <row r="1133">
      <c r="A1133" s="13">
        <v>45901.0</v>
      </c>
      <c r="B1133" s="14" t="s">
        <v>47</v>
      </c>
      <c r="C1133" s="14" t="s">
        <v>48</v>
      </c>
      <c r="D1133" s="14" t="s">
        <v>63</v>
      </c>
      <c r="E1133" s="14" t="s">
        <v>64</v>
      </c>
      <c r="F1133" s="15" t="s">
        <v>51</v>
      </c>
      <c r="G1133" s="14" t="s">
        <v>65</v>
      </c>
      <c r="H1133" s="14" t="s">
        <v>63</v>
      </c>
      <c r="I1133" s="14" t="s">
        <v>54</v>
      </c>
      <c r="J1133" s="14" t="s">
        <v>200</v>
      </c>
      <c r="K1133" s="14" t="s">
        <v>213</v>
      </c>
      <c r="L1133" s="14" t="s">
        <v>257</v>
      </c>
      <c r="M1133" s="14" t="s">
        <v>622</v>
      </c>
      <c r="N1133" s="14" t="s">
        <v>623</v>
      </c>
      <c r="O1133" s="14">
        <v>46.0</v>
      </c>
      <c r="P1133" s="23">
        <v>-0.0752</v>
      </c>
      <c r="Q1133" s="22" t="str">
        <f>"+18.67%"</f>
        <v>+18.67%</v>
      </c>
      <c r="R1133" s="18" t="str">
        <f>"-10.33%"</f>
        <v>-10.33%</v>
      </c>
      <c r="S1133" s="14" t="s">
        <v>1063</v>
      </c>
    </row>
    <row r="1134">
      <c r="A1134" s="13">
        <v>45901.0</v>
      </c>
      <c r="B1134" s="14" t="s">
        <v>47</v>
      </c>
      <c r="C1134" s="14" t="s">
        <v>48</v>
      </c>
      <c r="D1134" s="14" t="s">
        <v>66</v>
      </c>
      <c r="E1134" s="14" t="s">
        <v>67</v>
      </c>
      <c r="F1134" s="15" t="s">
        <v>51</v>
      </c>
      <c r="G1134" s="14" t="s">
        <v>68</v>
      </c>
      <c r="H1134" s="14" t="s">
        <v>66</v>
      </c>
      <c r="I1134" s="14" t="s">
        <v>59</v>
      </c>
      <c r="J1134" s="14" t="s">
        <v>200</v>
      </c>
      <c r="K1134" s="14" t="s">
        <v>231</v>
      </c>
      <c r="L1134" s="14" t="s">
        <v>762</v>
      </c>
      <c r="M1134" s="14" t="s">
        <v>763</v>
      </c>
      <c r="N1134" s="14" t="s">
        <v>764</v>
      </c>
      <c r="O1134" s="14">
        <v>0.0</v>
      </c>
      <c r="P1134" s="21">
        <v>0.0</v>
      </c>
      <c r="Q1134" s="22" t="str">
        <f t="shared" ref="Q1134:R1134" si="674">"+0"</f>
        <v>+0</v>
      </c>
      <c r="R1134" s="18" t="str">
        <f t="shared" si="674"/>
        <v>+0</v>
      </c>
      <c r="S1134" s="14" t="s">
        <v>260</v>
      </c>
    </row>
    <row r="1135">
      <c r="A1135" s="13">
        <v>45901.0</v>
      </c>
      <c r="B1135" s="14" t="s">
        <v>47</v>
      </c>
      <c r="C1135" s="14" t="s">
        <v>48</v>
      </c>
      <c r="D1135" s="14" t="s">
        <v>192</v>
      </c>
      <c r="E1135" s="14" t="s">
        <v>193</v>
      </c>
      <c r="F1135" s="15" t="s">
        <v>51</v>
      </c>
      <c r="G1135" s="14" t="s">
        <v>194</v>
      </c>
      <c r="H1135" s="14" t="s">
        <v>192</v>
      </c>
      <c r="I1135" s="14" t="s">
        <v>54</v>
      </c>
      <c r="J1135" s="14" t="s">
        <v>200</v>
      </c>
      <c r="K1135" s="14" t="s">
        <v>223</v>
      </c>
      <c r="L1135" s="14" t="s">
        <v>607</v>
      </c>
      <c r="M1135" s="14" t="s">
        <v>1027</v>
      </c>
      <c r="N1135" s="14" t="s">
        <v>1028</v>
      </c>
      <c r="O1135" s="14">
        <v>0.0</v>
      </c>
      <c r="P1135" s="23">
        <v>-1.0</v>
      </c>
      <c r="Q1135" s="22" t="str">
        <f t="shared" ref="Q1135:R1135" si="675">"+0.00%"</f>
        <v>+0.00%</v>
      </c>
      <c r="R1135" s="18" t="str">
        <f t="shared" si="675"/>
        <v>+0.00%</v>
      </c>
      <c r="S1135" s="14" t="s">
        <v>1299</v>
      </c>
    </row>
    <row r="1136">
      <c r="A1136" s="13">
        <v>45901.0</v>
      </c>
      <c r="B1136" s="14" t="s">
        <v>47</v>
      </c>
      <c r="C1136" s="14" t="s">
        <v>48</v>
      </c>
      <c r="D1136" s="14" t="s">
        <v>93</v>
      </c>
      <c r="E1136" s="14" t="s">
        <v>94</v>
      </c>
      <c r="F1136" s="15" t="s">
        <v>51</v>
      </c>
      <c r="G1136" s="14" t="s">
        <v>191</v>
      </c>
      <c r="H1136" s="14" t="s">
        <v>95</v>
      </c>
      <c r="I1136" s="14" t="s">
        <v>59</v>
      </c>
      <c r="J1136" s="14" t="s">
        <v>199</v>
      </c>
      <c r="K1136" s="14" t="s">
        <v>206</v>
      </c>
      <c r="L1136" s="14" t="s">
        <v>433</v>
      </c>
      <c r="M1136" s="14" t="s">
        <v>433</v>
      </c>
      <c r="N1136" s="14" t="s">
        <v>434</v>
      </c>
      <c r="O1136" s="14">
        <v>100.0</v>
      </c>
      <c r="P1136" s="21">
        <v>1.0</v>
      </c>
      <c r="Q1136" s="22" t="str">
        <f>"+0"</f>
        <v>+0</v>
      </c>
      <c r="R1136" s="18" t="str">
        <f>"-11"</f>
        <v>-11</v>
      </c>
      <c r="S1136" s="14" t="s">
        <v>383</v>
      </c>
    </row>
    <row r="1137">
      <c r="A1137" s="13">
        <v>45901.0</v>
      </c>
      <c r="B1137" s="14" t="s">
        <v>47</v>
      </c>
      <c r="C1137" s="14" t="s">
        <v>48</v>
      </c>
      <c r="D1137" s="14" t="s">
        <v>103</v>
      </c>
      <c r="E1137" s="14" t="s">
        <v>104</v>
      </c>
      <c r="F1137" s="15" t="s">
        <v>51</v>
      </c>
      <c r="G1137" s="14" t="s">
        <v>105</v>
      </c>
      <c r="H1137" s="14" t="s">
        <v>106</v>
      </c>
      <c r="I1137" s="14" t="s">
        <v>59</v>
      </c>
      <c r="J1137" s="14" t="s">
        <v>200</v>
      </c>
      <c r="K1137" s="14" t="s">
        <v>232</v>
      </c>
      <c r="L1137" s="14" t="s">
        <v>607</v>
      </c>
      <c r="M1137" s="14" t="s">
        <v>869</v>
      </c>
      <c r="N1137" s="14" t="s">
        <v>870</v>
      </c>
      <c r="O1137" s="14">
        <v>0.0</v>
      </c>
      <c r="P1137" s="23">
        <v>-1.0</v>
      </c>
      <c r="Q1137" s="22" t="str">
        <f t="shared" ref="Q1137:R1137" si="676">"+0.00%"</f>
        <v>+0.00%</v>
      </c>
      <c r="R1137" s="18" t="str">
        <f t="shared" si="676"/>
        <v>+0.00%</v>
      </c>
      <c r="S1137" s="14" t="s">
        <v>1300</v>
      </c>
    </row>
    <row r="1138">
      <c r="A1138" s="13">
        <v>45901.0</v>
      </c>
      <c r="B1138" s="14" t="s">
        <v>47</v>
      </c>
      <c r="C1138" s="14" t="s">
        <v>48</v>
      </c>
      <c r="D1138" s="14" t="s">
        <v>87</v>
      </c>
      <c r="E1138" s="14" t="s">
        <v>88</v>
      </c>
      <c r="F1138" s="15" t="s">
        <v>51</v>
      </c>
      <c r="G1138" s="14" t="s">
        <v>89</v>
      </c>
      <c r="H1138" s="14" t="s">
        <v>90</v>
      </c>
      <c r="I1138" s="14" t="s">
        <v>59</v>
      </c>
      <c r="J1138" s="14" t="s">
        <v>200</v>
      </c>
      <c r="K1138" s="14" t="s">
        <v>227</v>
      </c>
      <c r="L1138" s="14" t="s">
        <v>253</v>
      </c>
      <c r="M1138" s="14" t="s">
        <v>849</v>
      </c>
      <c r="N1138" s="14" t="s">
        <v>850</v>
      </c>
      <c r="O1138" s="14">
        <v>60.0</v>
      </c>
      <c r="P1138" s="23">
        <v>0.6</v>
      </c>
      <c r="Q1138" s="22" t="str">
        <f t="shared" ref="Q1138:R1138" si="677">"+0.00%"</f>
        <v>+0.00%</v>
      </c>
      <c r="R1138" s="18" t="str">
        <f t="shared" si="677"/>
        <v>+0.00%</v>
      </c>
      <c r="S1138" s="14" t="s">
        <v>851</v>
      </c>
    </row>
    <row r="1139">
      <c r="A1139" s="13">
        <v>45901.0</v>
      </c>
      <c r="B1139" s="14" t="s">
        <v>47</v>
      </c>
      <c r="C1139" s="14" t="s">
        <v>48</v>
      </c>
      <c r="D1139" s="14" t="s">
        <v>171</v>
      </c>
      <c r="E1139" s="14" t="s">
        <v>172</v>
      </c>
      <c r="F1139" s="15" t="s">
        <v>51</v>
      </c>
      <c r="G1139" s="14" t="s">
        <v>173</v>
      </c>
      <c r="H1139" s="14" t="s">
        <v>171</v>
      </c>
      <c r="I1139" s="14" t="s">
        <v>59</v>
      </c>
      <c r="J1139" s="14" t="s">
        <v>200</v>
      </c>
      <c r="K1139" s="14" t="s">
        <v>213</v>
      </c>
      <c r="L1139" s="14" t="s">
        <v>440</v>
      </c>
      <c r="M1139" s="14" t="s">
        <v>510</v>
      </c>
      <c r="N1139" s="14" t="s">
        <v>511</v>
      </c>
      <c r="O1139" s="14">
        <v>0.0</v>
      </c>
      <c r="P1139" s="23">
        <v>0.0</v>
      </c>
      <c r="Q1139" s="22" t="str">
        <f t="shared" ref="Q1139:R1139" si="678">"+0.00%"</f>
        <v>+0.00%</v>
      </c>
      <c r="R1139" s="18" t="str">
        <f t="shared" si="678"/>
        <v>+0.00%</v>
      </c>
      <c r="S1139" s="14" t="s">
        <v>285</v>
      </c>
    </row>
    <row r="1140">
      <c r="A1140" s="13">
        <v>45901.0</v>
      </c>
      <c r="B1140" s="14" t="s">
        <v>47</v>
      </c>
      <c r="C1140" s="14" t="s">
        <v>48</v>
      </c>
      <c r="D1140" s="14" t="s">
        <v>149</v>
      </c>
      <c r="E1140" s="14" t="s">
        <v>150</v>
      </c>
      <c r="F1140" s="15" t="s">
        <v>51</v>
      </c>
      <c r="G1140" s="14" t="s">
        <v>151</v>
      </c>
      <c r="H1140" s="14" t="s">
        <v>152</v>
      </c>
      <c r="I1140" s="14" t="s">
        <v>54</v>
      </c>
      <c r="J1140" s="14" t="s">
        <v>199</v>
      </c>
      <c r="K1140" s="14" t="s">
        <v>203</v>
      </c>
      <c r="L1140" s="14" t="s">
        <v>1083</v>
      </c>
      <c r="M1140" s="14" t="s">
        <v>1083</v>
      </c>
      <c r="N1140" s="14" t="s">
        <v>1084</v>
      </c>
      <c r="O1140" s="14">
        <v>100.0</v>
      </c>
      <c r="P1140" s="21">
        <v>4.0</v>
      </c>
      <c r="Q1140" s="22" t="str">
        <f>"+1"</f>
        <v>+1</v>
      </c>
      <c r="R1140" s="18" t="str">
        <f>"+0"</f>
        <v>+0</v>
      </c>
      <c r="S1140" s="14" t="s">
        <v>260</v>
      </c>
    </row>
    <row r="1141">
      <c r="A1141" s="13">
        <v>45901.0</v>
      </c>
      <c r="B1141" s="14" t="s">
        <v>47</v>
      </c>
      <c r="C1141" s="14" t="s">
        <v>48</v>
      </c>
      <c r="D1141" s="14" t="s">
        <v>87</v>
      </c>
      <c r="E1141" s="14" t="s">
        <v>88</v>
      </c>
      <c r="F1141" s="15" t="s">
        <v>51</v>
      </c>
      <c r="G1141" s="14" t="s">
        <v>89</v>
      </c>
      <c r="H1141" s="14" t="s">
        <v>90</v>
      </c>
      <c r="I1141" s="14" t="s">
        <v>59</v>
      </c>
      <c r="J1141" s="14" t="s">
        <v>200</v>
      </c>
      <c r="K1141" s="14" t="s">
        <v>223</v>
      </c>
      <c r="L1141" s="14" t="s">
        <v>607</v>
      </c>
      <c r="M1141" s="14" t="s">
        <v>758</v>
      </c>
      <c r="N1141" s="14" t="s">
        <v>759</v>
      </c>
      <c r="O1141" s="14">
        <v>44.0</v>
      </c>
      <c r="P1141" s="23">
        <v>-0.1044</v>
      </c>
      <c r="Q1141" s="22" t="str">
        <f>"-7.88%"</f>
        <v>-7.88%</v>
      </c>
      <c r="R1141" s="18" t="str">
        <f>"+16.92%"</f>
        <v>+16.92%</v>
      </c>
      <c r="S1141" s="14" t="s">
        <v>1301</v>
      </c>
    </row>
    <row r="1142">
      <c r="A1142" s="13">
        <v>45901.0</v>
      </c>
      <c r="B1142" s="14" t="s">
        <v>47</v>
      </c>
      <c r="C1142" s="14" t="s">
        <v>48</v>
      </c>
      <c r="D1142" s="14" t="s">
        <v>125</v>
      </c>
      <c r="E1142" s="14" t="s">
        <v>126</v>
      </c>
      <c r="F1142" s="15" t="s">
        <v>51</v>
      </c>
      <c r="G1142" s="14" t="s">
        <v>127</v>
      </c>
      <c r="H1142" s="14" t="s">
        <v>125</v>
      </c>
      <c r="I1142" s="14" t="s">
        <v>59</v>
      </c>
      <c r="J1142" s="14" t="s">
        <v>200</v>
      </c>
      <c r="K1142" s="14" t="s">
        <v>232</v>
      </c>
      <c r="L1142" s="14" t="s">
        <v>286</v>
      </c>
      <c r="M1142" s="14" t="s">
        <v>656</v>
      </c>
      <c r="N1142" s="14" t="s">
        <v>657</v>
      </c>
      <c r="O1142" s="14">
        <v>0.0</v>
      </c>
      <c r="P1142" s="23">
        <v>0.0</v>
      </c>
      <c r="Q1142" s="22" t="str">
        <f t="shared" ref="Q1142:R1142" si="679">"+0.00%"</f>
        <v>+0.00%</v>
      </c>
      <c r="R1142" s="18" t="str">
        <f t="shared" si="679"/>
        <v>+0.00%</v>
      </c>
      <c r="S1142" s="14" t="s">
        <v>285</v>
      </c>
    </row>
    <row r="1143">
      <c r="A1143" s="13">
        <v>45901.0</v>
      </c>
      <c r="B1143" s="14" t="s">
        <v>47</v>
      </c>
      <c r="C1143" s="14" t="s">
        <v>48</v>
      </c>
      <c r="D1143" s="14" t="s">
        <v>96</v>
      </c>
      <c r="E1143" s="14" t="s">
        <v>97</v>
      </c>
      <c r="F1143" s="15" t="s">
        <v>51</v>
      </c>
      <c r="G1143" s="14" t="s">
        <v>98</v>
      </c>
      <c r="H1143" s="14" t="s">
        <v>96</v>
      </c>
      <c r="I1143" s="14" t="s">
        <v>59</v>
      </c>
      <c r="J1143" s="14" t="s">
        <v>200</v>
      </c>
      <c r="K1143" s="14" t="s">
        <v>223</v>
      </c>
      <c r="L1143" s="14" t="s">
        <v>710</v>
      </c>
      <c r="M1143" s="14" t="s">
        <v>1302</v>
      </c>
      <c r="N1143" s="14" t="s">
        <v>1303</v>
      </c>
      <c r="O1143" s="14">
        <v>18.0</v>
      </c>
      <c r="P1143" s="23">
        <v>0.1818</v>
      </c>
      <c r="Q1143" s="22" t="str">
        <f t="shared" ref="Q1143:Q1144" si="680">"+0.00%"</f>
        <v>+0.00%</v>
      </c>
      <c r="R1143" s="18" t="str">
        <f>"+5.68%"</f>
        <v>+5.68%</v>
      </c>
      <c r="S1143" s="14" t="s">
        <v>1304</v>
      </c>
    </row>
    <row r="1144">
      <c r="A1144" s="13">
        <v>45901.0</v>
      </c>
      <c r="B1144" s="14" t="s">
        <v>47</v>
      </c>
      <c r="C1144" s="14" t="s">
        <v>48</v>
      </c>
      <c r="D1144" s="14" t="s">
        <v>125</v>
      </c>
      <c r="E1144" s="14" t="s">
        <v>126</v>
      </c>
      <c r="F1144" s="15" t="s">
        <v>51</v>
      </c>
      <c r="G1144" s="14" t="s">
        <v>127</v>
      </c>
      <c r="H1144" s="14" t="s">
        <v>125</v>
      </c>
      <c r="I1144" s="14" t="s">
        <v>59</v>
      </c>
      <c r="J1144" s="14" t="s">
        <v>200</v>
      </c>
      <c r="K1144" s="14" t="s">
        <v>232</v>
      </c>
      <c r="L1144" s="14" t="s">
        <v>253</v>
      </c>
      <c r="M1144" s="14" t="s">
        <v>552</v>
      </c>
      <c r="N1144" s="14" t="s">
        <v>553</v>
      </c>
      <c r="O1144" s="14">
        <v>100.0</v>
      </c>
      <c r="P1144" s="23">
        <v>1.0</v>
      </c>
      <c r="Q1144" s="22" t="str">
        <f t="shared" si="680"/>
        <v>+0.00%</v>
      </c>
      <c r="R1144" s="18" t="str">
        <f>"+0.00%"</f>
        <v>+0.00%</v>
      </c>
      <c r="S1144" s="14" t="s">
        <v>1305</v>
      </c>
    </row>
    <row r="1145">
      <c r="A1145" s="13">
        <v>45901.0</v>
      </c>
      <c r="B1145" s="14" t="s">
        <v>47</v>
      </c>
      <c r="C1145" s="14" t="s">
        <v>48</v>
      </c>
      <c r="D1145" s="14" t="s">
        <v>69</v>
      </c>
      <c r="E1145" s="14" t="s">
        <v>70</v>
      </c>
      <c r="F1145" s="14" t="s">
        <v>71</v>
      </c>
      <c r="G1145" s="14">
        <v>1.00002092E8</v>
      </c>
      <c r="H1145" s="14" t="s">
        <v>72</v>
      </c>
      <c r="I1145" s="14" t="s">
        <v>54</v>
      </c>
      <c r="J1145" s="14" t="s">
        <v>199</v>
      </c>
      <c r="K1145" s="14" t="s">
        <v>203</v>
      </c>
      <c r="L1145" s="14" t="s">
        <v>1088</v>
      </c>
      <c r="M1145" s="14" t="s">
        <v>1089</v>
      </c>
      <c r="N1145" s="14" t="s">
        <v>1090</v>
      </c>
      <c r="O1145" s="14">
        <v>100.0</v>
      </c>
      <c r="P1145" s="21">
        <v>1.0</v>
      </c>
      <c r="Q1145" s="22" t="str">
        <f t="shared" ref="Q1145:R1145" si="681">"+0"</f>
        <v>+0</v>
      </c>
      <c r="R1145" s="18" t="str">
        <f t="shared" si="681"/>
        <v>+0</v>
      </c>
      <c r="S1145" s="14" t="s">
        <v>260</v>
      </c>
    </row>
    <row r="1146">
      <c r="A1146" s="13">
        <v>45901.0</v>
      </c>
      <c r="B1146" s="14" t="s">
        <v>47</v>
      </c>
      <c r="C1146" s="14" t="s">
        <v>48</v>
      </c>
      <c r="D1146" s="14" t="s">
        <v>77</v>
      </c>
      <c r="E1146" s="14" t="s">
        <v>78</v>
      </c>
      <c r="F1146" s="14" t="s">
        <v>79</v>
      </c>
      <c r="G1146" s="14" t="s">
        <v>80</v>
      </c>
      <c r="H1146" s="14" t="s">
        <v>81</v>
      </c>
      <c r="J1146" s="14" t="s">
        <v>200</v>
      </c>
      <c r="K1146" s="14" t="s">
        <v>238</v>
      </c>
      <c r="L1146" s="14" t="s">
        <v>253</v>
      </c>
      <c r="M1146" s="14" t="s">
        <v>1306</v>
      </c>
      <c r="N1146" s="14" t="s">
        <v>1307</v>
      </c>
      <c r="O1146" s="14">
        <v>0.0</v>
      </c>
      <c r="P1146" s="23">
        <v>0.0</v>
      </c>
      <c r="Q1146" s="22" t="str">
        <f t="shared" ref="Q1146:R1146" si="682">"+0.00%"</f>
        <v>+0.00%</v>
      </c>
      <c r="R1146" s="18" t="str">
        <f t="shared" si="682"/>
        <v>+0.00%</v>
      </c>
      <c r="S1146" s="14" t="s">
        <v>1308</v>
      </c>
    </row>
    <row r="1147">
      <c r="A1147" s="13">
        <v>45901.0</v>
      </c>
      <c r="B1147" s="14" t="s">
        <v>47</v>
      </c>
      <c r="C1147" s="14" t="s">
        <v>48</v>
      </c>
      <c r="D1147" s="14" t="s">
        <v>174</v>
      </c>
      <c r="E1147" s="14" t="s">
        <v>175</v>
      </c>
      <c r="F1147" s="15" t="s">
        <v>51</v>
      </c>
      <c r="G1147" s="14" t="s">
        <v>176</v>
      </c>
      <c r="H1147" s="14" t="s">
        <v>174</v>
      </c>
      <c r="I1147" s="14" t="s">
        <v>59</v>
      </c>
      <c r="J1147" s="14" t="s">
        <v>200</v>
      </c>
      <c r="K1147" s="14" t="s">
        <v>227</v>
      </c>
      <c r="L1147" s="14" t="s">
        <v>721</v>
      </c>
      <c r="M1147" s="14" t="s">
        <v>1060</v>
      </c>
      <c r="N1147" s="14" t="s">
        <v>1061</v>
      </c>
      <c r="O1147" s="14">
        <v>48.0</v>
      </c>
      <c r="P1147" s="23">
        <v>-0.0291</v>
      </c>
      <c r="Q1147" s="22" t="str">
        <f>"-0.85%"</f>
        <v>-0.85%</v>
      </c>
      <c r="R1147" s="18" t="str">
        <f>"-3.94%"</f>
        <v>-3.94%</v>
      </c>
      <c r="S1147" s="14" t="s">
        <v>1062</v>
      </c>
    </row>
    <row r="1148">
      <c r="A1148" s="13">
        <v>45901.0</v>
      </c>
      <c r="B1148" s="14" t="s">
        <v>47</v>
      </c>
      <c r="C1148" s="14" t="s">
        <v>48</v>
      </c>
      <c r="D1148" s="14" t="s">
        <v>77</v>
      </c>
      <c r="E1148" s="14" t="s">
        <v>78</v>
      </c>
      <c r="F1148" s="15" t="s">
        <v>51</v>
      </c>
      <c r="G1148" s="14" t="s">
        <v>128</v>
      </c>
      <c r="H1148" s="14" t="s">
        <v>81</v>
      </c>
      <c r="I1148" s="14" t="s">
        <v>59</v>
      </c>
      <c r="J1148" s="14" t="s">
        <v>200</v>
      </c>
      <c r="K1148" s="14" t="s">
        <v>222</v>
      </c>
      <c r="L1148" s="14" t="s">
        <v>337</v>
      </c>
      <c r="M1148" s="14" t="s">
        <v>338</v>
      </c>
      <c r="N1148" s="14" t="s">
        <v>339</v>
      </c>
      <c r="O1148" s="14">
        <v>0.0</v>
      </c>
      <c r="P1148" s="21">
        <v>0.0</v>
      </c>
      <c r="Q1148" s="22" t="str">
        <f t="shared" ref="Q1148:R1148" si="683">"+0"</f>
        <v>+0</v>
      </c>
      <c r="R1148" s="18" t="str">
        <f t="shared" si="683"/>
        <v>+0</v>
      </c>
      <c r="S1148" s="14" t="s">
        <v>260</v>
      </c>
    </row>
    <row r="1149">
      <c r="A1149" s="13">
        <v>45901.0</v>
      </c>
      <c r="B1149" s="14" t="s">
        <v>47</v>
      </c>
      <c r="C1149" s="14" t="s">
        <v>48</v>
      </c>
      <c r="D1149" s="14" t="s">
        <v>77</v>
      </c>
      <c r="E1149" s="14" t="s">
        <v>78</v>
      </c>
      <c r="F1149" s="15" t="s">
        <v>51</v>
      </c>
      <c r="G1149" s="14" t="s">
        <v>128</v>
      </c>
      <c r="H1149" s="14" t="s">
        <v>81</v>
      </c>
      <c r="I1149" s="14" t="s">
        <v>59</v>
      </c>
      <c r="J1149" s="14" t="s">
        <v>200</v>
      </c>
      <c r="K1149" s="14" t="s">
        <v>223</v>
      </c>
      <c r="L1149" s="14" t="s">
        <v>257</v>
      </c>
      <c r="M1149" s="14" t="s">
        <v>315</v>
      </c>
      <c r="N1149" s="14" t="s">
        <v>316</v>
      </c>
      <c r="O1149" s="14">
        <v>0.0</v>
      </c>
      <c r="P1149" s="23">
        <v>0.0</v>
      </c>
      <c r="Q1149" s="22" t="str">
        <f t="shared" ref="Q1149:Q1150" si="684">"+0.00%"</f>
        <v>+0.00%</v>
      </c>
      <c r="R1149" s="18" t="str">
        <f>"-25.00%"</f>
        <v>-25.00%</v>
      </c>
      <c r="S1149" s="14" t="s">
        <v>1309</v>
      </c>
    </row>
    <row r="1150">
      <c r="A1150" s="13">
        <v>45901.0</v>
      </c>
      <c r="B1150" s="14" t="s">
        <v>47</v>
      </c>
      <c r="C1150" s="14" t="s">
        <v>48</v>
      </c>
      <c r="D1150" s="14" t="s">
        <v>168</v>
      </c>
      <c r="E1150" s="14" t="s">
        <v>169</v>
      </c>
      <c r="F1150" s="15" t="s">
        <v>51</v>
      </c>
      <c r="G1150" s="14" t="s">
        <v>170</v>
      </c>
      <c r="H1150" s="14" t="s">
        <v>168</v>
      </c>
      <c r="I1150" s="14" t="s">
        <v>59</v>
      </c>
      <c r="J1150" s="14" t="s">
        <v>200</v>
      </c>
      <c r="K1150" s="14" t="s">
        <v>213</v>
      </c>
      <c r="L1150" s="14" t="s">
        <v>307</v>
      </c>
      <c r="M1150" s="14" t="s">
        <v>533</v>
      </c>
      <c r="N1150" s="14" t="s">
        <v>534</v>
      </c>
      <c r="O1150" s="14">
        <v>0.0</v>
      </c>
      <c r="P1150" s="23">
        <v>0.0</v>
      </c>
      <c r="Q1150" s="22" t="str">
        <f t="shared" si="684"/>
        <v>+0.00%</v>
      </c>
      <c r="R1150" s="18" t="str">
        <f t="shared" ref="R1150:R1151" si="685">"+0.00%"</f>
        <v>+0.00%</v>
      </c>
      <c r="S1150" s="14" t="s">
        <v>1310</v>
      </c>
    </row>
    <row r="1151">
      <c r="A1151" s="13">
        <v>45901.0</v>
      </c>
      <c r="B1151" s="14" t="s">
        <v>47</v>
      </c>
      <c r="C1151" s="14" t="s">
        <v>48</v>
      </c>
      <c r="D1151" s="14" t="s">
        <v>60</v>
      </c>
      <c r="E1151" s="14" t="s">
        <v>61</v>
      </c>
      <c r="F1151" s="15" t="s">
        <v>51</v>
      </c>
      <c r="G1151" s="14" t="s">
        <v>62</v>
      </c>
      <c r="H1151" s="14" t="s">
        <v>60</v>
      </c>
      <c r="I1151" s="14" t="s">
        <v>59</v>
      </c>
      <c r="J1151" s="14" t="s">
        <v>200</v>
      </c>
      <c r="K1151" s="14" t="s">
        <v>223</v>
      </c>
      <c r="L1151" s="14" t="s">
        <v>286</v>
      </c>
      <c r="M1151" s="14" t="s">
        <v>1199</v>
      </c>
      <c r="N1151" s="14" t="s">
        <v>1200</v>
      </c>
      <c r="O1151" s="14">
        <v>0.0</v>
      </c>
      <c r="P1151" s="23">
        <v>0.0</v>
      </c>
      <c r="Q1151" s="22" t="str">
        <f>"-2.70%"</f>
        <v>-2.70%</v>
      </c>
      <c r="R1151" s="18" t="str">
        <f t="shared" si="685"/>
        <v>+0.00%</v>
      </c>
      <c r="S1151" s="14" t="s">
        <v>285</v>
      </c>
    </row>
    <row r="1152">
      <c r="A1152" s="13">
        <v>45901.0</v>
      </c>
      <c r="B1152" s="14" t="s">
        <v>47</v>
      </c>
      <c r="C1152" s="14" t="s">
        <v>48</v>
      </c>
      <c r="D1152" s="14" t="s">
        <v>121</v>
      </c>
      <c r="E1152" s="14" t="s">
        <v>122</v>
      </c>
      <c r="F1152" s="15" t="s">
        <v>51</v>
      </c>
      <c r="G1152" s="14" t="s">
        <v>123</v>
      </c>
      <c r="H1152" s="14" t="s">
        <v>124</v>
      </c>
      <c r="I1152" s="14" t="s">
        <v>59</v>
      </c>
      <c r="J1152" s="14" t="s">
        <v>199</v>
      </c>
      <c r="K1152" s="14" t="s">
        <v>203</v>
      </c>
      <c r="L1152" s="14" t="s">
        <v>342</v>
      </c>
      <c r="M1152" s="14" t="s">
        <v>342</v>
      </c>
      <c r="N1152" s="14" t="s">
        <v>343</v>
      </c>
      <c r="O1152" s="14">
        <v>0.0</v>
      </c>
      <c r="P1152" s="21">
        <v>0.0</v>
      </c>
      <c r="Q1152" s="22" t="str">
        <f t="shared" ref="Q1152:R1152" si="686">"+0"</f>
        <v>+0</v>
      </c>
      <c r="R1152" s="18" t="str">
        <f t="shared" si="686"/>
        <v>+0</v>
      </c>
      <c r="S1152" s="14" t="s">
        <v>260</v>
      </c>
    </row>
    <row r="1153">
      <c r="A1153" s="13">
        <v>45901.0</v>
      </c>
      <c r="B1153" s="14" t="s">
        <v>47</v>
      </c>
      <c r="C1153" s="14" t="s">
        <v>48</v>
      </c>
      <c r="D1153" s="14" t="s">
        <v>56</v>
      </c>
      <c r="E1153" s="14" t="s">
        <v>57</v>
      </c>
      <c r="F1153" s="15" t="s">
        <v>51</v>
      </c>
      <c r="G1153" s="14" t="s">
        <v>58</v>
      </c>
      <c r="H1153" s="14" t="s">
        <v>56</v>
      </c>
      <c r="I1153" s="14" t="s">
        <v>59</v>
      </c>
      <c r="J1153" s="14" t="s">
        <v>200</v>
      </c>
      <c r="K1153" s="14" t="s">
        <v>223</v>
      </c>
      <c r="L1153" s="14" t="s">
        <v>261</v>
      </c>
      <c r="M1153" s="14" t="s">
        <v>906</v>
      </c>
      <c r="N1153" s="14" t="s">
        <v>907</v>
      </c>
      <c r="O1153" s="14">
        <v>28.0</v>
      </c>
      <c r="P1153" s="23">
        <v>0.28</v>
      </c>
      <c r="Q1153" s="22" t="str">
        <f>"+8.00%"</f>
        <v>+8.00%</v>
      </c>
      <c r="R1153" s="18" t="str">
        <f>"+3.00%"</f>
        <v>+3.00%</v>
      </c>
      <c r="S1153" s="14" t="s">
        <v>1311</v>
      </c>
    </row>
    <row r="1154">
      <c r="A1154" s="13">
        <v>45901.0</v>
      </c>
      <c r="B1154" s="14" t="s">
        <v>47</v>
      </c>
      <c r="C1154" s="14" t="s">
        <v>48</v>
      </c>
      <c r="D1154" s="14" t="s">
        <v>168</v>
      </c>
      <c r="E1154" s="14" t="s">
        <v>169</v>
      </c>
      <c r="F1154" s="15" t="s">
        <v>51</v>
      </c>
      <c r="G1154" s="14" t="s">
        <v>170</v>
      </c>
      <c r="H1154" s="14" t="s">
        <v>168</v>
      </c>
      <c r="I1154" s="14" t="s">
        <v>59</v>
      </c>
      <c r="J1154" s="14" t="s">
        <v>199</v>
      </c>
      <c r="K1154" s="14" t="s">
        <v>206</v>
      </c>
      <c r="L1154" s="14" t="s">
        <v>295</v>
      </c>
      <c r="M1154" s="14" t="s">
        <v>529</v>
      </c>
      <c r="N1154" s="14" t="s">
        <v>530</v>
      </c>
      <c r="O1154" s="14">
        <v>0.0</v>
      </c>
      <c r="P1154" s="21">
        <v>0.0</v>
      </c>
      <c r="Q1154" s="22" t="str">
        <f t="shared" ref="Q1154:R1154" si="687">"+0"</f>
        <v>+0</v>
      </c>
      <c r="R1154" s="18" t="str">
        <f t="shared" si="687"/>
        <v>+0</v>
      </c>
      <c r="S1154" s="14" t="s">
        <v>260</v>
      </c>
    </row>
    <row r="1155">
      <c r="A1155" s="13">
        <v>45901.0</v>
      </c>
      <c r="B1155" s="14" t="s">
        <v>47</v>
      </c>
      <c r="C1155" s="14" t="s">
        <v>48</v>
      </c>
      <c r="D1155" s="14" t="s">
        <v>121</v>
      </c>
      <c r="E1155" s="14" t="s">
        <v>122</v>
      </c>
      <c r="F1155" s="15" t="s">
        <v>51</v>
      </c>
      <c r="G1155" s="14" t="s">
        <v>123</v>
      </c>
      <c r="H1155" s="14" t="s">
        <v>124</v>
      </c>
      <c r="I1155" s="14" t="s">
        <v>59</v>
      </c>
      <c r="J1155" s="14" t="s">
        <v>200</v>
      </c>
      <c r="K1155" s="14" t="s">
        <v>232</v>
      </c>
      <c r="L1155" s="14" t="s">
        <v>607</v>
      </c>
      <c r="M1155" s="14" t="s">
        <v>1312</v>
      </c>
      <c r="N1155" s="14" t="s">
        <v>1313</v>
      </c>
      <c r="O1155" s="14">
        <v>0.0</v>
      </c>
      <c r="P1155" s="23">
        <v>0.0</v>
      </c>
      <c r="Q1155" s="22" t="str">
        <f t="shared" ref="Q1155:R1155" si="688">"+0.00%"</f>
        <v>+0.00%</v>
      </c>
      <c r="R1155" s="18" t="str">
        <f t="shared" si="688"/>
        <v>+0.00%</v>
      </c>
      <c r="S1155" s="14" t="s">
        <v>285</v>
      </c>
    </row>
    <row r="1156">
      <c r="A1156" s="13">
        <v>45901.0</v>
      </c>
      <c r="B1156" s="14" t="s">
        <v>47</v>
      </c>
      <c r="C1156" s="14" t="s">
        <v>48</v>
      </c>
      <c r="D1156" s="14" t="s">
        <v>165</v>
      </c>
      <c r="E1156" s="14" t="s">
        <v>166</v>
      </c>
      <c r="F1156" s="15" t="s">
        <v>51</v>
      </c>
      <c r="G1156" s="14" t="s">
        <v>167</v>
      </c>
      <c r="H1156" s="14" t="s">
        <v>165</v>
      </c>
      <c r="I1156" s="14" t="s">
        <v>54</v>
      </c>
      <c r="J1156" s="14" t="s">
        <v>200</v>
      </c>
      <c r="K1156" s="14" t="s">
        <v>213</v>
      </c>
      <c r="L1156" s="14" t="s">
        <v>289</v>
      </c>
      <c r="M1156" s="14" t="s">
        <v>384</v>
      </c>
      <c r="N1156" s="14" t="s">
        <v>385</v>
      </c>
      <c r="O1156" s="14">
        <v>19.0</v>
      </c>
      <c r="P1156" s="23">
        <v>0.196</v>
      </c>
      <c r="Q1156" s="22" t="str">
        <f>"-0.21%"</f>
        <v>-0.21%</v>
      </c>
      <c r="R1156" s="18" t="str">
        <f>"+0.09%"</f>
        <v>+0.09%</v>
      </c>
      <c r="S1156" s="14" t="s">
        <v>1314</v>
      </c>
    </row>
    <row r="1157">
      <c r="A1157" s="13">
        <v>45901.0</v>
      </c>
      <c r="B1157" s="14" t="s">
        <v>47</v>
      </c>
      <c r="C1157" s="14" t="s">
        <v>48</v>
      </c>
      <c r="D1157" s="14" t="s">
        <v>165</v>
      </c>
      <c r="E1157" s="14" t="s">
        <v>166</v>
      </c>
      <c r="F1157" s="15" t="s">
        <v>51</v>
      </c>
      <c r="G1157" s="14" t="s">
        <v>167</v>
      </c>
      <c r="H1157" s="14" t="s">
        <v>165</v>
      </c>
      <c r="I1157" s="14" t="s">
        <v>54</v>
      </c>
      <c r="J1157" s="14" t="s">
        <v>200</v>
      </c>
      <c r="K1157" s="14" t="s">
        <v>227</v>
      </c>
      <c r="L1157" s="14" t="s">
        <v>721</v>
      </c>
      <c r="M1157" s="14" t="s">
        <v>748</v>
      </c>
      <c r="N1157" s="14" t="s">
        <v>749</v>
      </c>
      <c r="O1157" s="14">
        <v>0.0</v>
      </c>
      <c r="P1157" s="23">
        <v>-1.0</v>
      </c>
      <c r="Q1157" s="22" t="str">
        <f t="shared" ref="Q1157:R1157" si="689">"+0.00%"</f>
        <v>+0.00%</v>
      </c>
      <c r="R1157" s="18" t="str">
        <f t="shared" si="689"/>
        <v>+0.00%</v>
      </c>
      <c r="S1157" s="14" t="s">
        <v>750</v>
      </c>
    </row>
    <row r="1158">
      <c r="A1158" s="13">
        <v>45901.0</v>
      </c>
      <c r="B1158" s="14" t="s">
        <v>47</v>
      </c>
      <c r="C1158" s="14" t="s">
        <v>48</v>
      </c>
      <c r="D1158" s="14" t="s">
        <v>63</v>
      </c>
      <c r="E1158" s="14" t="s">
        <v>64</v>
      </c>
      <c r="F1158" s="15" t="s">
        <v>51</v>
      </c>
      <c r="G1158" s="14" t="s">
        <v>65</v>
      </c>
      <c r="H1158" s="14" t="s">
        <v>63</v>
      </c>
      <c r="I1158" s="14" t="s">
        <v>54</v>
      </c>
      <c r="J1158" s="14" t="s">
        <v>199</v>
      </c>
      <c r="K1158" s="14" t="s">
        <v>203</v>
      </c>
      <c r="L1158" s="14" t="s">
        <v>862</v>
      </c>
      <c r="M1158" s="14" t="s">
        <v>862</v>
      </c>
      <c r="N1158" s="14" t="s">
        <v>863</v>
      </c>
      <c r="O1158" s="14">
        <v>0.0</v>
      </c>
      <c r="P1158" s="21">
        <v>0.0</v>
      </c>
      <c r="Q1158" s="22" t="str">
        <f t="shared" ref="Q1158:R1158" si="690">"+0"</f>
        <v>+0</v>
      </c>
      <c r="R1158" s="18" t="str">
        <f t="shared" si="690"/>
        <v>+0</v>
      </c>
      <c r="S1158" s="14" t="s">
        <v>260</v>
      </c>
    </row>
    <row r="1159">
      <c r="A1159" s="13">
        <v>45901.0</v>
      </c>
      <c r="B1159" s="14" t="s">
        <v>47</v>
      </c>
      <c r="C1159" s="14" t="s">
        <v>48</v>
      </c>
      <c r="D1159" s="14" t="s">
        <v>91</v>
      </c>
      <c r="E1159" s="14" t="s">
        <v>92</v>
      </c>
      <c r="F1159" s="14" t="s">
        <v>79</v>
      </c>
      <c r="G1159" s="14" t="s">
        <v>164</v>
      </c>
      <c r="H1159" s="14" t="s">
        <v>91</v>
      </c>
      <c r="I1159" s="14" t="s">
        <v>154</v>
      </c>
      <c r="J1159" s="14" t="s">
        <v>200</v>
      </c>
      <c r="K1159" s="14" t="s">
        <v>237</v>
      </c>
      <c r="L1159" s="14" t="s">
        <v>333</v>
      </c>
      <c r="M1159" s="14" t="s">
        <v>1315</v>
      </c>
      <c r="N1159" s="14" t="s">
        <v>1316</v>
      </c>
      <c r="O1159" s="14">
        <v>50.0</v>
      </c>
      <c r="P1159" s="23">
        <v>0.0</v>
      </c>
      <c r="Q1159" s="22" t="str">
        <f>"+0.00%"</f>
        <v>+0.00%</v>
      </c>
      <c r="R1159" s="18" t="str">
        <f>"+100.00%"</f>
        <v>+100.00%</v>
      </c>
      <c r="S1159" s="14" t="s">
        <v>336</v>
      </c>
    </row>
    <row r="1160">
      <c r="A1160" s="13">
        <v>45901.0</v>
      </c>
      <c r="B1160" s="14" t="s">
        <v>47</v>
      </c>
      <c r="C1160" s="14" t="s">
        <v>48</v>
      </c>
      <c r="D1160" s="14" t="s">
        <v>91</v>
      </c>
      <c r="E1160" s="14" t="s">
        <v>92</v>
      </c>
      <c r="F1160" s="15" t="s">
        <v>51</v>
      </c>
      <c r="G1160" s="14" t="s">
        <v>163</v>
      </c>
      <c r="H1160" s="14" t="s">
        <v>91</v>
      </c>
      <c r="I1160" s="14" t="s">
        <v>59</v>
      </c>
      <c r="J1160" s="14" t="s">
        <v>199</v>
      </c>
      <c r="K1160" s="14" t="s">
        <v>206</v>
      </c>
      <c r="L1160" s="14" t="s">
        <v>295</v>
      </c>
      <c r="M1160" s="14" t="s">
        <v>986</v>
      </c>
      <c r="N1160" s="14" t="s">
        <v>987</v>
      </c>
      <c r="O1160" s="14">
        <v>0.0</v>
      </c>
      <c r="P1160" s="21">
        <v>0.0</v>
      </c>
      <c r="Q1160" s="22" t="str">
        <f t="shared" ref="Q1160:R1160" si="691">"-6"</f>
        <v>-6</v>
      </c>
      <c r="R1160" s="18" t="str">
        <f t="shared" si="691"/>
        <v>-6</v>
      </c>
      <c r="S1160" s="14" t="s">
        <v>260</v>
      </c>
    </row>
    <row r="1161">
      <c r="A1161" s="13">
        <v>45901.0</v>
      </c>
      <c r="B1161" s="14" t="s">
        <v>47</v>
      </c>
      <c r="C1161" s="14" t="s">
        <v>48</v>
      </c>
      <c r="D1161" s="14" t="s">
        <v>91</v>
      </c>
      <c r="E1161" s="14" t="s">
        <v>92</v>
      </c>
      <c r="F1161" s="14" t="s">
        <v>71</v>
      </c>
      <c r="G1161" s="14">
        <v>5.10000484E8</v>
      </c>
      <c r="H1161" s="14" t="s">
        <v>91</v>
      </c>
      <c r="I1161" s="14" t="s">
        <v>54</v>
      </c>
      <c r="J1161" s="14" t="s">
        <v>200</v>
      </c>
      <c r="K1161" s="14" t="s">
        <v>220</v>
      </c>
      <c r="L1161" s="14" t="s">
        <v>253</v>
      </c>
      <c r="M1161" s="14" t="s">
        <v>1317</v>
      </c>
      <c r="N1161" s="14" t="s">
        <v>1318</v>
      </c>
      <c r="O1161" s="14">
        <v>71.0</v>
      </c>
      <c r="P1161" s="23">
        <v>0.7164</v>
      </c>
      <c r="Q1161" s="22" t="str">
        <f>"+4.21%"</f>
        <v>+4.21%</v>
      </c>
      <c r="R1161" s="18" t="str">
        <f>"-1.33%"</f>
        <v>-1.33%</v>
      </c>
      <c r="S1161" s="14" t="s">
        <v>1319</v>
      </c>
    </row>
    <row r="1162">
      <c r="A1162" s="13">
        <v>45901.0</v>
      </c>
      <c r="B1162" s="14" t="s">
        <v>47</v>
      </c>
      <c r="C1162" s="14" t="s">
        <v>48</v>
      </c>
      <c r="D1162" s="14" t="s">
        <v>99</v>
      </c>
      <c r="E1162" s="14" t="s">
        <v>100</v>
      </c>
      <c r="F1162" s="15" t="s">
        <v>51</v>
      </c>
      <c r="G1162" s="14" t="s">
        <v>101</v>
      </c>
      <c r="H1162" s="14" t="s">
        <v>102</v>
      </c>
      <c r="I1162" s="14" t="s">
        <v>54</v>
      </c>
      <c r="J1162" s="14" t="s">
        <v>199</v>
      </c>
      <c r="K1162" s="14" t="s">
        <v>203</v>
      </c>
      <c r="L1162" s="14" t="s">
        <v>1183</v>
      </c>
      <c r="M1162" s="14" t="s">
        <v>1184</v>
      </c>
      <c r="N1162" s="14" t="s">
        <v>1185</v>
      </c>
      <c r="O1162" s="14">
        <v>0.0</v>
      </c>
      <c r="P1162" s="23">
        <v>0.0</v>
      </c>
      <c r="Q1162" s="22" t="str">
        <f t="shared" ref="Q1162:R1162" si="692">"+0.00%"</f>
        <v>+0.00%</v>
      </c>
      <c r="R1162" s="18" t="str">
        <f t="shared" si="692"/>
        <v>+0.00%</v>
      </c>
      <c r="S1162" s="14" t="s">
        <v>371</v>
      </c>
    </row>
    <row r="1163">
      <c r="A1163" s="13">
        <v>45901.0</v>
      </c>
      <c r="B1163" s="14" t="s">
        <v>47</v>
      </c>
      <c r="C1163" s="14" t="s">
        <v>48</v>
      </c>
      <c r="D1163" s="14" t="s">
        <v>63</v>
      </c>
      <c r="E1163" s="14" t="s">
        <v>64</v>
      </c>
      <c r="F1163" s="15" t="s">
        <v>51</v>
      </c>
      <c r="G1163" s="14" t="s">
        <v>65</v>
      </c>
      <c r="H1163" s="14" t="s">
        <v>63</v>
      </c>
      <c r="I1163" s="14" t="s">
        <v>54</v>
      </c>
      <c r="J1163" s="14" t="s">
        <v>200</v>
      </c>
      <c r="K1163" s="14" t="s">
        <v>213</v>
      </c>
      <c r="L1163" s="14" t="s">
        <v>289</v>
      </c>
      <c r="M1163" s="14" t="s">
        <v>290</v>
      </c>
      <c r="N1163" s="14" t="s">
        <v>291</v>
      </c>
      <c r="O1163" s="14">
        <v>0.0</v>
      </c>
      <c r="P1163" s="23">
        <v>0.0</v>
      </c>
      <c r="Q1163" s="22" t="str">
        <f t="shared" ref="Q1163:R1163" si="693">"+0.00%"</f>
        <v>+0.00%</v>
      </c>
      <c r="R1163" s="18" t="str">
        <f t="shared" si="693"/>
        <v>+0.00%</v>
      </c>
      <c r="S1163" s="14" t="s">
        <v>285</v>
      </c>
    </row>
    <row r="1164">
      <c r="A1164" s="13">
        <v>45901.0</v>
      </c>
      <c r="B1164" s="14" t="s">
        <v>47</v>
      </c>
      <c r="C1164" s="14" t="s">
        <v>48</v>
      </c>
      <c r="D1164" s="14" t="s">
        <v>192</v>
      </c>
      <c r="E1164" s="14" t="s">
        <v>193</v>
      </c>
      <c r="F1164" s="15" t="s">
        <v>51</v>
      </c>
      <c r="G1164" s="14" t="s">
        <v>194</v>
      </c>
      <c r="H1164" s="14" t="s">
        <v>192</v>
      </c>
      <c r="I1164" s="14" t="s">
        <v>54</v>
      </c>
      <c r="J1164" s="14" t="s">
        <v>200</v>
      </c>
      <c r="K1164" s="14" t="s">
        <v>223</v>
      </c>
      <c r="L1164" s="14" t="s">
        <v>676</v>
      </c>
      <c r="M1164" s="14" t="s">
        <v>836</v>
      </c>
      <c r="N1164" s="14" t="s">
        <v>837</v>
      </c>
      <c r="O1164" s="14">
        <v>19.0</v>
      </c>
      <c r="P1164" s="23">
        <v>0.197</v>
      </c>
      <c r="Q1164" s="22" t="str">
        <f>"-1.72%"</f>
        <v>-1.72%</v>
      </c>
      <c r="R1164" s="18" t="str">
        <f>"-0.27%"</f>
        <v>-0.27%</v>
      </c>
      <c r="S1164" s="14" t="s">
        <v>1320</v>
      </c>
    </row>
    <row r="1165">
      <c r="A1165" s="13">
        <v>45901.0</v>
      </c>
      <c r="B1165" s="14" t="s">
        <v>47</v>
      </c>
      <c r="C1165" s="14" t="s">
        <v>48</v>
      </c>
      <c r="D1165" s="14" t="s">
        <v>66</v>
      </c>
      <c r="E1165" s="14" t="s">
        <v>67</v>
      </c>
      <c r="F1165" s="15" t="s">
        <v>51</v>
      </c>
      <c r="G1165" s="14" t="s">
        <v>68</v>
      </c>
      <c r="H1165" s="14" t="s">
        <v>66</v>
      </c>
      <c r="I1165" s="14" t="s">
        <v>59</v>
      </c>
      <c r="J1165" s="14" t="s">
        <v>199</v>
      </c>
      <c r="K1165" s="14" t="s">
        <v>203</v>
      </c>
      <c r="L1165" s="14" t="s">
        <v>340</v>
      </c>
      <c r="M1165" s="14" t="s">
        <v>340</v>
      </c>
      <c r="N1165" s="14" t="s">
        <v>341</v>
      </c>
      <c r="O1165" s="14">
        <v>0.0</v>
      </c>
      <c r="P1165" s="21">
        <v>0.0</v>
      </c>
      <c r="Q1165" s="22" t="str">
        <f t="shared" ref="Q1165:R1165" si="694">"+0"</f>
        <v>+0</v>
      </c>
      <c r="R1165" s="18" t="str">
        <f t="shared" si="694"/>
        <v>+0</v>
      </c>
      <c r="S1165" s="14" t="s">
        <v>260</v>
      </c>
    </row>
    <row r="1166">
      <c r="A1166" s="13">
        <v>45901.0</v>
      </c>
      <c r="B1166" s="14" t="s">
        <v>47</v>
      </c>
      <c r="C1166" s="14" t="s">
        <v>48</v>
      </c>
      <c r="D1166" s="14" t="s">
        <v>192</v>
      </c>
      <c r="E1166" s="14" t="s">
        <v>193</v>
      </c>
      <c r="F1166" s="15" t="s">
        <v>51</v>
      </c>
      <c r="G1166" s="14" t="s">
        <v>194</v>
      </c>
      <c r="H1166" s="14" t="s">
        <v>192</v>
      </c>
      <c r="I1166" s="14" t="s">
        <v>54</v>
      </c>
      <c r="J1166" s="14" t="s">
        <v>200</v>
      </c>
      <c r="K1166" s="14" t="s">
        <v>223</v>
      </c>
      <c r="L1166" s="14" t="s">
        <v>883</v>
      </c>
      <c r="M1166" s="14" t="s">
        <v>884</v>
      </c>
      <c r="N1166" s="14" t="s">
        <v>885</v>
      </c>
      <c r="O1166" s="14">
        <v>100.0</v>
      </c>
      <c r="P1166" s="23">
        <v>0.421</v>
      </c>
      <c r="Q1166" s="22" t="str">
        <f>"+1.95%"</f>
        <v>+1.95%</v>
      </c>
      <c r="R1166" s="18" t="str">
        <f>"-2.34%"</f>
        <v>-2.34%</v>
      </c>
      <c r="S1166" s="14" t="s">
        <v>285</v>
      </c>
    </row>
    <row r="1167">
      <c r="A1167" s="13">
        <v>45901.0</v>
      </c>
      <c r="B1167" s="14" t="s">
        <v>47</v>
      </c>
      <c r="C1167" s="14" t="s">
        <v>48</v>
      </c>
      <c r="D1167" s="14" t="s">
        <v>82</v>
      </c>
      <c r="E1167" s="14" t="s">
        <v>83</v>
      </c>
      <c r="F1167" s="15" t="s">
        <v>51</v>
      </c>
      <c r="G1167" s="14" t="s">
        <v>84</v>
      </c>
      <c r="H1167" s="14" t="s">
        <v>82</v>
      </c>
      <c r="I1167" s="14" t="s">
        <v>59</v>
      </c>
      <c r="J1167" s="14" t="s">
        <v>198</v>
      </c>
      <c r="K1167" s="14" t="s">
        <v>210</v>
      </c>
      <c r="L1167" s="14" t="s">
        <v>264</v>
      </c>
      <c r="M1167" s="14" t="s">
        <v>470</v>
      </c>
      <c r="N1167" s="14" t="s">
        <v>471</v>
      </c>
      <c r="O1167" s="14">
        <v>86.0</v>
      </c>
      <c r="P1167" s="21">
        <v>4.0</v>
      </c>
      <c r="Q1167" s="22" t="str">
        <f>"-5"</f>
        <v>-5</v>
      </c>
      <c r="R1167" s="18" t="str">
        <f>"-14"</f>
        <v>-14</v>
      </c>
      <c r="S1167" s="14" t="s">
        <v>1321</v>
      </c>
    </row>
    <row r="1168">
      <c r="A1168" s="13">
        <v>45901.0</v>
      </c>
      <c r="B1168" s="14" t="s">
        <v>47</v>
      </c>
      <c r="C1168" s="14" t="s">
        <v>48</v>
      </c>
      <c r="D1168" s="14" t="s">
        <v>66</v>
      </c>
      <c r="E1168" s="14" t="s">
        <v>67</v>
      </c>
      <c r="F1168" s="15" t="s">
        <v>51</v>
      </c>
      <c r="G1168" s="14" t="s">
        <v>68</v>
      </c>
      <c r="H1168" s="14" t="s">
        <v>66</v>
      </c>
      <c r="I1168" s="14" t="s">
        <v>59</v>
      </c>
      <c r="J1168" s="14" t="s">
        <v>199</v>
      </c>
      <c r="K1168" s="14" t="s">
        <v>206</v>
      </c>
      <c r="L1168" s="14" t="s">
        <v>569</v>
      </c>
      <c r="M1168" s="14" t="s">
        <v>569</v>
      </c>
      <c r="N1168" s="14" t="s">
        <v>570</v>
      </c>
      <c r="O1168" s="14">
        <v>0.0</v>
      </c>
      <c r="P1168" s="21">
        <v>0.0</v>
      </c>
      <c r="Q1168" s="22" t="str">
        <f t="shared" ref="Q1168:R1168" si="695">"+0"</f>
        <v>+0</v>
      </c>
      <c r="R1168" s="18" t="str">
        <f t="shared" si="695"/>
        <v>+0</v>
      </c>
      <c r="S1168" s="14" t="s">
        <v>383</v>
      </c>
    </row>
    <row r="1169">
      <c r="A1169" s="13">
        <v>45901.0</v>
      </c>
      <c r="B1169" s="14" t="s">
        <v>47</v>
      </c>
      <c r="C1169" s="14" t="s">
        <v>48</v>
      </c>
      <c r="D1169" s="14" t="s">
        <v>184</v>
      </c>
      <c r="E1169" s="14" t="s">
        <v>185</v>
      </c>
      <c r="F1169" s="15" t="s">
        <v>51</v>
      </c>
      <c r="G1169" s="14" t="s">
        <v>186</v>
      </c>
      <c r="H1169" s="14" t="s">
        <v>187</v>
      </c>
      <c r="I1169" s="14" t="s">
        <v>59</v>
      </c>
      <c r="J1169" s="14" t="s">
        <v>200</v>
      </c>
      <c r="K1169" s="14" t="s">
        <v>222</v>
      </c>
      <c r="L1169" s="14" t="s">
        <v>337</v>
      </c>
      <c r="M1169" s="14" t="s">
        <v>1000</v>
      </c>
      <c r="N1169" s="14" t="s">
        <v>1001</v>
      </c>
      <c r="O1169" s="14">
        <v>0.0</v>
      </c>
      <c r="P1169" s="21">
        <v>0.0</v>
      </c>
      <c r="Q1169" s="22" t="str">
        <f t="shared" ref="Q1169:R1169" si="696">"+0"</f>
        <v>+0</v>
      </c>
      <c r="R1169" s="18" t="str">
        <f t="shared" si="696"/>
        <v>+0</v>
      </c>
      <c r="S1169" s="14" t="s">
        <v>260</v>
      </c>
    </row>
    <row r="1170">
      <c r="A1170" s="13">
        <v>45901.0</v>
      </c>
      <c r="B1170" s="14" t="s">
        <v>47</v>
      </c>
      <c r="C1170" s="14" t="s">
        <v>48</v>
      </c>
      <c r="D1170" s="14" t="s">
        <v>93</v>
      </c>
      <c r="E1170" s="14" t="s">
        <v>94</v>
      </c>
      <c r="F1170" s="15" t="s">
        <v>51</v>
      </c>
      <c r="G1170" s="14" t="s">
        <v>191</v>
      </c>
      <c r="H1170" s="14" t="s">
        <v>95</v>
      </c>
      <c r="I1170" s="14" t="s">
        <v>59</v>
      </c>
      <c r="J1170" s="14" t="s">
        <v>200</v>
      </c>
      <c r="K1170" s="14" t="s">
        <v>215</v>
      </c>
      <c r="L1170" s="14" t="s">
        <v>1322</v>
      </c>
      <c r="M1170" s="14" t="s">
        <v>1323</v>
      </c>
      <c r="N1170" s="14" t="s">
        <v>1324</v>
      </c>
      <c r="O1170" s="14">
        <v>0.0</v>
      </c>
      <c r="P1170" s="23">
        <v>-1.0</v>
      </c>
      <c r="Q1170" s="22" t="str">
        <f t="shared" ref="Q1170:R1170" si="697">"+0.00%"</f>
        <v>+0.00%</v>
      </c>
      <c r="R1170" s="18" t="str">
        <f t="shared" si="697"/>
        <v>+0.00%</v>
      </c>
      <c r="S1170" s="14" t="s">
        <v>1325</v>
      </c>
    </row>
    <row r="1171">
      <c r="A1171" s="13">
        <v>45901.0</v>
      </c>
      <c r="B1171" s="14" t="s">
        <v>47</v>
      </c>
      <c r="C1171" s="14" t="s">
        <v>48</v>
      </c>
      <c r="D1171" s="14" t="s">
        <v>192</v>
      </c>
      <c r="E1171" s="14" t="s">
        <v>193</v>
      </c>
      <c r="F1171" s="15" t="s">
        <v>51</v>
      </c>
      <c r="G1171" s="14" t="s">
        <v>194</v>
      </c>
      <c r="H1171" s="14" t="s">
        <v>192</v>
      </c>
      <c r="I1171" s="14" t="s">
        <v>54</v>
      </c>
      <c r="J1171" s="14" t="s">
        <v>198</v>
      </c>
      <c r="K1171" s="14" t="s">
        <v>210</v>
      </c>
      <c r="L1171" s="14" t="s">
        <v>458</v>
      </c>
      <c r="M1171" s="14" t="s">
        <v>945</v>
      </c>
      <c r="N1171" s="14" t="s">
        <v>946</v>
      </c>
      <c r="O1171" s="14">
        <v>0.0</v>
      </c>
      <c r="P1171" s="21">
        <v>0.0</v>
      </c>
      <c r="Q1171" s="22" t="str">
        <f t="shared" ref="Q1171:R1171" si="698">"+0"</f>
        <v>+0</v>
      </c>
      <c r="R1171" s="18" t="str">
        <f t="shared" si="698"/>
        <v>+0</v>
      </c>
      <c r="S1171" s="14" t="s">
        <v>277</v>
      </c>
    </row>
    <row r="1172">
      <c r="A1172" s="13">
        <v>45901.0</v>
      </c>
      <c r="B1172" s="14" t="s">
        <v>47</v>
      </c>
      <c r="C1172" s="14" t="s">
        <v>48</v>
      </c>
      <c r="D1172" s="14" t="s">
        <v>184</v>
      </c>
      <c r="E1172" s="14" t="s">
        <v>185</v>
      </c>
      <c r="F1172" s="15" t="s">
        <v>51</v>
      </c>
      <c r="G1172" s="14" t="s">
        <v>186</v>
      </c>
      <c r="H1172" s="14" t="s">
        <v>187</v>
      </c>
      <c r="I1172" s="14" t="s">
        <v>59</v>
      </c>
      <c r="J1172" s="14" t="s">
        <v>200</v>
      </c>
      <c r="K1172" s="14" t="s">
        <v>224</v>
      </c>
      <c r="L1172" s="14" t="s">
        <v>253</v>
      </c>
      <c r="M1172" s="14" t="s">
        <v>1224</v>
      </c>
      <c r="N1172" s="14" t="s">
        <v>1225</v>
      </c>
      <c r="O1172" s="14">
        <v>0.0</v>
      </c>
      <c r="P1172" s="23">
        <v>0.0</v>
      </c>
      <c r="Q1172" s="22" t="str">
        <f>"-4.55%"</f>
        <v>-4.55%</v>
      </c>
      <c r="R1172" s="18" t="str">
        <f>"-2.27%"</f>
        <v>-2.27%</v>
      </c>
      <c r="S1172" s="14" t="s">
        <v>1326</v>
      </c>
    </row>
    <row r="1173">
      <c r="A1173" s="13">
        <v>45901.0</v>
      </c>
      <c r="B1173" s="14" t="s">
        <v>47</v>
      </c>
      <c r="C1173" s="14" t="s">
        <v>48</v>
      </c>
      <c r="D1173" s="14" t="s">
        <v>129</v>
      </c>
      <c r="E1173" s="14" t="s">
        <v>130</v>
      </c>
      <c r="F1173" s="15" t="s">
        <v>51</v>
      </c>
      <c r="G1173" s="14" t="s">
        <v>131</v>
      </c>
      <c r="H1173" s="14" t="s">
        <v>129</v>
      </c>
      <c r="I1173" s="14" t="s">
        <v>59</v>
      </c>
      <c r="J1173" s="14" t="s">
        <v>200</v>
      </c>
      <c r="K1173" s="14" t="s">
        <v>231</v>
      </c>
      <c r="L1173" s="14" t="s">
        <v>512</v>
      </c>
      <c r="M1173" s="14" t="s">
        <v>1327</v>
      </c>
      <c r="N1173" s="14" t="s">
        <v>1328</v>
      </c>
      <c r="O1173" s="14">
        <v>0.0</v>
      </c>
      <c r="P1173" s="21">
        <v>0.0</v>
      </c>
      <c r="Q1173" s="22" t="str">
        <f t="shared" ref="Q1173:R1173" si="699">"+0"</f>
        <v>+0</v>
      </c>
      <c r="R1173" s="18" t="str">
        <f t="shared" si="699"/>
        <v>+0</v>
      </c>
      <c r="S1173" s="14" t="s">
        <v>260</v>
      </c>
    </row>
    <row r="1174">
      <c r="A1174" s="13">
        <v>45901.0</v>
      </c>
      <c r="B1174" s="14" t="s">
        <v>47</v>
      </c>
      <c r="C1174" s="14" t="s">
        <v>48</v>
      </c>
      <c r="D1174" s="14" t="s">
        <v>129</v>
      </c>
      <c r="E1174" s="14" t="s">
        <v>130</v>
      </c>
      <c r="F1174" s="15" t="s">
        <v>51</v>
      </c>
      <c r="G1174" s="14" t="s">
        <v>131</v>
      </c>
      <c r="H1174" s="14" t="s">
        <v>129</v>
      </c>
      <c r="I1174" s="14" t="s">
        <v>59</v>
      </c>
      <c r="J1174" s="14" t="s">
        <v>200</v>
      </c>
      <c r="K1174" s="14" t="s">
        <v>231</v>
      </c>
      <c r="L1174" s="14" t="s">
        <v>762</v>
      </c>
      <c r="M1174" s="14" t="s">
        <v>1329</v>
      </c>
      <c r="N1174" s="14" t="s">
        <v>1330</v>
      </c>
      <c r="O1174" s="14">
        <v>0.0</v>
      </c>
      <c r="P1174" s="23">
        <v>-1.0</v>
      </c>
      <c r="Q1174" s="22" t="str">
        <f t="shared" ref="Q1174:R1174" si="700">"+0.00%"</f>
        <v>+0.00%</v>
      </c>
      <c r="R1174" s="18" t="str">
        <f t="shared" si="700"/>
        <v>+0.00%</v>
      </c>
      <c r="S1174" s="14" t="s">
        <v>1331</v>
      </c>
    </row>
    <row r="1175">
      <c r="A1175" s="13">
        <v>45901.0</v>
      </c>
      <c r="B1175" s="14" t="s">
        <v>47</v>
      </c>
      <c r="C1175" s="14" t="s">
        <v>48</v>
      </c>
      <c r="D1175" s="14" t="s">
        <v>171</v>
      </c>
      <c r="E1175" s="14" t="s">
        <v>172</v>
      </c>
      <c r="F1175" s="15" t="s">
        <v>51</v>
      </c>
      <c r="G1175" s="14" t="s">
        <v>173</v>
      </c>
      <c r="H1175" s="14" t="s">
        <v>171</v>
      </c>
      <c r="I1175" s="14" t="s">
        <v>59</v>
      </c>
      <c r="J1175" s="14" t="s">
        <v>200</v>
      </c>
      <c r="K1175" s="14" t="s">
        <v>213</v>
      </c>
      <c r="L1175" s="14" t="s">
        <v>440</v>
      </c>
      <c r="M1175" s="14" t="s">
        <v>441</v>
      </c>
      <c r="N1175" s="14" t="s">
        <v>442</v>
      </c>
      <c r="O1175" s="14">
        <v>0.0</v>
      </c>
      <c r="P1175" s="23">
        <v>0.0</v>
      </c>
      <c r="Q1175" s="22" t="str">
        <f t="shared" ref="Q1175:R1175" si="701">"+0.00%"</f>
        <v>+0.00%</v>
      </c>
      <c r="R1175" s="18" t="str">
        <f t="shared" si="701"/>
        <v>+0.00%</v>
      </c>
      <c r="S1175" s="14" t="s">
        <v>285</v>
      </c>
    </row>
    <row r="1176">
      <c r="A1176" s="13">
        <v>45901.0</v>
      </c>
      <c r="B1176" s="14" t="s">
        <v>47</v>
      </c>
      <c r="C1176" s="14" t="s">
        <v>48</v>
      </c>
      <c r="D1176" s="14" t="s">
        <v>129</v>
      </c>
      <c r="E1176" s="14" t="s">
        <v>130</v>
      </c>
      <c r="F1176" s="15" t="s">
        <v>51</v>
      </c>
      <c r="G1176" s="14" t="s">
        <v>131</v>
      </c>
      <c r="H1176" s="14" t="s">
        <v>129</v>
      </c>
      <c r="I1176" s="14" t="s">
        <v>59</v>
      </c>
      <c r="J1176" s="14" t="s">
        <v>198</v>
      </c>
      <c r="K1176" s="14" t="s">
        <v>205</v>
      </c>
      <c r="L1176" s="14" t="s">
        <v>274</v>
      </c>
      <c r="M1176" s="14" t="s">
        <v>466</v>
      </c>
      <c r="N1176" s="14" t="s">
        <v>467</v>
      </c>
      <c r="O1176" s="14">
        <v>100.0</v>
      </c>
      <c r="P1176" s="21">
        <v>1.0</v>
      </c>
      <c r="Q1176" s="22" t="str">
        <f>"+0"</f>
        <v>+0</v>
      </c>
      <c r="S1176" s="14" t="s">
        <v>281</v>
      </c>
    </row>
    <row r="1177">
      <c r="A1177" s="13">
        <v>45901.0</v>
      </c>
      <c r="B1177" s="14" t="s">
        <v>47</v>
      </c>
      <c r="C1177" s="14" t="s">
        <v>48</v>
      </c>
      <c r="D1177" s="14" t="s">
        <v>149</v>
      </c>
      <c r="E1177" s="14" t="s">
        <v>150</v>
      </c>
      <c r="F1177" s="15" t="s">
        <v>51</v>
      </c>
      <c r="G1177" s="14" t="s">
        <v>151</v>
      </c>
      <c r="H1177" s="14" t="s">
        <v>152</v>
      </c>
      <c r="I1177" s="14" t="s">
        <v>54</v>
      </c>
      <c r="J1177" s="14" t="s">
        <v>200</v>
      </c>
      <c r="K1177" s="14" t="s">
        <v>227</v>
      </c>
      <c r="L1177" s="14" t="s">
        <v>253</v>
      </c>
      <c r="M1177" s="14" t="s">
        <v>849</v>
      </c>
      <c r="N1177" s="14" t="s">
        <v>850</v>
      </c>
      <c r="O1177" s="14">
        <v>20.0</v>
      </c>
      <c r="P1177" s="23">
        <v>0.2</v>
      </c>
      <c r="Q1177" s="22" t="str">
        <f t="shared" ref="Q1177:R1177" si="702">"+0.00%"</f>
        <v>+0.00%</v>
      </c>
      <c r="R1177" s="18" t="str">
        <f t="shared" si="702"/>
        <v>+0.00%</v>
      </c>
      <c r="S1177" s="14" t="s">
        <v>851</v>
      </c>
    </row>
    <row r="1178">
      <c r="A1178" s="13">
        <v>45901.0</v>
      </c>
      <c r="B1178" s="14" t="s">
        <v>47</v>
      </c>
      <c r="C1178" s="14" t="s">
        <v>48</v>
      </c>
      <c r="D1178" s="14" t="s">
        <v>87</v>
      </c>
      <c r="E1178" s="14" t="s">
        <v>88</v>
      </c>
      <c r="F1178" s="15" t="s">
        <v>51</v>
      </c>
      <c r="G1178" s="14" t="s">
        <v>89</v>
      </c>
      <c r="H1178" s="14" t="s">
        <v>90</v>
      </c>
      <c r="I1178" s="14" t="s">
        <v>59</v>
      </c>
      <c r="J1178" s="14" t="s">
        <v>200</v>
      </c>
      <c r="K1178" s="14" t="s">
        <v>223</v>
      </c>
      <c r="L1178" s="14" t="s">
        <v>607</v>
      </c>
      <c r="M1178" s="14" t="s">
        <v>1204</v>
      </c>
      <c r="N1178" s="14" t="s">
        <v>1205</v>
      </c>
      <c r="O1178" s="14">
        <v>0.0</v>
      </c>
      <c r="P1178" s="21">
        <v>0.0</v>
      </c>
      <c r="Q1178" s="22" t="str">
        <f t="shared" ref="Q1178:R1178" si="703">"+0"</f>
        <v>+0</v>
      </c>
      <c r="R1178" s="18" t="str">
        <f t="shared" si="703"/>
        <v>+0</v>
      </c>
      <c r="S1178" s="14" t="s">
        <v>260</v>
      </c>
    </row>
    <row r="1179">
      <c r="A1179" s="13">
        <v>45901.0</v>
      </c>
      <c r="B1179" s="14" t="s">
        <v>47</v>
      </c>
      <c r="C1179" s="14" t="s">
        <v>48</v>
      </c>
      <c r="D1179" s="14" t="s">
        <v>171</v>
      </c>
      <c r="E1179" s="14" t="s">
        <v>172</v>
      </c>
      <c r="F1179" s="15" t="s">
        <v>51</v>
      </c>
      <c r="G1179" s="14" t="s">
        <v>173</v>
      </c>
      <c r="H1179" s="14" t="s">
        <v>171</v>
      </c>
      <c r="I1179" s="14" t="s">
        <v>59</v>
      </c>
      <c r="J1179" s="14" t="s">
        <v>198</v>
      </c>
      <c r="K1179" s="14" t="s">
        <v>210</v>
      </c>
      <c r="L1179" s="14" t="s">
        <v>264</v>
      </c>
      <c r="M1179" s="14" t="s">
        <v>265</v>
      </c>
      <c r="N1179" s="14" t="s">
        <v>266</v>
      </c>
      <c r="O1179" s="14">
        <v>26.0</v>
      </c>
      <c r="P1179" s="21">
        <v>233.0</v>
      </c>
      <c r="Q1179" s="22" t="str">
        <f>"-196"</f>
        <v>-196</v>
      </c>
      <c r="R1179" s="18" t="str">
        <f>"-577"</f>
        <v>-577</v>
      </c>
      <c r="S1179" s="14" t="s">
        <v>1332</v>
      </c>
    </row>
    <row r="1180">
      <c r="A1180" s="13">
        <v>45901.0</v>
      </c>
      <c r="B1180" s="14" t="s">
        <v>47</v>
      </c>
      <c r="C1180" s="14" t="s">
        <v>48</v>
      </c>
      <c r="D1180" s="14" t="s">
        <v>149</v>
      </c>
      <c r="E1180" s="14" t="s">
        <v>150</v>
      </c>
      <c r="F1180" s="15" t="s">
        <v>51</v>
      </c>
      <c r="G1180" s="14" t="s">
        <v>151</v>
      </c>
      <c r="H1180" s="14" t="s">
        <v>152</v>
      </c>
      <c r="I1180" s="14" t="s">
        <v>54</v>
      </c>
      <c r="J1180" s="14" t="s">
        <v>198</v>
      </c>
      <c r="K1180" s="14" t="s">
        <v>212</v>
      </c>
      <c r="L1180" s="14" t="s">
        <v>249</v>
      </c>
      <c r="M1180" s="14" t="s">
        <v>250</v>
      </c>
      <c r="N1180" s="14" t="s">
        <v>251</v>
      </c>
      <c r="O1180" s="14">
        <v>0.0</v>
      </c>
      <c r="P1180" s="21">
        <v>8.59460387E8</v>
      </c>
      <c r="Q1180" s="22" t="str">
        <f>"-32,581,918"</f>
        <v>-32,581,918</v>
      </c>
      <c r="R1180" s="18" t="str">
        <f>"-656,127,423"</f>
        <v>-656,127,423</v>
      </c>
      <c r="S1180" s="14" t="s">
        <v>1333</v>
      </c>
    </row>
    <row r="1181">
      <c r="A1181" s="13">
        <v>45901.0</v>
      </c>
      <c r="B1181" s="14" t="s">
        <v>47</v>
      </c>
      <c r="C1181" s="14" t="s">
        <v>48</v>
      </c>
      <c r="D1181" s="14" t="s">
        <v>136</v>
      </c>
      <c r="E1181" s="14" t="s">
        <v>137</v>
      </c>
      <c r="F1181" s="15" t="s">
        <v>51</v>
      </c>
      <c r="G1181" s="14" t="s">
        <v>138</v>
      </c>
      <c r="H1181" s="14" t="s">
        <v>139</v>
      </c>
      <c r="I1181" s="14" t="s">
        <v>59</v>
      </c>
      <c r="J1181" s="14" t="s">
        <v>198</v>
      </c>
      <c r="K1181" s="14" t="s">
        <v>212</v>
      </c>
      <c r="L1181" s="14" t="s">
        <v>344</v>
      </c>
      <c r="M1181" s="14" t="s">
        <v>580</v>
      </c>
      <c r="N1181" s="14" t="s">
        <v>581</v>
      </c>
      <c r="O1181" s="14">
        <v>100.0</v>
      </c>
      <c r="P1181" s="21">
        <v>1.0</v>
      </c>
      <c r="Q1181" s="22" t="str">
        <f>"+1"</f>
        <v>+1</v>
      </c>
      <c r="S1181" s="14" t="s">
        <v>281</v>
      </c>
    </row>
    <row r="1182">
      <c r="A1182" s="13">
        <v>45901.0</v>
      </c>
      <c r="B1182" s="14" t="s">
        <v>47</v>
      </c>
      <c r="C1182" s="14" t="s">
        <v>48</v>
      </c>
      <c r="D1182" s="14" t="s">
        <v>125</v>
      </c>
      <c r="E1182" s="14" t="s">
        <v>126</v>
      </c>
      <c r="F1182" s="15" t="s">
        <v>51</v>
      </c>
      <c r="G1182" s="14" t="s">
        <v>127</v>
      </c>
      <c r="H1182" s="14" t="s">
        <v>125</v>
      </c>
      <c r="I1182" s="14" t="s">
        <v>59</v>
      </c>
      <c r="J1182" s="14" t="s">
        <v>200</v>
      </c>
      <c r="K1182" s="14" t="s">
        <v>224</v>
      </c>
      <c r="L1182" s="14" t="s">
        <v>964</v>
      </c>
      <c r="M1182" s="14" t="s">
        <v>965</v>
      </c>
      <c r="N1182" s="14" t="s">
        <v>966</v>
      </c>
      <c r="O1182" s="14">
        <v>0.0</v>
      </c>
      <c r="P1182" s="17"/>
      <c r="Q1182" s="22"/>
      <c r="S1182" s="14" t="s">
        <v>1334</v>
      </c>
    </row>
    <row r="1183">
      <c r="A1183" s="13">
        <v>45901.0</v>
      </c>
      <c r="B1183" s="14" t="s">
        <v>47</v>
      </c>
      <c r="C1183" s="14" t="s">
        <v>48</v>
      </c>
      <c r="D1183" s="14" t="s">
        <v>77</v>
      </c>
      <c r="E1183" s="14" t="s">
        <v>78</v>
      </c>
      <c r="F1183" s="15" t="s">
        <v>51</v>
      </c>
      <c r="G1183" s="14" t="s">
        <v>128</v>
      </c>
      <c r="H1183" s="14" t="s">
        <v>81</v>
      </c>
      <c r="I1183" s="14" t="s">
        <v>59</v>
      </c>
      <c r="J1183" s="14" t="s">
        <v>200</v>
      </c>
      <c r="K1183" s="14" t="s">
        <v>223</v>
      </c>
      <c r="L1183" s="14" t="s">
        <v>286</v>
      </c>
      <c r="M1183" s="14" t="s">
        <v>625</v>
      </c>
      <c r="N1183" s="14" t="s">
        <v>626</v>
      </c>
      <c r="O1183" s="14">
        <v>0.0</v>
      </c>
      <c r="P1183" s="23">
        <v>0.0</v>
      </c>
      <c r="Q1183" s="22" t="str">
        <f t="shared" ref="Q1183:R1183" si="704">"+0.00%"</f>
        <v>+0.00%</v>
      </c>
      <c r="R1183" s="18" t="str">
        <f t="shared" si="704"/>
        <v>+0.00%</v>
      </c>
      <c r="S1183" s="14" t="s">
        <v>1335</v>
      </c>
    </row>
    <row r="1184">
      <c r="A1184" s="13">
        <v>45901.0</v>
      </c>
      <c r="B1184" s="14" t="s">
        <v>47</v>
      </c>
      <c r="C1184" s="14" t="s">
        <v>48</v>
      </c>
      <c r="D1184" s="14" t="s">
        <v>112</v>
      </c>
      <c r="E1184" s="14" t="s">
        <v>113</v>
      </c>
      <c r="F1184" s="15" t="s">
        <v>51</v>
      </c>
      <c r="G1184" s="14" t="s">
        <v>114</v>
      </c>
      <c r="H1184" s="14" t="s">
        <v>112</v>
      </c>
      <c r="I1184" s="14" t="s">
        <v>59</v>
      </c>
      <c r="J1184" s="14" t="s">
        <v>200</v>
      </c>
      <c r="K1184" s="14" t="s">
        <v>227</v>
      </c>
      <c r="L1184" s="14" t="s">
        <v>270</v>
      </c>
      <c r="M1184" s="14" t="s">
        <v>271</v>
      </c>
      <c r="N1184" s="14" t="s">
        <v>272</v>
      </c>
      <c r="O1184" s="14">
        <v>0.0</v>
      </c>
      <c r="P1184" s="23">
        <v>-1.0</v>
      </c>
      <c r="Q1184" s="22" t="str">
        <f t="shared" ref="Q1184:R1184" si="705">"+0.00%"</f>
        <v>+0.00%</v>
      </c>
      <c r="R1184" s="18" t="str">
        <f t="shared" si="705"/>
        <v>+0.00%</v>
      </c>
      <c r="S1184" s="14" t="s">
        <v>273</v>
      </c>
    </row>
    <row r="1185">
      <c r="A1185" s="13">
        <v>45901.0</v>
      </c>
      <c r="B1185" s="14" t="s">
        <v>47</v>
      </c>
      <c r="C1185" s="14" t="s">
        <v>48</v>
      </c>
      <c r="D1185" s="14" t="s">
        <v>174</v>
      </c>
      <c r="E1185" s="14" t="s">
        <v>175</v>
      </c>
      <c r="F1185" s="15" t="s">
        <v>51</v>
      </c>
      <c r="G1185" s="14" t="s">
        <v>176</v>
      </c>
      <c r="H1185" s="14" t="s">
        <v>174</v>
      </c>
      <c r="I1185" s="14" t="s">
        <v>59</v>
      </c>
      <c r="J1185" s="14" t="s">
        <v>198</v>
      </c>
      <c r="K1185" s="14" t="s">
        <v>210</v>
      </c>
      <c r="L1185" s="14" t="s">
        <v>264</v>
      </c>
      <c r="M1185" s="14" t="s">
        <v>524</v>
      </c>
      <c r="N1185" s="14" t="s">
        <v>525</v>
      </c>
      <c r="O1185" s="14">
        <v>0.0</v>
      </c>
      <c r="P1185" s="21">
        <v>6.0</v>
      </c>
      <c r="Q1185" s="22" t="str">
        <f>"-288"</f>
        <v>-288</v>
      </c>
      <c r="R1185" s="18" t="str">
        <f>"+6"</f>
        <v>+6</v>
      </c>
      <c r="S1185" s="14" t="s">
        <v>526</v>
      </c>
    </row>
    <row r="1186">
      <c r="A1186" s="13">
        <v>45901.0</v>
      </c>
      <c r="B1186" s="14" t="s">
        <v>47</v>
      </c>
      <c r="C1186" s="14" t="s">
        <v>48</v>
      </c>
      <c r="D1186" s="14" t="s">
        <v>60</v>
      </c>
      <c r="E1186" s="14" t="s">
        <v>61</v>
      </c>
      <c r="F1186" s="15" t="s">
        <v>51</v>
      </c>
      <c r="G1186" s="14" t="s">
        <v>62</v>
      </c>
      <c r="H1186" s="14" t="s">
        <v>60</v>
      </c>
      <c r="I1186" s="14" t="s">
        <v>59</v>
      </c>
      <c r="J1186" s="14" t="s">
        <v>198</v>
      </c>
      <c r="K1186" s="14" t="s">
        <v>210</v>
      </c>
      <c r="L1186" s="14" t="s">
        <v>278</v>
      </c>
      <c r="M1186" s="14" t="s">
        <v>443</v>
      </c>
      <c r="N1186" s="14" t="s">
        <v>444</v>
      </c>
      <c r="O1186" s="14">
        <v>0.0</v>
      </c>
      <c r="P1186" s="21">
        <v>351.0</v>
      </c>
      <c r="Q1186" s="22" t="str">
        <f>"-212"</f>
        <v>-212</v>
      </c>
      <c r="R1186" s="18" t="str">
        <f>"-2,304"</f>
        <v>-2,304</v>
      </c>
      <c r="S1186" s="14" t="s">
        <v>1336</v>
      </c>
    </row>
    <row r="1187">
      <c r="A1187" s="13">
        <v>45901.0</v>
      </c>
      <c r="B1187" s="14" t="s">
        <v>47</v>
      </c>
      <c r="C1187" s="14" t="s">
        <v>48</v>
      </c>
      <c r="D1187" s="14" t="s">
        <v>140</v>
      </c>
      <c r="E1187" s="14" t="s">
        <v>141</v>
      </c>
      <c r="F1187" s="15" t="s">
        <v>51</v>
      </c>
      <c r="G1187" s="14" t="s">
        <v>142</v>
      </c>
      <c r="H1187" s="14" t="s">
        <v>140</v>
      </c>
      <c r="I1187" s="14" t="s">
        <v>59</v>
      </c>
      <c r="J1187" s="14" t="s">
        <v>200</v>
      </c>
      <c r="K1187" s="14" t="s">
        <v>209</v>
      </c>
      <c r="L1187" s="14" t="s">
        <v>253</v>
      </c>
      <c r="M1187" s="14" t="s">
        <v>817</v>
      </c>
      <c r="N1187" s="14" t="s">
        <v>818</v>
      </c>
      <c r="O1187" s="14">
        <v>1.0</v>
      </c>
      <c r="P1187" s="23">
        <v>0.0018</v>
      </c>
      <c r="Q1187" s="22" t="str">
        <f t="shared" ref="Q1187:R1187" si="706">"+0.00%"</f>
        <v>+0.00%</v>
      </c>
      <c r="R1187" s="18" t="str">
        <f t="shared" si="706"/>
        <v>+0.00%</v>
      </c>
      <c r="S1187" s="14" t="s">
        <v>1337</v>
      </c>
    </row>
    <row r="1188">
      <c r="A1188" s="13">
        <v>45901.0</v>
      </c>
      <c r="B1188" s="14" t="s">
        <v>47</v>
      </c>
      <c r="C1188" s="14" t="s">
        <v>48</v>
      </c>
      <c r="D1188" s="14" t="s">
        <v>60</v>
      </c>
      <c r="E1188" s="14" t="s">
        <v>61</v>
      </c>
      <c r="F1188" s="15" t="s">
        <v>51</v>
      </c>
      <c r="G1188" s="14" t="s">
        <v>62</v>
      </c>
      <c r="H1188" s="14" t="s">
        <v>60</v>
      </c>
      <c r="I1188" s="14" t="s">
        <v>59</v>
      </c>
      <c r="J1188" s="14" t="s">
        <v>200</v>
      </c>
      <c r="K1188" s="14" t="s">
        <v>223</v>
      </c>
      <c r="L1188" s="14" t="s">
        <v>261</v>
      </c>
      <c r="M1188" s="14" t="s">
        <v>814</v>
      </c>
      <c r="N1188" s="14" t="s">
        <v>815</v>
      </c>
      <c r="O1188" s="14">
        <v>50.0</v>
      </c>
      <c r="P1188" s="23">
        <v>7.0E-4</v>
      </c>
      <c r="Q1188" s="22" t="str">
        <f>"+75.72%"</f>
        <v>+75.72%</v>
      </c>
      <c r="R1188" s="18" t="str">
        <f>"-31.22%"</f>
        <v>-31.22%</v>
      </c>
      <c r="S1188" s="14" t="s">
        <v>750</v>
      </c>
    </row>
    <row r="1189">
      <c r="A1189" s="13">
        <v>45901.0</v>
      </c>
      <c r="B1189" s="14" t="s">
        <v>47</v>
      </c>
      <c r="C1189" s="14" t="s">
        <v>48</v>
      </c>
      <c r="D1189" s="14" t="s">
        <v>60</v>
      </c>
      <c r="E1189" s="14" t="s">
        <v>61</v>
      </c>
      <c r="F1189" s="15" t="s">
        <v>51</v>
      </c>
      <c r="G1189" s="14" t="s">
        <v>62</v>
      </c>
      <c r="H1189" s="14" t="s">
        <v>60</v>
      </c>
      <c r="I1189" s="14" t="s">
        <v>59</v>
      </c>
      <c r="J1189" s="14" t="s">
        <v>200</v>
      </c>
      <c r="K1189" s="14" t="s">
        <v>223</v>
      </c>
      <c r="L1189" s="14" t="s">
        <v>261</v>
      </c>
      <c r="M1189" s="14" t="s">
        <v>1338</v>
      </c>
      <c r="N1189" s="14" t="s">
        <v>1339</v>
      </c>
      <c r="O1189" s="14">
        <v>0.0</v>
      </c>
      <c r="P1189" s="23">
        <v>0.0</v>
      </c>
      <c r="Q1189" s="22" t="str">
        <f t="shared" ref="Q1189:R1189" si="707">"+0.00%"</f>
        <v>+0.00%</v>
      </c>
      <c r="R1189" s="18" t="str">
        <f t="shared" si="707"/>
        <v>+0.00%</v>
      </c>
      <c r="S1189" s="14" t="s">
        <v>285</v>
      </c>
    </row>
    <row r="1190">
      <c r="A1190" s="13">
        <v>45901.0</v>
      </c>
      <c r="B1190" s="14" t="s">
        <v>47</v>
      </c>
      <c r="C1190" s="14" t="s">
        <v>48</v>
      </c>
      <c r="D1190" s="14" t="s">
        <v>49</v>
      </c>
      <c r="E1190" s="14" t="s">
        <v>50</v>
      </c>
      <c r="F1190" s="15" t="s">
        <v>51</v>
      </c>
      <c r="G1190" s="14" t="s">
        <v>52</v>
      </c>
      <c r="H1190" s="14" t="s">
        <v>53</v>
      </c>
      <c r="I1190" s="14" t="s">
        <v>54</v>
      </c>
      <c r="J1190" s="14" t="s">
        <v>200</v>
      </c>
      <c r="K1190" s="14" t="s">
        <v>213</v>
      </c>
      <c r="L1190" s="14" t="s">
        <v>359</v>
      </c>
      <c r="M1190" s="14" t="s">
        <v>519</v>
      </c>
      <c r="N1190" s="14" t="s">
        <v>520</v>
      </c>
      <c r="O1190" s="14">
        <v>0.0</v>
      </c>
      <c r="P1190" s="21">
        <v>0.0</v>
      </c>
      <c r="Q1190" s="22" t="str">
        <f t="shared" ref="Q1190:R1190" si="708">"+0"</f>
        <v>+0</v>
      </c>
      <c r="R1190" s="18" t="str">
        <f t="shared" si="708"/>
        <v>+0</v>
      </c>
      <c r="S1190" s="14" t="s">
        <v>260</v>
      </c>
    </row>
    <row r="1191">
      <c r="A1191" s="13">
        <v>45901.0</v>
      </c>
      <c r="B1191" s="14" t="s">
        <v>47</v>
      </c>
      <c r="C1191" s="14" t="s">
        <v>48</v>
      </c>
      <c r="D1191" s="14" t="s">
        <v>165</v>
      </c>
      <c r="E1191" s="14" t="s">
        <v>166</v>
      </c>
      <c r="F1191" s="15" t="s">
        <v>51</v>
      </c>
      <c r="G1191" s="14" t="s">
        <v>167</v>
      </c>
      <c r="H1191" s="14" t="s">
        <v>165</v>
      </c>
      <c r="I1191" s="14" t="s">
        <v>54</v>
      </c>
      <c r="J1191" s="14" t="s">
        <v>200</v>
      </c>
      <c r="K1191" s="14" t="s">
        <v>209</v>
      </c>
      <c r="L1191" s="14" t="s">
        <v>253</v>
      </c>
      <c r="M1191" s="14" t="s">
        <v>402</v>
      </c>
      <c r="N1191" s="14" t="s">
        <v>403</v>
      </c>
      <c r="O1191" s="14">
        <v>55.0</v>
      </c>
      <c r="P1191" s="23">
        <v>0.5563</v>
      </c>
      <c r="Q1191" s="22" t="str">
        <f>"+1.28%"</f>
        <v>+1.28%</v>
      </c>
      <c r="R1191" s="18" t="str">
        <f>"+3.44%"</f>
        <v>+3.44%</v>
      </c>
      <c r="S1191" s="14" t="s">
        <v>1340</v>
      </c>
    </row>
    <row r="1192">
      <c r="A1192" s="13">
        <v>45901.0</v>
      </c>
      <c r="B1192" s="14" t="s">
        <v>47</v>
      </c>
      <c r="C1192" s="14" t="s">
        <v>48</v>
      </c>
      <c r="D1192" s="14" t="s">
        <v>49</v>
      </c>
      <c r="E1192" s="14" t="s">
        <v>50</v>
      </c>
      <c r="F1192" s="15" t="s">
        <v>51</v>
      </c>
      <c r="G1192" s="14" t="s">
        <v>52</v>
      </c>
      <c r="H1192" s="14" t="s">
        <v>53</v>
      </c>
      <c r="I1192" s="14" t="s">
        <v>54</v>
      </c>
      <c r="J1192" s="14" t="s">
        <v>198</v>
      </c>
      <c r="K1192" s="14" t="s">
        <v>205</v>
      </c>
      <c r="L1192" s="14" t="s">
        <v>274</v>
      </c>
      <c r="M1192" s="14" t="s">
        <v>791</v>
      </c>
      <c r="N1192" s="14" t="s">
        <v>792</v>
      </c>
      <c r="O1192" s="14">
        <v>100.0</v>
      </c>
      <c r="P1192" s="21">
        <v>4.0</v>
      </c>
      <c r="Q1192" s="22" t="str">
        <f>"+0"</f>
        <v>+0</v>
      </c>
      <c r="S1192" s="14" t="s">
        <v>260</v>
      </c>
    </row>
    <row r="1193">
      <c r="A1193" s="13">
        <v>45901.0</v>
      </c>
      <c r="B1193" s="14" t="s">
        <v>47</v>
      </c>
      <c r="C1193" s="14" t="s">
        <v>48</v>
      </c>
      <c r="D1193" s="14" t="s">
        <v>63</v>
      </c>
      <c r="E1193" s="14" t="s">
        <v>64</v>
      </c>
      <c r="F1193" s="15" t="s">
        <v>51</v>
      </c>
      <c r="G1193" s="14" t="s">
        <v>65</v>
      </c>
      <c r="H1193" s="14" t="s">
        <v>63</v>
      </c>
      <c r="I1193" s="14" t="s">
        <v>54</v>
      </c>
      <c r="J1193" s="14" t="s">
        <v>200</v>
      </c>
      <c r="K1193" s="14" t="s">
        <v>215</v>
      </c>
      <c r="L1193" s="14" t="s">
        <v>1341</v>
      </c>
      <c r="M1193" s="14" t="s">
        <v>1342</v>
      </c>
      <c r="N1193" s="14" t="s">
        <v>1343</v>
      </c>
      <c r="O1193" s="14">
        <v>0.0</v>
      </c>
      <c r="P1193" s="23">
        <v>-1.0</v>
      </c>
      <c r="Q1193" s="22" t="str">
        <f t="shared" ref="Q1193:R1193" si="709">"+0.00%"</f>
        <v>+0.00%</v>
      </c>
      <c r="R1193" s="18" t="str">
        <f t="shared" si="709"/>
        <v>+0.00%</v>
      </c>
      <c r="S1193" s="14" t="s">
        <v>1344</v>
      </c>
    </row>
    <row r="1194">
      <c r="A1194" s="13">
        <v>45901.0</v>
      </c>
      <c r="B1194" s="14" t="s">
        <v>47</v>
      </c>
      <c r="C1194" s="14" t="s">
        <v>48</v>
      </c>
      <c r="D1194" s="14" t="s">
        <v>91</v>
      </c>
      <c r="E1194" s="14" t="s">
        <v>92</v>
      </c>
      <c r="F1194" s="14" t="s">
        <v>71</v>
      </c>
      <c r="G1194" s="14">
        <v>5.10001669E8</v>
      </c>
      <c r="H1194" s="14" t="s">
        <v>91</v>
      </c>
      <c r="I1194" s="14" t="s">
        <v>107</v>
      </c>
      <c r="J1194" s="14" t="s">
        <v>200</v>
      </c>
      <c r="K1194" s="14" t="s">
        <v>218</v>
      </c>
      <c r="L1194" s="14" t="s">
        <v>253</v>
      </c>
      <c r="M1194" s="14" t="s">
        <v>1202</v>
      </c>
      <c r="N1194" s="14" t="s">
        <v>1203</v>
      </c>
      <c r="O1194" s="14">
        <v>1.0</v>
      </c>
      <c r="P1194" s="23">
        <v>0.0</v>
      </c>
      <c r="Q1194" s="22" t="str">
        <f t="shared" ref="Q1194:R1194" si="710">"-0.00%"</f>
        <v>-0.00%</v>
      </c>
      <c r="R1194" s="18" t="str">
        <f t="shared" si="710"/>
        <v>-0.00%</v>
      </c>
      <c r="S1194" s="14" t="s">
        <v>1345</v>
      </c>
    </row>
    <row r="1195">
      <c r="A1195" s="13">
        <v>45901.0</v>
      </c>
      <c r="B1195" s="14" t="s">
        <v>47</v>
      </c>
      <c r="C1195" s="14" t="s">
        <v>48</v>
      </c>
      <c r="D1195" s="14" t="s">
        <v>99</v>
      </c>
      <c r="E1195" s="14" t="s">
        <v>100</v>
      </c>
      <c r="F1195" s="15" t="s">
        <v>51</v>
      </c>
      <c r="G1195" s="14" t="s">
        <v>101</v>
      </c>
      <c r="H1195" s="14" t="s">
        <v>102</v>
      </c>
      <c r="I1195" s="14" t="s">
        <v>54</v>
      </c>
      <c r="J1195" s="14" t="s">
        <v>198</v>
      </c>
      <c r="K1195" s="14" t="s">
        <v>212</v>
      </c>
      <c r="L1195" s="14" t="s">
        <v>249</v>
      </c>
      <c r="M1195" s="14" t="s">
        <v>1346</v>
      </c>
      <c r="N1195" s="14" t="s">
        <v>1347</v>
      </c>
      <c r="O1195" s="14">
        <v>0.0</v>
      </c>
      <c r="P1195" s="21">
        <v>0.0</v>
      </c>
      <c r="Q1195" s="22" t="str">
        <f t="shared" ref="Q1195:R1195" si="711">"+0"</f>
        <v>+0</v>
      </c>
      <c r="R1195" s="18" t="str">
        <f t="shared" si="711"/>
        <v>+0</v>
      </c>
      <c r="S1195" s="14" t="s">
        <v>277</v>
      </c>
    </row>
    <row r="1196">
      <c r="A1196" s="13">
        <v>45901.0</v>
      </c>
      <c r="B1196" s="14" t="s">
        <v>47</v>
      </c>
      <c r="C1196" s="14" t="s">
        <v>48</v>
      </c>
      <c r="D1196" s="14" t="s">
        <v>93</v>
      </c>
      <c r="E1196" s="14" t="s">
        <v>94</v>
      </c>
      <c r="F1196" s="14" t="s">
        <v>71</v>
      </c>
      <c r="G1196" s="14">
        <v>5.36001438E8</v>
      </c>
      <c r="H1196" s="14" t="s">
        <v>95</v>
      </c>
      <c r="I1196" s="14" t="s">
        <v>59</v>
      </c>
      <c r="J1196" s="14" t="s">
        <v>199</v>
      </c>
      <c r="K1196" s="14" t="s">
        <v>206</v>
      </c>
      <c r="L1196" s="14" t="s">
        <v>268</v>
      </c>
      <c r="M1196" s="14" t="s">
        <v>268</v>
      </c>
      <c r="N1196" s="14" t="s">
        <v>269</v>
      </c>
      <c r="O1196" s="14">
        <v>0.0</v>
      </c>
      <c r="P1196" s="21">
        <v>0.0</v>
      </c>
      <c r="Q1196" s="22" t="str">
        <f t="shared" ref="Q1196:R1196" si="712">"+0"</f>
        <v>+0</v>
      </c>
      <c r="R1196" s="18" t="str">
        <f t="shared" si="712"/>
        <v>+0</v>
      </c>
      <c r="S1196" s="14" t="s">
        <v>260</v>
      </c>
    </row>
    <row r="1197">
      <c r="A1197" s="13">
        <v>45901.0</v>
      </c>
      <c r="B1197" s="14" t="s">
        <v>47</v>
      </c>
      <c r="C1197" s="14" t="s">
        <v>48</v>
      </c>
      <c r="D1197" s="14" t="s">
        <v>143</v>
      </c>
      <c r="E1197" s="14" t="s">
        <v>144</v>
      </c>
      <c r="F1197" s="15" t="s">
        <v>51</v>
      </c>
      <c r="G1197" s="14" t="s">
        <v>145</v>
      </c>
      <c r="H1197" s="14" t="s">
        <v>143</v>
      </c>
      <c r="I1197" s="14" t="s">
        <v>59</v>
      </c>
      <c r="J1197" s="14" t="s">
        <v>198</v>
      </c>
      <c r="K1197" s="14" t="s">
        <v>205</v>
      </c>
      <c r="L1197" s="14" t="s">
        <v>274</v>
      </c>
      <c r="M1197" s="14" t="s">
        <v>636</v>
      </c>
      <c r="N1197" s="14" t="s">
        <v>637</v>
      </c>
      <c r="O1197" s="14">
        <v>100.0</v>
      </c>
      <c r="P1197" s="21">
        <v>1.0</v>
      </c>
      <c r="Q1197" s="22" t="str">
        <f t="shared" ref="Q1197:Q1199" si="713">"+0"</f>
        <v>+0</v>
      </c>
      <c r="S1197" s="14" t="s">
        <v>281</v>
      </c>
    </row>
    <row r="1198">
      <c r="A1198" s="13">
        <v>45901.0</v>
      </c>
      <c r="B1198" s="14" t="s">
        <v>47</v>
      </c>
      <c r="C1198" s="14" t="s">
        <v>48</v>
      </c>
      <c r="D1198" s="14" t="s">
        <v>143</v>
      </c>
      <c r="E1198" s="14" t="s">
        <v>144</v>
      </c>
      <c r="F1198" s="15" t="s">
        <v>51</v>
      </c>
      <c r="G1198" s="14" t="s">
        <v>145</v>
      </c>
      <c r="H1198" s="14" t="s">
        <v>143</v>
      </c>
      <c r="I1198" s="14" t="s">
        <v>59</v>
      </c>
      <c r="J1198" s="14" t="s">
        <v>200</v>
      </c>
      <c r="K1198" s="14" t="s">
        <v>227</v>
      </c>
      <c r="L1198" s="14" t="s">
        <v>270</v>
      </c>
      <c r="M1198" s="14" t="s">
        <v>400</v>
      </c>
      <c r="N1198" s="14" t="s">
        <v>401</v>
      </c>
      <c r="O1198" s="14">
        <v>0.0</v>
      </c>
      <c r="P1198" s="21">
        <v>0.0</v>
      </c>
      <c r="Q1198" s="22" t="str">
        <f t="shared" si="713"/>
        <v>+0</v>
      </c>
      <c r="R1198" s="18" t="str">
        <f t="shared" ref="R1198:R1199" si="714">"+0"</f>
        <v>+0</v>
      </c>
      <c r="S1198" s="14" t="s">
        <v>260</v>
      </c>
    </row>
    <row r="1199">
      <c r="A1199" s="13">
        <v>45901.0</v>
      </c>
      <c r="B1199" s="14" t="s">
        <v>47</v>
      </c>
      <c r="C1199" s="14" t="s">
        <v>48</v>
      </c>
      <c r="D1199" s="14" t="s">
        <v>73</v>
      </c>
      <c r="E1199" s="14" t="s">
        <v>74</v>
      </c>
      <c r="F1199" s="15" t="s">
        <v>51</v>
      </c>
      <c r="G1199" s="14" t="s">
        <v>75</v>
      </c>
      <c r="H1199" s="14" t="s">
        <v>76</v>
      </c>
      <c r="I1199" s="14" t="s">
        <v>59</v>
      </c>
      <c r="J1199" s="14" t="s">
        <v>199</v>
      </c>
      <c r="K1199" s="14" t="s">
        <v>208</v>
      </c>
      <c r="L1199" s="14" t="s">
        <v>352</v>
      </c>
      <c r="M1199" s="14" t="s">
        <v>352</v>
      </c>
      <c r="N1199" s="14" t="s">
        <v>353</v>
      </c>
      <c r="O1199" s="14">
        <v>80.0</v>
      </c>
      <c r="P1199" s="21">
        <v>2.0</v>
      </c>
      <c r="Q1199" s="22" t="str">
        <f t="shared" si="713"/>
        <v>+0</v>
      </c>
      <c r="R1199" s="18" t="str">
        <f t="shared" si="714"/>
        <v>+0</v>
      </c>
      <c r="S1199" s="14" t="s">
        <v>260</v>
      </c>
    </row>
    <row r="1200">
      <c r="A1200" s="13">
        <v>45901.0</v>
      </c>
      <c r="B1200" s="14" t="s">
        <v>47</v>
      </c>
      <c r="C1200" s="14" t="s">
        <v>48</v>
      </c>
      <c r="D1200" s="14" t="s">
        <v>87</v>
      </c>
      <c r="E1200" s="14" t="s">
        <v>88</v>
      </c>
      <c r="F1200" s="15" t="s">
        <v>51</v>
      </c>
      <c r="G1200" s="14" t="s">
        <v>89</v>
      </c>
      <c r="H1200" s="14" t="s">
        <v>90</v>
      </c>
      <c r="I1200" s="14" t="s">
        <v>59</v>
      </c>
      <c r="J1200" s="14" t="s">
        <v>198</v>
      </c>
      <c r="K1200" s="14" t="s">
        <v>210</v>
      </c>
      <c r="L1200" s="14" t="s">
        <v>278</v>
      </c>
      <c r="M1200" s="14" t="s">
        <v>443</v>
      </c>
      <c r="N1200" s="14" t="s">
        <v>444</v>
      </c>
      <c r="O1200" s="14">
        <v>39.0</v>
      </c>
      <c r="P1200" s="21">
        <v>141.0</v>
      </c>
      <c r="Q1200" s="22" t="str">
        <f>"+2"</f>
        <v>+2</v>
      </c>
      <c r="R1200" s="18" t="str">
        <f>"-37"</f>
        <v>-37</v>
      </c>
      <c r="S1200" s="14" t="s">
        <v>577</v>
      </c>
    </row>
    <row r="1201">
      <c r="A1201" s="13">
        <v>45901.0</v>
      </c>
      <c r="B1201" s="14" t="s">
        <v>47</v>
      </c>
      <c r="C1201" s="14" t="s">
        <v>48</v>
      </c>
      <c r="D1201" s="14" t="s">
        <v>129</v>
      </c>
      <c r="E1201" s="14" t="s">
        <v>130</v>
      </c>
      <c r="F1201" s="15" t="s">
        <v>51</v>
      </c>
      <c r="G1201" s="14" t="s">
        <v>131</v>
      </c>
      <c r="H1201" s="14" t="s">
        <v>129</v>
      </c>
      <c r="I1201" s="14" t="s">
        <v>59</v>
      </c>
      <c r="J1201" s="14" t="s">
        <v>200</v>
      </c>
      <c r="K1201" s="14" t="s">
        <v>213</v>
      </c>
      <c r="L1201" s="14" t="s">
        <v>289</v>
      </c>
      <c r="M1201" s="14" t="s">
        <v>984</v>
      </c>
      <c r="N1201" s="14" t="s">
        <v>985</v>
      </c>
      <c r="O1201" s="14">
        <v>0.0</v>
      </c>
      <c r="P1201" s="23">
        <v>0.0</v>
      </c>
      <c r="Q1201" s="22" t="str">
        <f t="shared" ref="Q1201:R1201" si="715">"+0.00%"</f>
        <v>+0.00%</v>
      </c>
      <c r="R1201" s="18" t="str">
        <f t="shared" si="715"/>
        <v>+0.00%</v>
      </c>
      <c r="S1201" s="14" t="s">
        <v>285</v>
      </c>
    </row>
    <row r="1202">
      <c r="A1202" s="13">
        <v>45901.0</v>
      </c>
      <c r="B1202" s="14" t="s">
        <v>47</v>
      </c>
      <c r="C1202" s="14" t="s">
        <v>48</v>
      </c>
      <c r="D1202" s="14" t="s">
        <v>129</v>
      </c>
      <c r="E1202" s="14" t="s">
        <v>130</v>
      </c>
      <c r="F1202" s="15" t="s">
        <v>51</v>
      </c>
      <c r="G1202" s="14" t="s">
        <v>131</v>
      </c>
      <c r="H1202" s="14" t="s">
        <v>129</v>
      </c>
      <c r="I1202" s="14" t="s">
        <v>59</v>
      </c>
      <c r="J1202" s="14" t="s">
        <v>199</v>
      </c>
      <c r="K1202" s="14" t="s">
        <v>206</v>
      </c>
      <c r="L1202" s="14" t="s">
        <v>295</v>
      </c>
      <c r="M1202" s="14" t="s">
        <v>529</v>
      </c>
      <c r="N1202" s="14" t="s">
        <v>530</v>
      </c>
      <c r="O1202" s="14">
        <v>0.0</v>
      </c>
      <c r="P1202" s="21">
        <v>0.0</v>
      </c>
      <c r="Q1202" s="22" t="str">
        <f t="shared" ref="Q1202:R1202" si="716">"+0"</f>
        <v>+0</v>
      </c>
      <c r="R1202" s="18" t="str">
        <f t="shared" si="716"/>
        <v>+0</v>
      </c>
      <c r="S1202" s="14" t="s">
        <v>260</v>
      </c>
    </row>
    <row r="1203">
      <c r="A1203" s="13">
        <v>45901.0</v>
      </c>
      <c r="B1203" s="14" t="s">
        <v>47</v>
      </c>
      <c r="C1203" s="14" t="s">
        <v>48</v>
      </c>
      <c r="D1203" s="14" t="s">
        <v>69</v>
      </c>
      <c r="E1203" s="14" t="s">
        <v>70</v>
      </c>
      <c r="F1203" s="14" t="s">
        <v>71</v>
      </c>
      <c r="G1203" s="14">
        <v>1.00002092E8</v>
      </c>
      <c r="H1203" s="14" t="s">
        <v>72</v>
      </c>
      <c r="I1203" s="14" t="s">
        <v>54</v>
      </c>
      <c r="J1203" s="14" t="s">
        <v>199</v>
      </c>
      <c r="K1203" s="14" t="s">
        <v>203</v>
      </c>
      <c r="L1203" s="14" t="s">
        <v>485</v>
      </c>
      <c r="M1203" s="14" t="s">
        <v>485</v>
      </c>
      <c r="N1203" s="14" t="s">
        <v>486</v>
      </c>
      <c r="O1203" s="14">
        <v>100.0</v>
      </c>
      <c r="P1203" s="21">
        <v>1.0</v>
      </c>
      <c r="Q1203" s="22" t="str">
        <f t="shared" ref="Q1203:R1203" si="717">"+0"</f>
        <v>+0</v>
      </c>
      <c r="R1203" s="18" t="str">
        <f t="shared" si="717"/>
        <v>+0</v>
      </c>
      <c r="S1203" s="14" t="s">
        <v>260</v>
      </c>
    </row>
    <row r="1204">
      <c r="A1204" s="13">
        <v>45901.0</v>
      </c>
      <c r="B1204" s="14" t="s">
        <v>47</v>
      </c>
      <c r="C1204" s="14" t="s">
        <v>48</v>
      </c>
      <c r="D1204" s="14" t="s">
        <v>116</v>
      </c>
      <c r="E1204" s="14" t="s">
        <v>117</v>
      </c>
      <c r="F1204" s="15" t="s">
        <v>51</v>
      </c>
      <c r="G1204" s="14" t="s">
        <v>161</v>
      </c>
      <c r="H1204" s="14" t="s">
        <v>116</v>
      </c>
      <c r="I1204" s="14" t="s">
        <v>54</v>
      </c>
      <c r="J1204" s="14" t="s">
        <v>198</v>
      </c>
      <c r="K1204" s="14" t="s">
        <v>210</v>
      </c>
      <c r="L1204" s="14" t="s">
        <v>264</v>
      </c>
      <c r="M1204" s="14" t="s">
        <v>407</v>
      </c>
      <c r="N1204" s="14" t="s">
        <v>408</v>
      </c>
      <c r="O1204" s="14">
        <v>58.0</v>
      </c>
      <c r="P1204" s="21">
        <v>2736.0</v>
      </c>
      <c r="Q1204" s="22" t="str">
        <f>"+2,030"</f>
        <v>+2,030</v>
      </c>
      <c r="R1204" s="18" t="str">
        <f>"-1,048"</f>
        <v>-1,048</v>
      </c>
      <c r="S1204" s="14" t="s">
        <v>1348</v>
      </c>
    </row>
    <row r="1205">
      <c r="A1205" s="13">
        <v>45901.0</v>
      </c>
      <c r="B1205" s="14" t="s">
        <v>47</v>
      </c>
      <c r="C1205" s="14" t="s">
        <v>48</v>
      </c>
      <c r="D1205" s="14" t="s">
        <v>108</v>
      </c>
      <c r="E1205" s="14" t="s">
        <v>109</v>
      </c>
      <c r="F1205" s="14" t="s">
        <v>146</v>
      </c>
      <c r="G1205" s="14" t="s">
        <v>180</v>
      </c>
      <c r="H1205" s="14" t="s">
        <v>108</v>
      </c>
      <c r="I1205" s="14" t="s">
        <v>59</v>
      </c>
      <c r="J1205" s="14" t="s">
        <v>199</v>
      </c>
      <c r="K1205" s="14" t="s">
        <v>206</v>
      </c>
      <c r="L1205" s="14" t="s">
        <v>268</v>
      </c>
      <c r="M1205" s="14" t="s">
        <v>268</v>
      </c>
      <c r="N1205" s="14" t="s">
        <v>269</v>
      </c>
      <c r="O1205" s="14">
        <v>80.0</v>
      </c>
      <c r="P1205" s="21">
        <v>2.0</v>
      </c>
      <c r="Q1205" s="22" t="str">
        <f>"+1"</f>
        <v>+1</v>
      </c>
      <c r="S1205" s="14" t="s">
        <v>260</v>
      </c>
    </row>
    <row r="1206">
      <c r="A1206" s="13">
        <v>45901.0</v>
      </c>
      <c r="B1206" s="14" t="s">
        <v>47</v>
      </c>
      <c r="C1206" s="14" t="s">
        <v>48</v>
      </c>
      <c r="D1206" s="14" t="s">
        <v>158</v>
      </c>
      <c r="E1206" s="14" t="s">
        <v>159</v>
      </c>
      <c r="F1206" s="15" t="s">
        <v>51</v>
      </c>
      <c r="G1206" s="14" t="s">
        <v>160</v>
      </c>
      <c r="H1206" s="14" t="s">
        <v>158</v>
      </c>
      <c r="I1206" s="14" t="s">
        <v>54</v>
      </c>
      <c r="J1206" s="14" t="s">
        <v>198</v>
      </c>
      <c r="K1206" s="14" t="s">
        <v>210</v>
      </c>
      <c r="L1206" s="14" t="s">
        <v>264</v>
      </c>
      <c r="M1206" s="14" t="s">
        <v>1031</v>
      </c>
      <c r="N1206" s="14" t="s">
        <v>1032</v>
      </c>
      <c r="O1206" s="14">
        <v>0.0</v>
      </c>
      <c r="P1206" s="21">
        <v>0.0</v>
      </c>
      <c r="Q1206" s="22" t="str">
        <f t="shared" ref="Q1206:R1206" si="718">"+0"</f>
        <v>+0</v>
      </c>
      <c r="R1206" s="18" t="str">
        <f t="shared" si="718"/>
        <v>+0</v>
      </c>
      <c r="S1206" s="14" t="s">
        <v>277</v>
      </c>
    </row>
    <row r="1207">
      <c r="A1207" s="13">
        <v>45901.0</v>
      </c>
      <c r="B1207" s="14" t="s">
        <v>47</v>
      </c>
      <c r="C1207" s="14" t="s">
        <v>48</v>
      </c>
      <c r="D1207" s="14" t="s">
        <v>168</v>
      </c>
      <c r="E1207" s="14" t="s">
        <v>169</v>
      </c>
      <c r="F1207" s="15" t="s">
        <v>51</v>
      </c>
      <c r="G1207" s="14" t="s">
        <v>170</v>
      </c>
      <c r="H1207" s="14" t="s">
        <v>168</v>
      </c>
      <c r="I1207" s="14" t="s">
        <v>59</v>
      </c>
      <c r="J1207" s="14" t="s">
        <v>200</v>
      </c>
      <c r="K1207" s="14" t="s">
        <v>213</v>
      </c>
      <c r="L1207" s="14" t="s">
        <v>591</v>
      </c>
      <c r="M1207" s="14" t="s">
        <v>592</v>
      </c>
      <c r="N1207" s="14" t="s">
        <v>1048</v>
      </c>
      <c r="O1207" s="14">
        <v>0.0</v>
      </c>
      <c r="P1207" s="23">
        <v>0.0</v>
      </c>
      <c r="Q1207" s="22" t="str">
        <f t="shared" ref="Q1207:R1207" si="719">"+0.00%"</f>
        <v>+0.00%</v>
      </c>
      <c r="R1207" s="18" t="str">
        <f t="shared" si="719"/>
        <v>+0.00%</v>
      </c>
      <c r="S1207" s="14" t="s">
        <v>285</v>
      </c>
    </row>
    <row r="1208">
      <c r="A1208" s="13">
        <v>45901.0</v>
      </c>
      <c r="B1208" s="14" t="s">
        <v>47</v>
      </c>
      <c r="C1208" s="14" t="s">
        <v>48</v>
      </c>
      <c r="D1208" s="14" t="s">
        <v>49</v>
      </c>
      <c r="E1208" s="14" t="s">
        <v>50</v>
      </c>
      <c r="F1208" s="15" t="s">
        <v>51</v>
      </c>
      <c r="G1208" s="14" t="s">
        <v>52</v>
      </c>
      <c r="H1208" s="14" t="s">
        <v>53</v>
      </c>
      <c r="I1208" s="14" t="s">
        <v>54</v>
      </c>
      <c r="J1208" s="14" t="s">
        <v>198</v>
      </c>
      <c r="K1208" s="14" t="s">
        <v>205</v>
      </c>
      <c r="L1208" s="14" t="s">
        <v>274</v>
      </c>
      <c r="M1208" s="14" t="s">
        <v>473</v>
      </c>
      <c r="N1208" s="14" t="s">
        <v>474</v>
      </c>
      <c r="O1208" s="14">
        <v>100.0</v>
      </c>
      <c r="P1208" s="21">
        <v>30.0</v>
      </c>
      <c r="Q1208" s="22" t="str">
        <f>"+0"</f>
        <v>+0</v>
      </c>
      <c r="S1208" s="14" t="s">
        <v>475</v>
      </c>
    </row>
    <row r="1209">
      <c r="A1209" s="13">
        <v>45901.0</v>
      </c>
      <c r="B1209" s="14" t="s">
        <v>47</v>
      </c>
      <c r="C1209" s="14" t="s">
        <v>48</v>
      </c>
      <c r="D1209" s="14" t="s">
        <v>63</v>
      </c>
      <c r="E1209" s="14" t="s">
        <v>64</v>
      </c>
      <c r="F1209" s="15" t="s">
        <v>51</v>
      </c>
      <c r="G1209" s="14" t="s">
        <v>65</v>
      </c>
      <c r="H1209" s="14" t="s">
        <v>63</v>
      </c>
      <c r="I1209" s="14" t="s">
        <v>54</v>
      </c>
      <c r="J1209" s="14" t="s">
        <v>200</v>
      </c>
      <c r="K1209" s="14" t="s">
        <v>213</v>
      </c>
      <c r="L1209" s="14" t="s">
        <v>307</v>
      </c>
      <c r="M1209" s="14" t="s">
        <v>561</v>
      </c>
      <c r="N1209" s="14" t="s">
        <v>562</v>
      </c>
      <c r="O1209" s="14">
        <v>0.0</v>
      </c>
      <c r="P1209" s="23">
        <v>0.0</v>
      </c>
      <c r="Q1209" s="22" t="str">
        <f t="shared" ref="Q1209:R1209" si="720">"+0.00%"</f>
        <v>+0.00%</v>
      </c>
      <c r="R1209" s="18" t="str">
        <f t="shared" si="720"/>
        <v>+0.00%</v>
      </c>
      <c r="S1209" s="14" t="s">
        <v>285</v>
      </c>
    </row>
    <row r="1210">
      <c r="A1210" s="13">
        <v>45901.0</v>
      </c>
      <c r="B1210" s="14" t="s">
        <v>47</v>
      </c>
      <c r="C1210" s="14" t="s">
        <v>48</v>
      </c>
      <c r="D1210" s="14" t="s">
        <v>91</v>
      </c>
      <c r="E1210" s="14" t="s">
        <v>92</v>
      </c>
      <c r="F1210" s="15" t="s">
        <v>51</v>
      </c>
      <c r="G1210" s="14" t="s">
        <v>163</v>
      </c>
      <c r="H1210" s="14" t="s">
        <v>91</v>
      </c>
      <c r="I1210" s="14" t="s">
        <v>59</v>
      </c>
      <c r="J1210" s="14" t="s">
        <v>200</v>
      </c>
      <c r="K1210" s="14" t="s">
        <v>223</v>
      </c>
      <c r="L1210" s="14" t="s">
        <v>289</v>
      </c>
      <c r="M1210" s="14" t="s">
        <v>331</v>
      </c>
      <c r="N1210" s="14" t="s">
        <v>332</v>
      </c>
      <c r="O1210" s="14">
        <v>0.0</v>
      </c>
      <c r="P1210" s="23">
        <v>0.0</v>
      </c>
      <c r="Q1210" s="22" t="str">
        <f t="shared" ref="Q1210:R1210" si="721">"+0.00%"</f>
        <v>+0.00%</v>
      </c>
      <c r="R1210" s="18" t="str">
        <f t="shared" si="721"/>
        <v>+0.00%</v>
      </c>
      <c r="S1210" s="14" t="s">
        <v>285</v>
      </c>
    </row>
    <row r="1211">
      <c r="A1211" s="13">
        <v>45901.0</v>
      </c>
      <c r="B1211" s="14" t="s">
        <v>47</v>
      </c>
      <c r="C1211" s="14" t="s">
        <v>48</v>
      </c>
      <c r="D1211" s="14" t="s">
        <v>91</v>
      </c>
      <c r="E1211" s="14" t="s">
        <v>92</v>
      </c>
      <c r="F1211" s="15" t="s">
        <v>51</v>
      </c>
      <c r="G1211" s="14" t="s">
        <v>163</v>
      </c>
      <c r="H1211" s="14" t="s">
        <v>91</v>
      </c>
      <c r="I1211" s="14" t="s">
        <v>59</v>
      </c>
      <c r="J1211" s="14" t="s">
        <v>200</v>
      </c>
      <c r="K1211" s="14" t="s">
        <v>223</v>
      </c>
      <c r="L1211" s="14" t="s">
        <v>257</v>
      </c>
      <c r="M1211" s="14" t="s">
        <v>517</v>
      </c>
      <c r="N1211" s="14" t="s">
        <v>518</v>
      </c>
      <c r="O1211" s="14">
        <v>100.0</v>
      </c>
      <c r="P1211" s="21">
        <v>68.0</v>
      </c>
      <c r="Q1211" s="22" t="str">
        <f t="shared" ref="Q1211:R1211" si="722">"+0"</f>
        <v>+0</v>
      </c>
      <c r="R1211" s="18" t="str">
        <f t="shared" si="722"/>
        <v>+0</v>
      </c>
      <c r="S1211" s="14" t="s">
        <v>260</v>
      </c>
    </row>
    <row r="1212">
      <c r="A1212" s="13">
        <v>45901.0</v>
      </c>
      <c r="B1212" s="14" t="s">
        <v>47</v>
      </c>
      <c r="C1212" s="14" t="s">
        <v>48</v>
      </c>
      <c r="D1212" s="14" t="s">
        <v>96</v>
      </c>
      <c r="E1212" s="14" t="s">
        <v>97</v>
      </c>
      <c r="F1212" s="15" t="s">
        <v>51</v>
      </c>
      <c r="G1212" s="14" t="s">
        <v>98</v>
      </c>
      <c r="H1212" s="14" t="s">
        <v>96</v>
      </c>
      <c r="I1212" s="14" t="s">
        <v>59</v>
      </c>
      <c r="J1212" s="14" t="s">
        <v>200</v>
      </c>
      <c r="K1212" s="14" t="s">
        <v>223</v>
      </c>
      <c r="L1212" s="14" t="s">
        <v>607</v>
      </c>
      <c r="M1212" s="14" t="s">
        <v>1027</v>
      </c>
      <c r="N1212" s="14" t="s">
        <v>1028</v>
      </c>
      <c r="O1212" s="14">
        <v>0.0</v>
      </c>
      <c r="P1212" s="23">
        <v>-1.0</v>
      </c>
      <c r="Q1212" s="22" t="str">
        <f t="shared" ref="Q1212:R1212" si="723">"+0.00%"</f>
        <v>+0.00%</v>
      </c>
      <c r="R1212" s="18" t="str">
        <f t="shared" si="723"/>
        <v>+0.00%</v>
      </c>
      <c r="S1212" s="14" t="s">
        <v>1301</v>
      </c>
    </row>
    <row r="1213">
      <c r="A1213" s="13">
        <v>45901.0</v>
      </c>
      <c r="B1213" s="14" t="s">
        <v>47</v>
      </c>
      <c r="C1213" s="14" t="s">
        <v>48</v>
      </c>
      <c r="D1213" s="14" t="s">
        <v>91</v>
      </c>
      <c r="E1213" s="14" t="s">
        <v>92</v>
      </c>
      <c r="F1213" s="14" t="s">
        <v>71</v>
      </c>
      <c r="G1213" s="14">
        <v>5.00008613E8</v>
      </c>
      <c r="H1213" s="14" t="s">
        <v>91</v>
      </c>
      <c r="I1213" s="14" t="s">
        <v>59</v>
      </c>
      <c r="J1213" s="14" t="s">
        <v>199</v>
      </c>
      <c r="K1213" s="14" t="s">
        <v>206</v>
      </c>
      <c r="L1213" s="14" t="s">
        <v>433</v>
      </c>
      <c r="M1213" s="14" t="s">
        <v>433</v>
      </c>
      <c r="N1213" s="14" t="s">
        <v>434</v>
      </c>
      <c r="O1213" s="14">
        <v>100.0</v>
      </c>
      <c r="P1213" s="21">
        <v>101.0</v>
      </c>
      <c r="Q1213" s="22" t="str">
        <f>"-32"</f>
        <v>-32</v>
      </c>
      <c r="R1213" s="18" t="str">
        <f>"+4"</f>
        <v>+4</v>
      </c>
      <c r="S1213" s="14" t="s">
        <v>383</v>
      </c>
    </row>
    <row r="1214">
      <c r="A1214" s="13">
        <v>45901.0</v>
      </c>
      <c r="B1214" s="14" t="s">
        <v>47</v>
      </c>
      <c r="C1214" s="14" t="s">
        <v>48</v>
      </c>
      <c r="D1214" s="14" t="s">
        <v>129</v>
      </c>
      <c r="E1214" s="14" t="s">
        <v>130</v>
      </c>
      <c r="F1214" s="15" t="s">
        <v>51</v>
      </c>
      <c r="G1214" s="14" t="s">
        <v>131</v>
      </c>
      <c r="H1214" s="14" t="s">
        <v>129</v>
      </c>
      <c r="I1214" s="14" t="s">
        <v>59</v>
      </c>
      <c r="J1214" s="14" t="s">
        <v>200</v>
      </c>
      <c r="K1214" s="14" t="s">
        <v>231</v>
      </c>
      <c r="L1214" s="14" t="s">
        <v>751</v>
      </c>
      <c r="M1214" s="14" t="s">
        <v>1349</v>
      </c>
      <c r="N1214" s="14" t="s">
        <v>1350</v>
      </c>
      <c r="O1214" s="14">
        <v>4.0</v>
      </c>
      <c r="P1214" s="23">
        <v>0.048</v>
      </c>
      <c r="Q1214" s="22" t="str">
        <f>"-0.87%"</f>
        <v>-0.87%</v>
      </c>
      <c r="R1214" s="18" t="str">
        <f>"-1.36%"</f>
        <v>-1.36%</v>
      </c>
      <c r="S1214" s="14" t="s">
        <v>1351</v>
      </c>
    </row>
    <row r="1215">
      <c r="A1215" s="13">
        <v>45901.0</v>
      </c>
      <c r="B1215" s="14" t="s">
        <v>47</v>
      </c>
      <c r="C1215" s="14" t="s">
        <v>48</v>
      </c>
      <c r="D1215" s="14" t="s">
        <v>129</v>
      </c>
      <c r="E1215" s="14" t="s">
        <v>130</v>
      </c>
      <c r="F1215" s="15" t="s">
        <v>51</v>
      </c>
      <c r="G1215" s="14" t="s">
        <v>131</v>
      </c>
      <c r="H1215" s="14" t="s">
        <v>129</v>
      </c>
      <c r="I1215" s="14" t="s">
        <v>59</v>
      </c>
      <c r="J1215" s="14" t="s">
        <v>200</v>
      </c>
      <c r="K1215" s="14" t="s">
        <v>209</v>
      </c>
      <c r="L1215" s="14" t="s">
        <v>253</v>
      </c>
      <c r="M1215" s="14" t="s">
        <v>402</v>
      </c>
      <c r="N1215" s="14" t="s">
        <v>403</v>
      </c>
      <c r="O1215" s="14">
        <v>24.0</v>
      </c>
      <c r="P1215" s="23">
        <v>0.2422</v>
      </c>
      <c r="Q1215" s="22" t="str">
        <f>"+0.55%"</f>
        <v>+0.55%</v>
      </c>
      <c r="R1215" s="18" t="str">
        <f>"+1.99%"</f>
        <v>+1.99%</v>
      </c>
      <c r="S1215" s="14" t="s">
        <v>1352</v>
      </c>
    </row>
    <row r="1216">
      <c r="A1216" s="13">
        <v>45901.0</v>
      </c>
      <c r="B1216" s="14" t="s">
        <v>47</v>
      </c>
      <c r="C1216" s="14" t="s">
        <v>48</v>
      </c>
      <c r="D1216" s="14" t="s">
        <v>96</v>
      </c>
      <c r="E1216" s="14" t="s">
        <v>97</v>
      </c>
      <c r="F1216" s="15" t="s">
        <v>51</v>
      </c>
      <c r="G1216" s="14" t="s">
        <v>98</v>
      </c>
      <c r="H1216" s="14" t="s">
        <v>96</v>
      </c>
      <c r="I1216" s="14" t="s">
        <v>59</v>
      </c>
      <c r="J1216" s="14" t="s">
        <v>200</v>
      </c>
      <c r="K1216" s="14" t="s">
        <v>223</v>
      </c>
      <c r="L1216" s="14" t="s">
        <v>286</v>
      </c>
      <c r="M1216" s="14" t="s">
        <v>369</v>
      </c>
      <c r="N1216" s="14" t="s">
        <v>370</v>
      </c>
      <c r="O1216" s="14">
        <v>0.0</v>
      </c>
      <c r="P1216" s="23">
        <v>0.0</v>
      </c>
      <c r="Q1216" s="22" t="str">
        <f t="shared" ref="Q1216:R1216" si="724">"+0.00%"</f>
        <v>+0.00%</v>
      </c>
      <c r="R1216" s="18" t="str">
        <f t="shared" si="724"/>
        <v>+0.00%</v>
      </c>
      <c r="S1216" s="14" t="s">
        <v>371</v>
      </c>
    </row>
    <row r="1217">
      <c r="A1217" s="13">
        <v>45901.0</v>
      </c>
      <c r="B1217" s="14" t="s">
        <v>47</v>
      </c>
      <c r="C1217" s="14" t="s">
        <v>48</v>
      </c>
      <c r="D1217" s="14" t="s">
        <v>91</v>
      </c>
      <c r="E1217" s="14" t="s">
        <v>92</v>
      </c>
      <c r="F1217" s="14" t="s">
        <v>71</v>
      </c>
      <c r="G1217" s="14">
        <v>5.10001669E8</v>
      </c>
      <c r="H1217" s="14" t="s">
        <v>91</v>
      </c>
      <c r="I1217" s="14" t="s">
        <v>107</v>
      </c>
      <c r="J1217" s="14" t="s">
        <v>199</v>
      </c>
      <c r="K1217" s="14" t="s">
        <v>206</v>
      </c>
      <c r="L1217" s="14" t="s">
        <v>295</v>
      </c>
      <c r="M1217" s="14" t="s">
        <v>986</v>
      </c>
      <c r="N1217" s="14" t="s">
        <v>987</v>
      </c>
      <c r="O1217" s="14">
        <v>0.0</v>
      </c>
      <c r="P1217" s="21">
        <v>0.0</v>
      </c>
      <c r="Q1217" s="22" t="str">
        <f t="shared" ref="Q1217:R1217" si="725">"-6"</f>
        <v>-6</v>
      </c>
      <c r="R1217" s="18" t="str">
        <f t="shared" si="725"/>
        <v>-6</v>
      </c>
      <c r="S1217" s="14" t="s">
        <v>260</v>
      </c>
    </row>
    <row r="1218">
      <c r="A1218" s="13">
        <v>45901.0</v>
      </c>
      <c r="B1218" s="14" t="s">
        <v>47</v>
      </c>
      <c r="C1218" s="14" t="s">
        <v>48</v>
      </c>
      <c r="D1218" s="14" t="s">
        <v>165</v>
      </c>
      <c r="E1218" s="14" t="s">
        <v>166</v>
      </c>
      <c r="F1218" s="15" t="s">
        <v>51</v>
      </c>
      <c r="G1218" s="14" t="s">
        <v>167</v>
      </c>
      <c r="H1218" s="14" t="s">
        <v>165</v>
      </c>
      <c r="I1218" s="14" t="s">
        <v>54</v>
      </c>
      <c r="J1218" s="14" t="s">
        <v>200</v>
      </c>
      <c r="K1218" s="14" t="s">
        <v>224</v>
      </c>
      <c r="L1218" s="14" t="s">
        <v>436</v>
      </c>
      <c r="M1218" s="14" t="s">
        <v>1353</v>
      </c>
      <c r="N1218" s="14" t="s">
        <v>1354</v>
      </c>
      <c r="O1218" s="14">
        <v>4.0</v>
      </c>
      <c r="P1218" s="23">
        <v>0.0455</v>
      </c>
      <c r="Q1218" s="22" t="str">
        <f>"-1.70%"</f>
        <v>-1.70%</v>
      </c>
      <c r="R1218" s="18" t="str">
        <f>"-0.72%"</f>
        <v>-0.72%</v>
      </c>
      <c r="S1218" s="14" t="s">
        <v>1355</v>
      </c>
    </row>
    <row r="1219">
      <c r="A1219" s="13">
        <v>45901.0</v>
      </c>
      <c r="B1219" s="14" t="s">
        <v>47</v>
      </c>
      <c r="C1219" s="14" t="s">
        <v>48</v>
      </c>
      <c r="D1219" s="14" t="s">
        <v>184</v>
      </c>
      <c r="E1219" s="14" t="s">
        <v>185</v>
      </c>
      <c r="F1219" s="15" t="s">
        <v>51</v>
      </c>
      <c r="G1219" s="14" t="s">
        <v>186</v>
      </c>
      <c r="H1219" s="14" t="s">
        <v>187</v>
      </c>
      <c r="I1219" s="14" t="s">
        <v>59</v>
      </c>
      <c r="J1219" s="14" t="s">
        <v>198</v>
      </c>
      <c r="K1219" s="14" t="s">
        <v>205</v>
      </c>
      <c r="L1219" s="14" t="s">
        <v>274</v>
      </c>
      <c r="M1219" s="14" t="s">
        <v>636</v>
      </c>
      <c r="N1219" s="14" t="s">
        <v>637</v>
      </c>
      <c r="O1219" s="14">
        <v>0.0</v>
      </c>
      <c r="P1219" s="21">
        <v>0.0</v>
      </c>
      <c r="Q1219" s="22" t="str">
        <f>"+0"</f>
        <v>+0</v>
      </c>
      <c r="S1219" s="14" t="s">
        <v>281</v>
      </c>
    </row>
    <row r="1220">
      <c r="A1220" s="13">
        <v>45901.0</v>
      </c>
      <c r="B1220" s="14" t="s">
        <v>47</v>
      </c>
      <c r="C1220" s="14" t="s">
        <v>48</v>
      </c>
      <c r="D1220" s="14" t="s">
        <v>66</v>
      </c>
      <c r="E1220" s="14" t="s">
        <v>67</v>
      </c>
      <c r="F1220" s="15" t="s">
        <v>51</v>
      </c>
      <c r="G1220" s="14" t="s">
        <v>68</v>
      </c>
      <c r="H1220" s="14" t="s">
        <v>66</v>
      </c>
      <c r="I1220" s="14" t="s">
        <v>59</v>
      </c>
      <c r="J1220" s="14" t="s">
        <v>200</v>
      </c>
      <c r="K1220" s="14" t="s">
        <v>223</v>
      </c>
      <c r="L1220" s="14" t="s">
        <v>375</v>
      </c>
      <c r="M1220" s="14" t="s">
        <v>902</v>
      </c>
      <c r="N1220" s="14" t="s">
        <v>903</v>
      </c>
      <c r="O1220" s="14">
        <v>0.0</v>
      </c>
      <c r="P1220" s="23">
        <v>0.0</v>
      </c>
      <c r="Q1220" s="22" t="str">
        <f t="shared" ref="Q1220:R1220" si="726">"+0.00%"</f>
        <v>+0.00%</v>
      </c>
      <c r="R1220" s="18" t="str">
        <f t="shared" si="726"/>
        <v>+0.00%</v>
      </c>
      <c r="S1220" s="14" t="s">
        <v>285</v>
      </c>
    </row>
    <row r="1221">
      <c r="A1221" s="13">
        <v>45901.0</v>
      </c>
      <c r="B1221" s="14" t="s">
        <v>47</v>
      </c>
      <c r="C1221" s="14" t="s">
        <v>48</v>
      </c>
      <c r="D1221" s="14" t="s">
        <v>82</v>
      </c>
      <c r="E1221" s="14" t="s">
        <v>83</v>
      </c>
      <c r="F1221" s="15" t="s">
        <v>51</v>
      </c>
      <c r="G1221" s="14" t="s">
        <v>84</v>
      </c>
      <c r="H1221" s="14" t="s">
        <v>82</v>
      </c>
      <c r="I1221" s="14" t="s">
        <v>59</v>
      </c>
      <c r="J1221" s="14" t="s">
        <v>198</v>
      </c>
      <c r="K1221" s="14" t="s">
        <v>205</v>
      </c>
      <c r="L1221" s="14" t="s">
        <v>274</v>
      </c>
      <c r="M1221" s="14" t="s">
        <v>448</v>
      </c>
      <c r="N1221" s="14" t="s">
        <v>449</v>
      </c>
      <c r="O1221" s="14">
        <v>100.0</v>
      </c>
      <c r="P1221" s="21">
        <v>24.0</v>
      </c>
      <c r="Q1221" s="22" t="str">
        <f>"+0"</f>
        <v>+0</v>
      </c>
      <c r="S1221" s="14" t="s">
        <v>450</v>
      </c>
    </row>
    <row r="1222">
      <c r="A1222" s="13">
        <v>45901.0</v>
      </c>
      <c r="B1222" s="14" t="s">
        <v>47</v>
      </c>
      <c r="C1222" s="14" t="s">
        <v>48</v>
      </c>
      <c r="D1222" s="14" t="s">
        <v>93</v>
      </c>
      <c r="E1222" s="14" t="s">
        <v>94</v>
      </c>
      <c r="F1222" s="14" t="s">
        <v>71</v>
      </c>
      <c r="G1222" s="14">
        <v>5.36001438E8</v>
      </c>
      <c r="H1222" s="14" t="s">
        <v>95</v>
      </c>
      <c r="I1222" s="14" t="s">
        <v>59</v>
      </c>
      <c r="J1222" s="14" t="s">
        <v>200</v>
      </c>
      <c r="K1222" s="14" t="s">
        <v>220</v>
      </c>
      <c r="L1222" s="14" t="s">
        <v>253</v>
      </c>
      <c r="M1222" s="14" t="s">
        <v>1317</v>
      </c>
      <c r="N1222" s="14" t="s">
        <v>1318</v>
      </c>
      <c r="O1222" s="14">
        <v>1.0</v>
      </c>
      <c r="P1222" s="23">
        <v>0.0037</v>
      </c>
      <c r="Q1222" s="22" t="str">
        <f>"+0.28%"</f>
        <v>+0.28%</v>
      </c>
      <c r="R1222" s="18" t="str">
        <f>"+0.31%"</f>
        <v>+0.31%</v>
      </c>
      <c r="S1222" s="14" t="s">
        <v>1356</v>
      </c>
    </row>
    <row r="1223">
      <c r="A1223" s="13">
        <v>45901.0</v>
      </c>
      <c r="B1223" s="14" t="s">
        <v>47</v>
      </c>
      <c r="C1223" s="14" t="s">
        <v>48</v>
      </c>
      <c r="D1223" s="14" t="s">
        <v>192</v>
      </c>
      <c r="E1223" s="14" t="s">
        <v>193</v>
      </c>
      <c r="F1223" s="15" t="s">
        <v>51</v>
      </c>
      <c r="G1223" s="14" t="s">
        <v>194</v>
      </c>
      <c r="H1223" s="14" t="s">
        <v>192</v>
      </c>
      <c r="I1223" s="14" t="s">
        <v>54</v>
      </c>
      <c r="J1223" s="14" t="s">
        <v>200</v>
      </c>
      <c r="K1223" s="14" t="s">
        <v>211</v>
      </c>
      <c r="L1223" s="14" t="s">
        <v>253</v>
      </c>
      <c r="M1223" s="14" t="s">
        <v>366</v>
      </c>
      <c r="N1223" s="14" t="s">
        <v>367</v>
      </c>
      <c r="O1223" s="14">
        <v>45.0</v>
      </c>
      <c r="P1223" s="23">
        <v>0.4545</v>
      </c>
      <c r="Q1223" s="22" t="str">
        <f>"-54.55%"</f>
        <v>-54.55%</v>
      </c>
      <c r="R1223" s="18" t="str">
        <f>"+45.42%"</f>
        <v>+45.42%</v>
      </c>
      <c r="S1223" s="14" t="s">
        <v>1357</v>
      </c>
    </row>
    <row r="1224">
      <c r="A1224" s="13">
        <v>45901.0</v>
      </c>
      <c r="B1224" s="14" t="s">
        <v>47</v>
      </c>
      <c r="C1224" s="14" t="s">
        <v>48</v>
      </c>
      <c r="D1224" s="14" t="s">
        <v>184</v>
      </c>
      <c r="E1224" s="14" t="s">
        <v>185</v>
      </c>
      <c r="F1224" s="15" t="s">
        <v>51</v>
      </c>
      <c r="G1224" s="14" t="s">
        <v>186</v>
      </c>
      <c r="H1224" s="14" t="s">
        <v>187</v>
      </c>
      <c r="I1224" s="14" t="s">
        <v>59</v>
      </c>
      <c r="J1224" s="14" t="s">
        <v>200</v>
      </c>
      <c r="K1224" s="14" t="s">
        <v>224</v>
      </c>
      <c r="L1224" s="14" t="s">
        <v>427</v>
      </c>
      <c r="M1224" s="14" t="s">
        <v>769</v>
      </c>
      <c r="N1224" s="14" t="s">
        <v>770</v>
      </c>
      <c r="O1224" s="14">
        <v>0.0</v>
      </c>
      <c r="P1224" s="17"/>
      <c r="Q1224" s="22"/>
      <c r="S1224" s="14" t="s">
        <v>771</v>
      </c>
    </row>
    <row r="1225">
      <c r="A1225" s="13">
        <v>45901.0</v>
      </c>
      <c r="B1225" s="14" t="s">
        <v>47</v>
      </c>
      <c r="C1225" s="14" t="s">
        <v>48</v>
      </c>
      <c r="D1225" s="14" t="s">
        <v>192</v>
      </c>
      <c r="E1225" s="14" t="s">
        <v>193</v>
      </c>
      <c r="F1225" s="15" t="s">
        <v>51</v>
      </c>
      <c r="G1225" s="14" t="s">
        <v>194</v>
      </c>
      <c r="H1225" s="14" t="s">
        <v>192</v>
      </c>
      <c r="I1225" s="14" t="s">
        <v>54</v>
      </c>
      <c r="J1225" s="14" t="s">
        <v>198</v>
      </c>
      <c r="K1225" s="14" t="s">
        <v>205</v>
      </c>
      <c r="L1225" s="14" t="s">
        <v>274</v>
      </c>
      <c r="M1225" s="14" t="s">
        <v>473</v>
      </c>
      <c r="N1225" s="14" t="s">
        <v>474</v>
      </c>
      <c r="O1225" s="14">
        <v>50.0</v>
      </c>
      <c r="P1225" s="21">
        <v>15.0</v>
      </c>
      <c r="Q1225" s="22" t="str">
        <f t="shared" ref="Q1225:Q1227" si="727">"+0"</f>
        <v>+0</v>
      </c>
      <c r="S1225" s="14" t="s">
        <v>475</v>
      </c>
    </row>
    <row r="1226">
      <c r="A1226" s="13">
        <v>45901.0</v>
      </c>
      <c r="B1226" s="14" t="s">
        <v>47</v>
      </c>
      <c r="C1226" s="14" t="s">
        <v>48</v>
      </c>
      <c r="D1226" s="14" t="s">
        <v>143</v>
      </c>
      <c r="E1226" s="14" t="s">
        <v>144</v>
      </c>
      <c r="F1226" s="15" t="s">
        <v>51</v>
      </c>
      <c r="G1226" s="14" t="s">
        <v>145</v>
      </c>
      <c r="H1226" s="14" t="s">
        <v>143</v>
      </c>
      <c r="I1226" s="14" t="s">
        <v>59</v>
      </c>
      <c r="J1226" s="14" t="s">
        <v>198</v>
      </c>
      <c r="K1226" s="14" t="s">
        <v>210</v>
      </c>
      <c r="L1226" s="14" t="s">
        <v>264</v>
      </c>
      <c r="M1226" s="14" t="s">
        <v>470</v>
      </c>
      <c r="N1226" s="14" t="s">
        <v>471</v>
      </c>
      <c r="O1226" s="14">
        <v>100.0</v>
      </c>
      <c r="P1226" s="21">
        <v>0.0</v>
      </c>
      <c r="Q1226" s="22" t="str">
        <f t="shared" si="727"/>
        <v>+0</v>
      </c>
      <c r="R1226" s="18" t="str">
        <f>"+0"</f>
        <v>+0</v>
      </c>
      <c r="S1226" s="14" t="s">
        <v>281</v>
      </c>
    </row>
    <row r="1227">
      <c r="A1227" s="13">
        <v>45901.0</v>
      </c>
      <c r="B1227" s="14" t="s">
        <v>47</v>
      </c>
      <c r="C1227" s="14" t="s">
        <v>48</v>
      </c>
      <c r="D1227" s="14" t="s">
        <v>143</v>
      </c>
      <c r="E1227" s="14" t="s">
        <v>144</v>
      </c>
      <c r="F1227" s="15" t="s">
        <v>51</v>
      </c>
      <c r="G1227" s="14" t="s">
        <v>145</v>
      </c>
      <c r="H1227" s="14" t="s">
        <v>143</v>
      </c>
      <c r="I1227" s="14" t="s">
        <v>59</v>
      </c>
      <c r="J1227" s="14" t="s">
        <v>198</v>
      </c>
      <c r="K1227" s="14" t="s">
        <v>205</v>
      </c>
      <c r="L1227" s="14" t="s">
        <v>274</v>
      </c>
      <c r="M1227" s="14" t="s">
        <v>451</v>
      </c>
      <c r="N1227" s="14" t="s">
        <v>452</v>
      </c>
      <c r="O1227" s="14">
        <v>0.0</v>
      </c>
      <c r="P1227" s="21">
        <v>0.0</v>
      </c>
      <c r="Q1227" s="22" t="str">
        <f t="shared" si="727"/>
        <v>+0</v>
      </c>
      <c r="S1227" s="14" t="s">
        <v>281</v>
      </c>
    </row>
    <row r="1228">
      <c r="A1228" s="13">
        <v>45901.0</v>
      </c>
      <c r="B1228" s="14" t="s">
        <v>47</v>
      </c>
      <c r="C1228" s="14" t="s">
        <v>48</v>
      </c>
      <c r="D1228" s="14" t="s">
        <v>132</v>
      </c>
      <c r="E1228" s="14" t="s">
        <v>133</v>
      </c>
      <c r="F1228" s="15" t="s">
        <v>51</v>
      </c>
      <c r="G1228" s="14" t="s">
        <v>134</v>
      </c>
      <c r="H1228" s="14" t="s">
        <v>135</v>
      </c>
      <c r="I1228" s="14" t="s">
        <v>59</v>
      </c>
      <c r="J1228" s="14" t="s">
        <v>200</v>
      </c>
      <c r="K1228" s="14" t="s">
        <v>213</v>
      </c>
      <c r="L1228" s="14" t="s">
        <v>676</v>
      </c>
      <c r="M1228" s="14" t="s">
        <v>858</v>
      </c>
      <c r="N1228" s="14" t="s">
        <v>859</v>
      </c>
      <c r="O1228" s="14">
        <v>0.0</v>
      </c>
      <c r="P1228" s="23">
        <v>-1.0</v>
      </c>
      <c r="Q1228" s="22" t="str">
        <f t="shared" ref="Q1228:R1228" si="728">"+0.00%"</f>
        <v>+0.00%</v>
      </c>
      <c r="R1228" s="18" t="str">
        <f t="shared" si="728"/>
        <v>+0.00%</v>
      </c>
      <c r="S1228" s="14" t="s">
        <v>1358</v>
      </c>
    </row>
    <row r="1229">
      <c r="A1229" s="13">
        <v>45901.0</v>
      </c>
      <c r="B1229" s="14" t="s">
        <v>47</v>
      </c>
      <c r="C1229" s="14" t="s">
        <v>48</v>
      </c>
      <c r="D1229" s="14" t="s">
        <v>73</v>
      </c>
      <c r="E1229" s="14" t="s">
        <v>74</v>
      </c>
      <c r="F1229" s="15" t="s">
        <v>51</v>
      </c>
      <c r="G1229" s="14" t="s">
        <v>75</v>
      </c>
      <c r="H1229" s="14" t="s">
        <v>76</v>
      </c>
      <c r="I1229" s="14" t="s">
        <v>59</v>
      </c>
      <c r="J1229" s="14" t="s">
        <v>200</v>
      </c>
      <c r="K1229" s="14" t="s">
        <v>204</v>
      </c>
      <c r="L1229" s="14" t="s">
        <v>253</v>
      </c>
      <c r="M1229" s="14" t="s">
        <v>490</v>
      </c>
      <c r="N1229" s="14" t="s">
        <v>491</v>
      </c>
      <c r="O1229" s="14">
        <v>0.0</v>
      </c>
      <c r="P1229" s="23">
        <v>0.0</v>
      </c>
      <c r="Q1229" s="22" t="str">
        <f t="shared" ref="Q1229:R1229" si="729">"+0.00%"</f>
        <v>+0.00%</v>
      </c>
      <c r="R1229" s="18" t="str">
        <f t="shared" si="729"/>
        <v>+0.00%</v>
      </c>
      <c r="S1229" s="14" t="s">
        <v>492</v>
      </c>
    </row>
    <row r="1230">
      <c r="A1230" s="13">
        <v>45901.0</v>
      </c>
      <c r="B1230" s="14" t="s">
        <v>47</v>
      </c>
      <c r="C1230" s="14" t="s">
        <v>48</v>
      </c>
      <c r="D1230" s="14" t="s">
        <v>132</v>
      </c>
      <c r="E1230" s="14" t="s">
        <v>133</v>
      </c>
      <c r="F1230" s="15" t="s">
        <v>51</v>
      </c>
      <c r="G1230" s="14" t="s">
        <v>134</v>
      </c>
      <c r="H1230" s="14" t="s">
        <v>135</v>
      </c>
      <c r="I1230" s="14" t="s">
        <v>59</v>
      </c>
      <c r="J1230" s="14" t="s">
        <v>200</v>
      </c>
      <c r="K1230" s="14" t="s">
        <v>213</v>
      </c>
      <c r="L1230" s="14" t="s">
        <v>591</v>
      </c>
      <c r="M1230" s="14" t="s">
        <v>592</v>
      </c>
      <c r="N1230" s="14" t="s">
        <v>1048</v>
      </c>
      <c r="O1230" s="14">
        <v>0.0</v>
      </c>
      <c r="P1230" s="23">
        <v>0.0</v>
      </c>
      <c r="Q1230" s="22" t="str">
        <f t="shared" ref="Q1230:R1230" si="730">"+0.00%"</f>
        <v>+0.00%</v>
      </c>
      <c r="R1230" s="18" t="str">
        <f t="shared" si="730"/>
        <v>+0.00%</v>
      </c>
      <c r="S1230" s="14" t="s">
        <v>285</v>
      </c>
    </row>
    <row r="1231">
      <c r="A1231" s="13">
        <v>45901.0</v>
      </c>
      <c r="B1231" s="14" t="s">
        <v>47</v>
      </c>
      <c r="C1231" s="14" t="s">
        <v>48</v>
      </c>
      <c r="D1231" s="14" t="s">
        <v>149</v>
      </c>
      <c r="E1231" s="14" t="s">
        <v>150</v>
      </c>
      <c r="F1231" s="15" t="s">
        <v>51</v>
      </c>
      <c r="G1231" s="14" t="s">
        <v>151</v>
      </c>
      <c r="H1231" s="14" t="s">
        <v>152</v>
      </c>
      <c r="I1231" s="14" t="s">
        <v>54</v>
      </c>
      <c r="J1231" s="14" t="s">
        <v>200</v>
      </c>
      <c r="K1231" s="14" t="s">
        <v>231</v>
      </c>
      <c r="L1231" s="14" t="s">
        <v>512</v>
      </c>
      <c r="M1231" s="14" t="s">
        <v>1276</v>
      </c>
      <c r="N1231" s="14" t="s">
        <v>1277</v>
      </c>
      <c r="O1231" s="14">
        <v>100.0</v>
      </c>
      <c r="P1231" s="21">
        <v>228.0</v>
      </c>
      <c r="Q1231" s="22" t="str">
        <f>"-228"</f>
        <v>-228</v>
      </c>
      <c r="R1231" s="18" t="str">
        <f>"-35"</f>
        <v>-35</v>
      </c>
      <c r="S1231" s="14" t="s">
        <v>260</v>
      </c>
    </row>
    <row r="1232">
      <c r="A1232" s="13">
        <v>45901.0</v>
      </c>
      <c r="B1232" s="14" t="s">
        <v>47</v>
      </c>
      <c r="C1232" s="14" t="s">
        <v>48</v>
      </c>
      <c r="D1232" s="14" t="s">
        <v>149</v>
      </c>
      <c r="E1232" s="14" t="s">
        <v>150</v>
      </c>
      <c r="F1232" s="15" t="s">
        <v>51</v>
      </c>
      <c r="G1232" s="14" t="s">
        <v>151</v>
      </c>
      <c r="H1232" s="14" t="s">
        <v>152</v>
      </c>
      <c r="I1232" s="14" t="s">
        <v>54</v>
      </c>
      <c r="J1232" s="14" t="s">
        <v>200</v>
      </c>
      <c r="K1232" s="14" t="s">
        <v>231</v>
      </c>
      <c r="L1232" s="14" t="s">
        <v>751</v>
      </c>
      <c r="M1232" s="14" t="s">
        <v>1349</v>
      </c>
      <c r="N1232" s="14" t="s">
        <v>1350</v>
      </c>
      <c r="O1232" s="14">
        <v>19.0</v>
      </c>
      <c r="P1232" s="23">
        <v>0.1912</v>
      </c>
      <c r="Q1232" s="22" t="str">
        <f>"+3.93%"</f>
        <v>+3.93%</v>
      </c>
      <c r="R1232" s="18" t="str">
        <f>"+5.60%"</f>
        <v>+5.60%</v>
      </c>
      <c r="S1232" s="14" t="s">
        <v>1058</v>
      </c>
    </row>
    <row r="1233">
      <c r="A1233" s="13">
        <v>45901.0</v>
      </c>
      <c r="B1233" s="14" t="s">
        <v>47</v>
      </c>
      <c r="C1233" s="14" t="s">
        <v>48</v>
      </c>
      <c r="D1233" s="14" t="s">
        <v>96</v>
      </c>
      <c r="E1233" s="14" t="s">
        <v>97</v>
      </c>
      <c r="F1233" s="15" t="s">
        <v>51</v>
      </c>
      <c r="G1233" s="14" t="s">
        <v>98</v>
      </c>
      <c r="H1233" s="14" t="s">
        <v>96</v>
      </c>
      <c r="I1233" s="14" t="s">
        <v>59</v>
      </c>
      <c r="J1233" s="14" t="s">
        <v>198</v>
      </c>
      <c r="K1233" s="14" t="s">
        <v>210</v>
      </c>
      <c r="L1233" s="14" t="s">
        <v>264</v>
      </c>
      <c r="M1233" s="14" t="s">
        <v>357</v>
      </c>
      <c r="N1233" s="14" t="s">
        <v>358</v>
      </c>
      <c r="O1233" s="14">
        <v>100.0</v>
      </c>
      <c r="P1233" s="21">
        <v>0.0</v>
      </c>
      <c r="Q1233" s="22" t="str">
        <f t="shared" ref="Q1233:R1233" si="731">"+0"</f>
        <v>+0</v>
      </c>
      <c r="R1233" s="18" t="str">
        <f t="shared" si="731"/>
        <v>+0</v>
      </c>
      <c r="S1233" s="14" t="s">
        <v>281</v>
      </c>
    </row>
    <row r="1234">
      <c r="A1234" s="13">
        <v>45901.0</v>
      </c>
      <c r="B1234" s="14" t="s">
        <v>47</v>
      </c>
      <c r="C1234" s="14" t="s">
        <v>48</v>
      </c>
      <c r="D1234" s="14" t="s">
        <v>85</v>
      </c>
      <c r="E1234" s="14" t="s">
        <v>86</v>
      </c>
      <c r="F1234" s="15" t="s">
        <v>51</v>
      </c>
      <c r="G1234" s="14" t="s">
        <v>148</v>
      </c>
      <c r="H1234" s="14" t="s">
        <v>85</v>
      </c>
      <c r="I1234" s="14" t="s">
        <v>59</v>
      </c>
      <c r="J1234" s="14" t="s">
        <v>200</v>
      </c>
      <c r="K1234" s="14" t="s">
        <v>213</v>
      </c>
      <c r="L1234" s="14" t="s">
        <v>289</v>
      </c>
      <c r="M1234" s="14" t="s">
        <v>684</v>
      </c>
      <c r="N1234" s="14" t="s">
        <v>685</v>
      </c>
      <c r="O1234" s="14">
        <v>100.0</v>
      </c>
      <c r="P1234" s="23">
        <v>0.0029</v>
      </c>
      <c r="Q1234" s="22" t="str">
        <f>"-0.01%"</f>
        <v>-0.01%</v>
      </c>
      <c r="R1234" s="18" t="str">
        <f>"+0.01%"</f>
        <v>+0.01%</v>
      </c>
      <c r="S1234" s="14" t="s">
        <v>285</v>
      </c>
    </row>
    <row r="1235">
      <c r="A1235" s="13">
        <v>45901.0</v>
      </c>
      <c r="B1235" s="14" t="s">
        <v>47</v>
      </c>
      <c r="C1235" s="14" t="s">
        <v>48</v>
      </c>
      <c r="D1235" s="14" t="s">
        <v>69</v>
      </c>
      <c r="E1235" s="14" t="s">
        <v>70</v>
      </c>
      <c r="F1235" s="15" t="s">
        <v>51</v>
      </c>
      <c r="G1235" s="14" t="s">
        <v>115</v>
      </c>
      <c r="H1235" s="14" t="s">
        <v>72</v>
      </c>
      <c r="I1235" s="14" t="s">
        <v>54</v>
      </c>
      <c r="J1235" s="14" t="s">
        <v>200</v>
      </c>
      <c r="K1235" s="14" t="s">
        <v>222</v>
      </c>
      <c r="L1235" s="14" t="s">
        <v>1158</v>
      </c>
      <c r="M1235" s="14" t="s">
        <v>1159</v>
      </c>
      <c r="N1235" s="14" t="s">
        <v>1160</v>
      </c>
      <c r="O1235" s="14">
        <v>0.0</v>
      </c>
      <c r="P1235" s="21">
        <v>0.0</v>
      </c>
      <c r="Q1235" s="22" t="str">
        <f t="shared" ref="Q1235:R1235" si="732">"+0"</f>
        <v>+0</v>
      </c>
      <c r="R1235" s="18" t="str">
        <f t="shared" si="732"/>
        <v>+0</v>
      </c>
      <c r="S1235" s="14" t="s">
        <v>260</v>
      </c>
    </row>
    <row r="1236">
      <c r="A1236" s="13">
        <v>45901.0</v>
      </c>
      <c r="B1236" s="14" t="s">
        <v>47</v>
      </c>
      <c r="C1236" s="14" t="s">
        <v>48</v>
      </c>
      <c r="D1236" s="14" t="s">
        <v>85</v>
      </c>
      <c r="E1236" s="14" t="s">
        <v>86</v>
      </c>
      <c r="F1236" s="15" t="s">
        <v>51</v>
      </c>
      <c r="G1236" s="14" t="s">
        <v>148</v>
      </c>
      <c r="H1236" s="14" t="s">
        <v>85</v>
      </c>
      <c r="I1236" s="14" t="s">
        <v>59</v>
      </c>
      <c r="J1236" s="14" t="s">
        <v>200</v>
      </c>
      <c r="K1236" s="14" t="s">
        <v>214</v>
      </c>
      <c r="L1236" s="14" t="s">
        <v>253</v>
      </c>
      <c r="M1236" s="14" t="s">
        <v>389</v>
      </c>
      <c r="N1236" s="14" t="s">
        <v>390</v>
      </c>
      <c r="O1236" s="14">
        <v>80.0</v>
      </c>
      <c r="P1236" s="23">
        <v>0.807</v>
      </c>
      <c r="Q1236" s="22" t="str">
        <f>"+1.75%"</f>
        <v>+1.75%</v>
      </c>
      <c r="R1236" s="18" t="str">
        <f>"-8.77%"</f>
        <v>-8.77%</v>
      </c>
      <c r="S1236" s="14" t="s">
        <v>1359</v>
      </c>
    </row>
    <row r="1237">
      <c r="A1237" s="13">
        <v>45901.0</v>
      </c>
      <c r="B1237" s="14" t="s">
        <v>47</v>
      </c>
      <c r="C1237" s="14" t="s">
        <v>48</v>
      </c>
      <c r="D1237" s="14" t="s">
        <v>85</v>
      </c>
      <c r="E1237" s="14" t="s">
        <v>86</v>
      </c>
      <c r="F1237" s="15" t="s">
        <v>51</v>
      </c>
      <c r="G1237" s="14" t="s">
        <v>148</v>
      </c>
      <c r="H1237" s="14" t="s">
        <v>85</v>
      </c>
      <c r="I1237" s="14" t="s">
        <v>59</v>
      </c>
      <c r="J1237" s="14" t="s">
        <v>200</v>
      </c>
      <c r="K1237" s="14" t="s">
        <v>213</v>
      </c>
      <c r="L1237" s="14" t="s">
        <v>359</v>
      </c>
      <c r="M1237" s="14" t="s">
        <v>519</v>
      </c>
      <c r="N1237" s="14" t="s">
        <v>520</v>
      </c>
      <c r="O1237" s="14">
        <v>0.0</v>
      </c>
      <c r="P1237" s="21">
        <v>0.0</v>
      </c>
      <c r="Q1237" s="22" t="str">
        <f t="shared" ref="Q1237:R1237" si="733">"+0"</f>
        <v>+0</v>
      </c>
      <c r="R1237" s="18" t="str">
        <f t="shared" si="733"/>
        <v>+0</v>
      </c>
      <c r="S1237" s="14" t="s">
        <v>260</v>
      </c>
    </row>
    <row r="1238">
      <c r="A1238" s="13">
        <v>45901.0</v>
      </c>
      <c r="B1238" s="14" t="s">
        <v>47</v>
      </c>
      <c r="C1238" s="14" t="s">
        <v>48</v>
      </c>
      <c r="D1238" s="14" t="s">
        <v>69</v>
      </c>
      <c r="E1238" s="14" t="s">
        <v>70</v>
      </c>
      <c r="F1238" s="15" t="s">
        <v>51</v>
      </c>
      <c r="G1238" s="14" t="s">
        <v>115</v>
      </c>
      <c r="H1238" s="14" t="s">
        <v>72</v>
      </c>
      <c r="I1238" s="14" t="s">
        <v>54</v>
      </c>
      <c r="J1238" s="14" t="s">
        <v>200</v>
      </c>
      <c r="K1238" s="14" t="s">
        <v>224</v>
      </c>
      <c r="L1238" s="14" t="s">
        <v>453</v>
      </c>
      <c r="M1238" s="14" t="s">
        <v>949</v>
      </c>
      <c r="N1238" s="14" t="s">
        <v>950</v>
      </c>
      <c r="O1238" s="14">
        <v>91.0</v>
      </c>
      <c r="P1238" s="23">
        <v>0.9167</v>
      </c>
      <c r="Q1238" s="22" t="str">
        <f>"+58.33%"</f>
        <v>+58.33%</v>
      </c>
      <c r="R1238" s="18" t="str">
        <f>"+31.67%"</f>
        <v>+31.67%</v>
      </c>
      <c r="S1238" s="14" t="s">
        <v>951</v>
      </c>
    </row>
    <row r="1239">
      <c r="A1239" s="13">
        <v>45901.0</v>
      </c>
      <c r="B1239" s="14" t="s">
        <v>47</v>
      </c>
      <c r="C1239" s="14" t="s">
        <v>48</v>
      </c>
      <c r="D1239" s="14" t="s">
        <v>96</v>
      </c>
      <c r="E1239" s="14" t="s">
        <v>97</v>
      </c>
      <c r="F1239" s="15" t="s">
        <v>51</v>
      </c>
      <c r="G1239" s="14" t="s">
        <v>98</v>
      </c>
      <c r="H1239" s="14" t="s">
        <v>96</v>
      </c>
      <c r="I1239" s="14" t="s">
        <v>59</v>
      </c>
      <c r="J1239" s="14" t="s">
        <v>200</v>
      </c>
      <c r="K1239" s="14" t="s">
        <v>223</v>
      </c>
      <c r="L1239" s="14" t="s">
        <v>289</v>
      </c>
      <c r="M1239" s="14" t="s">
        <v>384</v>
      </c>
      <c r="N1239" s="14" t="s">
        <v>385</v>
      </c>
      <c r="O1239" s="14">
        <v>0.0</v>
      </c>
      <c r="P1239" s="23">
        <v>0.0</v>
      </c>
      <c r="Q1239" s="22" t="str">
        <f t="shared" ref="Q1239:R1239" si="734">"+0.00%"</f>
        <v>+0.00%</v>
      </c>
      <c r="R1239" s="18" t="str">
        <f t="shared" si="734"/>
        <v>+0.00%</v>
      </c>
      <c r="S1239" s="14" t="s">
        <v>1360</v>
      </c>
    </row>
    <row r="1240">
      <c r="A1240" s="13">
        <v>45901.0</v>
      </c>
      <c r="B1240" s="14" t="s">
        <v>47</v>
      </c>
      <c r="C1240" s="14" t="s">
        <v>48</v>
      </c>
      <c r="D1240" s="14" t="s">
        <v>108</v>
      </c>
      <c r="E1240" s="14" t="s">
        <v>109</v>
      </c>
      <c r="F1240" s="15" t="s">
        <v>51</v>
      </c>
      <c r="G1240" s="14" t="s">
        <v>110</v>
      </c>
      <c r="H1240" s="14" t="s">
        <v>108</v>
      </c>
      <c r="I1240" s="14" t="s">
        <v>59</v>
      </c>
      <c r="J1240" s="14" t="s">
        <v>200</v>
      </c>
      <c r="K1240" s="14" t="s">
        <v>215</v>
      </c>
      <c r="L1240" s="14" t="s">
        <v>1361</v>
      </c>
      <c r="M1240" s="14" t="s">
        <v>1362</v>
      </c>
      <c r="N1240" s="14" t="s">
        <v>1363</v>
      </c>
      <c r="O1240" s="14">
        <v>50.0</v>
      </c>
      <c r="P1240" s="23">
        <v>0.0</v>
      </c>
      <c r="Q1240" s="22" t="str">
        <f t="shared" ref="Q1240:R1240" si="735">"+100.00%"</f>
        <v>+100.00%</v>
      </c>
      <c r="R1240" s="18" t="str">
        <f t="shared" si="735"/>
        <v>+100.00%</v>
      </c>
      <c r="S1240" s="14" t="s">
        <v>1364</v>
      </c>
    </row>
    <row r="1241">
      <c r="A1241" s="13">
        <v>45901.0</v>
      </c>
      <c r="B1241" s="14" t="s">
        <v>47</v>
      </c>
      <c r="C1241" s="14" t="s">
        <v>48</v>
      </c>
      <c r="D1241" s="14" t="s">
        <v>116</v>
      </c>
      <c r="E1241" s="14" t="s">
        <v>117</v>
      </c>
      <c r="F1241" s="14" t="s">
        <v>111</v>
      </c>
      <c r="G1241" s="14">
        <v>5298600.0</v>
      </c>
      <c r="H1241" s="14" t="s">
        <v>116</v>
      </c>
      <c r="I1241" s="14" t="s">
        <v>59</v>
      </c>
      <c r="J1241" s="14" t="s">
        <v>199</v>
      </c>
      <c r="K1241" s="14" t="s">
        <v>206</v>
      </c>
      <c r="L1241" s="14" t="s">
        <v>381</v>
      </c>
      <c r="M1241" s="14" t="s">
        <v>381</v>
      </c>
      <c r="N1241" s="14" t="s">
        <v>382</v>
      </c>
      <c r="O1241" s="14">
        <v>0.0</v>
      </c>
      <c r="P1241" s="21">
        <v>0.0</v>
      </c>
      <c r="Q1241" s="22" t="str">
        <f t="shared" ref="Q1241:R1241" si="736">"+0"</f>
        <v>+0</v>
      </c>
      <c r="R1241" s="18" t="str">
        <f t="shared" si="736"/>
        <v>+0</v>
      </c>
      <c r="S1241" s="14" t="s">
        <v>383</v>
      </c>
    </row>
    <row r="1242">
      <c r="A1242" s="13">
        <v>45901.0</v>
      </c>
      <c r="B1242" s="14" t="s">
        <v>47</v>
      </c>
      <c r="C1242" s="14" t="s">
        <v>48</v>
      </c>
      <c r="D1242" s="14" t="s">
        <v>158</v>
      </c>
      <c r="E1242" s="14" t="s">
        <v>159</v>
      </c>
      <c r="F1242" s="15" t="s">
        <v>51</v>
      </c>
      <c r="G1242" s="14" t="s">
        <v>160</v>
      </c>
      <c r="H1242" s="14" t="s">
        <v>158</v>
      </c>
      <c r="I1242" s="14" t="s">
        <v>54</v>
      </c>
      <c r="J1242" s="14" t="s">
        <v>198</v>
      </c>
      <c r="K1242" s="14" t="s">
        <v>210</v>
      </c>
      <c r="L1242" s="14" t="s">
        <v>278</v>
      </c>
      <c r="M1242" s="14" t="s">
        <v>1227</v>
      </c>
      <c r="N1242" s="14" t="s">
        <v>1228</v>
      </c>
      <c r="O1242" s="14">
        <v>0.0</v>
      </c>
      <c r="P1242" s="21">
        <v>0.0</v>
      </c>
      <c r="Q1242" s="22" t="str">
        <f t="shared" ref="Q1242:R1242" si="737">"+0"</f>
        <v>+0</v>
      </c>
      <c r="R1242" s="18" t="str">
        <f t="shared" si="737"/>
        <v>+0</v>
      </c>
      <c r="S1242" s="14" t="s">
        <v>277</v>
      </c>
    </row>
    <row r="1243">
      <c r="A1243" s="13">
        <v>45901.0</v>
      </c>
      <c r="B1243" s="14" t="s">
        <v>47</v>
      </c>
      <c r="C1243" s="14" t="s">
        <v>48</v>
      </c>
      <c r="D1243" s="14" t="s">
        <v>108</v>
      </c>
      <c r="E1243" s="14" t="s">
        <v>109</v>
      </c>
      <c r="F1243" s="15" t="s">
        <v>51</v>
      </c>
      <c r="G1243" s="14" t="s">
        <v>110</v>
      </c>
      <c r="H1243" s="14" t="s">
        <v>108</v>
      </c>
      <c r="I1243" s="14" t="s">
        <v>59</v>
      </c>
      <c r="J1243" s="14" t="s">
        <v>200</v>
      </c>
      <c r="K1243" s="14" t="s">
        <v>215</v>
      </c>
      <c r="L1243" s="14" t="s">
        <v>1365</v>
      </c>
      <c r="M1243" s="14" t="s">
        <v>1366</v>
      </c>
      <c r="N1243" s="14" t="s">
        <v>1367</v>
      </c>
      <c r="O1243" s="14">
        <v>0.0</v>
      </c>
      <c r="P1243" s="23">
        <v>-1.0</v>
      </c>
      <c r="Q1243" s="22" t="str">
        <f t="shared" ref="Q1243:R1243" si="738">"+0.00%"</f>
        <v>+0.00%</v>
      </c>
      <c r="R1243" s="18" t="str">
        <f t="shared" si="738"/>
        <v>+0.00%</v>
      </c>
      <c r="S1243" s="14" t="s">
        <v>1368</v>
      </c>
    </row>
    <row r="1244">
      <c r="A1244" s="13">
        <v>45901.0</v>
      </c>
      <c r="B1244" s="14" t="s">
        <v>47</v>
      </c>
      <c r="C1244" s="14" t="s">
        <v>48</v>
      </c>
      <c r="D1244" s="14" t="s">
        <v>158</v>
      </c>
      <c r="E1244" s="14" t="s">
        <v>159</v>
      </c>
      <c r="F1244" s="15" t="s">
        <v>51</v>
      </c>
      <c r="G1244" s="14" t="s">
        <v>160</v>
      </c>
      <c r="H1244" s="14" t="s">
        <v>158</v>
      </c>
      <c r="I1244" s="14" t="s">
        <v>54</v>
      </c>
      <c r="J1244" s="14" t="s">
        <v>198</v>
      </c>
      <c r="K1244" s="14" t="s">
        <v>210</v>
      </c>
      <c r="L1244" s="14" t="s">
        <v>264</v>
      </c>
      <c r="M1244" s="14" t="s">
        <v>1369</v>
      </c>
      <c r="N1244" s="14" t="s">
        <v>1370</v>
      </c>
      <c r="O1244" s="14">
        <v>0.0</v>
      </c>
      <c r="P1244" s="21">
        <v>0.0</v>
      </c>
      <c r="Q1244" s="22" t="str">
        <f t="shared" ref="Q1244:R1244" si="739">"+0"</f>
        <v>+0</v>
      </c>
      <c r="R1244" s="18" t="str">
        <f t="shared" si="739"/>
        <v>+0</v>
      </c>
      <c r="S1244" s="14" t="s">
        <v>277</v>
      </c>
    </row>
    <row r="1245">
      <c r="A1245" s="13">
        <v>45901.0</v>
      </c>
      <c r="B1245" s="14" t="s">
        <v>47</v>
      </c>
      <c r="C1245" s="14" t="s">
        <v>48</v>
      </c>
      <c r="D1245" s="14" t="s">
        <v>77</v>
      </c>
      <c r="E1245" s="14" t="s">
        <v>78</v>
      </c>
      <c r="F1245" s="14" t="s">
        <v>71</v>
      </c>
      <c r="G1245" s="14">
        <v>5.36009043E8</v>
      </c>
      <c r="H1245" s="14" t="s">
        <v>81</v>
      </c>
      <c r="J1245" s="14" t="s">
        <v>199</v>
      </c>
      <c r="K1245" s="14" t="s">
        <v>206</v>
      </c>
      <c r="L1245" s="14" t="s">
        <v>531</v>
      </c>
      <c r="M1245" s="14" t="s">
        <v>531</v>
      </c>
      <c r="N1245" s="14" t="s">
        <v>532</v>
      </c>
      <c r="O1245" s="14">
        <v>0.0</v>
      </c>
      <c r="P1245" s="21">
        <v>0.0</v>
      </c>
      <c r="Q1245" s="22" t="str">
        <f>"+0"</f>
        <v>+0</v>
      </c>
      <c r="S1245" s="14" t="s">
        <v>260</v>
      </c>
    </row>
    <row r="1246">
      <c r="A1246" s="13">
        <v>45901.0</v>
      </c>
      <c r="B1246" s="14" t="s">
        <v>47</v>
      </c>
      <c r="C1246" s="14" t="s">
        <v>48</v>
      </c>
      <c r="D1246" s="14" t="s">
        <v>174</v>
      </c>
      <c r="E1246" s="14" t="s">
        <v>175</v>
      </c>
      <c r="F1246" s="15" t="s">
        <v>51</v>
      </c>
      <c r="G1246" s="14" t="s">
        <v>176</v>
      </c>
      <c r="H1246" s="14" t="s">
        <v>174</v>
      </c>
      <c r="I1246" s="14" t="s">
        <v>59</v>
      </c>
      <c r="J1246" s="14" t="s">
        <v>200</v>
      </c>
      <c r="K1246" s="14" t="s">
        <v>209</v>
      </c>
      <c r="L1246" s="14" t="s">
        <v>253</v>
      </c>
      <c r="M1246" s="14" t="s">
        <v>817</v>
      </c>
      <c r="N1246" s="14" t="s">
        <v>818</v>
      </c>
      <c r="O1246" s="14">
        <v>70.0</v>
      </c>
      <c r="P1246" s="23">
        <v>0.7029</v>
      </c>
      <c r="Q1246" s="22" t="str">
        <f>"+2.00%"</f>
        <v>+2.00%</v>
      </c>
      <c r="R1246" s="18" t="str">
        <f>"+5.73%"</f>
        <v>+5.73%</v>
      </c>
      <c r="S1246" s="14" t="s">
        <v>1371</v>
      </c>
    </row>
    <row r="1247">
      <c r="A1247" s="13">
        <v>45901.0</v>
      </c>
      <c r="B1247" s="14" t="s">
        <v>47</v>
      </c>
      <c r="C1247" s="14" t="s">
        <v>48</v>
      </c>
      <c r="D1247" s="14" t="s">
        <v>155</v>
      </c>
      <c r="E1247" s="14" t="s">
        <v>156</v>
      </c>
      <c r="F1247" s="15" t="s">
        <v>51</v>
      </c>
      <c r="G1247" s="14" t="s">
        <v>157</v>
      </c>
      <c r="H1247" s="14" t="s">
        <v>155</v>
      </c>
      <c r="I1247" s="14" t="s">
        <v>59</v>
      </c>
      <c r="J1247" s="14" t="s">
        <v>200</v>
      </c>
      <c r="K1247" s="14" t="s">
        <v>223</v>
      </c>
      <c r="L1247" s="14" t="s">
        <v>710</v>
      </c>
      <c r="M1247" s="14" t="s">
        <v>711</v>
      </c>
      <c r="N1247" s="14" t="s">
        <v>712</v>
      </c>
      <c r="O1247" s="14">
        <v>0.0</v>
      </c>
      <c r="P1247" s="17"/>
      <c r="Q1247" s="22"/>
      <c r="S1247" s="14" t="s">
        <v>285</v>
      </c>
    </row>
    <row r="1248">
      <c r="A1248" s="13">
        <v>45901.0</v>
      </c>
      <c r="B1248" s="14" t="s">
        <v>47</v>
      </c>
      <c r="C1248" s="14" t="s">
        <v>48</v>
      </c>
      <c r="D1248" s="14" t="s">
        <v>56</v>
      </c>
      <c r="E1248" s="14" t="s">
        <v>57</v>
      </c>
      <c r="F1248" s="15" t="s">
        <v>51</v>
      </c>
      <c r="G1248" s="14" t="s">
        <v>58</v>
      </c>
      <c r="H1248" s="14" t="s">
        <v>56</v>
      </c>
      <c r="I1248" s="14" t="s">
        <v>59</v>
      </c>
      <c r="J1248" s="14" t="s">
        <v>200</v>
      </c>
      <c r="K1248" s="14" t="s">
        <v>223</v>
      </c>
      <c r="L1248" s="14" t="s">
        <v>257</v>
      </c>
      <c r="M1248" s="14" t="s">
        <v>258</v>
      </c>
      <c r="N1248" s="14" t="s">
        <v>259</v>
      </c>
      <c r="O1248" s="14">
        <v>100.0</v>
      </c>
      <c r="P1248" s="21">
        <v>2.0</v>
      </c>
      <c r="Q1248" s="22" t="str">
        <f t="shared" ref="Q1248:R1248" si="740">"+0"</f>
        <v>+0</v>
      </c>
      <c r="R1248" s="18" t="str">
        <f t="shared" si="740"/>
        <v>+0</v>
      </c>
      <c r="S1248" s="14" t="s">
        <v>260</v>
      </c>
    </row>
    <row r="1249">
      <c r="A1249" s="13">
        <v>45901.0</v>
      </c>
      <c r="B1249" s="14" t="s">
        <v>47</v>
      </c>
      <c r="C1249" s="14" t="s">
        <v>48</v>
      </c>
      <c r="D1249" s="14" t="s">
        <v>181</v>
      </c>
      <c r="E1249" s="14" t="s">
        <v>182</v>
      </c>
      <c r="F1249" s="15" t="s">
        <v>51</v>
      </c>
      <c r="G1249" s="14" t="s">
        <v>183</v>
      </c>
      <c r="H1249" s="14" t="s">
        <v>181</v>
      </c>
      <c r="I1249" s="14" t="s">
        <v>59</v>
      </c>
      <c r="J1249" s="14" t="s">
        <v>198</v>
      </c>
      <c r="K1249" s="14" t="s">
        <v>210</v>
      </c>
      <c r="L1249" s="14" t="s">
        <v>458</v>
      </c>
      <c r="M1249" s="14" t="s">
        <v>459</v>
      </c>
      <c r="N1249" s="14" t="s">
        <v>460</v>
      </c>
      <c r="O1249" s="14">
        <v>100.0</v>
      </c>
      <c r="P1249" s="21">
        <v>0.0</v>
      </c>
      <c r="Q1249" s="22" t="str">
        <f t="shared" ref="Q1249:R1249" si="741">"+0"</f>
        <v>+0</v>
      </c>
      <c r="R1249" s="18" t="str">
        <f t="shared" si="741"/>
        <v>+0</v>
      </c>
      <c r="S1249" s="14" t="s">
        <v>281</v>
      </c>
    </row>
    <row r="1250">
      <c r="A1250" s="13">
        <v>45901.0</v>
      </c>
      <c r="B1250" s="14" t="s">
        <v>47</v>
      </c>
      <c r="C1250" s="14" t="s">
        <v>48</v>
      </c>
      <c r="D1250" s="14" t="s">
        <v>60</v>
      </c>
      <c r="E1250" s="14" t="s">
        <v>61</v>
      </c>
      <c r="F1250" s="15" t="s">
        <v>51</v>
      </c>
      <c r="G1250" s="14" t="s">
        <v>62</v>
      </c>
      <c r="H1250" s="14" t="s">
        <v>60</v>
      </c>
      <c r="I1250" s="14" t="s">
        <v>59</v>
      </c>
      <c r="J1250" s="14" t="s">
        <v>200</v>
      </c>
      <c r="K1250" s="14" t="s">
        <v>223</v>
      </c>
      <c r="L1250" s="14" t="s">
        <v>607</v>
      </c>
      <c r="M1250" s="14" t="s">
        <v>692</v>
      </c>
      <c r="N1250" s="14" t="s">
        <v>693</v>
      </c>
      <c r="O1250" s="14">
        <v>0.0</v>
      </c>
      <c r="P1250" s="23">
        <v>0.0</v>
      </c>
      <c r="Q1250" s="22" t="str">
        <f t="shared" ref="Q1250:R1250" si="742">"+0.00%"</f>
        <v>+0.00%</v>
      </c>
      <c r="R1250" s="18" t="str">
        <f t="shared" si="742"/>
        <v>+0.00%</v>
      </c>
      <c r="S1250" s="14" t="s">
        <v>285</v>
      </c>
    </row>
    <row r="1251">
      <c r="A1251" s="13">
        <v>45901.0</v>
      </c>
      <c r="B1251" s="14" t="s">
        <v>47</v>
      </c>
      <c r="C1251" s="14" t="s">
        <v>48</v>
      </c>
      <c r="D1251" s="14" t="s">
        <v>168</v>
      </c>
      <c r="E1251" s="14" t="s">
        <v>169</v>
      </c>
      <c r="F1251" s="15" t="s">
        <v>51</v>
      </c>
      <c r="G1251" s="14" t="s">
        <v>170</v>
      </c>
      <c r="H1251" s="14" t="s">
        <v>168</v>
      </c>
      <c r="I1251" s="14" t="s">
        <v>59</v>
      </c>
      <c r="J1251" s="14" t="s">
        <v>200</v>
      </c>
      <c r="K1251" s="14" t="s">
        <v>213</v>
      </c>
      <c r="L1251" s="14" t="s">
        <v>253</v>
      </c>
      <c r="M1251" s="14" t="s">
        <v>366</v>
      </c>
      <c r="N1251" s="14" t="s">
        <v>367</v>
      </c>
      <c r="O1251" s="14">
        <v>50.0</v>
      </c>
      <c r="P1251" s="23">
        <v>0.5067</v>
      </c>
      <c r="Q1251" s="22" t="str">
        <f>"-17.11%"</f>
        <v>-17.11%</v>
      </c>
      <c r="R1251" s="18" t="str">
        <f>"-19.80%"</f>
        <v>-19.80%</v>
      </c>
      <c r="S1251" s="14" t="s">
        <v>1372</v>
      </c>
    </row>
    <row r="1252">
      <c r="A1252" s="13">
        <v>45901.0</v>
      </c>
      <c r="B1252" s="14" t="s">
        <v>47</v>
      </c>
      <c r="C1252" s="14" t="s">
        <v>48</v>
      </c>
      <c r="D1252" s="14" t="s">
        <v>49</v>
      </c>
      <c r="E1252" s="14" t="s">
        <v>50</v>
      </c>
      <c r="F1252" s="15" t="s">
        <v>51</v>
      </c>
      <c r="G1252" s="14" t="s">
        <v>52</v>
      </c>
      <c r="H1252" s="14" t="s">
        <v>53</v>
      </c>
      <c r="I1252" s="14" t="s">
        <v>54</v>
      </c>
      <c r="J1252" s="14" t="s">
        <v>200</v>
      </c>
      <c r="K1252" s="14" t="s">
        <v>222</v>
      </c>
      <c r="L1252" s="14" t="s">
        <v>337</v>
      </c>
      <c r="M1252" s="14" t="s">
        <v>734</v>
      </c>
      <c r="N1252" s="14" t="s">
        <v>735</v>
      </c>
      <c r="O1252" s="14">
        <v>100.0</v>
      </c>
      <c r="P1252" s="21">
        <v>3.0</v>
      </c>
      <c r="Q1252" s="22" t="str">
        <f t="shared" ref="Q1252:R1252" si="743">"+3"</f>
        <v>+3</v>
      </c>
      <c r="R1252" s="18" t="str">
        <f t="shared" si="743"/>
        <v>+3</v>
      </c>
      <c r="S1252" s="14" t="s">
        <v>260</v>
      </c>
    </row>
    <row r="1253">
      <c r="A1253" s="13">
        <v>45901.0</v>
      </c>
      <c r="B1253" s="14" t="s">
        <v>47</v>
      </c>
      <c r="C1253" s="14" t="s">
        <v>48</v>
      </c>
      <c r="D1253" s="14" t="s">
        <v>165</v>
      </c>
      <c r="E1253" s="14" t="s">
        <v>166</v>
      </c>
      <c r="F1253" s="15" t="s">
        <v>51</v>
      </c>
      <c r="G1253" s="14" t="s">
        <v>167</v>
      </c>
      <c r="H1253" s="14" t="s">
        <v>165</v>
      </c>
      <c r="I1253" s="14" t="s">
        <v>54</v>
      </c>
      <c r="J1253" s="14" t="s">
        <v>199</v>
      </c>
      <c r="K1253" s="14" t="s">
        <v>206</v>
      </c>
      <c r="L1253" s="14" t="s">
        <v>295</v>
      </c>
      <c r="M1253" s="14" t="s">
        <v>296</v>
      </c>
      <c r="N1253" s="14" t="s">
        <v>297</v>
      </c>
      <c r="O1253" s="14">
        <v>0.0</v>
      </c>
      <c r="P1253" s="21">
        <v>0.0</v>
      </c>
      <c r="Q1253" s="22" t="str">
        <f t="shared" ref="Q1253:R1253" si="744">"+0"</f>
        <v>+0</v>
      </c>
      <c r="R1253" s="18" t="str">
        <f t="shared" si="744"/>
        <v>+0</v>
      </c>
      <c r="S1253" s="14" t="s">
        <v>260</v>
      </c>
    </row>
    <row r="1254">
      <c r="A1254" s="13">
        <v>45901.0</v>
      </c>
      <c r="B1254" s="14" t="s">
        <v>47</v>
      </c>
      <c r="C1254" s="14" t="s">
        <v>48</v>
      </c>
      <c r="D1254" s="14" t="s">
        <v>165</v>
      </c>
      <c r="E1254" s="14" t="s">
        <v>166</v>
      </c>
      <c r="F1254" s="15" t="s">
        <v>51</v>
      </c>
      <c r="G1254" s="14" t="s">
        <v>167</v>
      </c>
      <c r="H1254" s="14" t="s">
        <v>165</v>
      </c>
      <c r="I1254" s="14" t="s">
        <v>54</v>
      </c>
      <c r="J1254" s="14" t="s">
        <v>200</v>
      </c>
      <c r="K1254" s="14" t="s">
        <v>227</v>
      </c>
      <c r="L1254" s="14" t="s">
        <v>253</v>
      </c>
      <c r="M1254" s="14" t="s">
        <v>254</v>
      </c>
      <c r="N1254" s="14" t="s">
        <v>255</v>
      </c>
      <c r="O1254" s="14">
        <v>8.0</v>
      </c>
      <c r="P1254" s="23">
        <v>0.087</v>
      </c>
      <c r="Q1254" s="22" t="str">
        <f>"-1.74%"</f>
        <v>-1.74%</v>
      </c>
      <c r="R1254" s="18" t="str">
        <f>"-2.61%"</f>
        <v>-2.61%</v>
      </c>
      <c r="S1254" s="14" t="s">
        <v>399</v>
      </c>
    </row>
    <row r="1255">
      <c r="A1255" s="13">
        <v>45901.0</v>
      </c>
      <c r="B1255" s="14" t="s">
        <v>47</v>
      </c>
      <c r="C1255" s="14" t="s">
        <v>48</v>
      </c>
      <c r="D1255" s="14" t="s">
        <v>49</v>
      </c>
      <c r="E1255" s="14" t="s">
        <v>50</v>
      </c>
      <c r="F1255" s="15" t="s">
        <v>51</v>
      </c>
      <c r="G1255" s="14" t="s">
        <v>52</v>
      </c>
      <c r="H1255" s="14" t="s">
        <v>53</v>
      </c>
      <c r="I1255" s="14" t="s">
        <v>54</v>
      </c>
      <c r="J1255" s="14" t="s">
        <v>198</v>
      </c>
      <c r="K1255" s="14" t="s">
        <v>205</v>
      </c>
      <c r="L1255" s="14" t="s">
        <v>274</v>
      </c>
      <c r="M1255" s="14" t="s">
        <v>451</v>
      </c>
      <c r="N1255" s="14" t="s">
        <v>452</v>
      </c>
      <c r="O1255" s="14">
        <v>0.0</v>
      </c>
      <c r="P1255" s="21">
        <v>0.0</v>
      </c>
      <c r="Q1255" s="22" t="str">
        <f>"+0"</f>
        <v>+0</v>
      </c>
      <c r="S1255" s="14" t="s">
        <v>281</v>
      </c>
    </row>
    <row r="1256">
      <c r="A1256" s="13">
        <v>45901.0</v>
      </c>
      <c r="B1256" s="14" t="s">
        <v>47</v>
      </c>
      <c r="C1256" s="14" t="s">
        <v>48</v>
      </c>
      <c r="D1256" s="14" t="s">
        <v>99</v>
      </c>
      <c r="E1256" s="14" t="s">
        <v>100</v>
      </c>
      <c r="F1256" s="15" t="s">
        <v>51</v>
      </c>
      <c r="G1256" s="14" t="s">
        <v>101</v>
      </c>
      <c r="H1256" s="14" t="s">
        <v>102</v>
      </c>
      <c r="I1256" s="14" t="s">
        <v>54</v>
      </c>
      <c r="J1256" s="14" t="s">
        <v>200</v>
      </c>
      <c r="K1256" s="14" t="s">
        <v>227</v>
      </c>
      <c r="L1256" s="14" t="s">
        <v>721</v>
      </c>
      <c r="M1256" s="14" t="s">
        <v>722</v>
      </c>
      <c r="N1256" s="14" t="s">
        <v>723</v>
      </c>
      <c r="O1256" s="14">
        <v>75.0</v>
      </c>
      <c r="P1256" s="23">
        <v>0.5162</v>
      </c>
      <c r="Q1256" s="22" t="str">
        <f>"+113.44%"</f>
        <v>+113.44%</v>
      </c>
      <c r="R1256" s="18" t="str">
        <f>"-30.81%"</f>
        <v>-30.81%</v>
      </c>
      <c r="S1256" s="14" t="s">
        <v>724</v>
      </c>
    </row>
    <row r="1257">
      <c r="A1257" s="13">
        <v>45901.0</v>
      </c>
      <c r="B1257" s="14" t="s">
        <v>47</v>
      </c>
      <c r="C1257" s="14" t="s">
        <v>48</v>
      </c>
      <c r="D1257" s="14" t="s">
        <v>177</v>
      </c>
      <c r="E1257" s="14" t="s">
        <v>178</v>
      </c>
      <c r="F1257" s="14" t="s">
        <v>146</v>
      </c>
      <c r="G1257" s="14" t="s">
        <v>179</v>
      </c>
      <c r="H1257" s="14" t="s">
        <v>177</v>
      </c>
      <c r="I1257" s="14" t="s">
        <v>107</v>
      </c>
      <c r="J1257" s="14" t="s">
        <v>199</v>
      </c>
      <c r="K1257" s="14" t="s">
        <v>206</v>
      </c>
      <c r="L1257" s="14" t="s">
        <v>295</v>
      </c>
      <c r="M1257" s="14" t="s">
        <v>529</v>
      </c>
      <c r="N1257" s="14" t="s">
        <v>530</v>
      </c>
      <c r="O1257" s="14">
        <v>0.0</v>
      </c>
      <c r="P1257" s="21">
        <v>0.0</v>
      </c>
      <c r="Q1257" s="22" t="str">
        <f t="shared" ref="Q1257:R1257" si="745">"+0"</f>
        <v>+0</v>
      </c>
      <c r="R1257" s="18" t="str">
        <f t="shared" si="745"/>
        <v>+0</v>
      </c>
      <c r="S1257" s="14" t="s">
        <v>260</v>
      </c>
    </row>
    <row r="1258">
      <c r="A1258" s="13">
        <v>45901.0</v>
      </c>
      <c r="B1258" s="14" t="s">
        <v>47</v>
      </c>
      <c r="C1258" s="14" t="s">
        <v>48</v>
      </c>
      <c r="D1258" s="14" t="s">
        <v>91</v>
      </c>
      <c r="E1258" s="14" t="s">
        <v>92</v>
      </c>
      <c r="F1258" s="14" t="s">
        <v>79</v>
      </c>
      <c r="G1258" s="14" t="s">
        <v>164</v>
      </c>
      <c r="H1258" s="14" t="s">
        <v>91</v>
      </c>
      <c r="I1258" s="14" t="s">
        <v>154</v>
      </c>
      <c r="J1258" s="14" t="s">
        <v>200</v>
      </c>
      <c r="K1258" s="14" t="s">
        <v>237</v>
      </c>
      <c r="L1258" s="14" t="s">
        <v>333</v>
      </c>
      <c r="M1258" s="14" t="s">
        <v>1373</v>
      </c>
      <c r="N1258" s="14" t="s">
        <v>1374</v>
      </c>
      <c r="O1258" s="14">
        <v>0.0</v>
      </c>
      <c r="P1258" s="23">
        <v>-1.0</v>
      </c>
      <c r="Q1258" s="22" t="str">
        <f t="shared" ref="Q1258:R1258" si="746">"+0.00%"</f>
        <v>+0.00%</v>
      </c>
      <c r="R1258" s="18" t="str">
        <f t="shared" si="746"/>
        <v>+0.00%</v>
      </c>
      <c r="S1258" s="14" t="s">
        <v>336</v>
      </c>
    </row>
    <row r="1259">
      <c r="A1259" s="13">
        <v>45901.0</v>
      </c>
      <c r="B1259" s="14" t="s">
        <v>47</v>
      </c>
      <c r="C1259" s="14" t="s">
        <v>48</v>
      </c>
      <c r="D1259" s="14" t="s">
        <v>184</v>
      </c>
      <c r="E1259" s="14" t="s">
        <v>185</v>
      </c>
      <c r="F1259" s="15" t="s">
        <v>51</v>
      </c>
      <c r="G1259" s="14" t="s">
        <v>186</v>
      </c>
      <c r="H1259" s="14" t="s">
        <v>187</v>
      </c>
      <c r="I1259" s="14" t="s">
        <v>59</v>
      </c>
      <c r="J1259" s="14" t="s">
        <v>198</v>
      </c>
      <c r="K1259" s="14" t="s">
        <v>210</v>
      </c>
      <c r="L1259" s="14" t="s">
        <v>264</v>
      </c>
      <c r="M1259" s="14" t="s">
        <v>357</v>
      </c>
      <c r="N1259" s="14" t="s">
        <v>358</v>
      </c>
      <c r="O1259" s="14">
        <v>100.0</v>
      </c>
      <c r="P1259" s="21">
        <v>0.0</v>
      </c>
      <c r="Q1259" s="22" t="str">
        <f t="shared" ref="Q1259:R1259" si="747">"+0"</f>
        <v>+0</v>
      </c>
      <c r="R1259" s="18" t="str">
        <f t="shared" si="747"/>
        <v>+0</v>
      </c>
      <c r="S1259" s="14" t="s">
        <v>281</v>
      </c>
    </row>
    <row r="1260">
      <c r="A1260" s="13">
        <v>45901.0</v>
      </c>
      <c r="B1260" s="14" t="s">
        <v>47</v>
      </c>
      <c r="C1260" s="14" t="s">
        <v>48</v>
      </c>
      <c r="D1260" s="14" t="s">
        <v>66</v>
      </c>
      <c r="E1260" s="14" t="s">
        <v>67</v>
      </c>
      <c r="F1260" s="15" t="s">
        <v>51</v>
      </c>
      <c r="G1260" s="14" t="s">
        <v>68</v>
      </c>
      <c r="H1260" s="14" t="s">
        <v>66</v>
      </c>
      <c r="I1260" s="14" t="s">
        <v>59</v>
      </c>
      <c r="J1260" s="14" t="s">
        <v>199</v>
      </c>
      <c r="K1260" s="14" t="s">
        <v>206</v>
      </c>
      <c r="L1260" s="14" t="s">
        <v>531</v>
      </c>
      <c r="M1260" s="14" t="s">
        <v>531</v>
      </c>
      <c r="N1260" s="14" t="s">
        <v>532</v>
      </c>
      <c r="O1260" s="14">
        <v>0.0</v>
      </c>
      <c r="P1260" s="21">
        <v>0.0</v>
      </c>
      <c r="Q1260" s="22" t="str">
        <f t="shared" ref="Q1260:R1260" si="748">"+0"</f>
        <v>+0</v>
      </c>
      <c r="R1260" s="18" t="str">
        <f t="shared" si="748"/>
        <v>+0</v>
      </c>
      <c r="S1260" s="14" t="s">
        <v>260</v>
      </c>
    </row>
    <row r="1261">
      <c r="A1261" s="13">
        <v>45901.0</v>
      </c>
      <c r="B1261" s="14" t="s">
        <v>47</v>
      </c>
      <c r="C1261" s="14" t="s">
        <v>48</v>
      </c>
      <c r="D1261" s="14" t="s">
        <v>192</v>
      </c>
      <c r="E1261" s="14" t="s">
        <v>193</v>
      </c>
      <c r="F1261" s="15" t="s">
        <v>51</v>
      </c>
      <c r="G1261" s="14" t="s">
        <v>194</v>
      </c>
      <c r="H1261" s="14" t="s">
        <v>192</v>
      </c>
      <c r="I1261" s="14" t="s">
        <v>54</v>
      </c>
      <c r="J1261" s="14" t="s">
        <v>200</v>
      </c>
      <c r="K1261" s="14" t="s">
        <v>223</v>
      </c>
      <c r="L1261" s="14" t="s">
        <v>289</v>
      </c>
      <c r="M1261" s="14" t="s">
        <v>684</v>
      </c>
      <c r="N1261" s="14" t="s">
        <v>685</v>
      </c>
      <c r="O1261" s="14">
        <v>0.0</v>
      </c>
      <c r="P1261" s="23">
        <v>0.0</v>
      </c>
      <c r="Q1261" s="22" t="str">
        <f t="shared" ref="Q1261:R1261" si="749">"+0.00%"</f>
        <v>+0.00%</v>
      </c>
      <c r="R1261" s="18" t="str">
        <f t="shared" si="749"/>
        <v>+0.00%</v>
      </c>
      <c r="S1261" s="14" t="s">
        <v>285</v>
      </c>
    </row>
    <row r="1262">
      <c r="A1262" s="13">
        <v>45901.0</v>
      </c>
      <c r="B1262" s="14" t="s">
        <v>47</v>
      </c>
      <c r="C1262" s="14" t="s">
        <v>48</v>
      </c>
      <c r="D1262" s="14" t="s">
        <v>132</v>
      </c>
      <c r="E1262" s="14" t="s">
        <v>133</v>
      </c>
      <c r="F1262" s="15" t="s">
        <v>51</v>
      </c>
      <c r="G1262" s="14" t="s">
        <v>134</v>
      </c>
      <c r="H1262" s="14" t="s">
        <v>135</v>
      </c>
      <c r="I1262" s="14" t="s">
        <v>59</v>
      </c>
      <c r="J1262" s="14" t="s">
        <v>198</v>
      </c>
      <c r="K1262" s="14" t="s">
        <v>210</v>
      </c>
      <c r="L1262" s="14" t="s">
        <v>264</v>
      </c>
      <c r="M1262" s="14" t="s">
        <v>407</v>
      </c>
      <c r="N1262" s="14" t="s">
        <v>408</v>
      </c>
      <c r="O1262" s="14">
        <v>100.0</v>
      </c>
      <c r="P1262" s="21">
        <v>0.0</v>
      </c>
      <c r="Q1262" s="22" t="str">
        <f t="shared" ref="Q1262:R1262" si="750">"+0"</f>
        <v>+0</v>
      </c>
      <c r="R1262" s="18" t="str">
        <f t="shared" si="750"/>
        <v>+0</v>
      </c>
      <c r="S1262" s="14" t="s">
        <v>281</v>
      </c>
    </row>
    <row r="1263">
      <c r="A1263" s="13">
        <v>45901.0</v>
      </c>
      <c r="B1263" s="14" t="s">
        <v>47</v>
      </c>
      <c r="C1263" s="14" t="s">
        <v>48</v>
      </c>
      <c r="D1263" s="14" t="s">
        <v>143</v>
      </c>
      <c r="E1263" s="14" t="s">
        <v>144</v>
      </c>
      <c r="F1263" s="15" t="s">
        <v>51</v>
      </c>
      <c r="G1263" s="14" t="s">
        <v>145</v>
      </c>
      <c r="H1263" s="14" t="s">
        <v>143</v>
      </c>
      <c r="I1263" s="14" t="s">
        <v>59</v>
      </c>
      <c r="J1263" s="14" t="s">
        <v>200</v>
      </c>
      <c r="K1263" s="14" t="s">
        <v>224</v>
      </c>
      <c r="L1263" s="14" t="s">
        <v>253</v>
      </c>
      <c r="M1263" s="14" t="s">
        <v>1224</v>
      </c>
      <c r="N1263" s="14" t="s">
        <v>1225</v>
      </c>
      <c r="O1263" s="14">
        <v>5.0</v>
      </c>
      <c r="P1263" s="23">
        <v>0.0526</v>
      </c>
      <c r="Q1263" s="22" t="str">
        <f>"+0.00%"</f>
        <v>+0.00%</v>
      </c>
      <c r="R1263" s="18" t="str">
        <f>"+5.26%"</f>
        <v>+5.26%</v>
      </c>
      <c r="S1263" s="14" t="s">
        <v>1375</v>
      </c>
    </row>
    <row r="1264">
      <c r="A1264" s="13">
        <v>45901.0</v>
      </c>
      <c r="B1264" s="14" t="s">
        <v>47</v>
      </c>
      <c r="C1264" s="14" t="s">
        <v>48</v>
      </c>
      <c r="D1264" s="14" t="s">
        <v>87</v>
      </c>
      <c r="E1264" s="14" t="s">
        <v>88</v>
      </c>
      <c r="F1264" s="15" t="s">
        <v>51</v>
      </c>
      <c r="G1264" s="14" t="s">
        <v>89</v>
      </c>
      <c r="H1264" s="14" t="s">
        <v>90</v>
      </c>
      <c r="I1264" s="14" t="s">
        <v>59</v>
      </c>
      <c r="J1264" s="14" t="s">
        <v>200</v>
      </c>
      <c r="K1264" s="14" t="s">
        <v>246</v>
      </c>
      <c r="L1264" s="14" t="s">
        <v>292</v>
      </c>
      <c r="M1264" s="14" t="s">
        <v>1376</v>
      </c>
      <c r="N1264" s="14" t="s">
        <v>1377</v>
      </c>
      <c r="O1264" s="14">
        <v>0.0</v>
      </c>
      <c r="P1264" s="21">
        <v>0.0</v>
      </c>
      <c r="Q1264" s="22" t="str">
        <f t="shared" ref="Q1264:R1264" si="751">"+0"</f>
        <v>+0</v>
      </c>
      <c r="R1264" s="18" t="str">
        <f t="shared" si="751"/>
        <v>+0</v>
      </c>
      <c r="S1264" s="14" t="s">
        <v>260</v>
      </c>
    </row>
    <row r="1265">
      <c r="A1265" s="13">
        <v>45901.0</v>
      </c>
      <c r="B1265" s="14" t="s">
        <v>47</v>
      </c>
      <c r="C1265" s="14" t="s">
        <v>48</v>
      </c>
      <c r="D1265" s="14" t="s">
        <v>87</v>
      </c>
      <c r="E1265" s="14" t="s">
        <v>88</v>
      </c>
      <c r="F1265" s="15" t="s">
        <v>51</v>
      </c>
      <c r="G1265" s="14" t="s">
        <v>89</v>
      </c>
      <c r="H1265" s="14" t="s">
        <v>90</v>
      </c>
      <c r="I1265" s="14" t="s">
        <v>59</v>
      </c>
      <c r="J1265" s="14" t="s">
        <v>200</v>
      </c>
      <c r="K1265" s="14" t="s">
        <v>223</v>
      </c>
      <c r="L1265" s="14" t="s">
        <v>487</v>
      </c>
      <c r="M1265" s="14" t="s">
        <v>962</v>
      </c>
      <c r="N1265" s="14" t="s">
        <v>963</v>
      </c>
      <c r="O1265" s="14">
        <v>0.0</v>
      </c>
      <c r="P1265" s="23">
        <v>0.0</v>
      </c>
      <c r="Q1265" s="22" t="str">
        <f t="shared" ref="Q1265:R1265" si="752">"+0.00%"</f>
        <v>+0.00%</v>
      </c>
      <c r="R1265" s="18" t="str">
        <f t="shared" si="752"/>
        <v>+0.00%</v>
      </c>
      <c r="S1265" s="14" t="s">
        <v>285</v>
      </c>
    </row>
    <row r="1266">
      <c r="A1266" s="13">
        <v>45901.0</v>
      </c>
      <c r="B1266" s="14" t="s">
        <v>47</v>
      </c>
      <c r="C1266" s="14" t="s">
        <v>48</v>
      </c>
      <c r="D1266" s="14" t="s">
        <v>136</v>
      </c>
      <c r="E1266" s="14" t="s">
        <v>137</v>
      </c>
      <c r="F1266" s="15" t="s">
        <v>51</v>
      </c>
      <c r="G1266" s="14" t="s">
        <v>138</v>
      </c>
      <c r="H1266" s="14" t="s">
        <v>139</v>
      </c>
      <c r="I1266" s="14" t="s">
        <v>59</v>
      </c>
      <c r="J1266" s="14" t="s">
        <v>200</v>
      </c>
      <c r="K1266" s="14" t="s">
        <v>209</v>
      </c>
      <c r="L1266" s="14" t="s">
        <v>253</v>
      </c>
      <c r="M1266" s="14" t="s">
        <v>402</v>
      </c>
      <c r="N1266" s="14" t="s">
        <v>403</v>
      </c>
      <c r="O1266" s="14">
        <v>100.0</v>
      </c>
      <c r="P1266" s="23">
        <v>1.0</v>
      </c>
      <c r="Q1266" s="22" t="str">
        <f>"+0.00%"</f>
        <v>+0.00%</v>
      </c>
      <c r="R1266" s="18" t="str">
        <f>"+3.37%"</f>
        <v>+3.37%</v>
      </c>
      <c r="S1266" s="14" t="s">
        <v>1378</v>
      </c>
    </row>
    <row r="1267">
      <c r="A1267" s="13">
        <v>45901.0</v>
      </c>
      <c r="B1267" s="14" t="s">
        <v>47</v>
      </c>
      <c r="C1267" s="14" t="s">
        <v>48</v>
      </c>
      <c r="D1267" s="14" t="s">
        <v>171</v>
      </c>
      <c r="E1267" s="14" t="s">
        <v>172</v>
      </c>
      <c r="F1267" s="15" t="s">
        <v>51</v>
      </c>
      <c r="G1267" s="14" t="s">
        <v>173</v>
      </c>
      <c r="H1267" s="14" t="s">
        <v>171</v>
      </c>
      <c r="I1267" s="14" t="s">
        <v>59</v>
      </c>
      <c r="J1267" s="14" t="s">
        <v>199</v>
      </c>
      <c r="K1267" s="14" t="s">
        <v>206</v>
      </c>
      <c r="L1267" s="14" t="s">
        <v>381</v>
      </c>
      <c r="M1267" s="14" t="s">
        <v>381</v>
      </c>
      <c r="N1267" s="14" t="s">
        <v>382</v>
      </c>
      <c r="O1267" s="14">
        <v>0.0</v>
      </c>
      <c r="P1267" s="21">
        <v>0.0</v>
      </c>
      <c r="Q1267" s="22" t="str">
        <f t="shared" ref="Q1267:R1267" si="753">"+0"</f>
        <v>+0</v>
      </c>
      <c r="R1267" s="18" t="str">
        <f t="shared" si="753"/>
        <v>+0</v>
      </c>
      <c r="S1267" s="14" t="s">
        <v>383</v>
      </c>
    </row>
    <row r="1268">
      <c r="A1268" s="13">
        <v>45901.0</v>
      </c>
      <c r="B1268" s="14" t="s">
        <v>47</v>
      </c>
      <c r="C1268" s="14" t="s">
        <v>48</v>
      </c>
      <c r="D1268" s="14" t="s">
        <v>87</v>
      </c>
      <c r="E1268" s="14" t="s">
        <v>88</v>
      </c>
      <c r="F1268" s="15" t="s">
        <v>51</v>
      </c>
      <c r="G1268" s="14" t="s">
        <v>89</v>
      </c>
      <c r="H1268" s="14" t="s">
        <v>90</v>
      </c>
      <c r="I1268" s="14" t="s">
        <v>59</v>
      </c>
      <c r="J1268" s="14" t="s">
        <v>200</v>
      </c>
      <c r="K1268" s="14" t="s">
        <v>246</v>
      </c>
      <c r="L1268" s="14" t="s">
        <v>614</v>
      </c>
      <c r="M1268" s="14" t="s">
        <v>1379</v>
      </c>
      <c r="N1268" s="14" t="s">
        <v>1380</v>
      </c>
      <c r="O1268" s="14">
        <v>0.0</v>
      </c>
      <c r="P1268" s="21">
        <v>0.0</v>
      </c>
      <c r="Q1268" s="22" t="str">
        <f t="shared" ref="Q1268:R1268" si="754">"+0"</f>
        <v>+0</v>
      </c>
      <c r="R1268" s="18" t="str">
        <f t="shared" si="754"/>
        <v>+0</v>
      </c>
      <c r="S1268" s="14" t="s">
        <v>260</v>
      </c>
    </row>
    <row r="1269">
      <c r="A1269" s="13">
        <v>45901.0</v>
      </c>
      <c r="B1269" s="14" t="s">
        <v>47</v>
      </c>
      <c r="C1269" s="14" t="s">
        <v>48</v>
      </c>
      <c r="D1269" s="14" t="s">
        <v>125</v>
      </c>
      <c r="E1269" s="14" t="s">
        <v>126</v>
      </c>
      <c r="F1269" s="15" t="s">
        <v>51</v>
      </c>
      <c r="G1269" s="14" t="s">
        <v>127</v>
      </c>
      <c r="H1269" s="14" t="s">
        <v>125</v>
      </c>
      <c r="I1269" s="14" t="s">
        <v>59</v>
      </c>
      <c r="J1269" s="14" t="s">
        <v>198</v>
      </c>
      <c r="K1269" s="14" t="s">
        <v>210</v>
      </c>
      <c r="L1269" s="14" t="s">
        <v>458</v>
      </c>
      <c r="M1269" s="14" t="s">
        <v>459</v>
      </c>
      <c r="N1269" s="14" t="s">
        <v>460</v>
      </c>
      <c r="O1269" s="14">
        <v>100.0</v>
      </c>
      <c r="P1269" s="21">
        <v>0.0</v>
      </c>
      <c r="Q1269" s="22" t="str">
        <f t="shared" ref="Q1269:R1269" si="755">"+0"</f>
        <v>+0</v>
      </c>
      <c r="R1269" s="18" t="str">
        <f t="shared" si="755"/>
        <v>+0</v>
      </c>
      <c r="S1269" s="14" t="s">
        <v>281</v>
      </c>
    </row>
    <row r="1270">
      <c r="A1270" s="13">
        <v>45901.0</v>
      </c>
      <c r="B1270" s="14" t="s">
        <v>47</v>
      </c>
      <c r="C1270" s="14" t="s">
        <v>48</v>
      </c>
      <c r="D1270" s="14" t="s">
        <v>69</v>
      </c>
      <c r="E1270" s="14" t="s">
        <v>70</v>
      </c>
      <c r="F1270" s="15" t="s">
        <v>51</v>
      </c>
      <c r="G1270" s="14" t="s">
        <v>115</v>
      </c>
      <c r="H1270" s="14" t="s">
        <v>72</v>
      </c>
      <c r="I1270" s="14" t="s">
        <v>54</v>
      </c>
      <c r="J1270" s="14" t="s">
        <v>200</v>
      </c>
      <c r="K1270" s="14" t="s">
        <v>211</v>
      </c>
      <c r="L1270" s="14" t="s">
        <v>253</v>
      </c>
      <c r="M1270" s="14" t="s">
        <v>1381</v>
      </c>
      <c r="N1270" s="14" t="s">
        <v>1382</v>
      </c>
      <c r="O1270" s="14">
        <v>12.0</v>
      </c>
      <c r="P1270" s="23">
        <v>0.1213</v>
      </c>
      <c r="Q1270" s="22" t="str">
        <f>"-4.58%"</f>
        <v>-4.58%</v>
      </c>
      <c r="R1270" s="18" t="str">
        <f>"-9.13%"</f>
        <v>-9.13%</v>
      </c>
      <c r="S1270" s="14" t="s">
        <v>371</v>
      </c>
    </row>
    <row r="1271">
      <c r="A1271" s="13">
        <v>45901.0</v>
      </c>
      <c r="B1271" s="14" t="s">
        <v>47</v>
      </c>
      <c r="C1271" s="14" t="s">
        <v>48</v>
      </c>
      <c r="D1271" s="14" t="s">
        <v>108</v>
      </c>
      <c r="E1271" s="14" t="s">
        <v>109</v>
      </c>
      <c r="F1271" s="15" t="s">
        <v>51</v>
      </c>
      <c r="G1271" s="14" t="s">
        <v>110</v>
      </c>
      <c r="H1271" s="14" t="s">
        <v>108</v>
      </c>
      <c r="I1271" s="14" t="s">
        <v>59</v>
      </c>
      <c r="J1271" s="14" t="s">
        <v>200</v>
      </c>
      <c r="K1271" s="14" t="s">
        <v>214</v>
      </c>
      <c r="L1271" s="14" t="s">
        <v>253</v>
      </c>
      <c r="M1271" s="14" t="s">
        <v>366</v>
      </c>
      <c r="N1271" s="14" t="s">
        <v>367</v>
      </c>
      <c r="O1271" s="14">
        <v>0.0</v>
      </c>
      <c r="P1271" s="23">
        <v>0.0</v>
      </c>
      <c r="Q1271" s="22" t="str">
        <f t="shared" ref="Q1271:R1271" si="756">"+0.00%"</f>
        <v>+0.00%</v>
      </c>
      <c r="R1271" s="18" t="str">
        <f t="shared" si="756"/>
        <v>+0.00%</v>
      </c>
      <c r="S1271" s="14" t="s">
        <v>1383</v>
      </c>
    </row>
    <row r="1272">
      <c r="A1272" s="13">
        <v>45901.0</v>
      </c>
      <c r="B1272" s="14" t="s">
        <v>47</v>
      </c>
      <c r="C1272" s="14" t="s">
        <v>48</v>
      </c>
      <c r="D1272" s="14" t="s">
        <v>116</v>
      </c>
      <c r="E1272" s="14" t="s">
        <v>117</v>
      </c>
      <c r="F1272" s="15" t="s">
        <v>51</v>
      </c>
      <c r="G1272" s="14" t="s">
        <v>161</v>
      </c>
      <c r="H1272" s="14" t="s">
        <v>116</v>
      </c>
      <c r="I1272" s="14" t="s">
        <v>54</v>
      </c>
      <c r="J1272" s="14" t="s">
        <v>198</v>
      </c>
      <c r="K1272" s="14" t="s">
        <v>210</v>
      </c>
      <c r="L1272" s="14" t="s">
        <v>505</v>
      </c>
      <c r="M1272" s="14" t="s">
        <v>831</v>
      </c>
      <c r="N1272" s="14" t="s">
        <v>832</v>
      </c>
      <c r="O1272" s="14">
        <v>0.0</v>
      </c>
      <c r="P1272" s="21">
        <v>0.0</v>
      </c>
      <c r="Q1272" s="22" t="str">
        <f t="shared" ref="Q1272:R1272" si="757">"+0"</f>
        <v>+0</v>
      </c>
      <c r="R1272" s="18" t="str">
        <f t="shared" si="757"/>
        <v>+0</v>
      </c>
      <c r="S1272" s="14" t="s">
        <v>277</v>
      </c>
    </row>
    <row r="1273">
      <c r="A1273" s="13">
        <v>45901.0</v>
      </c>
      <c r="B1273" s="14" t="s">
        <v>47</v>
      </c>
      <c r="C1273" s="14" t="s">
        <v>48</v>
      </c>
      <c r="D1273" s="14" t="s">
        <v>77</v>
      </c>
      <c r="E1273" s="14" t="s">
        <v>78</v>
      </c>
      <c r="F1273" s="14" t="s">
        <v>71</v>
      </c>
      <c r="G1273" s="14">
        <v>5.36009043E8</v>
      </c>
      <c r="H1273" s="14" t="s">
        <v>81</v>
      </c>
      <c r="J1273" s="14" t="s">
        <v>199</v>
      </c>
      <c r="K1273" s="14" t="s">
        <v>206</v>
      </c>
      <c r="L1273" s="14" t="s">
        <v>295</v>
      </c>
      <c r="M1273" s="14" t="s">
        <v>296</v>
      </c>
      <c r="N1273" s="14" t="s">
        <v>297</v>
      </c>
      <c r="O1273" s="14">
        <v>0.0</v>
      </c>
      <c r="P1273" s="21">
        <v>0.0</v>
      </c>
      <c r="Q1273" s="22" t="str">
        <f t="shared" ref="Q1273:Q1276" si="758">"+0"</f>
        <v>+0</v>
      </c>
      <c r="S1273" s="14" t="s">
        <v>260</v>
      </c>
    </row>
    <row r="1274">
      <c r="A1274" s="13">
        <v>45901.0</v>
      </c>
      <c r="B1274" s="14" t="s">
        <v>47</v>
      </c>
      <c r="C1274" s="14" t="s">
        <v>48</v>
      </c>
      <c r="D1274" s="14" t="s">
        <v>77</v>
      </c>
      <c r="E1274" s="14" t="s">
        <v>78</v>
      </c>
      <c r="F1274" s="15" t="s">
        <v>51</v>
      </c>
      <c r="G1274" s="14" t="s">
        <v>128</v>
      </c>
      <c r="H1274" s="14" t="s">
        <v>81</v>
      </c>
      <c r="I1274" s="14" t="s">
        <v>59</v>
      </c>
      <c r="J1274" s="14" t="s">
        <v>198</v>
      </c>
      <c r="K1274" s="14" t="s">
        <v>205</v>
      </c>
      <c r="L1274" s="14" t="s">
        <v>274</v>
      </c>
      <c r="M1274" s="14" t="s">
        <v>425</v>
      </c>
      <c r="N1274" s="14" t="s">
        <v>426</v>
      </c>
      <c r="O1274" s="14">
        <v>0.0</v>
      </c>
      <c r="P1274" s="21">
        <v>0.0</v>
      </c>
      <c r="Q1274" s="22" t="str">
        <f t="shared" si="758"/>
        <v>+0</v>
      </c>
      <c r="S1274" s="14" t="s">
        <v>281</v>
      </c>
    </row>
    <row r="1275">
      <c r="A1275" s="13">
        <v>45901.0</v>
      </c>
      <c r="B1275" s="14" t="s">
        <v>47</v>
      </c>
      <c r="C1275" s="14" t="s">
        <v>48</v>
      </c>
      <c r="D1275" s="14" t="s">
        <v>108</v>
      </c>
      <c r="E1275" s="14" t="s">
        <v>109</v>
      </c>
      <c r="F1275" s="15" t="s">
        <v>51</v>
      </c>
      <c r="G1275" s="14" t="s">
        <v>110</v>
      </c>
      <c r="H1275" s="14" t="s">
        <v>108</v>
      </c>
      <c r="I1275" s="14" t="s">
        <v>59</v>
      </c>
      <c r="J1275" s="14" t="s">
        <v>198</v>
      </c>
      <c r="K1275" s="14" t="s">
        <v>210</v>
      </c>
      <c r="L1275" s="14" t="s">
        <v>264</v>
      </c>
      <c r="M1275" s="14" t="s">
        <v>524</v>
      </c>
      <c r="N1275" s="14" t="s">
        <v>525</v>
      </c>
      <c r="O1275" s="14">
        <v>100.0</v>
      </c>
      <c r="P1275" s="21">
        <v>0.0</v>
      </c>
      <c r="Q1275" s="22" t="str">
        <f t="shared" si="758"/>
        <v>+0</v>
      </c>
      <c r="R1275" s="18" t="str">
        <f t="shared" ref="R1275:R1276" si="759">"+0"</f>
        <v>+0</v>
      </c>
      <c r="S1275" s="14" t="s">
        <v>281</v>
      </c>
    </row>
    <row r="1276">
      <c r="A1276" s="13">
        <v>45901.0</v>
      </c>
      <c r="B1276" s="14" t="s">
        <v>47</v>
      </c>
      <c r="C1276" s="14" t="s">
        <v>48</v>
      </c>
      <c r="D1276" s="14" t="s">
        <v>60</v>
      </c>
      <c r="E1276" s="14" t="s">
        <v>61</v>
      </c>
      <c r="F1276" s="15" t="s">
        <v>51</v>
      </c>
      <c r="G1276" s="14" t="s">
        <v>62</v>
      </c>
      <c r="H1276" s="14" t="s">
        <v>60</v>
      </c>
      <c r="I1276" s="14" t="s">
        <v>59</v>
      </c>
      <c r="J1276" s="14" t="s">
        <v>200</v>
      </c>
      <c r="K1276" s="14" t="s">
        <v>223</v>
      </c>
      <c r="L1276" s="14" t="s">
        <v>282</v>
      </c>
      <c r="M1276" s="14" t="s">
        <v>914</v>
      </c>
      <c r="N1276" s="14" t="s">
        <v>915</v>
      </c>
      <c r="O1276" s="14">
        <v>0.0</v>
      </c>
      <c r="P1276" s="21">
        <v>0.0</v>
      </c>
      <c r="Q1276" s="22" t="str">
        <f t="shared" si="758"/>
        <v>+0</v>
      </c>
      <c r="R1276" s="18" t="str">
        <f t="shared" si="759"/>
        <v>+0</v>
      </c>
      <c r="S1276" s="14" t="s">
        <v>260</v>
      </c>
    </row>
    <row r="1277">
      <c r="A1277" s="13">
        <v>45901.0</v>
      </c>
      <c r="B1277" s="14" t="s">
        <v>47</v>
      </c>
      <c r="C1277" s="14" t="s">
        <v>48</v>
      </c>
      <c r="D1277" s="14" t="s">
        <v>140</v>
      </c>
      <c r="E1277" s="14" t="s">
        <v>141</v>
      </c>
      <c r="F1277" s="15" t="s">
        <v>51</v>
      </c>
      <c r="G1277" s="14" t="s">
        <v>142</v>
      </c>
      <c r="H1277" s="14" t="s">
        <v>140</v>
      </c>
      <c r="I1277" s="14" t="s">
        <v>59</v>
      </c>
      <c r="J1277" s="14" t="s">
        <v>200</v>
      </c>
      <c r="K1277" s="14" t="s">
        <v>213</v>
      </c>
      <c r="L1277" s="14" t="s">
        <v>307</v>
      </c>
      <c r="M1277" s="14" t="s">
        <v>561</v>
      </c>
      <c r="N1277" s="14" t="s">
        <v>562</v>
      </c>
      <c r="O1277" s="14">
        <v>0.0</v>
      </c>
      <c r="P1277" s="23">
        <v>0.0</v>
      </c>
      <c r="Q1277" s="22" t="str">
        <f t="shared" ref="Q1277:R1277" si="760">"+0.00%"</f>
        <v>+0.00%</v>
      </c>
      <c r="R1277" s="18" t="str">
        <f t="shared" si="760"/>
        <v>+0.00%</v>
      </c>
      <c r="S1277" s="14" t="s">
        <v>285</v>
      </c>
    </row>
    <row r="1278">
      <c r="A1278" s="13">
        <v>45901.0</v>
      </c>
      <c r="B1278" s="14" t="s">
        <v>47</v>
      </c>
      <c r="C1278" s="14" t="s">
        <v>48</v>
      </c>
      <c r="D1278" s="14" t="s">
        <v>49</v>
      </c>
      <c r="E1278" s="14" t="s">
        <v>50</v>
      </c>
      <c r="F1278" s="15" t="s">
        <v>51</v>
      </c>
      <c r="G1278" s="14" t="s">
        <v>52</v>
      </c>
      <c r="H1278" s="14" t="s">
        <v>53</v>
      </c>
      <c r="I1278" s="14" t="s">
        <v>54</v>
      </c>
      <c r="J1278" s="14" t="s">
        <v>200</v>
      </c>
      <c r="K1278" s="14" t="s">
        <v>224</v>
      </c>
      <c r="L1278" s="14" t="s">
        <v>964</v>
      </c>
      <c r="M1278" s="14" t="s">
        <v>1288</v>
      </c>
      <c r="N1278" s="14" t="s">
        <v>1289</v>
      </c>
      <c r="O1278" s="14">
        <v>0.0</v>
      </c>
      <c r="P1278" s="23">
        <v>0.0</v>
      </c>
      <c r="Q1278" s="22" t="str">
        <f t="shared" ref="Q1278:R1278" si="761">"+0.00%"</f>
        <v>+0.00%</v>
      </c>
      <c r="R1278" s="18" t="str">
        <f t="shared" si="761"/>
        <v>+0.00%</v>
      </c>
      <c r="S1278" s="14" t="s">
        <v>1384</v>
      </c>
    </row>
    <row r="1279">
      <c r="A1279" s="13">
        <v>45901.0</v>
      </c>
      <c r="B1279" s="14" t="s">
        <v>47</v>
      </c>
      <c r="C1279" s="14" t="s">
        <v>48</v>
      </c>
      <c r="D1279" s="14" t="s">
        <v>165</v>
      </c>
      <c r="E1279" s="14" t="s">
        <v>166</v>
      </c>
      <c r="F1279" s="15" t="s">
        <v>51</v>
      </c>
      <c r="G1279" s="14" t="s">
        <v>167</v>
      </c>
      <c r="H1279" s="14" t="s">
        <v>165</v>
      </c>
      <c r="I1279" s="14" t="s">
        <v>54</v>
      </c>
      <c r="J1279" s="14" t="s">
        <v>198</v>
      </c>
      <c r="K1279" s="14" t="s">
        <v>212</v>
      </c>
      <c r="L1279" s="14" t="s">
        <v>249</v>
      </c>
      <c r="M1279" s="14" t="s">
        <v>250</v>
      </c>
      <c r="N1279" s="14" t="s">
        <v>251</v>
      </c>
      <c r="O1279" s="14">
        <v>0.0</v>
      </c>
      <c r="P1279" s="21">
        <v>1.16690466E8</v>
      </c>
      <c r="Q1279" s="22" t="str">
        <f>"+17,374,545"</f>
        <v>+17,374,545</v>
      </c>
      <c r="R1279" s="18" t="str">
        <f>"-101,483,723"</f>
        <v>-101,483,723</v>
      </c>
      <c r="S1279" s="14" t="s">
        <v>1385</v>
      </c>
    </row>
    <row r="1280">
      <c r="A1280" s="13">
        <v>45901.0</v>
      </c>
      <c r="B1280" s="14" t="s">
        <v>47</v>
      </c>
      <c r="C1280" s="14" t="s">
        <v>48</v>
      </c>
      <c r="D1280" s="14" t="s">
        <v>49</v>
      </c>
      <c r="E1280" s="14" t="s">
        <v>50</v>
      </c>
      <c r="F1280" s="15" t="s">
        <v>51</v>
      </c>
      <c r="G1280" s="14" t="s">
        <v>52</v>
      </c>
      <c r="H1280" s="14" t="s">
        <v>53</v>
      </c>
      <c r="I1280" s="14" t="s">
        <v>54</v>
      </c>
      <c r="J1280" s="14" t="s">
        <v>200</v>
      </c>
      <c r="K1280" s="14" t="s">
        <v>213</v>
      </c>
      <c r="L1280" s="14" t="s">
        <v>289</v>
      </c>
      <c r="M1280" s="14" t="s">
        <v>384</v>
      </c>
      <c r="N1280" s="14" t="s">
        <v>385</v>
      </c>
      <c r="O1280" s="14">
        <v>15.0</v>
      </c>
      <c r="P1280" s="23">
        <v>0.1516</v>
      </c>
      <c r="Q1280" s="22" t="str">
        <f>"+0.34%"</f>
        <v>+0.34%</v>
      </c>
      <c r="R1280" s="18" t="str">
        <f>"+0.19%"</f>
        <v>+0.19%</v>
      </c>
      <c r="S1280" s="14" t="s">
        <v>1314</v>
      </c>
    </row>
    <row r="1281">
      <c r="A1281" s="13">
        <v>45901.0</v>
      </c>
      <c r="B1281" s="14" t="s">
        <v>47</v>
      </c>
      <c r="C1281" s="14" t="s">
        <v>48</v>
      </c>
      <c r="D1281" s="14" t="s">
        <v>118</v>
      </c>
      <c r="E1281" s="14" t="s">
        <v>119</v>
      </c>
      <c r="F1281" s="15" t="s">
        <v>51</v>
      </c>
      <c r="G1281" s="14" t="s">
        <v>120</v>
      </c>
      <c r="H1281" s="14" t="s">
        <v>118</v>
      </c>
      <c r="I1281" s="14" t="s">
        <v>59</v>
      </c>
      <c r="J1281" s="14" t="s">
        <v>200</v>
      </c>
      <c r="K1281" s="14" t="s">
        <v>213</v>
      </c>
      <c r="L1281" s="14" t="s">
        <v>253</v>
      </c>
      <c r="M1281" s="14" t="s">
        <v>366</v>
      </c>
      <c r="N1281" s="14" t="s">
        <v>367</v>
      </c>
      <c r="O1281" s="14">
        <v>72.0</v>
      </c>
      <c r="P1281" s="23">
        <v>0.7233</v>
      </c>
      <c r="Q1281" s="22" t="str">
        <f>"+0.33%"</f>
        <v>+0.33%</v>
      </c>
      <c r="R1281" s="18" t="str">
        <f>"+1.00%"</f>
        <v>+1.00%</v>
      </c>
      <c r="S1281" s="14" t="s">
        <v>1386</v>
      </c>
    </row>
    <row r="1282">
      <c r="A1282" s="13">
        <v>45901.0</v>
      </c>
      <c r="B1282" s="14" t="s">
        <v>47</v>
      </c>
      <c r="C1282" s="14" t="s">
        <v>48</v>
      </c>
      <c r="D1282" s="14" t="s">
        <v>91</v>
      </c>
      <c r="E1282" s="14" t="s">
        <v>92</v>
      </c>
      <c r="F1282" s="14" t="s">
        <v>71</v>
      </c>
      <c r="G1282" s="14">
        <v>5.10000484E8</v>
      </c>
      <c r="H1282" s="14" t="s">
        <v>91</v>
      </c>
      <c r="I1282" s="14" t="s">
        <v>54</v>
      </c>
      <c r="J1282" s="14" t="s">
        <v>199</v>
      </c>
      <c r="K1282" s="14" t="s">
        <v>206</v>
      </c>
      <c r="L1282" s="14" t="s">
        <v>295</v>
      </c>
      <c r="M1282" s="14" t="s">
        <v>651</v>
      </c>
      <c r="N1282" s="14" t="s">
        <v>652</v>
      </c>
      <c r="O1282" s="14">
        <v>0.0</v>
      </c>
      <c r="P1282" s="21">
        <v>0.0</v>
      </c>
      <c r="Q1282" s="22" t="str">
        <f t="shared" ref="Q1282:R1282" si="762">"+0"</f>
        <v>+0</v>
      </c>
      <c r="R1282" s="18" t="str">
        <f t="shared" si="762"/>
        <v>+0</v>
      </c>
      <c r="S1282" s="14" t="s">
        <v>260</v>
      </c>
    </row>
    <row r="1283">
      <c r="A1283" s="13">
        <v>45901.0</v>
      </c>
      <c r="B1283" s="14" t="s">
        <v>47</v>
      </c>
      <c r="C1283" s="14" t="s">
        <v>48</v>
      </c>
      <c r="D1283" s="14" t="s">
        <v>118</v>
      </c>
      <c r="E1283" s="14" t="s">
        <v>119</v>
      </c>
      <c r="F1283" s="15" t="s">
        <v>51</v>
      </c>
      <c r="G1283" s="14" t="s">
        <v>120</v>
      </c>
      <c r="H1283" s="14" t="s">
        <v>118</v>
      </c>
      <c r="I1283" s="14" t="s">
        <v>59</v>
      </c>
      <c r="J1283" s="14" t="s">
        <v>200</v>
      </c>
      <c r="K1283" s="14" t="s">
        <v>213</v>
      </c>
      <c r="L1283" s="14" t="s">
        <v>307</v>
      </c>
      <c r="M1283" s="14" t="s">
        <v>502</v>
      </c>
      <c r="N1283" s="14" t="s">
        <v>503</v>
      </c>
      <c r="O1283" s="14">
        <v>0.0</v>
      </c>
      <c r="P1283" s="23">
        <v>0.0</v>
      </c>
      <c r="Q1283" s="22" t="str">
        <f t="shared" ref="Q1283:R1283" si="763">"+0.00%"</f>
        <v>+0.00%</v>
      </c>
      <c r="R1283" s="18" t="str">
        <f t="shared" si="763"/>
        <v>+0.00%</v>
      </c>
      <c r="S1283" s="14" t="s">
        <v>1387</v>
      </c>
    </row>
    <row r="1284">
      <c r="A1284" s="13">
        <v>45901.0</v>
      </c>
      <c r="B1284" s="14" t="s">
        <v>47</v>
      </c>
      <c r="C1284" s="14" t="s">
        <v>48</v>
      </c>
      <c r="D1284" s="14" t="s">
        <v>91</v>
      </c>
      <c r="E1284" s="14" t="s">
        <v>92</v>
      </c>
      <c r="F1284" s="14" t="s">
        <v>71</v>
      </c>
      <c r="G1284" s="14">
        <v>1.00005882E8</v>
      </c>
      <c r="H1284" s="14" t="s">
        <v>91</v>
      </c>
      <c r="I1284" s="14" t="s">
        <v>59</v>
      </c>
      <c r="J1284" s="14" t="s">
        <v>200</v>
      </c>
      <c r="K1284" s="14" t="s">
        <v>218</v>
      </c>
      <c r="L1284" s="14" t="s">
        <v>253</v>
      </c>
      <c r="M1284" s="14" t="s">
        <v>1388</v>
      </c>
      <c r="N1284" s="14" t="s">
        <v>1389</v>
      </c>
      <c r="O1284" s="14">
        <v>1.0</v>
      </c>
      <c r="P1284" s="23">
        <v>0.0033</v>
      </c>
      <c r="Q1284" s="22" t="str">
        <f>"+0.03%"</f>
        <v>+0.03%</v>
      </c>
      <c r="R1284" s="18" t="str">
        <f>"+0.02%"</f>
        <v>+0.02%</v>
      </c>
      <c r="S1284" s="14" t="s">
        <v>1390</v>
      </c>
    </row>
    <row r="1285">
      <c r="A1285" s="13">
        <v>45901.0</v>
      </c>
      <c r="B1285" s="14" t="s">
        <v>47</v>
      </c>
      <c r="C1285" s="14" t="s">
        <v>48</v>
      </c>
      <c r="D1285" s="14" t="s">
        <v>91</v>
      </c>
      <c r="E1285" s="14" t="s">
        <v>92</v>
      </c>
      <c r="F1285" s="14" t="s">
        <v>79</v>
      </c>
      <c r="G1285" s="14" t="s">
        <v>164</v>
      </c>
      <c r="H1285" s="14" t="s">
        <v>91</v>
      </c>
      <c r="I1285" s="14" t="s">
        <v>154</v>
      </c>
      <c r="J1285" s="14" t="s">
        <v>199</v>
      </c>
      <c r="K1285" s="14" t="s">
        <v>208</v>
      </c>
      <c r="L1285" s="14" t="s">
        <v>412</v>
      </c>
      <c r="M1285" s="14" t="s">
        <v>412</v>
      </c>
      <c r="N1285" s="14" t="s">
        <v>413</v>
      </c>
      <c r="O1285" s="14">
        <v>100.0</v>
      </c>
      <c r="P1285" s="21">
        <v>11.0</v>
      </c>
      <c r="Q1285" s="22" t="str">
        <f t="shared" ref="Q1285:R1285" si="764">"+0"</f>
        <v>+0</v>
      </c>
      <c r="R1285" s="18" t="str">
        <f t="shared" si="764"/>
        <v>+0</v>
      </c>
      <c r="S1285" s="14" t="s">
        <v>260</v>
      </c>
    </row>
    <row r="1286">
      <c r="A1286" s="13">
        <v>45901.0</v>
      </c>
      <c r="B1286" s="14" t="s">
        <v>47</v>
      </c>
      <c r="C1286" s="14" t="s">
        <v>48</v>
      </c>
      <c r="D1286" s="14" t="s">
        <v>91</v>
      </c>
      <c r="E1286" s="14" t="s">
        <v>92</v>
      </c>
      <c r="F1286" s="14" t="s">
        <v>71</v>
      </c>
      <c r="G1286" s="14">
        <v>5.00008343E8</v>
      </c>
      <c r="H1286" s="14" t="s">
        <v>91</v>
      </c>
      <c r="I1286" s="14" t="s">
        <v>59</v>
      </c>
      <c r="J1286" s="14" t="s">
        <v>200</v>
      </c>
      <c r="K1286" s="14" t="s">
        <v>218</v>
      </c>
      <c r="L1286" s="14" t="s">
        <v>253</v>
      </c>
      <c r="M1286" s="14" t="s">
        <v>1388</v>
      </c>
      <c r="N1286" s="14" t="s">
        <v>1389</v>
      </c>
      <c r="O1286" s="14">
        <v>2.0</v>
      </c>
      <c r="P1286" s="23">
        <v>0.029</v>
      </c>
      <c r="Q1286" s="22" t="str">
        <f>"-0.28%"</f>
        <v>-0.28%</v>
      </c>
      <c r="R1286" s="18" t="str">
        <f>"-0.95%"</f>
        <v>-0.95%</v>
      </c>
      <c r="S1286" s="14" t="s">
        <v>1391</v>
      </c>
    </row>
    <row r="1287">
      <c r="A1287" s="13">
        <v>45901.0</v>
      </c>
      <c r="B1287" s="14" t="s">
        <v>47</v>
      </c>
      <c r="C1287" s="14" t="s">
        <v>48</v>
      </c>
      <c r="D1287" s="14" t="s">
        <v>82</v>
      </c>
      <c r="E1287" s="14" t="s">
        <v>83</v>
      </c>
      <c r="F1287" s="15" t="s">
        <v>51</v>
      </c>
      <c r="G1287" s="14" t="s">
        <v>84</v>
      </c>
      <c r="H1287" s="14" t="s">
        <v>82</v>
      </c>
      <c r="I1287" s="14" t="s">
        <v>59</v>
      </c>
      <c r="J1287" s="14" t="s">
        <v>199</v>
      </c>
      <c r="K1287" s="14" t="s">
        <v>203</v>
      </c>
      <c r="L1287" s="14" t="s">
        <v>340</v>
      </c>
      <c r="M1287" s="14" t="s">
        <v>340</v>
      </c>
      <c r="N1287" s="14" t="s">
        <v>341</v>
      </c>
      <c r="O1287" s="14">
        <v>0.0</v>
      </c>
      <c r="P1287" s="21">
        <v>0.0</v>
      </c>
      <c r="Q1287" s="22" t="str">
        <f t="shared" ref="Q1287:R1287" si="765">"+0"</f>
        <v>+0</v>
      </c>
      <c r="R1287" s="18" t="str">
        <f t="shared" si="765"/>
        <v>+0</v>
      </c>
      <c r="S1287" s="14" t="s">
        <v>260</v>
      </c>
    </row>
    <row r="1288">
      <c r="A1288" s="13">
        <v>45901.0</v>
      </c>
      <c r="B1288" s="14" t="s">
        <v>47</v>
      </c>
      <c r="C1288" s="14" t="s">
        <v>48</v>
      </c>
      <c r="D1288" s="14" t="s">
        <v>82</v>
      </c>
      <c r="E1288" s="14" t="s">
        <v>83</v>
      </c>
      <c r="F1288" s="15" t="s">
        <v>51</v>
      </c>
      <c r="G1288" s="14" t="s">
        <v>84</v>
      </c>
      <c r="H1288" s="14" t="s">
        <v>82</v>
      </c>
      <c r="I1288" s="14" t="s">
        <v>59</v>
      </c>
      <c r="J1288" s="14" t="s">
        <v>200</v>
      </c>
      <c r="K1288" s="14" t="s">
        <v>213</v>
      </c>
      <c r="L1288" s="14" t="s">
        <v>257</v>
      </c>
      <c r="M1288" s="14" t="s">
        <v>622</v>
      </c>
      <c r="N1288" s="14" t="s">
        <v>623</v>
      </c>
      <c r="O1288" s="14">
        <v>43.0</v>
      </c>
      <c r="P1288" s="23">
        <v>-0.1311</v>
      </c>
      <c r="Q1288" s="22" t="str">
        <f>"+4.06%"</f>
        <v>+4.06%</v>
      </c>
      <c r="R1288" s="18" t="str">
        <f>"-5.39%"</f>
        <v>-5.39%</v>
      </c>
      <c r="S1288" s="14" t="s">
        <v>1392</v>
      </c>
    </row>
    <row r="1289">
      <c r="A1289" s="13">
        <v>45901.0</v>
      </c>
      <c r="B1289" s="14" t="s">
        <v>47</v>
      </c>
      <c r="C1289" s="14" t="s">
        <v>48</v>
      </c>
      <c r="D1289" s="14" t="s">
        <v>192</v>
      </c>
      <c r="E1289" s="14" t="s">
        <v>193</v>
      </c>
      <c r="F1289" s="15" t="s">
        <v>51</v>
      </c>
      <c r="G1289" s="14" t="s">
        <v>194</v>
      </c>
      <c r="H1289" s="14" t="s">
        <v>192</v>
      </c>
      <c r="I1289" s="14" t="s">
        <v>54</v>
      </c>
      <c r="J1289" s="14" t="s">
        <v>198</v>
      </c>
      <c r="K1289" s="14" t="s">
        <v>210</v>
      </c>
      <c r="L1289" s="14" t="s">
        <v>505</v>
      </c>
      <c r="M1289" s="14" t="s">
        <v>1393</v>
      </c>
      <c r="N1289" s="14" t="s">
        <v>1394</v>
      </c>
      <c r="O1289" s="14">
        <v>0.0</v>
      </c>
      <c r="P1289" s="21">
        <v>0.0</v>
      </c>
      <c r="Q1289" s="22" t="str">
        <f t="shared" ref="Q1289:R1289" si="766">"+0"</f>
        <v>+0</v>
      </c>
      <c r="R1289" s="18" t="str">
        <f t="shared" si="766"/>
        <v>+0</v>
      </c>
      <c r="S1289" s="14" t="s">
        <v>277</v>
      </c>
    </row>
    <row r="1290">
      <c r="A1290" s="13">
        <v>45901.0</v>
      </c>
      <c r="B1290" s="14" t="s">
        <v>47</v>
      </c>
      <c r="C1290" s="14" t="s">
        <v>48</v>
      </c>
      <c r="D1290" s="14" t="s">
        <v>184</v>
      </c>
      <c r="E1290" s="14" t="s">
        <v>185</v>
      </c>
      <c r="F1290" s="15" t="s">
        <v>51</v>
      </c>
      <c r="G1290" s="14" t="s">
        <v>186</v>
      </c>
      <c r="H1290" s="14" t="s">
        <v>187</v>
      </c>
      <c r="I1290" s="14" t="s">
        <v>59</v>
      </c>
      <c r="J1290" s="14" t="s">
        <v>198</v>
      </c>
      <c r="K1290" s="14" t="s">
        <v>205</v>
      </c>
      <c r="L1290" s="14" t="s">
        <v>274</v>
      </c>
      <c r="M1290" s="14" t="s">
        <v>275</v>
      </c>
      <c r="N1290" s="14" t="s">
        <v>276</v>
      </c>
      <c r="O1290" s="14">
        <v>0.0</v>
      </c>
      <c r="P1290" s="21">
        <v>1.0</v>
      </c>
      <c r="Q1290" s="22" t="str">
        <f>"+0"</f>
        <v>+0</v>
      </c>
      <c r="S1290" s="14" t="s">
        <v>277</v>
      </c>
    </row>
    <row r="1291">
      <c r="A1291" s="13">
        <v>45901.0</v>
      </c>
      <c r="B1291" s="14" t="s">
        <v>47</v>
      </c>
      <c r="C1291" s="14" t="s">
        <v>48</v>
      </c>
      <c r="D1291" s="14" t="s">
        <v>132</v>
      </c>
      <c r="E1291" s="14" t="s">
        <v>133</v>
      </c>
      <c r="F1291" s="15" t="s">
        <v>51</v>
      </c>
      <c r="G1291" s="14" t="s">
        <v>134</v>
      </c>
      <c r="H1291" s="14" t="s">
        <v>135</v>
      </c>
      <c r="I1291" s="14" t="s">
        <v>59</v>
      </c>
      <c r="J1291" s="14" t="s">
        <v>200</v>
      </c>
      <c r="K1291" s="14" t="s">
        <v>213</v>
      </c>
      <c r="L1291" s="14" t="s">
        <v>253</v>
      </c>
      <c r="M1291" s="14" t="s">
        <v>552</v>
      </c>
      <c r="N1291" s="14" t="s">
        <v>553</v>
      </c>
      <c r="O1291" s="14">
        <v>47.0</v>
      </c>
      <c r="P1291" s="23">
        <v>0.4714</v>
      </c>
      <c r="Q1291" s="22" t="str">
        <f>"-6.49%"</f>
        <v>-6.49%</v>
      </c>
      <c r="R1291" s="18" t="str">
        <f>"-3.29%"</f>
        <v>-3.29%</v>
      </c>
      <c r="S1291" s="14" t="s">
        <v>1395</v>
      </c>
    </row>
    <row r="1292">
      <c r="A1292" s="13">
        <v>45901.0</v>
      </c>
      <c r="B1292" s="14" t="s">
        <v>47</v>
      </c>
      <c r="C1292" s="14" t="s">
        <v>48</v>
      </c>
      <c r="D1292" s="14" t="s">
        <v>132</v>
      </c>
      <c r="E1292" s="14" t="s">
        <v>133</v>
      </c>
      <c r="F1292" s="15" t="s">
        <v>51</v>
      </c>
      <c r="G1292" s="14" t="s">
        <v>134</v>
      </c>
      <c r="H1292" s="14" t="s">
        <v>135</v>
      </c>
      <c r="I1292" s="14" t="s">
        <v>59</v>
      </c>
      <c r="J1292" s="14" t="s">
        <v>198</v>
      </c>
      <c r="K1292" s="14" t="s">
        <v>205</v>
      </c>
      <c r="L1292" s="14" t="s">
        <v>274</v>
      </c>
      <c r="M1292" s="14" t="s">
        <v>354</v>
      </c>
      <c r="N1292" s="14" t="s">
        <v>355</v>
      </c>
      <c r="O1292" s="14">
        <v>28.0</v>
      </c>
      <c r="P1292" s="21">
        <v>10.0</v>
      </c>
      <c r="Q1292" s="22" t="str">
        <f>"+0"</f>
        <v>+0</v>
      </c>
      <c r="S1292" s="14" t="s">
        <v>356</v>
      </c>
    </row>
    <row r="1293">
      <c r="A1293" s="13">
        <v>45901.0</v>
      </c>
      <c r="B1293" s="14" t="s">
        <v>47</v>
      </c>
      <c r="C1293" s="14" t="s">
        <v>48</v>
      </c>
      <c r="D1293" s="14" t="s">
        <v>149</v>
      </c>
      <c r="E1293" s="14" t="s">
        <v>150</v>
      </c>
      <c r="F1293" s="15" t="s">
        <v>51</v>
      </c>
      <c r="G1293" s="14" t="s">
        <v>151</v>
      </c>
      <c r="H1293" s="14" t="s">
        <v>152</v>
      </c>
      <c r="I1293" s="14" t="s">
        <v>54</v>
      </c>
      <c r="J1293" s="14" t="s">
        <v>200</v>
      </c>
      <c r="K1293" s="14" t="s">
        <v>231</v>
      </c>
      <c r="L1293" s="14" t="s">
        <v>372</v>
      </c>
      <c r="M1293" s="14" t="s">
        <v>1279</v>
      </c>
      <c r="N1293" s="14" t="s">
        <v>1280</v>
      </c>
      <c r="O1293" s="14">
        <v>100.0</v>
      </c>
      <c r="P1293" s="21">
        <v>183788.0</v>
      </c>
      <c r="Q1293" s="22" t="str">
        <f>"-42,381"</f>
        <v>-42,381</v>
      </c>
      <c r="R1293" s="18" t="str">
        <f>"-27,416"</f>
        <v>-27,416</v>
      </c>
      <c r="S1293" s="14" t="s">
        <v>260</v>
      </c>
    </row>
    <row r="1294">
      <c r="A1294" s="13">
        <v>45901.0</v>
      </c>
      <c r="B1294" s="14" t="s">
        <v>47</v>
      </c>
      <c r="C1294" s="14" t="s">
        <v>48</v>
      </c>
      <c r="D1294" s="14" t="s">
        <v>87</v>
      </c>
      <c r="E1294" s="14" t="s">
        <v>88</v>
      </c>
      <c r="F1294" s="15" t="s">
        <v>51</v>
      </c>
      <c r="G1294" s="14" t="s">
        <v>89</v>
      </c>
      <c r="H1294" s="14" t="s">
        <v>90</v>
      </c>
      <c r="I1294" s="14" t="s">
        <v>59</v>
      </c>
      <c r="J1294" s="14" t="s">
        <v>200</v>
      </c>
      <c r="K1294" s="14" t="s">
        <v>223</v>
      </c>
      <c r="L1294" s="14" t="s">
        <v>257</v>
      </c>
      <c r="M1294" s="14" t="s">
        <v>517</v>
      </c>
      <c r="N1294" s="14" t="s">
        <v>518</v>
      </c>
      <c r="O1294" s="14">
        <v>100.0</v>
      </c>
      <c r="P1294" s="21">
        <v>92.0</v>
      </c>
      <c r="Q1294" s="22" t="str">
        <f t="shared" ref="Q1294:R1294" si="767">"+0"</f>
        <v>+0</v>
      </c>
      <c r="R1294" s="18" t="str">
        <f t="shared" si="767"/>
        <v>+0</v>
      </c>
      <c r="S1294" s="14" t="s">
        <v>260</v>
      </c>
    </row>
    <row r="1295">
      <c r="A1295" s="13">
        <v>45901.0</v>
      </c>
      <c r="B1295" s="14" t="s">
        <v>47</v>
      </c>
      <c r="C1295" s="14" t="s">
        <v>48</v>
      </c>
      <c r="D1295" s="14" t="s">
        <v>149</v>
      </c>
      <c r="E1295" s="14" t="s">
        <v>150</v>
      </c>
      <c r="F1295" s="15" t="s">
        <v>51</v>
      </c>
      <c r="G1295" s="14" t="s">
        <v>151</v>
      </c>
      <c r="H1295" s="14" t="s">
        <v>152</v>
      </c>
      <c r="I1295" s="14" t="s">
        <v>54</v>
      </c>
      <c r="J1295" s="14" t="s">
        <v>198</v>
      </c>
      <c r="K1295" s="14" t="s">
        <v>210</v>
      </c>
      <c r="L1295" s="14" t="s">
        <v>505</v>
      </c>
      <c r="M1295" s="14" t="s">
        <v>506</v>
      </c>
      <c r="N1295" s="14" t="s">
        <v>507</v>
      </c>
      <c r="O1295" s="14">
        <v>20.0</v>
      </c>
      <c r="P1295" s="21">
        <v>28.0</v>
      </c>
      <c r="Q1295" s="22" t="str">
        <f>"+10"</f>
        <v>+10</v>
      </c>
      <c r="R1295" s="18" t="str">
        <f>"+19"</f>
        <v>+19</v>
      </c>
      <c r="S1295" s="14" t="s">
        <v>1396</v>
      </c>
    </row>
    <row r="1296">
      <c r="A1296" s="13">
        <v>45901.0</v>
      </c>
      <c r="B1296" s="14" t="s">
        <v>47</v>
      </c>
      <c r="C1296" s="14" t="s">
        <v>48</v>
      </c>
      <c r="D1296" s="14" t="s">
        <v>149</v>
      </c>
      <c r="E1296" s="14" t="s">
        <v>150</v>
      </c>
      <c r="F1296" s="15" t="s">
        <v>51</v>
      </c>
      <c r="G1296" s="14" t="s">
        <v>151</v>
      </c>
      <c r="H1296" s="14" t="s">
        <v>152</v>
      </c>
      <c r="I1296" s="14" t="s">
        <v>54</v>
      </c>
      <c r="J1296" s="14" t="s">
        <v>199</v>
      </c>
      <c r="K1296" s="14" t="s">
        <v>206</v>
      </c>
      <c r="L1296" s="14" t="s">
        <v>531</v>
      </c>
      <c r="M1296" s="14" t="s">
        <v>531</v>
      </c>
      <c r="N1296" s="14" t="s">
        <v>532</v>
      </c>
      <c r="O1296" s="14">
        <v>95.0</v>
      </c>
      <c r="P1296" s="21">
        <v>5.0</v>
      </c>
      <c r="Q1296" s="22" t="str">
        <f t="shared" ref="Q1296:R1296" si="768">"+0"</f>
        <v>+0</v>
      </c>
      <c r="R1296" s="18" t="str">
        <f t="shared" si="768"/>
        <v>+0</v>
      </c>
      <c r="S1296" s="14" t="s">
        <v>260</v>
      </c>
    </row>
    <row r="1297">
      <c r="A1297" s="13">
        <v>45901.0</v>
      </c>
      <c r="B1297" s="14" t="s">
        <v>47</v>
      </c>
      <c r="C1297" s="14" t="s">
        <v>48</v>
      </c>
      <c r="D1297" s="14" t="s">
        <v>171</v>
      </c>
      <c r="E1297" s="14" t="s">
        <v>172</v>
      </c>
      <c r="F1297" s="15" t="s">
        <v>51</v>
      </c>
      <c r="G1297" s="14" t="s">
        <v>173</v>
      </c>
      <c r="H1297" s="14" t="s">
        <v>171</v>
      </c>
      <c r="I1297" s="14" t="s">
        <v>59</v>
      </c>
      <c r="J1297" s="14" t="s">
        <v>200</v>
      </c>
      <c r="K1297" s="14" t="s">
        <v>213</v>
      </c>
      <c r="L1297" s="14" t="s">
        <v>307</v>
      </c>
      <c r="M1297" s="14" t="s">
        <v>502</v>
      </c>
      <c r="N1297" s="14" t="s">
        <v>503</v>
      </c>
      <c r="O1297" s="14">
        <v>0.0</v>
      </c>
      <c r="P1297" s="23">
        <v>0.0</v>
      </c>
      <c r="Q1297" s="22" t="str">
        <f t="shared" ref="Q1297:R1297" si="769">"+0.00%"</f>
        <v>+0.00%</v>
      </c>
      <c r="R1297" s="18" t="str">
        <f t="shared" si="769"/>
        <v>+0.00%</v>
      </c>
      <c r="S1297" s="14" t="s">
        <v>1397</v>
      </c>
    </row>
    <row r="1298">
      <c r="A1298" s="13">
        <v>45901.0</v>
      </c>
      <c r="B1298" s="14" t="s">
        <v>47</v>
      </c>
      <c r="C1298" s="14" t="s">
        <v>48</v>
      </c>
      <c r="D1298" s="14" t="s">
        <v>149</v>
      </c>
      <c r="E1298" s="14" t="s">
        <v>150</v>
      </c>
      <c r="F1298" s="15" t="s">
        <v>51</v>
      </c>
      <c r="G1298" s="14" t="s">
        <v>151</v>
      </c>
      <c r="H1298" s="14" t="s">
        <v>152</v>
      </c>
      <c r="I1298" s="14" t="s">
        <v>54</v>
      </c>
      <c r="J1298" s="14" t="s">
        <v>198</v>
      </c>
      <c r="K1298" s="14" t="s">
        <v>210</v>
      </c>
      <c r="L1298" s="14" t="s">
        <v>264</v>
      </c>
      <c r="M1298" s="14" t="s">
        <v>527</v>
      </c>
      <c r="N1298" s="14" t="s">
        <v>528</v>
      </c>
      <c r="O1298" s="14">
        <v>0.0</v>
      </c>
      <c r="P1298" s="21">
        <v>0.0</v>
      </c>
      <c r="Q1298" s="22" t="str">
        <f t="shared" ref="Q1298:R1298" si="770">"+0"</f>
        <v>+0</v>
      </c>
      <c r="R1298" s="18" t="str">
        <f t="shared" si="770"/>
        <v>+0</v>
      </c>
      <c r="S1298" s="14" t="s">
        <v>277</v>
      </c>
    </row>
    <row r="1299">
      <c r="A1299" s="13">
        <v>45901.0</v>
      </c>
      <c r="B1299" s="14" t="s">
        <v>47</v>
      </c>
      <c r="C1299" s="14" t="s">
        <v>48</v>
      </c>
      <c r="D1299" s="14" t="s">
        <v>85</v>
      </c>
      <c r="E1299" s="14" t="s">
        <v>86</v>
      </c>
      <c r="F1299" s="15" t="s">
        <v>51</v>
      </c>
      <c r="G1299" s="14" t="s">
        <v>148</v>
      </c>
      <c r="H1299" s="14" t="s">
        <v>85</v>
      </c>
      <c r="I1299" s="14" t="s">
        <v>59</v>
      </c>
      <c r="J1299" s="14" t="s">
        <v>198</v>
      </c>
      <c r="K1299" s="14" t="s">
        <v>210</v>
      </c>
      <c r="L1299" s="14" t="s">
        <v>458</v>
      </c>
      <c r="M1299" s="14" t="s">
        <v>459</v>
      </c>
      <c r="N1299" s="14" t="s">
        <v>460</v>
      </c>
      <c r="O1299" s="14">
        <v>100.0</v>
      </c>
      <c r="P1299" s="21">
        <v>0.0</v>
      </c>
      <c r="Q1299" s="22" t="str">
        <f t="shared" ref="Q1299:R1299" si="771">"+0"</f>
        <v>+0</v>
      </c>
      <c r="R1299" s="18" t="str">
        <f t="shared" si="771"/>
        <v>+0</v>
      </c>
      <c r="S1299" s="14" t="s">
        <v>281</v>
      </c>
    </row>
    <row r="1300">
      <c r="A1300" s="13">
        <v>45901.0</v>
      </c>
      <c r="B1300" s="14" t="s">
        <v>47</v>
      </c>
      <c r="C1300" s="14" t="s">
        <v>48</v>
      </c>
      <c r="D1300" s="14" t="s">
        <v>158</v>
      </c>
      <c r="E1300" s="14" t="s">
        <v>159</v>
      </c>
      <c r="F1300" s="15" t="s">
        <v>51</v>
      </c>
      <c r="G1300" s="14" t="s">
        <v>160</v>
      </c>
      <c r="H1300" s="14" t="s">
        <v>158</v>
      </c>
      <c r="I1300" s="14" t="s">
        <v>54</v>
      </c>
      <c r="J1300" s="14" t="s">
        <v>198</v>
      </c>
      <c r="K1300" s="14" t="s">
        <v>210</v>
      </c>
      <c r="L1300" s="14" t="s">
        <v>264</v>
      </c>
      <c r="M1300" s="14" t="s">
        <v>1283</v>
      </c>
      <c r="N1300" s="14" t="s">
        <v>1284</v>
      </c>
      <c r="O1300" s="14">
        <v>0.0</v>
      </c>
      <c r="P1300" s="21">
        <v>0.0</v>
      </c>
      <c r="Q1300" s="22" t="str">
        <f t="shared" ref="Q1300:R1300" si="772">"+0"</f>
        <v>+0</v>
      </c>
      <c r="R1300" s="18" t="str">
        <f t="shared" si="772"/>
        <v>+0</v>
      </c>
      <c r="S1300" s="14" t="s">
        <v>277</v>
      </c>
    </row>
    <row r="1301">
      <c r="A1301" s="13">
        <v>45901.0</v>
      </c>
      <c r="B1301" s="14" t="s">
        <v>47</v>
      </c>
      <c r="C1301" s="14" t="s">
        <v>48</v>
      </c>
      <c r="D1301" s="14" t="s">
        <v>77</v>
      </c>
      <c r="E1301" s="14" t="s">
        <v>78</v>
      </c>
      <c r="F1301" s="15" t="s">
        <v>51</v>
      </c>
      <c r="G1301" s="14" t="s">
        <v>128</v>
      </c>
      <c r="H1301" s="14" t="s">
        <v>81</v>
      </c>
      <c r="I1301" s="14" t="s">
        <v>59</v>
      </c>
      <c r="J1301" s="14" t="s">
        <v>200</v>
      </c>
      <c r="K1301" s="14" t="s">
        <v>223</v>
      </c>
      <c r="L1301" s="14" t="s">
        <v>257</v>
      </c>
      <c r="M1301" s="14" t="s">
        <v>298</v>
      </c>
      <c r="N1301" s="14" t="s">
        <v>299</v>
      </c>
      <c r="O1301" s="14">
        <v>0.0</v>
      </c>
      <c r="P1301" s="23">
        <v>0.0</v>
      </c>
      <c r="Q1301" s="22" t="str">
        <f t="shared" ref="Q1301:R1301" si="773">"+0.00%"</f>
        <v>+0.00%</v>
      </c>
      <c r="R1301" s="18" t="str">
        <f t="shared" si="773"/>
        <v>+0.00%</v>
      </c>
      <c r="S1301" s="14" t="s">
        <v>1398</v>
      </c>
    </row>
    <row r="1302">
      <c r="A1302" s="13">
        <v>45901.0</v>
      </c>
      <c r="B1302" s="14" t="s">
        <v>47</v>
      </c>
      <c r="C1302" s="14" t="s">
        <v>48</v>
      </c>
      <c r="D1302" s="14" t="s">
        <v>168</v>
      </c>
      <c r="E1302" s="14" t="s">
        <v>169</v>
      </c>
      <c r="F1302" s="15" t="s">
        <v>51</v>
      </c>
      <c r="G1302" s="14" t="s">
        <v>170</v>
      </c>
      <c r="H1302" s="14" t="s">
        <v>168</v>
      </c>
      <c r="I1302" s="14" t="s">
        <v>59</v>
      </c>
      <c r="J1302" s="14" t="s">
        <v>198</v>
      </c>
      <c r="K1302" s="14" t="s">
        <v>205</v>
      </c>
      <c r="L1302" s="14" t="s">
        <v>274</v>
      </c>
      <c r="M1302" s="14" t="s">
        <v>473</v>
      </c>
      <c r="N1302" s="14" t="s">
        <v>474</v>
      </c>
      <c r="O1302" s="14">
        <v>50.0</v>
      </c>
      <c r="P1302" s="21">
        <v>15.0</v>
      </c>
      <c r="Q1302" s="22" t="str">
        <f t="shared" ref="Q1302:Q1304" si="774">"+0"</f>
        <v>+0</v>
      </c>
      <c r="S1302" s="14" t="s">
        <v>475</v>
      </c>
    </row>
    <row r="1303">
      <c r="A1303" s="13">
        <v>45901.0</v>
      </c>
      <c r="B1303" s="14" t="s">
        <v>47</v>
      </c>
      <c r="C1303" s="14" t="s">
        <v>48</v>
      </c>
      <c r="D1303" s="14" t="s">
        <v>181</v>
      </c>
      <c r="E1303" s="14" t="s">
        <v>182</v>
      </c>
      <c r="F1303" s="15" t="s">
        <v>51</v>
      </c>
      <c r="G1303" s="14" t="s">
        <v>183</v>
      </c>
      <c r="H1303" s="14" t="s">
        <v>181</v>
      </c>
      <c r="I1303" s="14" t="s">
        <v>59</v>
      </c>
      <c r="J1303" s="14" t="s">
        <v>200</v>
      </c>
      <c r="K1303" s="14" t="s">
        <v>232</v>
      </c>
      <c r="L1303" s="14" t="s">
        <v>607</v>
      </c>
      <c r="M1303" s="14" t="s">
        <v>765</v>
      </c>
      <c r="N1303" s="14" t="s">
        <v>766</v>
      </c>
      <c r="O1303" s="14">
        <v>0.0</v>
      </c>
      <c r="P1303" s="21">
        <v>0.0</v>
      </c>
      <c r="Q1303" s="22" t="str">
        <f t="shared" si="774"/>
        <v>+0</v>
      </c>
      <c r="R1303" s="18" t="str">
        <f>"+0"</f>
        <v>+0</v>
      </c>
      <c r="S1303" s="14" t="s">
        <v>260</v>
      </c>
    </row>
    <row r="1304">
      <c r="A1304" s="13">
        <v>45901.0</v>
      </c>
      <c r="B1304" s="14" t="s">
        <v>47</v>
      </c>
      <c r="C1304" s="14" t="s">
        <v>48</v>
      </c>
      <c r="D1304" s="14" t="s">
        <v>60</v>
      </c>
      <c r="E1304" s="14" t="s">
        <v>61</v>
      </c>
      <c r="F1304" s="15" t="s">
        <v>51</v>
      </c>
      <c r="G1304" s="14" t="s">
        <v>62</v>
      </c>
      <c r="H1304" s="14" t="s">
        <v>60</v>
      </c>
      <c r="I1304" s="14" t="s">
        <v>59</v>
      </c>
      <c r="J1304" s="14" t="s">
        <v>198</v>
      </c>
      <c r="K1304" s="14" t="s">
        <v>205</v>
      </c>
      <c r="L1304" s="14" t="s">
        <v>274</v>
      </c>
      <c r="M1304" s="14" t="s">
        <v>473</v>
      </c>
      <c r="N1304" s="14" t="s">
        <v>474</v>
      </c>
      <c r="O1304" s="14">
        <v>100.0</v>
      </c>
      <c r="P1304" s="21">
        <v>30.0</v>
      </c>
      <c r="Q1304" s="22" t="str">
        <f t="shared" si="774"/>
        <v>+0</v>
      </c>
      <c r="S1304" s="14" t="s">
        <v>475</v>
      </c>
    </row>
    <row r="1305">
      <c r="A1305" s="13">
        <v>45901.0</v>
      </c>
      <c r="B1305" s="14" t="s">
        <v>47</v>
      </c>
      <c r="C1305" s="14" t="s">
        <v>48</v>
      </c>
      <c r="D1305" s="14" t="s">
        <v>165</v>
      </c>
      <c r="E1305" s="14" t="s">
        <v>166</v>
      </c>
      <c r="F1305" s="15" t="s">
        <v>51</v>
      </c>
      <c r="G1305" s="14" t="s">
        <v>167</v>
      </c>
      <c r="H1305" s="14" t="s">
        <v>165</v>
      </c>
      <c r="I1305" s="14" t="s">
        <v>54</v>
      </c>
      <c r="J1305" s="14" t="s">
        <v>200</v>
      </c>
      <c r="K1305" s="14" t="s">
        <v>213</v>
      </c>
      <c r="L1305" s="14" t="s">
        <v>307</v>
      </c>
      <c r="M1305" s="14" t="s">
        <v>308</v>
      </c>
      <c r="N1305" s="14" t="s">
        <v>309</v>
      </c>
      <c r="O1305" s="14">
        <v>0.0</v>
      </c>
      <c r="P1305" s="23">
        <v>0.0</v>
      </c>
      <c r="Q1305" s="22" t="str">
        <f t="shared" ref="Q1305:R1305" si="775">"+0.00%"</f>
        <v>+0.00%</v>
      </c>
      <c r="R1305" s="18" t="str">
        <f t="shared" si="775"/>
        <v>+0.00%</v>
      </c>
      <c r="S1305" s="14" t="s">
        <v>285</v>
      </c>
    </row>
    <row r="1306">
      <c r="A1306" s="13">
        <v>45901.0</v>
      </c>
      <c r="B1306" s="14" t="s">
        <v>47</v>
      </c>
      <c r="C1306" s="14" t="s">
        <v>48</v>
      </c>
      <c r="D1306" s="14" t="s">
        <v>49</v>
      </c>
      <c r="E1306" s="14" t="s">
        <v>50</v>
      </c>
      <c r="F1306" s="15" t="s">
        <v>51</v>
      </c>
      <c r="G1306" s="14" t="s">
        <v>52</v>
      </c>
      <c r="H1306" s="14" t="s">
        <v>53</v>
      </c>
      <c r="I1306" s="14" t="s">
        <v>54</v>
      </c>
      <c r="J1306" s="14" t="s">
        <v>200</v>
      </c>
      <c r="K1306" s="14" t="s">
        <v>213</v>
      </c>
      <c r="L1306" s="14" t="s">
        <v>591</v>
      </c>
      <c r="M1306" s="14" t="s">
        <v>592</v>
      </c>
      <c r="N1306" s="14" t="s">
        <v>1048</v>
      </c>
      <c r="O1306" s="14">
        <v>100.0</v>
      </c>
      <c r="P1306" s="23">
        <v>0.0048</v>
      </c>
      <c r="Q1306" s="22" t="str">
        <f>"+0.24%"</f>
        <v>+0.24%</v>
      </c>
      <c r="R1306" s="18" t="str">
        <f>"+0.03%"</f>
        <v>+0.03%</v>
      </c>
      <c r="S1306" s="14" t="s">
        <v>285</v>
      </c>
    </row>
    <row r="1307">
      <c r="A1307" s="13">
        <v>45901.0</v>
      </c>
      <c r="B1307" s="14" t="s">
        <v>47</v>
      </c>
      <c r="C1307" s="14" t="s">
        <v>48</v>
      </c>
      <c r="D1307" s="14" t="s">
        <v>91</v>
      </c>
      <c r="E1307" s="14" t="s">
        <v>92</v>
      </c>
      <c r="F1307" s="14" t="s">
        <v>79</v>
      </c>
      <c r="G1307" s="14" t="s">
        <v>164</v>
      </c>
      <c r="H1307" s="14" t="s">
        <v>91</v>
      </c>
      <c r="I1307" s="14" t="s">
        <v>154</v>
      </c>
      <c r="J1307" s="14" t="s">
        <v>200</v>
      </c>
      <c r="K1307" s="14" t="s">
        <v>237</v>
      </c>
      <c r="L1307" s="14" t="s">
        <v>333</v>
      </c>
      <c r="M1307" s="14" t="s">
        <v>1186</v>
      </c>
      <c r="N1307" s="14" t="s">
        <v>1187</v>
      </c>
      <c r="O1307" s="14">
        <v>0.0</v>
      </c>
      <c r="P1307" s="23">
        <v>-1.0</v>
      </c>
      <c r="Q1307" s="22" t="str">
        <f t="shared" ref="Q1307:R1307" si="776">"+0.00%"</f>
        <v>+0.00%</v>
      </c>
      <c r="R1307" s="18" t="str">
        <f t="shared" si="776"/>
        <v>+0.00%</v>
      </c>
      <c r="S1307" s="14" t="s">
        <v>285</v>
      </c>
    </row>
    <row r="1308">
      <c r="A1308" s="13">
        <v>45901.0</v>
      </c>
      <c r="B1308" s="14" t="s">
        <v>47</v>
      </c>
      <c r="C1308" s="14" t="s">
        <v>48</v>
      </c>
      <c r="D1308" s="14" t="s">
        <v>91</v>
      </c>
      <c r="E1308" s="14" t="s">
        <v>92</v>
      </c>
      <c r="F1308" s="15" t="s">
        <v>51</v>
      </c>
      <c r="G1308" s="14" t="s">
        <v>163</v>
      </c>
      <c r="H1308" s="14" t="s">
        <v>91</v>
      </c>
      <c r="I1308" s="14" t="s">
        <v>59</v>
      </c>
      <c r="J1308" s="14" t="s">
        <v>199</v>
      </c>
      <c r="K1308" s="14" t="s">
        <v>206</v>
      </c>
      <c r="L1308" s="14" t="s">
        <v>295</v>
      </c>
      <c r="M1308" s="14" t="s">
        <v>296</v>
      </c>
      <c r="N1308" s="14" t="s">
        <v>297</v>
      </c>
      <c r="O1308" s="14">
        <v>100.0</v>
      </c>
      <c r="P1308" s="21">
        <v>2.0</v>
      </c>
      <c r="Q1308" s="22" t="str">
        <f t="shared" ref="Q1308:R1308" si="777">"+0"</f>
        <v>+0</v>
      </c>
      <c r="R1308" s="18" t="str">
        <f t="shared" si="777"/>
        <v>+0</v>
      </c>
      <c r="S1308" s="14" t="s">
        <v>260</v>
      </c>
    </row>
    <row r="1309">
      <c r="A1309" s="13">
        <v>45901.0</v>
      </c>
      <c r="B1309" s="14" t="s">
        <v>47</v>
      </c>
      <c r="C1309" s="14" t="s">
        <v>48</v>
      </c>
      <c r="D1309" s="14" t="s">
        <v>82</v>
      </c>
      <c r="E1309" s="14" t="s">
        <v>83</v>
      </c>
      <c r="F1309" s="15" t="s">
        <v>51</v>
      </c>
      <c r="G1309" s="14" t="s">
        <v>84</v>
      </c>
      <c r="H1309" s="14" t="s">
        <v>82</v>
      </c>
      <c r="I1309" s="14" t="s">
        <v>59</v>
      </c>
      <c r="J1309" s="14" t="s">
        <v>199</v>
      </c>
      <c r="K1309" s="14" t="s">
        <v>206</v>
      </c>
      <c r="L1309" s="14" t="s">
        <v>433</v>
      </c>
      <c r="M1309" s="14" t="s">
        <v>433</v>
      </c>
      <c r="N1309" s="14" t="s">
        <v>434</v>
      </c>
      <c r="O1309" s="14">
        <v>75.0</v>
      </c>
      <c r="P1309" s="21">
        <v>8.0</v>
      </c>
      <c r="Q1309" s="22" t="str">
        <f>"+2"</f>
        <v>+2</v>
      </c>
      <c r="R1309" s="18" t="str">
        <f>"+0"</f>
        <v>+0</v>
      </c>
      <c r="S1309" s="14" t="s">
        <v>383</v>
      </c>
    </row>
    <row r="1310">
      <c r="A1310" s="13">
        <v>45901.0</v>
      </c>
      <c r="B1310" s="14" t="s">
        <v>47</v>
      </c>
      <c r="C1310" s="14" t="s">
        <v>48</v>
      </c>
      <c r="D1310" s="14" t="s">
        <v>192</v>
      </c>
      <c r="E1310" s="14" t="s">
        <v>193</v>
      </c>
      <c r="F1310" s="15" t="s">
        <v>51</v>
      </c>
      <c r="G1310" s="14" t="s">
        <v>194</v>
      </c>
      <c r="H1310" s="14" t="s">
        <v>192</v>
      </c>
      <c r="I1310" s="14" t="s">
        <v>54</v>
      </c>
      <c r="J1310" s="14" t="s">
        <v>200</v>
      </c>
      <c r="K1310" s="14" t="s">
        <v>231</v>
      </c>
      <c r="L1310" s="14" t="s">
        <v>512</v>
      </c>
      <c r="M1310" s="14" t="s">
        <v>1399</v>
      </c>
      <c r="N1310" s="14" t="s">
        <v>1400</v>
      </c>
      <c r="O1310" s="14">
        <v>100.0</v>
      </c>
      <c r="P1310" s="21">
        <v>16.0</v>
      </c>
      <c r="Q1310" s="22" t="str">
        <f>"+1"</f>
        <v>+1</v>
      </c>
      <c r="R1310" s="18" t="str">
        <f>"-41"</f>
        <v>-41</v>
      </c>
      <c r="S1310" s="14" t="s">
        <v>260</v>
      </c>
    </row>
    <row r="1311">
      <c r="A1311" s="13">
        <v>45901.0</v>
      </c>
      <c r="B1311" s="14" t="s">
        <v>47</v>
      </c>
      <c r="C1311" s="14" t="s">
        <v>48</v>
      </c>
      <c r="D1311" s="14" t="s">
        <v>192</v>
      </c>
      <c r="E1311" s="14" t="s">
        <v>193</v>
      </c>
      <c r="F1311" s="15" t="s">
        <v>51</v>
      </c>
      <c r="G1311" s="14" t="s">
        <v>194</v>
      </c>
      <c r="H1311" s="14" t="s">
        <v>192</v>
      </c>
      <c r="I1311" s="14" t="s">
        <v>54</v>
      </c>
      <c r="J1311" s="14" t="s">
        <v>198</v>
      </c>
      <c r="K1311" s="14" t="s">
        <v>210</v>
      </c>
      <c r="L1311" s="14" t="s">
        <v>458</v>
      </c>
      <c r="M1311" s="14" t="s">
        <v>1401</v>
      </c>
      <c r="N1311" s="14" t="s">
        <v>1402</v>
      </c>
      <c r="O1311" s="14">
        <v>0.0</v>
      </c>
      <c r="P1311" s="21">
        <v>0.0</v>
      </c>
      <c r="Q1311" s="22" t="str">
        <f t="shared" ref="Q1311:R1311" si="778">"+0"</f>
        <v>+0</v>
      </c>
      <c r="R1311" s="18" t="str">
        <f t="shared" si="778"/>
        <v>+0</v>
      </c>
      <c r="S1311" s="14" t="s">
        <v>277</v>
      </c>
    </row>
    <row r="1312">
      <c r="A1312" s="13">
        <v>45901.0</v>
      </c>
      <c r="B1312" s="14" t="s">
        <v>47</v>
      </c>
      <c r="C1312" s="14" t="s">
        <v>48</v>
      </c>
      <c r="D1312" s="14" t="s">
        <v>66</v>
      </c>
      <c r="E1312" s="14" t="s">
        <v>67</v>
      </c>
      <c r="F1312" s="15" t="s">
        <v>51</v>
      </c>
      <c r="G1312" s="14" t="s">
        <v>68</v>
      </c>
      <c r="H1312" s="14" t="s">
        <v>66</v>
      </c>
      <c r="I1312" s="14" t="s">
        <v>59</v>
      </c>
      <c r="J1312" s="14" t="s">
        <v>198</v>
      </c>
      <c r="K1312" s="14" t="s">
        <v>205</v>
      </c>
      <c r="L1312" s="14" t="s">
        <v>274</v>
      </c>
      <c r="M1312" s="14" t="s">
        <v>466</v>
      </c>
      <c r="N1312" s="14" t="s">
        <v>467</v>
      </c>
      <c r="O1312" s="14">
        <v>100.0</v>
      </c>
      <c r="P1312" s="21">
        <v>1.0</v>
      </c>
      <c r="Q1312" s="22" t="str">
        <f t="shared" ref="Q1312:Q1315" si="779">"+0"</f>
        <v>+0</v>
      </c>
      <c r="S1312" s="14" t="s">
        <v>281</v>
      </c>
    </row>
    <row r="1313">
      <c r="A1313" s="13">
        <v>45901.0</v>
      </c>
      <c r="B1313" s="14" t="s">
        <v>47</v>
      </c>
      <c r="C1313" s="14" t="s">
        <v>48</v>
      </c>
      <c r="D1313" s="14" t="s">
        <v>192</v>
      </c>
      <c r="E1313" s="14" t="s">
        <v>193</v>
      </c>
      <c r="F1313" s="15" t="s">
        <v>51</v>
      </c>
      <c r="G1313" s="14" t="s">
        <v>194</v>
      </c>
      <c r="H1313" s="14" t="s">
        <v>192</v>
      </c>
      <c r="I1313" s="14" t="s">
        <v>54</v>
      </c>
      <c r="J1313" s="14" t="s">
        <v>200</v>
      </c>
      <c r="K1313" s="14" t="s">
        <v>223</v>
      </c>
      <c r="L1313" s="14" t="s">
        <v>257</v>
      </c>
      <c r="M1313" s="14" t="s">
        <v>517</v>
      </c>
      <c r="N1313" s="14" t="s">
        <v>518</v>
      </c>
      <c r="O1313" s="14">
        <v>100.0</v>
      </c>
      <c r="P1313" s="21">
        <v>92.0</v>
      </c>
      <c r="Q1313" s="22" t="str">
        <f t="shared" si="779"/>
        <v>+0</v>
      </c>
      <c r="R1313" s="18" t="str">
        <f>"+12"</f>
        <v>+12</v>
      </c>
      <c r="S1313" s="14" t="s">
        <v>260</v>
      </c>
    </row>
    <row r="1314">
      <c r="A1314" s="13">
        <v>45901.0</v>
      </c>
      <c r="B1314" s="14" t="s">
        <v>47</v>
      </c>
      <c r="C1314" s="14" t="s">
        <v>48</v>
      </c>
      <c r="D1314" s="14" t="s">
        <v>132</v>
      </c>
      <c r="E1314" s="14" t="s">
        <v>133</v>
      </c>
      <c r="F1314" s="15" t="s">
        <v>51</v>
      </c>
      <c r="G1314" s="14" t="s">
        <v>134</v>
      </c>
      <c r="H1314" s="14" t="s">
        <v>135</v>
      </c>
      <c r="I1314" s="14" t="s">
        <v>59</v>
      </c>
      <c r="J1314" s="14" t="s">
        <v>198</v>
      </c>
      <c r="K1314" s="14" t="s">
        <v>207</v>
      </c>
      <c r="L1314" s="14" t="s">
        <v>318</v>
      </c>
      <c r="M1314" s="14" t="s">
        <v>319</v>
      </c>
      <c r="N1314" s="14" t="s">
        <v>320</v>
      </c>
      <c r="O1314" s="14">
        <v>0.0</v>
      </c>
      <c r="P1314" s="21">
        <v>0.0</v>
      </c>
      <c r="Q1314" s="22" t="str">
        <f t="shared" si="779"/>
        <v>+0</v>
      </c>
      <c r="S1314" s="14" t="s">
        <v>281</v>
      </c>
    </row>
    <row r="1315">
      <c r="A1315" s="13">
        <v>45901.0</v>
      </c>
      <c r="B1315" s="14" t="s">
        <v>47</v>
      </c>
      <c r="C1315" s="14" t="s">
        <v>48</v>
      </c>
      <c r="D1315" s="14" t="s">
        <v>149</v>
      </c>
      <c r="E1315" s="14" t="s">
        <v>150</v>
      </c>
      <c r="F1315" s="15" t="s">
        <v>51</v>
      </c>
      <c r="G1315" s="14" t="s">
        <v>151</v>
      </c>
      <c r="H1315" s="14" t="s">
        <v>152</v>
      </c>
      <c r="I1315" s="14" t="s">
        <v>54</v>
      </c>
      <c r="J1315" s="14" t="s">
        <v>200</v>
      </c>
      <c r="K1315" s="14" t="s">
        <v>231</v>
      </c>
      <c r="L1315" s="14" t="s">
        <v>512</v>
      </c>
      <c r="M1315" s="14" t="s">
        <v>1403</v>
      </c>
      <c r="N1315" s="14" t="s">
        <v>1404</v>
      </c>
      <c r="O1315" s="14">
        <v>0.0</v>
      </c>
      <c r="P1315" s="21">
        <v>0.0</v>
      </c>
      <c r="Q1315" s="22" t="str">
        <f t="shared" si="779"/>
        <v>+0</v>
      </c>
      <c r="R1315" s="18" t="str">
        <f>"+0"</f>
        <v>+0</v>
      </c>
      <c r="S1315" s="14" t="s">
        <v>260</v>
      </c>
    </row>
    <row r="1316">
      <c r="A1316" s="13">
        <v>45901.0</v>
      </c>
      <c r="B1316" s="14" t="s">
        <v>47</v>
      </c>
      <c r="C1316" s="14" t="s">
        <v>48</v>
      </c>
      <c r="D1316" s="14" t="s">
        <v>87</v>
      </c>
      <c r="E1316" s="14" t="s">
        <v>88</v>
      </c>
      <c r="F1316" s="15" t="s">
        <v>51</v>
      </c>
      <c r="G1316" s="14" t="s">
        <v>89</v>
      </c>
      <c r="H1316" s="14" t="s">
        <v>90</v>
      </c>
      <c r="I1316" s="14" t="s">
        <v>59</v>
      </c>
      <c r="J1316" s="14" t="s">
        <v>200</v>
      </c>
      <c r="K1316" s="14" t="s">
        <v>201</v>
      </c>
      <c r="L1316" s="14" t="s">
        <v>253</v>
      </c>
      <c r="M1316" s="14" t="s">
        <v>409</v>
      </c>
      <c r="N1316" s="14" t="s">
        <v>410</v>
      </c>
      <c r="O1316" s="14">
        <v>1.0</v>
      </c>
      <c r="P1316" s="23">
        <v>0.0</v>
      </c>
      <c r="Q1316" s="22" t="str">
        <f t="shared" ref="Q1316:R1316" si="780">"-0.00%"</f>
        <v>-0.00%</v>
      </c>
      <c r="R1316" s="18" t="str">
        <f t="shared" si="780"/>
        <v>-0.00%</v>
      </c>
      <c r="S1316" s="14" t="s">
        <v>1405</v>
      </c>
    </row>
    <row r="1317">
      <c r="A1317" s="13">
        <v>45901.0</v>
      </c>
      <c r="B1317" s="14" t="s">
        <v>47</v>
      </c>
      <c r="C1317" s="14" t="s">
        <v>48</v>
      </c>
      <c r="D1317" s="14" t="s">
        <v>129</v>
      </c>
      <c r="E1317" s="14" t="s">
        <v>130</v>
      </c>
      <c r="F1317" s="15" t="s">
        <v>51</v>
      </c>
      <c r="G1317" s="14" t="s">
        <v>131</v>
      </c>
      <c r="H1317" s="14" t="s">
        <v>129</v>
      </c>
      <c r="I1317" s="14" t="s">
        <v>59</v>
      </c>
      <c r="J1317" s="14" t="s">
        <v>199</v>
      </c>
      <c r="K1317" s="14" t="s">
        <v>206</v>
      </c>
      <c r="L1317" s="14" t="s">
        <v>268</v>
      </c>
      <c r="M1317" s="14" t="s">
        <v>268</v>
      </c>
      <c r="N1317" s="14" t="s">
        <v>269</v>
      </c>
      <c r="O1317" s="14">
        <v>0.0</v>
      </c>
      <c r="P1317" s="21">
        <v>0.0</v>
      </c>
      <c r="Q1317" s="22" t="str">
        <f t="shared" ref="Q1317:R1317" si="781">"+0"</f>
        <v>+0</v>
      </c>
      <c r="R1317" s="18" t="str">
        <f t="shared" si="781"/>
        <v>+0</v>
      </c>
      <c r="S1317" s="14" t="s">
        <v>260</v>
      </c>
    </row>
    <row r="1318">
      <c r="A1318" s="13">
        <v>45901.0</v>
      </c>
      <c r="B1318" s="14" t="s">
        <v>47</v>
      </c>
      <c r="C1318" s="14" t="s">
        <v>48</v>
      </c>
      <c r="D1318" s="14" t="s">
        <v>149</v>
      </c>
      <c r="E1318" s="14" t="s">
        <v>150</v>
      </c>
      <c r="F1318" s="15" t="s">
        <v>51</v>
      </c>
      <c r="G1318" s="14" t="s">
        <v>151</v>
      </c>
      <c r="H1318" s="14" t="s">
        <v>152</v>
      </c>
      <c r="I1318" s="14" t="s">
        <v>54</v>
      </c>
      <c r="J1318" s="14" t="s">
        <v>198</v>
      </c>
      <c r="K1318" s="14" t="s">
        <v>210</v>
      </c>
      <c r="L1318" s="14" t="s">
        <v>458</v>
      </c>
      <c r="M1318" s="14" t="s">
        <v>796</v>
      </c>
      <c r="N1318" s="14" t="s">
        <v>797</v>
      </c>
      <c r="O1318" s="14">
        <v>0.0</v>
      </c>
      <c r="P1318" s="21">
        <v>0.0</v>
      </c>
      <c r="Q1318" s="22" t="str">
        <f t="shared" ref="Q1318:R1318" si="782">"+0"</f>
        <v>+0</v>
      </c>
      <c r="R1318" s="18" t="str">
        <f t="shared" si="782"/>
        <v>+0</v>
      </c>
      <c r="S1318" s="14" t="s">
        <v>277</v>
      </c>
    </row>
    <row r="1319">
      <c r="A1319" s="13">
        <v>45901.0</v>
      </c>
      <c r="B1319" s="14" t="s">
        <v>47</v>
      </c>
      <c r="C1319" s="14" t="s">
        <v>48</v>
      </c>
      <c r="D1319" s="14" t="s">
        <v>149</v>
      </c>
      <c r="E1319" s="14" t="s">
        <v>150</v>
      </c>
      <c r="F1319" s="15" t="s">
        <v>51</v>
      </c>
      <c r="G1319" s="14" t="s">
        <v>151</v>
      </c>
      <c r="H1319" s="14" t="s">
        <v>152</v>
      </c>
      <c r="I1319" s="14" t="s">
        <v>54</v>
      </c>
      <c r="J1319" s="14" t="s">
        <v>198</v>
      </c>
      <c r="K1319" s="14" t="s">
        <v>210</v>
      </c>
      <c r="L1319" s="14" t="s">
        <v>278</v>
      </c>
      <c r="M1319" s="14" t="s">
        <v>468</v>
      </c>
      <c r="N1319" s="14" t="s">
        <v>469</v>
      </c>
      <c r="O1319" s="14">
        <v>0.0</v>
      </c>
      <c r="P1319" s="21">
        <v>0.0</v>
      </c>
      <c r="Q1319" s="22" t="str">
        <f t="shared" ref="Q1319:R1319" si="783">"+0"</f>
        <v>+0</v>
      </c>
      <c r="R1319" s="18" t="str">
        <f t="shared" si="783"/>
        <v>+0</v>
      </c>
      <c r="S1319" s="14" t="s">
        <v>277</v>
      </c>
    </row>
    <row r="1320">
      <c r="A1320" s="13">
        <v>45901.0</v>
      </c>
      <c r="B1320" s="14" t="s">
        <v>47</v>
      </c>
      <c r="C1320" s="14" t="s">
        <v>48</v>
      </c>
      <c r="D1320" s="14" t="s">
        <v>149</v>
      </c>
      <c r="E1320" s="14" t="s">
        <v>150</v>
      </c>
      <c r="F1320" s="15" t="s">
        <v>51</v>
      </c>
      <c r="G1320" s="14" t="s">
        <v>151</v>
      </c>
      <c r="H1320" s="14" t="s">
        <v>152</v>
      </c>
      <c r="I1320" s="14" t="s">
        <v>54</v>
      </c>
      <c r="J1320" s="14" t="s">
        <v>200</v>
      </c>
      <c r="K1320" s="14" t="s">
        <v>223</v>
      </c>
      <c r="L1320" s="14" t="s">
        <v>307</v>
      </c>
      <c r="M1320" s="14" t="s">
        <v>856</v>
      </c>
      <c r="N1320" s="14" t="s">
        <v>857</v>
      </c>
      <c r="O1320" s="14">
        <v>0.0</v>
      </c>
      <c r="P1320" s="23">
        <v>0.0</v>
      </c>
      <c r="Q1320" s="22" t="str">
        <f t="shared" ref="Q1320:R1320" si="784">"+0.00%"</f>
        <v>+0.00%</v>
      </c>
      <c r="R1320" s="18" t="str">
        <f t="shared" si="784"/>
        <v>+0.00%</v>
      </c>
      <c r="S1320" s="14" t="s">
        <v>285</v>
      </c>
    </row>
    <row r="1321">
      <c r="A1321" s="13">
        <v>45901.0</v>
      </c>
      <c r="B1321" s="14" t="s">
        <v>47</v>
      </c>
      <c r="C1321" s="14" t="s">
        <v>48</v>
      </c>
      <c r="D1321" s="14" t="s">
        <v>171</v>
      </c>
      <c r="E1321" s="14" t="s">
        <v>172</v>
      </c>
      <c r="F1321" s="15" t="s">
        <v>51</v>
      </c>
      <c r="G1321" s="14" t="s">
        <v>173</v>
      </c>
      <c r="H1321" s="14" t="s">
        <v>171</v>
      </c>
      <c r="I1321" s="14" t="s">
        <v>59</v>
      </c>
      <c r="J1321" s="14" t="s">
        <v>199</v>
      </c>
      <c r="K1321" s="14" t="s">
        <v>206</v>
      </c>
      <c r="L1321" s="14" t="s">
        <v>531</v>
      </c>
      <c r="M1321" s="14" t="s">
        <v>531</v>
      </c>
      <c r="N1321" s="14" t="s">
        <v>532</v>
      </c>
      <c r="O1321" s="14">
        <v>0.0</v>
      </c>
      <c r="P1321" s="21">
        <v>0.0</v>
      </c>
      <c r="Q1321" s="22" t="str">
        <f t="shared" ref="Q1321:R1321" si="785">"+0"</f>
        <v>+0</v>
      </c>
      <c r="R1321" s="18" t="str">
        <f t="shared" si="785"/>
        <v>+0</v>
      </c>
      <c r="S1321" s="14" t="s">
        <v>260</v>
      </c>
    </row>
    <row r="1322">
      <c r="A1322" s="13">
        <v>45901.0</v>
      </c>
      <c r="B1322" s="14" t="s">
        <v>47</v>
      </c>
      <c r="C1322" s="14" t="s">
        <v>48</v>
      </c>
      <c r="D1322" s="14" t="s">
        <v>171</v>
      </c>
      <c r="E1322" s="14" t="s">
        <v>172</v>
      </c>
      <c r="F1322" s="15" t="s">
        <v>51</v>
      </c>
      <c r="G1322" s="14" t="s">
        <v>173</v>
      </c>
      <c r="H1322" s="14" t="s">
        <v>171</v>
      </c>
      <c r="I1322" s="14" t="s">
        <v>59</v>
      </c>
      <c r="J1322" s="14" t="s">
        <v>200</v>
      </c>
      <c r="K1322" s="14" t="s">
        <v>222</v>
      </c>
      <c r="L1322" s="14" t="s">
        <v>253</v>
      </c>
      <c r="M1322" s="14" t="s">
        <v>732</v>
      </c>
      <c r="N1322" s="14" t="s">
        <v>733</v>
      </c>
      <c r="O1322" s="14">
        <v>50.0</v>
      </c>
      <c r="P1322" s="21">
        <v>1.0</v>
      </c>
      <c r="Q1322" s="22" t="str">
        <f t="shared" ref="Q1322:R1322" si="786">"+0"</f>
        <v>+0</v>
      </c>
      <c r="R1322" s="18" t="str">
        <f t="shared" si="786"/>
        <v>+0</v>
      </c>
      <c r="S1322" s="14" t="s">
        <v>450</v>
      </c>
    </row>
    <row r="1323">
      <c r="A1323" s="13">
        <v>45901.0</v>
      </c>
      <c r="B1323" s="14" t="s">
        <v>47</v>
      </c>
      <c r="C1323" s="14" t="s">
        <v>48</v>
      </c>
      <c r="D1323" s="14" t="s">
        <v>69</v>
      </c>
      <c r="E1323" s="14" t="s">
        <v>70</v>
      </c>
      <c r="F1323" s="15" t="s">
        <v>51</v>
      </c>
      <c r="G1323" s="14" t="s">
        <v>115</v>
      </c>
      <c r="H1323" s="14" t="s">
        <v>72</v>
      </c>
      <c r="I1323" s="14" t="s">
        <v>54</v>
      </c>
      <c r="J1323" s="14" t="s">
        <v>198</v>
      </c>
      <c r="K1323" s="14" t="s">
        <v>210</v>
      </c>
      <c r="L1323" s="14" t="s">
        <v>264</v>
      </c>
      <c r="M1323" s="14" t="s">
        <v>910</v>
      </c>
      <c r="N1323" s="14" t="s">
        <v>911</v>
      </c>
      <c r="O1323" s="14">
        <v>0.0</v>
      </c>
      <c r="P1323" s="21">
        <v>0.0</v>
      </c>
      <c r="Q1323" s="22" t="str">
        <f t="shared" ref="Q1323:R1323" si="787">"+0"</f>
        <v>+0</v>
      </c>
      <c r="R1323" s="18" t="str">
        <f t="shared" si="787"/>
        <v>+0</v>
      </c>
      <c r="S1323" s="14" t="s">
        <v>277</v>
      </c>
    </row>
    <row r="1324">
      <c r="A1324" s="13">
        <v>45901.0</v>
      </c>
      <c r="B1324" s="14" t="s">
        <v>47</v>
      </c>
      <c r="C1324" s="14" t="s">
        <v>48</v>
      </c>
      <c r="D1324" s="14" t="s">
        <v>69</v>
      </c>
      <c r="E1324" s="14" t="s">
        <v>70</v>
      </c>
      <c r="F1324" s="15" t="s">
        <v>51</v>
      </c>
      <c r="G1324" s="14" t="s">
        <v>115</v>
      </c>
      <c r="H1324" s="14" t="s">
        <v>72</v>
      </c>
      <c r="I1324" s="14" t="s">
        <v>54</v>
      </c>
      <c r="J1324" s="14" t="s">
        <v>198</v>
      </c>
      <c r="K1324" s="14" t="s">
        <v>212</v>
      </c>
      <c r="L1324" s="14" t="s">
        <v>249</v>
      </c>
      <c r="M1324" s="14" t="s">
        <v>1406</v>
      </c>
      <c r="N1324" s="14" t="s">
        <v>1407</v>
      </c>
      <c r="O1324" s="14">
        <v>0.0</v>
      </c>
      <c r="P1324" s="21">
        <v>0.0</v>
      </c>
      <c r="Q1324" s="22" t="str">
        <f t="shared" ref="Q1324:R1324" si="788">"+0"</f>
        <v>+0</v>
      </c>
      <c r="R1324" s="18" t="str">
        <f t="shared" si="788"/>
        <v>+0</v>
      </c>
      <c r="S1324" s="14" t="s">
        <v>277</v>
      </c>
    </row>
    <row r="1325">
      <c r="A1325" s="13">
        <v>45901.0</v>
      </c>
      <c r="B1325" s="14" t="s">
        <v>47</v>
      </c>
      <c r="C1325" s="14" t="s">
        <v>48</v>
      </c>
      <c r="D1325" s="14" t="s">
        <v>69</v>
      </c>
      <c r="E1325" s="14" t="s">
        <v>70</v>
      </c>
      <c r="F1325" s="15" t="s">
        <v>51</v>
      </c>
      <c r="G1325" s="14" t="s">
        <v>115</v>
      </c>
      <c r="H1325" s="14" t="s">
        <v>72</v>
      </c>
      <c r="I1325" s="14" t="s">
        <v>54</v>
      </c>
      <c r="J1325" s="14" t="s">
        <v>200</v>
      </c>
      <c r="K1325" s="14" t="s">
        <v>224</v>
      </c>
      <c r="L1325" s="14" t="s">
        <v>453</v>
      </c>
      <c r="M1325" s="14" t="s">
        <v>454</v>
      </c>
      <c r="N1325" s="14" t="s">
        <v>455</v>
      </c>
      <c r="O1325" s="14">
        <v>100.0</v>
      </c>
      <c r="P1325" s="23">
        <v>1.0</v>
      </c>
      <c r="Q1325" s="22" t="str">
        <f t="shared" ref="Q1325:R1325" si="789">"+0.00%"</f>
        <v>+0.00%</v>
      </c>
      <c r="R1325" s="18" t="str">
        <f t="shared" si="789"/>
        <v>+0.00%</v>
      </c>
      <c r="S1325" s="14" t="s">
        <v>371</v>
      </c>
    </row>
    <row r="1326">
      <c r="A1326" s="13">
        <v>45901.0</v>
      </c>
      <c r="B1326" s="14" t="s">
        <v>47</v>
      </c>
      <c r="C1326" s="14" t="s">
        <v>48</v>
      </c>
      <c r="D1326" s="14" t="s">
        <v>125</v>
      </c>
      <c r="E1326" s="14" t="s">
        <v>126</v>
      </c>
      <c r="F1326" s="15" t="s">
        <v>51</v>
      </c>
      <c r="G1326" s="14" t="s">
        <v>127</v>
      </c>
      <c r="H1326" s="14" t="s">
        <v>125</v>
      </c>
      <c r="I1326" s="14" t="s">
        <v>59</v>
      </c>
      <c r="J1326" s="14" t="s">
        <v>200</v>
      </c>
      <c r="K1326" s="14" t="s">
        <v>224</v>
      </c>
      <c r="L1326" s="14" t="s">
        <v>392</v>
      </c>
      <c r="M1326" s="14" t="s">
        <v>826</v>
      </c>
      <c r="N1326" s="14" t="s">
        <v>827</v>
      </c>
      <c r="O1326" s="14">
        <v>0.0</v>
      </c>
      <c r="P1326" s="17"/>
      <c r="Q1326" s="22"/>
      <c r="S1326" s="14" t="s">
        <v>1408</v>
      </c>
    </row>
    <row r="1327">
      <c r="A1327" s="13">
        <v>45901.0</v>
      </c>
      <c r="B1327" s="14" t="s">
        <v>47</v>
      </c>
      <c r="C1327" s="14" t="s">
        <v>48</v>
      </c>
      <c r="D1327" s="14" t="s">
        <v>125</v>
      </c>
      <c r="E1327" s="14" t="s">
        <v>126</v>
      </c>
      <c r="F1327" s="15" t="s">
        <v>51</v>
      </c>
      <c r="G1327" s="14" t="s">
        <v>127</v>
      </c>
      <c r="H1327" s="14" t="s">
        <v>125</v>
      </c>
      <c r="I1327" s="14" t="s">
        <v>59</v>
      </c>
      <c r="J1327" s="14" t="s">
        <v>200</v>
      </c>
      <c r="K1327" s="14" t="s">
        <v>209</v>
      </c>
      <c r="L1327" s="14" t="s">
        <v>253</v>
      </c>
      <c r="M1327" s="14" t="s">
        <v>402</v>
      </c>
      <c r="N1327" s="14" t="s">
        <v>403</v>
      </c>
      <c r="O1327" s="14">
        <v>6.0</v>
      </c>
      <c r="P1327" s="23">
        <v>0.066</v>
      </c>
      <c r="Q1327" s="22" t="str">
        <f t="shared" ref="Q1327:R1327" si="790">"+0.00%"</f>
        <v>+0.00%</v>
      </c>
      <c r="R1327" s="18" t="str">
        <f t="shared" si="790"/>
        <v>+0.00%</v>
      </c>
      <c r="S1327" s="14" t="s">
        <v>1138</v>
      </c>
    </row>
    <row r="1328">
      <c r="A1328" s="13">
        <v>45901.0</v>
      </c>
      <c r="B1328" s="14" t="s">
        <v>47</v>
      </c>
      <c r="C1328" s="14" t="s">
        <v>48</v>
      </c>
      <c r="D1328" s="14" t="s">
        <v>69</v>
      </c>
      <c r="E1328" s="14" t="s">
        <v>70</v>
      </c>
      <c r="F1328" s="15" t="s">
        <v>51</v>
      </c>
      <c r="G1328" s="14" t="s">
        <v>115</v>
      </c>
      <c r="H1328" s="14" t="s">
        <v>72</v>
      </c>
      <c r="I1328" s="14" t="s">
        <v>54</v>
      </c>
      <c r="J1328" s="14" t="s">
        <v>198</v>
      </c>
      <c r="K1328" s="14" t="s">
        <v>210</v>
      </c>
      <c r="L1328" s="14" t="s">
        <v>264</v>
      </c>
      <c r="M1328" s="14" t="s">
        <v>1409</v>
      </c>
      <c r="N1328" s="14" t="s">
        <v>1410</v>
      </c>
      <c r="O1328" s="14">
        <v>0.0</v>
      </c>
      <c r="P1328" s="21">
        <v>0.0</v>
      </c>
      <c r="Q1328" s="22" t="str">
        <f t="shared" ref="Q1328:R1328" si="791">"+0"</f>
        <v>+0</v>
      </c>
      <c r="R1328" s="18" t="str">
        <f t="shared" si="791"/>
        <v>+0</v>
      </c>
      <c r="S1328" s="14" t="s">
        <v>277</v>
      </c>
    </row>
    <row r="1329">
      <c r="A1329" s="13">
        <v>45901.0</v>
      </c>
      <c r="B1329" s="14" t="s">
        <v>47</v>
      </c>
      <c r="C1329" s="14" t="s">
        <v>48</v>
      </c>
      <c r="D1329" s="14" t="s">
        <v>158</v>
      </c>
      <c r="E1329" s="14" t="s">
        <v>159</v>
      </c>
      <c r="F1329" s="15" t="s">
        <v>51</v>
      </c>
      <c r="G1329" s="14" t="s">
        <v>160</v>
      </c>
      <c r="H1329" s="14" t="s">
        <v>158</v>
      </c>
      <c r="I1329" s="14" t="s">
        <v>54</v>
      </c>
      <c r="J1329" s="14" t="s">
        <v>199</v>
      </c>
      <c r="K1329" s="14" t="s">
        <v>203</v>
      </c>
      <c r="L1329" s="14" t="s">
        <v>485</v>
      </c>
      <c r="M1329" s="14" t="s">
        <v>485</v>
      </c>
      <c r="N1329" s="14" t="s">
        <v>486</v>
      </c>
      <c r="O1329" s="14">
        <v>100.0</v>
      </c>
      <c r="P1329" s="21">
        <v>1.0</v>
      </c>
      <c r="Q1329" s="22" t="str">
        <f t="shared" ref="Q1329:R1329" si="792">"+0"</f>
        <v>+0</v>
      </c>
      <c r="R1329" s="18" t="str">
        <f t="shared" si="792"/>
        <v>+0</v>
      </c>
      <c r="S1329" s="14" t="s">
        <v>260</v>
      </c>
    </row>
    <row r="1330">
      <c r="A1330" s="13">
        <v>45901.0</v>
      </c>
      <c r="B1330" s="14" t="s">
        <v>47</v>
      </c>
      <c r="C1330" s="14" t="s">
        <v>48</v>
      </c>
      <c r="D1330" s="14" t="s">
        <v>158</v>
      </c>
      <c r="E1330" s="14" t="s">
        <v>159</v>
      </c>
      <c r="F1330" s="15" t="s">
        <v>51</v>
      </c>
      <c r="G1330" s="14" t="s">
        <v>160</v>
      </c>
      <c r="H1330" s="14" t="s">
        <v>158</v>
      </c>
      <c r="I1330" s="14" t="s">
        <v>54</v>
      </c>
      <c r="J1330" s="14" t="s">
        <v>199</v>
      </c>
      <c r="K1330" s="14" t="s">
        <v>203</v>
      </c>
      <c r="L1330" s="14" t="s">
        <v>601</v>
      </c>
      <c r="M1330" s="14" t="s">
        <v>601</v>
      </c>
      <c r="N1330" s="14" t="s">
        <v>602</v>
      </c>
      <c r="O1330" s="14">
        <v>0.0</v>
      </c>
      <c r="P1330" s="21">
        <v>0.0</v>
      </c>
      <c r="Q1330" s="22" t="str">
        <f t="shared" ref="Q1330:R1330" si="793">"+0"</f>
        <v>+0</v>
      </c>
      <c r="R1330" s="18" t="str">
        <f t="shared" si="793"/>
        <v>+0</v>
      </c>
      <c r="S1330" s="14" t="s">
        <v>260</v>
      </c>
    </row>
    <row r="1331">
      <c r="A1331" s="13">
        <v>45901.0</v>
      </c>
      <c r="B1331" s="14" t="s">
        <v>47</v>
      </c>
      <c r="C1331" s="14" t="s">
        <v>48</v>
      </c>
      <c r="D1331" s="14" t="s">
        <v>77</v>
      </c>
      <c r="E1331" s="14" t="s">
        <v>78</v>
      </c>
      <c r="F1331" s="15" t="s">
        <v>51</v>
      </c>
      <c r="G1331" s="14" t="s">
        <v>128</v>
      </c>
      <c r="H1331" s="14" t="s">
        <v>81</v>
      </c>
      <c r="I1331" s="14" t="s">
        <v>59</v>
      </c>
      <c r="J1331" s="14" t="s">
        <v>199</v>
      </c>
      <c r="K1331" s="14" t="s">
        <v>206</v>
      </c>
      <c r="L1331" s="14" t="s">
        <v>295</v>
      </c>
      <c r="M1331" s="14" t="s">
        <v>651</v>
      </c>
      <c r="N1331" s="14" t="s">
        <v>652</v>
      </c>
      <c r="O1331" s="14">
        <v>0.0</v>
      </c>
      <c r="P1331" s="21">
        <v>0.0</v>
      </c>
      <c r="Q1331" s="22" t="str">
        <f t="shared" ref="Q1331:R1331" si="794">"+0"</f>
        <v>+0</v>
      </c>
      <c r="R1331" s="18" t="str">
        <f t="shared" si="794"/>
        <v>+0</v>
      </c>
      <c r="S1331" s="14" t="s">
        <v>260</v>
      </c>
    </row>
    <row r="1332">
      <c r="A1332" s="13">
        <v>45901.0</v>
      </c>
      <c r="B1332" s="14" t="s">
        <v>47</v>
      </c>
      <c r="C1332" s="14" t="s">
        <v>48</v>
      </c>
      <c r="D1332" s="14" t="s">
        <v>116</v>
      </c>
      <c r="E1332" s="14" t="s">
        <v>117</v>
      </c>
      <c r="F1332" s="15" t="s">
        <v>51</v>
      </c>
      <c r="G1332" s="14" t="s">
        <v>161</v>
      </c>
      <c r="H1332" s="14" t="s">
        <v>116</v>
      </c>
      <c r="I1332" s="14" t="s">
        <v>54</v>
      </c>
      <c r="J1332" s="14" t="s">
        <v>200</v>
      </c>
      <c r="K1332" s="14" t="s">
        <v>201</v>
      </c>
      <c r="L1332" s="14" t="s">
        <v>253</v>
      </c>
      <c r="M1332" s="14" t="s">
        <v>1411</v>
      </c>
      <c r="N1332" s="14" t="s">
        <v>1412</v>
      </c>
      <c r="O1332" s="14">
        <v>1.0</v>
      </c>
      <c r="P1332" s="23">
        <v>7.0E-4</v>
      </c>
      <c r="Q1332" s="22" t="str">
        <f>"-0.03%"</f>
        <v>-0.03%</v>
      </c>
      <c r="R1332" s="18" t="str">
        <f>"-0.04%"</f>
        <v>-0.04%</v>
      </c>
      <c r="S1332" s="14" t="s">
        <v>1413</v>
      </c>
    </row>
    <row r="1333">
      <c r="A1333" s="13">
        <v>45901.0</v>
      </c>
      <c r="B1333" s="14" t="s">
        <v>47</v>
      </c>
      <c r="C1333" s="14" t="s">
        <v>48</v>
      </c>
      <c r="D1333" s="14" t="s">
        <v>112</v>
      </c>
      <c r="E1333" s="14" t="s">
        <v>113</v>
      </c>
      <c r="F1333" s="15" t="s">
        <v>51</v>
      </c>
      <c r="G1333" s="14" t="s">
        <v>114</v>
      </c>
      <c r="H1333" s="14" t="s">
        <v>112</v>
      </c>
      <c r="I1333" s="14" t="s">
        <v>59</v>
      </c>
      <c r="J1333" s="14" t="s">
        <v>198</v>
      </c>
      <c r="K1333" s="14" t="s">
        <v>212</v>
      </c>
      <c r="L1333" s="14" t="s">
        <v>249</v>
      </c>
      <c r="M1333" s="14" t="s">
        <v>598</v>
      </c>
      <c r="N1333" s="14" t="s">
        <v>599</v>
      </c>
      <c r="O1333" s="14">
        <v>23.0</v>
      </c>
      <c r="P1333" s="21">
        <v>1440.0</v>
      </c>
      <c r="Q1333" s="22" t="str">
        <f>"-48"</f>
        <v>-48</v>
      </c>
      <c r="R1333" s="18" t="str">
        <f>"+0"</f>
        <v>+0</v>
      </c>
      <c r="S1333" s="14" t="s">
        <v>1414</v>
      </c>
    </row>
    <row r="1334">
      <c r="A1334" s="13">
        <v>45901.0</v>
      </c>
      <c r="B1334" s="14" t="s">
        <v>47</v>
      </c>
      <c r="C1334" s="14" t="s">
        <v>48</v>
      </c>
      <c r="D1334" s="14" t="s">
        <v>112</v>
      </c>
      <c r="E1334" s="14" t="s">
        <v>113</v>
      </c>
      <c r="F1334" s="15" t="s">
        <v>51</v>
      </c>
      <c r="G1334" s="14" t="s">
        <v>114</v>
      </c>
      <c r="H1334" s="14" t="s">
        <v>112</v>
      </c>
      <c r="I1334" s="14" t="s">
        <v>59</v>
      </c>
      <c r="J1334" s="14" t="s">
        <v>200</v>
      </c>
      <c r="K1334" s="14" t="s">
        <v>213</v>
      </c>
      <c r="L1334" s="14" t="s">
        <v>257</v>
      </c>
      <c r="M1334" s="14" t="s">
        <v>517</v>
      </c>
      <c r="N1334" s="14" t="s">
        <v>518</v>
      </c>
      <c r="O1334" s="14">
        <v>0.0</v>
      </c>
      <c r="P1334" s="21">
        <v>0.0</v>
      </c>
      <c r="Q1334" s="22" t="str">
        <f t="shared" ref="Q1334:R1334" si="795">"+0"</f>
        <v>+0</v>
      </c>
      <c r="R1334" s="18" t="str">
        <f t="shared" si="795"/>
        <v>+0</v>
      </c>
      <c r="S1334" s="14" t="s">
        <v>260</v>
      </c>
    </row>
    <row r="1335">
      <c r="A1335" s="13">
        <v>45901.0</v>
      </c>
      <c r="B1335" s="14" t="s">
        <v>47</v>
      </c>
      <c r="C1335" s="14" t="s">
        <v>48</v>
      </c>
      <c r="D1335" s="14" t="s">
        <v>181</v>
      </c>
      <c r="E1335" s="14" t="s">
        <v>182</v>
      </c>
      <c r="F1335" s="15" t="s">
        <v>51</v>
      </c>
      <c r="G1335" s="14" t="s">
        <v>183</v>
      </c>
      <c r="H1335" s="14" t="s">
        <v>181</v>
      </c>
      <c r="I1335" s="14" t="s">
        <v>59</v>
      </c>
      <c r="J1335" s="14" t="s">
        <v>200</v>
      </c>
      <c r="K1335" s="14" t="s">
        <v>232</v>
      </c>
      <c r="L1335" s="14" t="s">
        <v>261</v>
      </c>
      <c r="M1335" s="14" t="s">
        <v>864</v>
      </c>
      <c r="N1335" s="14" t="s">
        <v>865</v>
      </c>
      <c r="O1335" s="14">
        <v>0.0</v>
      </c>
      <c r="P1335" s="23">
        <v>0.0</v>
      </c>
      <c r="Q1335" s="22" t="str">
        <f t="shared" ref="Q1335:R1335" si="796">"+0.00%"</f>
        <v>+0.00%</v>
      </c>
      <c r="R1335" s="18" t="str">
        <f t="shared" si="796"/>
        <v>+0.00%</v>
      </c>
      <c r="S1335" s="14" t="s">
        <v>285</v>
      </c>
    </row>
    <row r="1336">
      <c r="A1336" s="13">
        <v>45901.0</v>
      </c>
      <c r="B1336" s="14" t="s">
        <v>47</v>
      </c>
      <c r="C1336" s="14" t="s">
        <v>48</v>
      </c>
      <c r="D1336" s="14" t="s">
        <v>56</v>
      </c>
      <c r="E1336" s="14" t="s">
        <v>57</v>
      </c>
      <c r="F1336" s="15" t="s">
        <v>51</v>
      </c>
      <c r="G1336" s="14" t="s">
        <v>58</v>
      </c>
      <c r="H1336" s="14" t="s">
        <v>56</v>
      </c>
      <c r="I1336" s="14" t="s">
        <v>59</v>
      </c>
      <c r="J1336" s="14" t="s">
        <v>200</v>
      </c>
      <c r="K1336" s="14" t="s">
        <v>223</v>
      </c>
      <c r="L1336" s="14" t="s">
        <v>487</v>
      </c>
      <c r="M1336" s="14" t="s">
        <v>1415</v>
      </c>
      <c r="N1336" s="14" t="s">
        <v>1416</v>
      </c>
      <c r="O1336" s="14">
        <v>100.0</v>
      </c>
      <c r="P1336" s="21">
        <v>3.0</v>
      </c>
      <c r="Q1336" s="22" t="str">
        <f t="shared" ref="Q1336:R1336" si="797">"+0"</f>
        <v>+0</v>
      </c>
      <c r="R1336" s="18" t="str">
        <f t="shared" si="797"/>
        <v>+0</v>
      </c>
      <c r="S1336" s="14" t="s">
        <v>260</v>
      </c>
    </row>
    <row r="1337">
      <c r="A1337" s="13">
        <v>45901.0</v>
      </c>
      <c r="B1337" s="14" t="s">
        <v>47</v>
      </c>
      <c r="C1337" s="14" t="s">
        <v>48</v>
      </c>
      <c r="D1337" s="14" t="s">
        <v>121</v>
      </c>
      <c r="E1337" s="14" t="s">
        <v>122</v>
      </c>
      <c r="F1337" s="15" t="s">
        <v>51</v>
      </c>
      <c r="G1337" s="14" t="s">
        <v>123</v>
      </c>
      <c r="H1337" s="14" t="s">
        <v>124</v>
      </c>
      <c r="I1337" s="14" t="s">
        <v>59</v>
      </c>
      <c r="J1337" s="14" t="s">
        <v>198</v>
      </c>
      <c r="K1337" s="14" t="s">
        <v>205</v>
      </c>
      <c r="L1337" s="14" t="s">
        <v>274</v>
      </c>
      <c r="M1337" s="14" t="s">
        <v>387</v>
      </c>
      <c r="N1337" s="14" t="s">
        <v>388</v>
      </c>
      <c r="O1337" s="14">
        <v>0.0</v>
      </c>
      <c r="P1337" s="21">
        <v>0.0</v>
      </c>
      <c r="Q1337" s="22" t="str">
        <f>"+0"</f>
        <v>+0</v>
      </c>
      <c r="S1337" s="14" t="s">
        <v>281</v>
      </c>
    </row>
    <row r="1338">
      <c r="A1338" s="13">
        <v>45901.0</v>
      </c>
      <c r="B1338" s="14" t="s">
        <v>47</v>
      </c>
      <c r="C1338" s="14" t="s">
        <v>48</v>
      </c>
      <c r="D1338" s="14" t="s">
        <v>155</v>
      </c>
      <c r="E1338" s="14" t="s">
        <v>156</v>
      </c>
      <c r="F1338" s="15" t="s">
        <v>51</v>
      </c>
      <c r="G1338" s="14" t="s">
        <v>157</v>
      </c>
      <c r="H1338" s="14" t="s">
        <v>155</v>
      </c>
      <c r="I1338" s="14" t="s">
        <v>59</v>
      </c>
      <c r="J1338" s="14" t="s">
        <v>200</v>
      </c>
      <c r="K1338" s="14" t="s">
        <v>223</v>
      </c>
      <c r="L1338" s="14" t="s">
        <v>307</v>
      </c>
      <c r="M1338" s="14" t="s">
        <v>533</v>
      </c>
      <c r="N1338" s="14" t="s">
        <v>534</v>
      </c>
      <c r="O1338" s="14">
        <v>0.0</v>
      </c>
      <c r="P1338" s="17"/>
      <c r="Q1338" s="22"/>
      <c r="S1338" s="14" t="s">
        <v>1417</v>
      </c>
    </row>
    <row r="1339">
      <c r="A1339" s="13">
        <v>45901.0</v>
      </c>
      <c r="B1339" s="14" t="s">
        <v>47</v>
      </c>
      <c r="C1339" s="14" t="s">
        <v>48</v>
      </c>
      <c r="D1339" s="14" t="s">
        <v>165</v>
      </c>
      <c r="E1339" s="14" t="s">
        <v>166</v>
      </c>
      <c r="F1339" s="15" t="s">
        <v>51</v>
      </c>
      <c r="G1339" s="14" t="s">
        <v>167</v>
      </c>
      <c r="H1339" s="14" t="s">
        <v>165</v>
      </c>
      <c r="I1339" s="14" t="s">
        <v>54</v>
      </c>
      <c r="J1339" s="14" t="s">
        <v>198</v>
      </c>
      <c r="K1339" s="14" t="s">
        <v>210</v>
      </c>
      <c r="L1339" s="14" t="s">
        <v>264</v>
      </c>
      <c r="M1339" s="14" t="s">
        <v>1409</v>
      </c>
      <c r="N1339" s="14" t="s">
        <v>1410</v>
      </c>
      <c r="O1339" s="14">
        <v>0.0</v>
      </c>
      <c r="P1339" s="21">
        <v>0.0</v>
      </c>
      <c r="Q1339" s="22" t="str">
        <f t="shared" ref="Q1339:R1339" si="798">"+0"</f>
        <v>+0</v>
      </c>
      <c r="R1339" s="18" t="str">
        <f t="shared" si="798"/>
        <v>+0</v>
      </c>
      <c r="S1339" s="14" t="s">
        <v>277</v>
      </c>
    </row>
    <row r="1340">
      <c r="A1340" s="13">
        <v>45901.0</v>
      </c>
      <c r="B1340" s="14" t="s">
        <v>47</v>
      </c>
      <c r="C1340" s="14" t="s">
        <v>48</v>
      </c>
      <c r="D1340" s="14" t="s">
        <v>165</v>
      </c>
      <c r="E1340" s="14" t="s">
        <v>166</v>
      </c>
      <c r="F1340" s="15" t="s">
        <v>51</v>
      </c>
      <c r="G1340" s="14" t="s">
        <v>167</v>
      </c>
      <c r="H1340" s="14" t="s">
        <v>165</v>
      </c>
      <c r="I1340" s="14" t="s">
        <v>54</v>
      </c>
      <c r="J1340" s="14" t="s">
        <v>200</v>
      </c>
      <c r="K1340" s="14" t="s">
        <v>213</v>
      </c>
      <c r="L1340" s="14" t="s">
        <v>257</v>
      </c>
      <c r="M1340" s="14" t="s">
        <v>315</v>
      </c>
      <c r="N1340" s="14" t="s">
        <v>316</v>
      </c>
      <c r="O1340" s="14">
        <v>27.0</v>
      </c>
      <c r="P1340" s="23">
        <v>0.2768</v>
      </c>
      <c r="Q1340" s="22" t="str">
        <f>"-0.27%"</f>
        <v>-0.27%</v>
      </c>
      <c r="R1340" s="18" t="str">
        <f>"+0.53%"</f>
        <v>+0.53%</v>
      </c>
      <c r="S1340" s="14" t="s">
        <v>1418</v>
      </c>
    </row>
    <row r="1341">
      <c r="A1341" s="13">
        <v>45901.0</v>
      </c>
      <c r="B1341" s="14" t="s">
        <v>47</v>
      </c>
      <c r="C1341" s="14" t="s">
        <v>48</v>
      </c>
      <c r="D1341" s="14" t="s">
        <v>63</v>
      </c>
      <c r="E1341" s="14" t="s">
        <v>64</v>
      </c>
      <c r="F1341" s="15" t="s">
        <v>51</v>
      </c>
      <c r="G1341" s="14" t="s">
        <v>65</v>
      </c>
      <c r="H1341" s="14" t="s">
        <v>63</v>
      </c>
      <c r="I1341" s="14" t="s">
        <v>54</v>
      </c>
      <c r="J1341" s="14" t="s">
        <v>200</v>
      </c>
      <c r="K1341" s="14" t="s">
        <v>227</v>
      </c>
      <c r="L1341" s="14" t="s">
        <v>328</v>
      </c>
      <c r="M1341" s="14" t="s">
        <v>329</v>
      </c>
      <c r="N1341" s="14" t="s">
        <v>330</v>
      </c>
      <c r="O1341" s="14">
        <v>2.0</v>
      </c>
      <c r="P1341" s="21">
        <v>1.0</v>
      </c>
      <c r="Q1341" s="22" t="str">
        <f t="shared" ref="Q1341:R1341" si="799">"+0"</f>
        <v>+0</v>
      </c>
      <c r="R1341" s="18" t="str">
        <f t="shared" si="799"/>
        <v>+0</v>
      </c>
      <c r="S1341" s="14" t="s">
        <v>260</v>
      </c>
    </row>
    <row r="1342">
      <c r="A1342" s="13">
        <v>45901.0</v>
      </c>
      <c r="B1342" s="14" t="s">
        <v>47</v>
      </c>
      <c r="C1342" s="14" t="s">
        <v>48</v>
      </c>
      <c r="D1342" s="14" t="s">
        <v>91</v>
      </c>
      <c r="E1342" s="14" t="s">
        <v>92</v>
      </c>
      <c r="F1342" s="15" t="s">
        <v>51</v>
      </c>
      <c r="G1342" s="14" t="s">
        <v>163</v>
      </c>
      <c r="H1342" s="14" t="s">
        <v>91</v>
      </c>
      <c r="I1342" s="14" t="s">
        <v>59</v>
      </c>
      <c r="J1342" s="14" t="s">
        <v>198</v>
      </c>
      <c r="K1342" s="14" t="s">
        <v>205</v>
      </c>
      <c r="L1342" s="14" t="s">
        <v>274</v>
      </c>
      <c r="M1342" s="14" t="s">
        <v>636</v>
      </c>
      <c r="N1342" s="14" t="s">
        <v>637</v>
      </c>
      <c r="O1342" s="14">
        <v>0.0</v>
      </c>
      <c r="P1342" s="21">
        <v>0.0</v>
      </c>
      <c r="Q1342" s="22" t="str">
        <f t="shared" ref="Q1342:Q1343" si="800">"+0"</f>
        <v>+0</v>
      </c>
      <c r="S1342" s="14" t="s">
        <v>281</v>
      </c>
    </row>
    <row r="1343">
      <c r="A1343" s="13">
        <v>45901.0</v>
      </c>
      <c r="B1343" s="14" t="s">
        <v>47</v>
      </c>
      <c r="C1343" s="14" t="s">
        <v>48</v>
      </c>
      <c r="D1343" s="14" t="s">
        <v>91</v>
      </c>
      <c r="E1343" s="14" t="s">
        <v>92</v>
      </c>
      <c r="F1343" s="15" t="s">
        <v>51</v>
      </c>
      <c r="G1343" s="14" t="s">
        <v>163</v>
      </c>
      <c r="H1343" s="14" t="s">
        <v>91</v>
      </c>
      <c r="I1343" s="14" t="s">
        <v>59</v>
      </c>
      <c r="J1343" s="14" t="s">
        <v>198</v>
      </c>
      <c r="K1343" s="14" t="s">
        <v>205</v>
      </c>
      <c r="L1343" s="14" t="s">
        <v>274</v>
      </c>
      <c r="M1343" s="14" t="s">
        <v>767</v>
      </c>
      <c r="N1343" s="14" t="s">
        <v>768</v>
      </c>
      <c r="O1343" s="14">
        <v>100.0</v>
      </c>
      <c r="P1343" s="21">
        <v>1.0</v>
      </c>
      <c r="Q1343" s="22" t="str">
        <f t="shared" si="800"/>
        <v>+0</v>
      </c>
      <c r="S1343" s="14" t="s">
        <v>281</v>
      </c>
    </row>
    <row r="1344">
      <c r="A1344" s="13">
        <v>45901.0</v>
      </c>
      <c r="B1344" s="14" t="s">
        <v>47</v>
      </c>
      <c r="C1344" s="14" t="s">
        <v>48</v>
      </c>
      <c r="D1344" s="14" t="s">
        <v>118</v>
      </c>
      <c r="E1344" s="14" t="s">
        <v>119</v>
      </c>
      <c r="F1344" s="15" t="s">
        <v>51</v>
      </c>
      <c r="G1344" s="14" t="s">
        <v>120</v>
      </c>
      <c r="H1344" s="14" t="s">
        <v>118</v>
      </c>
      <c r="I1344" s="14" t="s">
        <v>59</v>
      </c>
      <c r="J1344" s="14" t="s">
        <v>200</v>
      </c>
      <c r="K1344" s="14" t="s">
        <v>213</v>
      </c>
      <c r="L1344" s="14" t="s">
        <v>359</v>
      </c>
      <c r="M1344" s="14" t="s">
        <v>360</v>
      </c>
      <c r="N1344" s="14" t="s">
        <v>361</v>
      </c>
      <c r="O1344" s="14">
        <v>0.0</v>
      </c>
      <c r="P1344" s="23">
        <v>0.0</v>
      </c>
      <c r="Q1344" s="22" t="str">
        <f t="shared" ref="Q1344:R1344" si="801">"+0.00%"</f>
        <v>+0.00%</v>
      </c>
      <c r="R1344" s="18" t="str">
        <f t="shared" si="801"/>
        <v>+0.00%</v>
      </c>
      <c r="S1344" s="14" t="s">
        <v>1419</v>
      </c>
    </row>
    <row r="1345">
      <c r="A1345" s="13">
        <v>45901.0</v>
      </c>
      <c r="B1345" s="14" t="s">
        <v>47</v>
      </c>
      <c r="C1345" s="14" t="s">
        <v>48</v>
      </c>
      <c r="D1345" s="14" t="s">
        <v>91</v>
      </c>
      <c r="E1345" s="14" t="s">
        <v>92</v>
      </c>
      <c r="F1345" s="14" t="s">
        <v>71</v>
      </c>
      <c r="G1345" s="14">
        <v>5.00008612E8</v>
      </c>
      <c r="H1345" s="14" t="s">
        <v>91</v>
      </c>
      <c r="I1345" s="14" t="s">
        <v>59</v>
      </c>
      <c r="J1345" s="14" t="s">
        <v>199</v>
      </c>
      <c r="K1345" s="14" t="s">
        <v>203</v>
      </c>
      <c r="L1345" s="14" t="s">
        <v>340</v>
      </c>
      <c r="M1345" s="14" t="s">
        <v>340</v>
      </c>
      <c r="N1345" s="14" t="s">
        <v>341</v>
      </c>
      <c r="O1345" s="14">
        <v>0.0</v>
      </c>
      <c r="P1345" s="21">
        <v>0.0</v>
      </c>
      <c r="Q1345" s="22" t="str">
        <f>"-1"</f>
        <v>-1</v>
      </c>
      <c r="R1345" s="18" t="str">
        <f>"-3"</f>
        <v>-3</v>
      </c>
      <c r="S1345" s="14" t="s">
        <v>260</v>
      </c>
    </row>
    <row r="1346">
      <c r="A1346" s="13">
        <v>45901.0</v>
      </c>
      <c r="B1346" s="14" t="s">
        <v>47</v>
      </c>
      <c r="C1346" s="14" t="s">
        <v>48</v>
      </c>
      <c r="D1346" s="14" t="s">
        <v>91</v>
      </c>
      <c r="E1346" s="14" t="s">
        <v>92</v>
      </c>
      <c r="F1346" s="14" t="s">
        <v>71</v>
      </c>
      <c r="G1346" s="14">
        <v>5.00008613E8</v>
      </c>
      <c r="H1346" s="14" t="s">
        <v>91</v>
      </c>
      <c r="I1346" s="14" t="s">
        <v>59</v>
      </c>
      <c r="J1346" s="14" t="s">
        <v>199</v>
      </c>
      <c r="K1346" s="14" t="s">
        <v>206</v>
      </c>
      <c r="L1346" s="14" t="s">
        <v>295</v>
      </c>
      <c r="M1346" s="14" t="s">
        <v>651</v>
      </c>
      <c r="N1346" s="14" t="s">
        <v>652</v>
      </c>
      <c r="O1346" s="14">
        <v>0.0</v>
      </c>
      <c r="P1346" s="21">
        <v>0.0</v>
      </c>
      <c r="Q1346" s="22" t="str">
        <f t="shared" ref="Q1346:R1346" si="802">"+0"</f>
        <v>+0</v>
      </c>
      <c r="R1346" s="18" t="str">
        <f t="shared" si="802"/>
        <v>+0</v>
      </c>
      <c r="S1346" s="14" t="s">
        <v>260</v>
      </c>
    </row>
    <row r="1347">
      <c r="A1347" s="13">
        <v>45901.0</v>
      </c>
      <c r="B1347" s="14" t="s">
        <v>47</v>
      </c>
      <c r="C1347" s="14" t="s">
        <v>48</v>
      </c>
      <c r="D1347" s="14" t="s">
        <v>93</v>
      </c>
      <c r="E1347" s="14" t="s">
        <v>94</v>
      </c>
      <c r="F1347" s="14" t="s">
        <v>71</v>
      </c>
      <c r="G1347" s="14">
        <v>5.36001438E8</v>
      </c>
      <c r="H1347" s="14" t="s">
        <v>95</v>
      </c>
      <c r="I1347" s="14" t="s">
        <v>59</v>
      </c>
      <c r="J1347" s="14" t="s">
        <v>199</v>
      </c>
      <c r="K1347" s="14" t="s">
        <v>203</v>
      </c>
      <c r="L1347" s="14" t="s">
        <v>431</v>
      </c>
      <c r="M1347" s="14" t="s">
        <v>431</v>
      </c>
      <c r="N1347" s="14" t="s">
        <v>432</v>
      </c>
      <c r="O1347" s="14">
        <v>0.0</v>
      </c>
      <c r="P1347" s="21">
        <v>0.0</v>
      </c>
      <c r="Q1347" s="22" t="str">
        <f t="shared" ref="Q1347:R1347" si="803">"+0"</f>
        <v>+0</v>
      </c>
      <c r="R1347" s="18" t="str">
        <f t="shared" si="803"/>
        <v>+0</v>
      </c>
      <c r="S1347" s="14" t="s">
        <v>260</v>
      </c>
    </row>
    <row r="1348">
      <c r="A1348" s="13">
        <v>45901.0</v>
      </c>
      <c r="B1348" s="14" t="s">
        <v>47</v>
      </c>
      <c r="C1348" s="14" t="s">
        <v>48</v>
      </c>
      <c r="D1348" s="14" t="s">
        <v>192</v>
      </c>
      <c r="E1348" s="14" t="s">
        <v>193</v>
      </c>
      <c r="F1348" s="15" t="s">
        <v>51</v>
      </c>
      <c r="G1348" s="14" t="s">
        <v>194</v>
      </c>
      <c r="H1348" s="14" t="s">
        <v>192</v>
      </c>
      <c r="I1348" s="14" t="s">
        <v>54</v>
      </c>
      <c r="J1348" s="14" t="s">
        <v>199</v>
      </c>
      <c r="K1348" s="14" t="s">
        <v>206</v>
      </c>
      <c r="L1348" s="14" t="s">
        <v>381</v>
      </c>
      <c r="M1348" s="14" t="s">
        <v>381</v>
      </c>
      <c r="N1348" s="14" t="s">
        <v>382</v>
      </c>
      <c r="O1348" s="14">
        <v>0.0</v>
      </c>
      <c r="P1348" s="21">
        <v>0.0</v>
      </c>
      <c r="Q1348" s="22" t="str">
        <f t="shared" ref="Q1348:R1348" si="804">"+0"</f>
        <v>+0</v>
      </c>
      <c r="R1348" s="18" t="str">
        <f t="shared" si="804"/>
        <v>+0</v>
      </c>
      <c r="S1348" s="14" t="s">
        <v>383</v>
      </c>
    </row>
    <row r="1349">
      <c r="A1349" s="13">
        <v>45901.0</v>
      </c>
      <c r="B1349" s="14" t="s">
        <v>47</v>
      </c>
      <c r="C1349" s="14" t="s">
        <v>48</v>
      </c>
      <c r="D1349" s="14" t="s">
        <v>192</v>
      </c>
      <c r="E1349" s="14" t="s">
        <v>193</v>
      </c>
      <c r="F1349" s="15" t="s">
        <v>51</v>
      </c>
      <c r="G1349" s="14" t="s">
        <v>194</v>
      </c>
      <c r="H1349" s="14" t="s">
        <v>192</v>
      </c>
      <c r="I1349" s="14" t="s">
        <v>54</v>
      </c>
      <c r="J1349" s="14" t="s">
        <v>200</v>
      </c>
      <c r="K1349" s="14" t="s">
        <v>231</v>
      </c>
      <c r="L1349" s="14" t="s">
        <v>751</v>
      </c>
      <c r="M1349" s="14" t="s">
        <v>872</v>
      </c>
      <c r="N1349" s="14" t="s">
        <v>873</v>
      </c>
      <c r="O1349" s="14">
        <v>0.0</v>
      </c>
      <c r="P1349" s="21">
        <v>0.0</v>
      </c>
      <c r="Q1349" s="22" t="str">
        <f t="shared" ref="Q1349:R1349" si="805">"+0"</f>
        <v>+0</v>
      </c>
      <c r="R1349" s="18" t="str">
        <f t="shared" si="805"/>
        <v>+0</v>
      </c>
      <c r="S1349" s="14" t="s">
        <v>260</v>
      </c>
    </row>
    <row r="1350">
      <c r="A1350" s="13">
        <v>45901.0</v>
      </c>
      <c r="B1350" s="14" t="s">
        <v>47</v>
      </c>
      <c r="C1350" s="14" t="s">
        <v>48</v>
      </c>
      <c r="D1350" s="14" t="s">
        <v>192</v>
      </c>
      <c r="E1350" s="14" t="s">
        <v>193</v>
      </c>
      <c r="F1350" s="15" t="s">
        <v>51</v>
      </c>
      <c r="G1350" s="14" t="s">
        <v>194</v>
      </c>
      <c r="H1350" s="14" t="s">
        <v>192</v>
      </c>
      <c r="I1350" s="14" t="s">
        <v>54</v>
      </c>
      <c r="J1350" s="14" t="s">
        <v>200</v>
      </c>
      <c r="K1350" s="14" t="s">
        <v>223</v>
      </c>
      <c r="L1350" s="14" t="s">
        <v>286</v>
      </c>
      <c r="M1350" s="14" t="s">
        <v>656</v>
      </c>
      <c r="N1350" s="14" t="s">
        <v>657</v>
      </c>
      <c r="O1350" s="14">
        <v>100.0</v>
      </c>
      <c r="P1350" s="23">
        <v>8.0E-4</v>
      </c>
      <c r="Q1350" s="22" t="str">
        <f>"-0.13%"</f>
        <v>-0.13%</v>
      </c>
      <c r="R1350" s="18" t="str">
        <f>"+0.00%"</f>
        <v>+0.00%</v>
      </c>
      <c r="S1350" s="14" t="s">
        <v>285</v>
      </c>
    </row>
    <row r="1351">
      <c r="A1351" s="13">
        <v>45901.0</v>
      </c>
      <c r="B1351" s="14" t="s">
        <v>47</v>
      </c>
      <c r="C1351" s="14" t="s">
        <v>48</v>
      </c>
      <c r="D1351" s="14" t="s">
        <v>66</v>
      </c>
      <c r="E1351" s="14" t="s">
        <v>67</v>
      </c>
      <c r="F1351" s="15" t="s">
        <v>51</v>
      </c>
      <c r="G1351" s="14" t="s">
        <v>68</v>
      </c>
      <c r="H1351" s="14" t="s">
        <v>66</v>
      </c>
      <c r="I1351" s="14" t="s">
        <v>59</v>
      </c>
      <c r="J1351" s="14" t="s">
        <v>200</v>
      </c>
      <c r="K1351" s="14" t="s">
        <v>223</v>
      </c>
      <c r="L1351" s="14" t="s">
        <v>607</v>
      </c>
      <c r="M1351" s="14" t="s">
        <v>1027</v>
      </c>
      <c r="N1351" s="14" t="s">
        <v>1028</v>
      </c>
      <c r="O1351" s="14">
        <v>0.0</v>
      </c>
      <c r="P1351" s="23">
        <v>-1.0</v>
      </c>
      <c r="Q1351" s="22" t="str">
        <f t="shared" ref="Q1351:R1351" si="806">"+0.00%"</f>
        <v>+0.00%</v>
      </c>
      <c r="R1351" s="18" t="str">
        <f t="shared" si="806"/>
        <v>+0.00%</v>
      </c>
      <c r="S1351" s="14" t="s">
        <v>256</v>
      </c>
    </row>
    <row r="1352">
      <c r="A1352" s="13">
        <v>45901.0</v>
      </c>
      <c r="B1352" s="14" t="s">
        <v>47</v>
      </c>
      <c r="C1352" s="14" t="s">
        <v>48</v>
      </c>
      <c r="D1352" s="14" t="s">
        <v>66</v>
      </c>
      <c r="E1352" s="14" t="s">
        <v>67</v>
      </c>
      <c r="F1352" s="15" t="s">
        <v>51</v>
      </c>
      <c r="G1352" s="14" t="s">
        <v>68</v>
      </c>
      <c r="H1352" s="14" t="s">
        <v>66</v>
      </c>
      <c r="I1352" s="14" t="s">
        <v>59</v>
      </c>
      <c r="J1352" s="14" t="s">
        <v>200</v>
      </c>
      <c r="K1352" s="14" t="s">
        <v>223</v>
      </c>
      <c r="L1352" s="14" t="s">
        <v>253</v>
      </c>
      <c r="M1352" s="14" t="s">
        <v>366</v>
      </c>
      <c r="N1352" s="14" t="s">
        <v>367</v>
      </c>
      <c r="O1352" s="14">
        <v>8.0</v>
      </c>
      <c r="P1352" s="23">
        <v>0.087</v>
      </c>
      <c r="Q1352" s="22" t="str">
        <f>"+0.00%"</f>
        <v>+0.00%</v>
      </c>
      <c r="R1352" s="18" t="str">
        <f>"-91.30%"</f>
        <v>-91.30%</v>
      </c>
      <c r="S1352" s="14" t="s">
        <v>1420</v>
      </c>
    </row>
    <row r="1353">
      <c r="A1353" s="13">
        <v>45901.0</v>
      </c>
      <c r="B1353" s="14" t="s">
        <v>47</v>
      </c>
      <c r="C1353" s="14" t="s">
        <v>48</v>
      </c>
      <c r="D1353" s="14" t="s">
        <v>143</v>
      </c>
      <c r="E1353" s="14" t="s">
        <v>144</v>
      </c>
      <c r="F1353" s="15" t="s">
        <v>51</v>
      </c>
      <c r="G1353" s="14" t="s">
        <v>145</v>
      </c>
      <c r="H1353" s="14" t="s">
        <v>143</v>
      </c>
      <c r="I1353" s="14" t="s">
        <v>59</v>
      </c>
      <c r="J1353" s="14" t="s">
        <v>199</v>
      </c>
      <c r="K1353" s="14" t="s">
        <v>206</v>
      </c>
      <c r="L1353" s="14" t="s">
        <v>268</v>
      </c>
      <c r="M1353" s="14" t="s">
        <v>268</v>
      </c>
      <c r="N1353" s="14" t="s">
        <v>269</v>
      </c>
      <c r="O1353" s="14">
        <v>0.0</v>
      </c>
      <c r="P1353" s="21">
        <v>0.0</v>
      </c>
      <c r="Q1353" s="22" t="str">
        <f t="shared" ref="Q1353:R1353" si="807">"+0"</f>
        <v>+0</v>
      </c>
      <c r="R1353" s="18" t="str">
        <f t="shared" si="807"/>
        <v>+0</v>
      </c>
      <c r="S1353" s="14" t="s">
        <v>260</v>
      </c>
    </row>
    <row r="1354">
      <c r="A1354" s="13">
        <v>45901.0</v>
      </c>
      <c r="B1354" s="14" t="s">
        <v>47</v>
      </c>
      <c r="C1354" s="14" t="s">
        <v>48</v>
      </c>
      <c r="D1354" s="14" t="s">
        <v>103</v>
      </c>
      <c r="E1354" s="14" t="s">
        <v>104</v>
      </c>
      <c r="F1354" s="15" t="s">
        <v>51</v>
      </c>
      <c r="G1354" s="14" t="s">
        <v>105</v>
      </c>
      <c r="H1354" s="14" t="s">
        <v>106</v>
      </c>
      <c r="I1354" s="14" t="s">
        <v>59</v>
      </c>
      <c r="J1354" s="14" t="s">
        <v>198</v>
      </c>
      <c r="K1354" s="14" t="s">
        <v>212</v>
      </c>
      <c r="L1354" s="14" t="s">
        <v>249</v>
      </c>
      <c r="M1354" s="14" t="s">
        <v>250</v>
      </c>
      <c r="N1354" s="14" t="s">
        <v>251</v>
      </c>
      <c r="O1354" s="14">
        <v>27.0</v>
      </c>
      <c r="P1354" s="21">
        <v>302.0</v>
      </c>
      <c r="Q1354" s="22" t="str">
        <f>"+45"</f>
        <v>+45</v>
      </c>
      <c r="R1354" s="18" t="str">
        <f>"-249"</f>
        <v>-249</v>
      </c>
      <c r="S1354" s="14" t="s">
        <v>1421</v>
      </c>
    </row>
    <row r="1355">
      <c r="A1355" s="13">
        <v>45901.0</v>
      </c>
      <c r="B1355" s="14" t="s">
        <v>47</v>
      </c>
      <c r="C1355" s="14" t="s">
        <v>48</v>
      </c>
      <c r="D1355" s="14" t="s">
        <v>73</v>
      </c>
      <c r="E1355" s="14" t="s">
        <v>74</v>
      </c>
      <c r="F1355" s="15" t="s">
        <v>51</v>
      </c>
      <c r="G1355" s="14" t="s">
        <v>75</v>
      </c>
      <c r="H1355" s="14" t="s">
        <v>76</v>
      </c>
      <c r="I1355" s="14" t="s">
        <v>59</v>
      </c>
      <c r="J1355" s="14" t="s">
        <v>198</v>
      </c>
      <c r="K1355" s="14" t="s">
        <v>207</v>
      </c>
      <c r="L1355" s="14" t="s">
        <v>318</v>
      </c>
      <c r="M1355" s="14" t="s">
        <v>319</v>
      </c>
      <c r="N1355" s="14" t="s">
        <v>320</v>
      </c>
      <c r="O1355" s="14">
        <v>0.0</v>
      </c>
      <c r="P1355" s="21">
        <v>0.0</v>
      </c>
      <c r="Q1355" s="22" t="str">
        <f>"+0"</f>
        <v>+0</v>
      </c>
      <c r="S1355" s="14" t="s">
        <v>281</v>
      </c>
    </row>
    <row r="1356">
      <c r="A1356" s="13">
        <v>45901.0</v>
      </c>
      <c r="B1356" s="14" t="s">
        <v>47</v>
      </c>
      <c r="C1356" s="14" t="s">
        <v>48</v>
      </c>
      <c r="D1356" s="14" t="s">
        <v>143</v>
      </c>
      <c r="E1356" s="14" t="s">
        <v>144</v>
      </c>
      <c r="F1356" s="15" t="s">
        <v>51</v>
      </c>
      <c r="G1356" s="14" t="s">
        <v>145</v>
      </c>
      <c r="H1356" s="14" t="s">
        <v>143</v>
      </c>
      <c r="I1356" s="14" t="s">
        <v>59</v>
      </c>
      <c r="J1356" s="14" t="s">
        <v>200</v>
      </c>
      <c r="K1356" s="14" t="s">
        <v>224</v>
      </c>
      <c r="L1356" s="14" t="s">
        <v>964</v>
      </c>
      <c r="M1356" s="14" t="s">
        <v>965</v>
      </c>
      <c r="N1356" s="14" t="s">
        <v>966</v>
      </c>
      <c r="O1356" s="14">
        <v>0.0</v>
      </c>
      <c r="P1356" s="23">
        <v>0.0</v>
      </c>
      <c r="Q1356" s="22" t="str">
        <f>"+0.00%"</f>
        <v>+0.00%</v>
      </c>
      <c r="S1356" s="14" t="s">
        <v>1422</v>
      </c>
    </row>
    <row r="1357">
      <c r="A1357" s="13">
        <v>45901.0</v>
      </c>
      <c r="B1357" s="14" t="s">
        <v>47</v>
      </c>
      <c r="C1357" s="14" t="s">
        <v>48</v>
      </c>
      <c r="D1357" s="14" t="s">
        <v>143</v>
      </c>
      <c r="E1357" s="14" t="s">
        <v>144</v>
      </c>
      <c r="F1357" s="15" t="s">
        <v>51</v>
      </c>
      <c r="G1357" s="14" t="s">
        <v>145</v>
      </c>
      <c r="H1357" s="14" t="s">
        <v>143</v>
      </c>
      <c r="I1357" s="14" t="s">
        <v>59</v>
      </c>
      <c r="J1357" s="14" t="s">
        <v>200</v>
      </c>
      <c r="K1357" s="14" t="s">
        <v>232</v>
      </c>
      <c r="L1357" s="14" t="s">
        <v>607</v>
      </c>
      <c r="M1357" s="14" t="s">
        <v>1035</v>
      </c>
      <c r="N1357" s="14" t="s">
        <v>1036</v>
      </c>
      <c r="O1357" s="14">
        <v>23.0</v>
      </c>
      <c r="P1357" s="23">
        <v>0.2308</v>
      </c>
      <c r="Q1357" s="22" t="str">
        <f>"+23.08%"</f>
        <v>+23.08%</v>
      </c>
      <c r="R1357" s="18" t="str">
        <f>"+6.95%"</f>
        <v>+6.95%</v>
      </c>
      <c r="S1357" s="14" t="s">
        <v>1423</v>
      </c>
    </row>
    <row r="1358">
      <c r="A1358" s="13">
        <v>45901.0</v>
      </c>
      <c r="B1358" s="14" t="s">
        <v>47</v>
      </c>
      <c r="C1358" s="14" t="s">
        <v>48</v>
      </c>
      <c r="D1358" s="14" t="s">
        <v>136</v>
      </c>
      <c r="E1358" s="14" t="s">
        <v>137</v>
      </c>
      <c r="F1358" s="15" t="s">
        <v>51</v>
      </c>
      <c r="G1358" s="14" t="s">
        <v>138</v>
      </c>
      <c r="H1358" s="14" t="s">
        <v>139</v>
      </c>
      <c r="I1358" s="14" t="s">
        <v>59</v>
      </c>
      <c r="J1358" s="14" t="s">
        <v>200</v>
      </c>
      <c r="K1358" s="14" t="s">
        <v>224</v>
      </c>
      <c r="L1358" s="14" t="s">
        <v>392</v>
      </c>
      <c r="M1358" s="14" t="s">
        <v>1424</v>
      </c>
      <c r="N1358" s="14" t="s">
        <v>1425</v>
      </c>
      <c r="O1358" s="14">
        <v>0.0</v>
      </c>
      <c r="P1358" s="23">
        <v>0.0</v>
      </c>
      <c r="Q1358" s="22" t="str">
        <f t="shared" ref="Q1358:Q1359" si="808">"+0.00%"</f>
        <v>+0.00%</v>
      </c>
      <c r="S1358" s="14" t="s">
        <v>1426</v>
      </c>
    </row>
    <row r="1359">
      <c r="A1359" s="13">
        <v>45901.0</v>
      </c>
      <c r="B1359" s="14" t="s">
        <v>47</v>
      </c>
      <c r="C1359" s="14" t="s">
        <v>48</v>
      </c>
      <c r="D1359" s="14" t="s">
        <v>136</v>
      </c>
      <c r="E1359" s="14" t="s">
        <v>137</v>
      </c>
      <c r="F1359" s="15" t="s">
        <v>51</v>
      </c>
      <c r="G1359" s="14" t="s">
        <v>138</v>
      </c>
      <c r="H1359" s="14" t="s">
        <v>139</v>
      </c>
      <c r="I1359" s="14" t="s">
        <v>59</v>
      </c>
      <c r="J1359" s="14" t="s">
        <v>200</v>
      </c>
      <c r="K1359" s="14" t="s">
        <v>224</v>
      </c>
      <c r="L1359" s="14" t="s">
        <v>436</v>
      </c>
      <c r="M1359" s="14" t="s">
        <v>1353</v>
      </c>
      <c r="N1359" s="14" t="s">
        <v>1354</v>
      </c>
      <c r="O1359" s="14">
        <v>100.0</v>
      </c>
      <c r="P1359" s="23">
        <v>1.0</v>
      </c>
      <c r="Q1359" s="22" t="str">
        <f t="shared" si="808"/>
        <v>+0.00%</v>
      </c>
      <c r="S1359" s="14" t="s">
        <v>1427</v>
      </c>
    </row>
    <row r="1360">
      <c r="A1360" s="13">
        <v>45901.0</v>
      </c>
      <c r="B1360" s="14" t="s">
        <v>47</v>
      </c>
      <c r="C1360" s="14" t="s">
        <v>48</v>
      </c>
      <c r="D1360" s="14" t="s">
        <v>149</v>
      </c>
      <c r="E1360" s="14" t="s">
        <v>150</v>
      </c>
      <c r="F1360" s="15" t="s">
        <v>51</v>
      </c>
      <c r="G1360" s="14" t="s">
        <v>151</v>
      </c>
      <c r="H1360" s="14" t="s">
        <v>152</v>
      </c>
      <c r="I1360" s="14" t="s">
        <v>54</v>
      </c>
      <c r="J1360" s="14" t="s">
        <v>200</v>
      </c>
      <c r="K1360" s="14" t="s">
        <v>223</v>
      </c>
      <c r="L1360" s="14" t="s">
        <v>363</v>
      </c>
      <c r="M1360" s="14" t="s">
        <v>379</v>
      </c>
      <c r="N1360" s="14" t="s">
        <v>380</v>
      </c>
      <c r="O1360" s="14">
        <v>100.0</v>
      </c>
      <c r="P1360" s="21">
        <v>2.0</v>
      </c>
      <c r="Q1360" s="22" t="str">
        <f t="shared" ref="Q1360:R1360" si="809">"+0"</f>
        <v>+0</v>
      </c>
      <c r="R1360" s="18" t="str">
        <f t="shared" si="809"/>
        <v>+0</v>
      </c>
      <c r="S1360" s="14" t="s">
        <v>260</v>
      </c>
    </row>
    <row r="1361">
      <c r="A1361" s="13">
        <v>45901.0</v>
      </c>
      <c r="B1361" s="14" t="s">
        <v>47</v>
      </c>
      <c r="C1361" s="14" t="s">
        <v>48</v>
      </c>
      <c r="D1361" s="14" t="s">
        <v>69</v>
      </c>
      <c r="E1361" s="14" t="s">
        <v>70</v>
      </c>
      <c r="F1361" s="15" t="s">
        <v>51</v>
      </c>
      <c r="G1361" s="14" t="s">
        <v>115</v>
      </c>
      <c r="H1361" s="14" t="s">
        <v>72</v>
      </c>
      <c r="I1361" s="14" t="s">
        <v>54</v>
      </c>
      <c r="J1361" s="14" t="s">
        <v>200</v>
      </c>
      <c r="K1361" s="14" t="s">
        <v>245</v>
      </c>
      <c r="L1361" s="14" t="s">
        <v>253</v>
      </c>
      <c r="M1361" s="14" t="s">
        <v>476</v>
      </c>
      <c r="N1361" s="14" t="s">
        <v>477</v>
      </c>
      <c r="O1361" s="14">
        <v>100.0</v>
      </c>
      <c r="P1361" s="23">
        <v>1.0</v>
      </c>
      <c r="Q1361" s="22" t="str">
        <f t="shared" ref="Q1361:R1361" si="810">"+0.00%"</f>
        <v>+0.00%</v>
      </c>
      <c r="R1361" s="18" t="str">
        <f t="shared" si="810"/>
        <v>+0.00%</v>
      </c>
      <c r="S1361" s="14" t="s">
        <v>478</v>
      </c>
    </row>
    <row r="1362">
      <c r="A1362" s="13">
        <v>45901.0</v>
      </c>
      <c r="B1362" s="14" t="s">
        <v>47</v>
      </c>
      <c r="C1362" s="14" t="s">
        <v>48</v>
      </c>
      <c r="D1362" s="14" t="s">
        <v>69</v>
      </c>
      <c r="E1362" s="14" t="s">
        <v>70</v>
      </c>
      <c r="F1362" s="15" t="s">
        <v>51</v>
      </c>
      <c r="G1362" s="14" t="s">
        <v>115</v>
      </c>
      <c r="H1362" s="14" t="s">
        <v>72</v>
      </c>
      <c r="I1362" s="14" t="s">
        <v>54</v>
      </c>
      <c r="J1362" s="14" t="s">
        <v>200</v>
      </c>
      <c r="K1362" s="14" t="s">
        <v>215</v>
      </c>
      <c r="L1362" s="14" t="s">
        <v>1322</v>
      </c>
      <c r="M1362" s="14" t="s">
        <v>1323</v>
      </c>
      <c r="N1362" s="14" t="s">
        <v>1324</v>
      </c>
      <c r="O1362" s="14">
        <v>60.0</v>
      </c>
      <c r="P1362" s="23">
        <v>0.2059</v>
      </c>
      <c r="Q1362" s="22" t="str">
        <f>"+10.33%"</f>
        <v>+10.33%</v>
      </c>
      <c r="R1362" s="18" t="str">
        <f>"+36.40%"</f>
        <v>+36.40%</v>
      </c>
      <c r="S1362" s="14" t="s">
        <v>1428</v>
      </c>
    </row>
    <row r="1363">
      <c r="A1363" s="13">
        <v>45901.0</v>
      </c>
      <c r="B1363" s="14" t="s">
        <v>47</v>
      </c>
      <c r="C1363" s="14" t="s">
        <v>48</v>
      </c>
      <c r="D1363" s="14" t="s">
        <v>69</v>
      </c>
      <c r="E1363" s="14" t="s">
        <v>70</v>
      </c>
      <c r="F1363" s="15" t="s">
        <v>51</v>
      </c>
      <c r="G1363" s="14" t="s">
        <v>115</v>
      </c>
      <c r="H1363" s="14" t="s">
        <v>72</v>
      </c>
      <c r="I1363" s="14" t="s">
        <v>54</v>
      </c>
      <c r="J1363" s="14" t="s">
        <v>198</v>
      </c>
      <c r="K1363" s="14" t="s">
        <v>210</v>
      </c>
      <c r="L1363" s="14" t="s">
        <v>264</v>
      </c>
      <c r="M1363" s="14" t="s">
        <v>989</v>
      </c>
      <c r="N1363" s="14" t="s">
        <v>990</v>
      </c>
      <c r="O1363" s="14">
        <v>0.0</v>
      </c>
      <c r="P1363" s="21">
        <v>0.0</v>
      </c>
      <c r="Q1363" s="22" t="str">
        <f t="shared" ref="Q1363:R1363" si="811">"+0"</f>
        <v>+0</v>
      </c>
      <c r="R1363" s="18" t="str">
        <f t="shared" si="811"/>
        <v>+0</v>
      </c>
      <c r="S1363" s="14" t="s">
        <v>277</v>
      </c>
    </row>
    <row r="1364">
      <c r="A1364" s="13">
        <v>45901.0</v>
      </c>
      <c r="B1364" s="14" t="s">
        <v>47</v>
      </c>
      <c r="C1364" s="14" t="s">
        <v>48</v>
      </c>
      <c r="D1364" s="14" t="s">
        <v>85</v>
      </c>
      <c r="E1364" s="14" t="s">
        <v>86</v>
      </c>
      <c r="F1364" s="15" t="s">
        <v>51</v>
      </c>
      <c r="G1364" s="14" t="s">
        <v>148</v>
      </c>
      <c r="H1364" s="14" t="s">
        <v>85</v>
      </c>
      <c r="I1364" s="14" t="s">
        <v>59</v>
      </c>
      <c r="J1364" s="14" t="s">
        <v>198</v>
      </c>
      <c r="K1364" s="14" t="s">
        <v>210</v>
      </c>
      <c r="L1364" s="14" t="s">
        <v>264</v>
      </c>
      <c r="M1364" s="14" t="s">
        <v>470</v>
      </c>
      <c r="N1364" s="14" t="s">
        <v>471</v>
      </c>
      <c r="O1364" s="14">
        <v>89.0</v>
      </c>
      <c r="P1364" s="21">
        <v>1.0</v>
      </c>
      <c r="Q1364" s="22" t="str">
        <f>"+0"</f>
        <v>+0</v>
      </c>
      <c r="R1364" s="18" t="str">
        <f>"-10"</f>
        <v>-10</v>
      </c>
      <c r="S1364" s="14" t="s">
        <v>356</v>
      </c>
    </row>
    <row r="1365">
      <c r="A1365" s="13">
        <v>45901.0</v>
      </c>
      <c r="B1365" s="14" t="s">
        <v>47</v>
      </c>
      <c r="C1365" s="14" t="s">
        <v>48</v>
      </c>
      <c r="D1365" s="14" t="s">
        <v>69</v>
      </c>
      <c r="E1365" s="14" t="s">
        <v>70</v>
      </c>
      <c r="F1365" s="15" t="s">
        <v>51</v>
      </c>
      <c r="G1365" s="14" t="s">
        <v>115</v>
      </c>
      <c r="H1365" s="14" t="s">
        <v>72</v>
      </c>
      <c r="I1365" s="14" t="s">
        <v>54</v>
      </c>
      <c r="J1365" s="14" t="s">
        <v>200</v>
      </c>
      <c r="K1365" s="14" t="s">
        <v>227</v>
      </c>
      <c r="L1365" s="14" t="s">
        <v>270</v>
      </c>
      <c r="M1365" s="14" t="s">
        <v>321</v>
      </c>
      <c r="N1365" s="14" t="s">
        <v>322</v>
      </c>
      <c r="O1365" s="14">
        <v>56.0</v>
      </c>
      <c r="P1365" s="23">
        <v>0.1288</v>
      </c>
      <c r="Q1365" s="22" t="str">
        <f>"+7.92%"</f>
        <v>+7.92%</v>
      </c>
      <c r="R1365" s="18" t="str">
        <f>"+7.62%"</f>
        <v>+7.62%</v>
      </c>
      <c r="S1365" s="14" t="s">
        <v>323</v>
      </c>
    </row>
    <row r="1366">
      <c r="A1366" s="13">
        <v>45901.0</v>
      </c>
      <c r="B1366" s="14" t="s">
        <v>47</v>
      </c>
      <c r="C1366" s="14" t="s">
        <v>48</v>
      </c>
      <c r="D1366" s="14" t="s">
        <v>85</v>
      </c>
      <c r="E1366" s="14" t="s">
        <v>86</v>
      </c>
      <c r="F1366" s="14" t="s">
        <v>71</v>
      </c>
      <c r="G1366" s="14">
        <v>88285.0</v>
      </c>
      <c r="H1366" s="14" t="s">
        <v>85</v>
      </c>
      <c r="I1366" s="14" t="s">
        <v>59</v>
      </c>
      <c r="J1366" s="14" t="s">
        <v>200</v>
      </c>
      <c r="K1366" s="14" t="s">
        <v>220</v>
      </c>
      <c r="L1366" s="14" t="s">
        <v>253</v>
      </c>
      <c r="M1366" s="14" t="s">
        <v>1317</v>
      </c>
      <c r="N1366" s="14" t="s">
        <v>1318</v>
      </c>
      <c r="O1366" s="14">
        <v>1.0</v>
      </c>
      <c r="P1366" s="23">
        <v>0.0019</v>
      </c>
      <c r="Q1366" s="22" t="str">
        <f>"+0.07%"</f>
        <v>+0.07%</v>
      </c>
      <c r="R1366" s="18" t="str">
        <f>"+0.13%"</f>
        <v>+0.13%</v>
      </c>
      <c r="S1366" s="14" t="s">
        <v>1429</v>
      </c>
    </row>
    <row r="1367">
      <c r="A1367" s="13">
        <v>45901.0</v>
      </c>
      <c r="B1367" s="14" t="s">
        <v>47</v>
      </c>
      <c r="C1367" s="14" t="s">
        <v>48</v>
      </c>
      <c r="D1367" s="14" t="s">
        <v>112</v>
      </c>
      <c r="E1367" s="14" t="s">
        <v>113</v>
      </c>
      <c r="F1367" s="15" t="s">
        <v>51</v>
      </c>
      <c r="G1367" s="14" t="s">
        <v>114</v>
      </c>
      <c r="H1367" s="14" t="s">
        <v>112</v>
      </c>
      <c r="I1367" s="14" t="s">
        <v>59</v>
      </c>
      <c r="J1367" s="14" t="s">
        <v>198</v>
      </c>
      <c r="K1367" s="14" t="s">
        <v>207</v>
      </c>
      <c r="L1367" s="14" t="s">
        <v>318</v>
      </c>
      <c r="M1367" s="14" t="s">
        <v>508</v>
      </c>
      <c r="N1367" s="14" t="s">
        <v>509</v>
      </c>
      <c r="O1367" s="14">
        <v>0.0</v>
      </c>
      <c r="P1367" s="21">
        <v>0.0</v>
      </c>
      <c r="Q1367" s="22" t="str">
        <f>"+0"</f>
        <v>+0</v>
      </c>
      <c r="S1367" s="14" t="s">
        <v>281</v>
      </c>
    </row>
    <row r="1368">
      <c r="A1368" s="13">
        <v>45901.0</v>
      </c>
      <c r="B1368" s="14" t="s">
        <v>47</v>
      </c>
      <c r="C1368" s="14" t="s">
        <v>48</v>
      </c>
      <c r="D1368" s="14" t="s">
        <v>77</v>
      </c>
      <c r="E1368" s="14" t="s">
        <v>78</v>
      </c>
      <c r="F1368" s="15" t="s">
        <v>51</v>
      </c>
      <c r="G1368" s="14" t="s">
        <v>128</v>
      </c>
      <c r="H1368" s="14" t="s">
        <v>81</v>
      </c>
      <c r="I1368" s="14" t="s">
        <v>59</v>
      </c>
      <c r="J1368" s="14" t="s">
        <v>200</v>
      </c>
      <c r="K1368" s="14" t="s">
        <v>223</v>
      </c>
      <c r="L1368" s="14" t="s">
        <v>607</v>
      </c>
      <c r="M1368" s="14" t="s">
        <v>1035</v>
      </c>
      <c r="N1368" s="14" t="s">
        <v>1036</v>
      </c>
      <c r="O1368" s="14">
        <v>0.0</v>
      </c>
      <c r="P1368" s="23">
        <v>0.0</v>
      </c>
      <c r="Q1368" s="22" t="str">
        <f t="shared" ref="Q1368:R1368" si="812">"+0.00%"</f>
        <v>+0.00%</v>
      </c>
      <c r="R1368" s="18" t="str">
        <f t="shared" si="812"/>
        <v>+0.00%</v>
      </c>
      <c r="S1368" s="14" t="s">
        <v>1430</v>
      </c>
    </row>
    <row r="1369">
      <c r="A1369" s="13">
        <v>45901.0</v>
      </c>
      <c r="B1369" s="14" t="s">
        <v>47</v>
      </c>
      <c r="C1369" s="14" t="s">
        <v>48</v>
      </c>
      <c r="D1369" s="14" t="s">
        <v>77</v>
      </c>
      <c r="E1369" s="14" t="s">
        <v>78</v>
      </c>
      <c r="F1369" s="14" t="s">
        <v>79</v>
      </c>
      <c r="G1369" s="14" t="s">
        <v>80</v>
      </c>
      <c r="H1369" s="14" t="s">
        <v>81</v>
      </c>
      <c r="J1369" s="14" t="s">
        <v>198</v>
      </c>
      <c r="K1369" s="14" t="s">
        <v>210</v>
      </c>
      <c r="L1369" s="14" t="s">
        <v>505</v>
      </c>
      <c r="M1369" s="14" t="s">
        <v>1431</v>
      </c>
      <c r="N1369" s="14" t="s">
        <v>1432</v>
      </c>
      <c r="O1369" s="14">
        <v>100.0</v>
      </c>
      <c r="P1369" s="21">
        <v>0.0</v>
      </c>
      <c r="Q1369" s="22" t="str">
        <f t="shared" ref="Q1369:Q1371" si="813">"+0"</f>
        <v>+0</v>
      </c>
      <c r="S1369" s="14" t="s">
        <v>277</v>
      </c>
    </row>
    <row r="1370">
      <c r="A1370" s="13">
        <v>45901.0</v>
      </c>
      <c r="B1370" s="14" t="s">
        <v>47</v>
      </c>
      <c r="C1370" s="14" t="s">
        <v>48</v>
      </c>
      <c r="D1370" s="14" t="s">
        <v>108</v>
      </c>
      <c r="E1370" s="14" t="s">
        <v>109</v>
      </c>
      <c r="F1370" s="15" t="s">
        <v>51</v>
      </c>
      <c r="G1370" s="14" t="s">
        <v>110</v>
      </c>
      <c r="H1370" s="14" t="s">
        <v>108</v>
      </c>
      <c r="I1370" s="14" t="s">
        <v>59</v>
      </c>
      <c r="J1370" s="14" t="s">
        <v>198</v>
      </c>
      <c r="K1370" s="14" t="s">
        <v>205</v>
      </c>
      <c r="L1370" s="14" t="s">
        <v>274</v>
      </c>
      <c r="M1370" s="14" t="s">
        <v>738</v>
      </c>
      <c r="N1370" s="14" t="s">
        <v>739</v>
      </c>
      <c r="O1370" s="14">
        <v>0.0</v>
      </c>
      <c r="P1370" s="21">
        <v>0.0</v>
      </c>
      <c r="Q1370" s="22" t="str">
        <f t="shared" si="813"/>
        <v>+0</v>
      </c>
      <c r="S1370" s="14" t="s">
        <v>281</v>
      </c>
    </row>
    <row r="1371">
      <c r="A1371" s="13">
        <v>45901.0</v>
      </c>
      <c r="B1371" s="14" t="s">
        <v>47</v>
      </c>
      <c r="C1371" s="14" t="s">
        <v>48</v>
      </c>
      <c r="D1371" s="14" t="s">
        <v>116</v>
      </c>
      <c r="E1371" s="14" t="s">
        <v>117</v>
      </c>
      <c r="F1371" s="15" t="s">
        <v>51</v>
      </c>
      <c r="G1371" s="14" t="s">
        <v>161</v>
      </c>
      <c r="H1371" s="14" t="s">
        <v>116</v>
      </c>
      <c r="I1371" s="14" t="s">
        <v>54</v>
      </c>
      <c r="J1371" s="14" t="s">
        <v>198</v>
      </c>
      <c r="K1371" s="14" t="s">
        <v>210</v>
      </c>
      <c r="L1371" s="14" t="s">
        <v>264</v>
      </c>
      <c r="M1371" s="14" t="s">
        <v>910</v>
      </c>
      <c r="N1371" s="14" t="s">
        <v>911</v>
      </c>
      <c r="O1371" s="14">
        <v>0.0</v>
      </c>
      <c r="P1371" s="21">
        <v>0.0</v>
      </c>
      <c r="Q1371" s="22" t="str">
        <f t="shared" si="813"/>
        <v>+0</v>
      </c>
      <c r="R1371" s="18" t="str">
        <f>"+0"</f>
        <v>+0</v>
      </c>
      <c r="S1371" s="14" t="s">
        <v>277</v>
      </c>
    </row>
    <row r="1372">
      <c r="A1372" s="13">
        <v>45901.0</v>
      </c>
      <c r="B1372" s="14" t="s">
        <v>47</v>
      </c>
      <c r="C1372" s="14" t="s">
        <v>48</v>
      </c>
      <c r="D1372" s="14" t="s">
        <v>121</v>
      </c>
      <c r="E1372" s="14" t="s">
        <v>122</v>
      </c>
      <c r="F1372" s="15" t="s">
        <v>51</v>
      </c>
      <c r="G1372" s="14" t="s">
        <v>123</v>
      </c>
      <c r="H1372" s="14" t="s">
        <v>124</v>
      </c>
      <c r="I1372" s="14" t="s">
        <v>59</v>
      </c>
      <c r="J1372" s="14" t="s">
        <v>200</v>
      </c>
      <c r="K1372" s="14" t="s">
        <v>227</v>
      </c>
      <c r="L1372" s="14" t="s">
        <v>721</v>
      </c>
      <c r="M1372" s="14" t="s">
        <v>748</v>
      </c>
      <c r="N1372" s="14" t="s">
        <v>749</v>
      </c>
      <c r="O1372" s="14">
        <v>0.0</v>
      </c>
      <c r="P1372" s="23">
        <v>-1.0</v>
      </c>
      <c r="Q1372" s="22" t="str">
        <f t="shared" ref="Q1372:R1372" si="814">"+0.00%"</f>
        <v>+0.00%</v>
      </c>
      <c r="R1372" s="18" t="str">
        <f t="shared" si="814"/>
        <v>+0.00%</v>
      </c>
      <c r="S1372" s="14" t="s">
        <v>750</v>
      </c>
    </row>
    <row r="1373">
      <c r="A1373" s="13">
        <v>45901.0</v>
      </c>
      <c r="B1373" s="14" t="s">
        <v>47</v>
      </c>
      <c r="C1373" s="14" t="s">
        <v>48</v>
      </c>
      <c r="D1373" s="14" t="s">
        <v>168</v>
      </c>
      <c r="E1373" s="14" t="s">
        <v>169</v>
      </c>
      <c r="F1373" s="15" t="s">
        <v>51</v>
      </c>
      <c r="G1373" s="14" t="s">
        <v>170</v>
      </c>
      <c r="H1373" s="14" t="s">
        <v>168</v>
      </c>
      <c r="I1373" s="14" t="s">
        <v>59</v>
      </c>
      <c r="J1373" s="14" t="s">
        <v>199</v>
      </c>
      <c r="K1373" s="14" t="s">
        <v>206</v>
      </c>
      <c r="L1373" s="14" t="s">
        <v>295</v>
      </c>
      <c r="M1373" s="14" t="s">
        <v>986</v>
      </c>
      <c r="N1373" s="14" t="s">
        <v>987</v>
      </c>
      <c r="O1373" s="14">
        <v>0.0</v>
      </c>
      <c r="P1373" s="21">
        <v>0.0</v>
      </c>
      <c r="Q1373" s="22" t="str">
        <f t="shared" ref="Q1373:R1373" si="815">"+0"</f>
        <v>+0</v>
      </c>
      <c r="R1373" s="18" t="str">
        <f t="shared" si="815"/>
        <v>+0</v>
      </c>
      <c r="S1373" s="14" t="s">
        <v>260</v>
      </c>
    </row>
    <row r="1374">
      <c r="A1374" s="13">
        <v>45901.0</v>
      </c>
      <c r="B1374" s="14" t="s">
        <v>47</v>
      </c>
      <c r="C1374" s="14" t="s">
        <v>48</v>
      </c>
      <c r="D1374" s="14" t="s">
        <v>155</v>
      </c>
      <c r="E1374" s="14" t="s">
        <v>156</v>
      </c>
      <c r="F1374" s="15" t="s">
        <v>51</v>
      </c>
      <c r="G1374" s="14" t="s">
        <v>157</v>
      </c>
      <c r="H1374" s="14" t="s">
        <v>155</v>
      </c>
      <c r="I1374" s="14" t="s">
        <v>59</v>
      </c>
      <c r="J1374" s="14" t="s">
        <v>200</v>
      </c>
      <c r="K1374" s="14" t="s">
        <v>223</v>
      </c>
      <c r="L1374" s="14" t="s">
        <v>307</v>
      </c>
      <c r="M1374" s="14" t="s">
        <v>856</v>
      </c>
      <c r="N1374" s="14" t="s">
        <v>857</v>
      </c>
      <c r="O1374" s="14">
        <v>0.0</v>
      </c>
      <c r="P1374" s="17"/>
      <c r="Q1374" s="22"/>
      <c r="S1374" s="14" t="s">
        <v>285</v>
      </c>
    </row>
    <row r="1375">
      <c r="A1375" s="13">
        <v>45901.0</v>
      </c>
      <c r="B1375" s="14" t="s">
        <v>47</v>
      </c>
      <c r="C1375" s="14" t="s">
        <v>48</v>
      </c>
      <c r="D1375" s="14" t="s">
        <v>168</v>
      </c>
      <c r="E1375" s="14" t="s">
        <v>169</v>
      </c>
      <c r="F1375" s="15" t="s">
        <v>51</v>
      </c>
      <c r="G1375" s="14" t="s">
        <v>170</v>
      </c>
      <c r="H1375" s="14" t="s">
        <v>168</v>
      </c>
      <c r="I1375" s="14" t="s">
        <v>59</v>
      </c>
      <c r="J1375" s="14" t="s">
        <v>198</v>
      </c>
      <c r="K1375" s="14" t="s">
        <v>210</v>
      </c>
      <c r="L1375" s="14" t="s">
        <v>278</v>
      </c>
      <c r="M1375" s="14" t="s">
        <v>443</v>
      </c>
      <c r="N1375" s="14" t="s">
        <v>444</v>
      </c>
      <c r="O1375" s="14">
        <v>2.0</v>
      </c>
      <c r="P1375" s="21">
        <v>246.0</v>
      </c>
      <c r="Q1375" s="22" t="str">
        <f>"-11"</f>
        <v>-11</v>
      </c>
      <c r="R1375" s="18" t="str">
        <f>"-19"</f>
        <v>-19</v>
      </c>
      <c r="S1375" s="14" t="s">
        <v>1433</v>
      </c>
    </row>
    <row r="1376">
      <c r="A1376" s="13">
        <v>45901.0</v>
      </c>
      <c r="B1376" s="14" t="s">
        <v>47</v>
      </c>
      <c r="C1376" s="14" t="s">
        <v>48</v>
      </c>
      <c r="D1376" s="14" t="s">
        <v>168</v>
      </c>
      <c r="E1376" s="14" t="s">
        <v>169</v>
      </c>
      <c r="F1376" s="15" t="s">
        <v>51</v>
      </c>
      <c r="G1376" s="14" t="s">
        <v>170</v>
      </c>
      <c r="H1376" s="14" t="s">
        <v>168</v>
      </c>
      <c r="I1376" s="14" t="s">
        <v>59</v>
      </c>
      <c r="J1376" s="14" t="s">
        <v>199</v>
      </c>
      <c r="K1376" s="14" t="s">
        <v>206</v>
      </c>
      <c r="L1376" s="14" t="s">
        <v>515</v>
      </c>
      <c r="M1376" s="14" t="s">
        <v>515</v>
      </c>
      <c r="N1376" s="14" t="s">
        <v>516</v>
      </c>
      <c r="O1376" s="14">
        <v>0.0</v>
      </c>
      <c r="P1376" s="21">
        <v>0.0</v>
      </c>
      <c r="Q1376" s="22" t="str">
        <f t="shared" ref="Q1376:R1376" si="816">"+0"</f>
        <v>+0</v>
      </c>
      <c r="R1376" s="18" t="str">
        <f t="shared" si="816"/>
        <v>+0</v>
      </c>
      <c r="S1376" s="14" t="s">
        <v>383</v>
      </c>
    </row>
    <row r="1377">
      <c r="A1377" s="13">
        <v>45901.0</v>
      </c>
      <c r="B1377" s="14" t="s">
        <v>47</v>
      </c>
      <c r="C1377" s="14" t="s">
        <v>48</v>
      </c>
      <c r="D1377" s="14" t="s">
        <v>165</v>
      </c>
      <c r="E1377" s="14" t="s">
        <v>166</v>
      </c>
      <c r="F1377" s="15" t="s">
        <v>51</v>
      </c>
      <c r="G1377" s="14" t="s">
        <v>167</v>
      </c>
      <c r="H1377" s="14" t="s">
        <v>165</v>
      </c>
      <c r="I1377" s="14" t="s">
        <v>54</v>
      </c>
      <c r="J1377" s="14" t="s">
        <v>200</v>
      </c>
      <c r="K1377" s="14" t="s">
        <v>224</v>
      </c>
      <c r="L1377" s="14" t="s">
        <v>453</v>
      </c>
      <c r="M1377" s="14" t="s">
        <v>555</v>
      </c>
      <c r="N1377" s="14" t="s">
        <v>556</v>
      </c>
      <c r="O1377" s="14">
        <v>0.0</v>
      </c>
      <c r="P1377" s="23">
        <v>0.0</v>
      </c>
      <c r="Q1377" s="22" t="str">
        <f t="shared" ref="Q1377:R1377" si="817">"+0.00%"</f>
        <v>+0.00%</v>
      </c>
      <c r="R1377" s="18" t="str">
        <f t="shared" si="817"/>
        <v>+0.00%</v>
      </c>
      <c r="S1377" s="14" t="s">
        <v>557</v>
      </c>
    </row>
    <row r="1378">
      <c r="A1378" s="13">
        <v>45901.0</v>
      </c>
      <c r="B1378" s="14" t="s">
        <v>47</v>
      </c>
      <c r="C1378" s="14" t="s">
        <v>48</v>
      </c>
      <c r="D1378" s="14" t="s">
        <v>91</v>
      </c>
      <c r="E1378" s="14" t="s">
        <v>92</v>
      </c>
      <c r="F1378" s="15" t="s">
        <v>51</v>
      </c>
      <c r="G1378" s="14" t="s">
        <v>163</v>
      </c>
      <c r="H1378" s="14" t="s">
        <v>91</v>
      </c>
      <c r="I1378" s="14" t="s">
        <v>59</v>
      </c>
      <c r="J1378" s="14" t="s">
        <v>200</v>
      </c>
      <c r="K1378" s="14" t="s">
        <v>227</v>
      </c>
      <c r="L1378" s="14" t="s">
        <v>253</v>
      </c>
      <c r="M1378" s="14" t="s">
        <v>849</v>
      </c>
      <c r="N1378" s="14" t="s">
        <v>850</v>
      </c>
      <c r="O1378" s="14">
        <v>40.0</v>
      </c>
      <c r="P1378" s="23">
        <v>0.4</v>
      </c>
      <c r="Q1378" s="22" t="str">
        <f t="shared" ref="Q1378:R1378" si="818">"+0.00%"</f>
        <v>+0.00%</v>
      </c>
      <c r="R1378" s="18" t="str">
        <f t="shared" si="818"/>
        <v>+0.00%</v>
      </c>
      <c r="S1378" s="14" t="s">
        <v>851</v>
      </c>
    </row>
    <row r="1379">
      <c r="A1379" s="13">
        <v>45901.0</v>
      </c>
      <c r="B1379" s="14" t="s">
        <v>47</v>
      </c>
      <c r="C1379" s="14" t="s">
        <v>48</v>
      </c>
      <c r="D1379" s="14" t="s">
        <v>99</v>
      </c>
      <c r="E1379" s="14" t="s">
        <v>100</v>
      </c>
      <c r="F1379" s="15" t="s">
        <v>51</v>
      </c>
      <c r="G1379" s="14" t="s">
        <v>101</v>
      </c>
      <c r="H1379" s="14" t="s">
        <v>102</v>
      </c>
      <c r="I1379" s="14" t="s">
        <v>54</v>
      </c>
      <c r="J1379" s="14" t="s">
        <v>198</v>
      </c>
      <c r="K1379" s="14" t="s">
        <v>205</v>
      </c>
      <c r="L1379" s="14" t="s">
        <v>274</v>
      </c>
      <c r="M1379" s="14" t="s">
        <v>767</v>
      </c>
      <c r="N1379" s="14" t="s">
        <v>768</v>
      </c>
      <c r="O1379" s="14">
        <v>100.0</v>
      </c>
      <c r="P1379" s="21">
        <v>1.0</v>
      </c>
      <c r="Q1379" s="22" t="str">
        <f t="shared" ref="Q1379:Q1380" si="819">"+0"</f>
        <v>+0</v>
      </c>
      <c r="S1379" s="14" t="s">
        <v>281</v>
      </c>
    </row>
    <row r="1380">
      <c r="A1380" s="13">
        <v>45901.0</v>
      </c>
      <c r="B1380" s="14" t="s">
        <v>47</v>
      </c>
      <c r="C1380" s="14" t="s">
        <v>48</v>
      </c>
      <c r="D1380" s="14" t="s">
        <v>63</v>
      </c>
      <c r="E1380" s="14" t="s">
        <v>64</v>
      </c>
      <c r="F1380" s="15" t="s">
        <v>51</v>
      </c>
      <c r="G1380" s="14" t="s">
        <v>65</v>
      </c>
      <c r="H1380" s="14" t="s">
        <v>63</v>
      </c>
      <c r="I1380" s="14" t="s">
        <v>54</v>
      </c>
      <c r="J1380" s="14" t="s">
        <v>198</v>
      </c>
      <c r="K1380" s="14" t="s">
        <v>207</v>
      </c>
      <c r="L1380" s="14" t="s">
        <v>648</v>
      </c>
      <c r="M1380" s="14" t="s">
        <v>1126</v>
      </c>
      <c r="N1380" s="14" t="s">
        <v>1127</v>
      </c>
      <c r="O1380" s="14">
        <v>0.0</v>
      </c>
      <c r="P1380" s="21">
        <v>0.0</v>
      </c>
      <c r="Q1380" s="22" t="str">
        <f t="shared" si="819"/>
        <v>+0</v>
      </c>
      <c r="S1380" s="14" t="s">
        <v>281</v>
      </c>
    </row>
    <row r="1381">
      <c r="A1381" s="13">
        <v>45901.0</v>
      </c>
      <c r="B1381" s="14" t="s">
        <v>47</v>
      </c>
      <c r="C1381" s="14" t="s">
        <v>48</v>
      </c>
      <c r="D1381" s="14" t="s">
        <v>118</v>
      </c>
      <c r="E1381" s="14" t="s">
        <v>119</v>
      </c>
      <c r="F1381" s="15" t="s">
        <v>51</v>
      </c>
      <c r="G1381" s="14" t="s">
        <v>120</v>
      </c>
      <c r="H1381" s="14" t="s">
        <v>118</v>
      </c>
      <c r="I1381" s="14" t="s">
        <v>59</v>
      </c>
      <c r="J1381" s="14" t="s">
        <v>200</v>
      </c>
      <c r="K1381" s="14" t="s">
        <v>219</v>
      </c>
      <c r="L1381" s="14" t="s">
        <v>253</v>
      </c>
      <c r="M1381" s="14" t="s">
        <v>899</v>
      </c>
      <c r="N1381" s="14" t="s">
        <v>900</v>
      </c>
      <c r="O1381" s="14">
        <v>0.0</v>
      </c>
      <c r="P1381" s="23">
        <v>0.0</v>
      </c>
      <c r="Q1381" s="22" t="str">
        <f t="shared" ref="Q1381:R1381" si="820">"+0.00%"</f>
        <v>+0.00%</v>
      </c>
      <c r="R1381" s="18" t="str">
        <f t="shared" si="820"/>
        <v>+0.00%</v>
      </c>
      <c r="S1381" s="14" t="s">
        <v>285</v>
      </c>
    </row>
    <row r="1382">
      <c r="A1382" s="13">
        <v>45901.0</v>
      </c>
      <c r="B1382" s="14" t="s">
        <v>47</v>
      </c>
      <c r="C1382" s="14" t="s">
        <v>48</v>
      </c>
      <c r="D1382" s="14" t="s">
        <v>99</v>
      </c>
      <c r="E1382" s="14" t="s">
        <v>100</v>
      </c>
      <c r="F1382" s="15" t="s">
        <v>51</v>
      </c>
      <c r="G1382" s="14" t="s">
        <v>101</v>
      </c>
      <c r="H1382" s="14" t="s">
        <v>102</v>
      </c>
      <c r="I1382" s="14" t="s">
        <v>54</v>
      </c>
      <c r="J1382" s="14" t="s">
        <v>199</v>
      </c>
      <c r="K1382" s="14" t="s">
        <v>208</v>
      </c>
      <c r="L1382" s="14" t="s">
        <v>412</v>
      </c>
      <c r="M1382" s="14" t="s">
        <v>412</v>
      </c>
      <c r="N1382" s="14" t="s">
        <v>413</v>
      </c>
      <c r="O1382" s="14">
        <v>85.0</v>
      </c>
      <c r="P1382" s="21">
        <v>3.0</v>
      </c>
      <c r="Q1382" s="22" t="str">
        <f t="shared" ref="Q1382:R1382" si="821">"+0"</f>
        <v>+0</v>
      </c>
      <c r="R1382" s="18" t="str">
        <f t="shared" si="821"/>
        <v>+0</v>
      </c>
      <c r="S1382" s="14" t="s">
        <v>260</v>
      </c>
    </row>
    <row r="1383">
      <c r="A1383" s="13">
        <v>45901.0</v>
      </c>
      <c r="B1383" s="14" t="s">
        <v>47</v>
      </c>
      <c r="C1383" s="14" t="s">
        <v>48</v>
      </c>
      <c r="D1383" s="14" t="s">
        <v>66</v>
      </c>
      <c r="E1383" s="14" t="s">
        <v>67</v>
      </c>
      <c r="F1383" s="15" t="s">
        <v>51</v>
      </c>
      <c r="G1383" s="14" t="s">
        <v>68</v>
      </c>
      <c r="H1383" s="14" t="s">
        <v>66</v>
      </c>
      <c r="I1383" s="14" t="s">
        <v>59</v>
      </c>
      <c r="J1383" s="14" t="s">
        <v>200</v>
      </c>
      <c r="K1383" s="14" t="s">
        <v>223</v>
      </c>
      <c r="L1383" s="14" t="s">
        <v>304</v>
      </c>
      <c r="M1383" s="14" t="s">
        <v>305</v>
      </c>
      <c r="N1383" s="14" t="s">
        <v>306</v>
      </c>
      <c r="O1383" s="14">
        <v>100.0</v>
      </c>
      <c r="P1383" s="21">
        <v>60.0</v>
      </c>
      <c r="Q1383" s="22" t="str">
        <f t="shared" ref="Q1383:R1383" si="822">"+0"</f>
        <v>+0</v>
      </c>
      <c r="R1383" s="18" t="str">
        <f t="shared" si="822"/>
        <v>+0</v>
      </c>
      <c r="S1383" s="14" t="s">
        <v>260</v>
      </c>
    </row>
    <row r="1384">
      <c r="A1384" s="13">
        <v>45901.0</v>
      </c>
      <c r="B1384" s="14" t="s">
        <v>47</v>
      </c>
      <c r="C1384" s="14" t="s">
        <v>48</v>
      </c>
      <c r="D1384" s="14" t="s">
        <v>192</v>
      </c>
      <c r="E1384" s="14" t="s">
        <v>193</v>
      </c>
      <c r="F1384" s="15" t="s">
        <v>51</v>
      </c>
      <c r="G1384" s="14" t="s">
        <v>194</v>
      </c>
      <c r="H1384" s="14" t="s">
        <v>192</v>
      </c>
      <c r="I1384" s="14" t="s">
        <v>54</v>
      </c>
      <c r="J1384" s="14" t="s">
        <v>200</v>
      </c>
      <c r="K1384" s="14" t="s">
        <v>231</v>
      </c>
      <c r="L1384" s="14" t="s">
        <v>512</v>
      </c>
      <c r="M1384" s="14" t="s">
        <v>982</v>
      </c>
      <c r="N1384" s="14" t="s">
        <v>983</v>
      </c>
      <c r="O1384" s="14">
        <v>0.0</v>
      </c>
      <c r="P1384" s="21">
        <v>0.0</v>
      </c>
      <c r="Q1384" s="22" t="str">
        <f t="shared" ref="Q1384:R1384" si="823">"+0"</f>
        <v>+0</v>
      </c>
      <c r="R1384" s="18" t="str">
        <f t="shared" si="823"/>
        <v>+0</v>
      </c>
      <c r="S1384" s="14" t="s">
        <v>260</v>
      </c>
    </row>
    <row r="1385">
      <c r="A1385" s="13">
        <v>45901.0</v>
      </c>
      <c r="B1385" s="14" t="s">
        <v>47</v>
      </c>
      <c r="C1385" s="14" t="s">
        <v>48</v>
      </c>
      <c r="D1385" s="14" t="s">
        <v>192</v>
      </c>
      <c r="E1385" s="14" t="s">
        <v>193</v>
      </c>
      <c r="F1385" s="15" t="s">
        <v>51</v>
      </c>
      <c r="G1385" s="14" t="s">
        <v>194</v>
      </c>
      <c r="H1385" s="14" t="s">
        <v>192</v>
      </c>
      <c r="I1385" s="14" t="s">
        <v>54</v>
      </c>
      <c r="J1385" s="14" t="s">
        <v>200</v>
      </c>
      <c r="K1385" s="14" t="s">
        <v>223</v>
      </c>
      <c r="L1385" s="14" t="s">
        <v>607</v>
      </c>
      <c r="M1385" s="14" t="s">
        <v>1035</v>
      </c>
      <c r="N1385" s="14" t="s">
        <v>1036</v>
      </c>
      <c r="O1385" s="14">
        <v>1.0</v>
      </c>
      <c r="P1385" s="23">
        <v>0.0027</v>
      </c>
      <c r="Q1385" s="22" t="str">
        <f>"+0.23%"</f>
        <v>+0.23%</v>
      </c>
      <c r="R1385" s="18" t="str">
        <f>"+0.19%"</f>
        <v>+0.19%</v>
      </c>
      <c r="S1385" s="14" t="s">
        <v>1434</v>
      </c>
    </row>
    <row r="1386">
      <c r="A1386" s="13">
        <v>45901.0</v>
      </c>
      <c r="B1386" s="14" t="s">
        <v>47</v>
      </c>
      <c r="C1386" s="14" t="s">
        <v>48</v>
      </c>
      <c r="D1386" s="14" t="s">
        <v>192</v>
      </c>
      <c r="E1386" s="14" t="s">
        <v>193</v>
      </c>
      <c r="F1386" s="15" t="s">
        <v>51</v>
      </c>
      <c r="G1386" s="14" t="s">
        <v>194</v>
      </c>
      <c r="H1386" s="14" t="s">
        <v>192</v>
      </c>
      <c r="I1386" s="14" t="s">
        <v>54</v>
      </c>
      <c r="J1386" s="14" t="s">
        <v>198</v>
      </c>
      <c r="K1386" s="14" t="s">
        <v>210</v>
      </c>
      <c r="L1386" s="14" t="s">
        <v>264</v>
      </c>
      <c r="M1386" s="14" t="s">
        <v>1369</v>
      </c>
      <c r="N1386" s="14" t="s">
        <v>1370</v>
      </c>
      <c r="O1386" s="14">
        <v>100.0</v>
      </c>
      <c r="P1386" s="21">
        <v>1.0</v>
      </c>
      <c r="Q1386" s="22" t="str">
        <f>"-1"</f>
        <v>-1</v>
      </c>
      <c r="R1386" s="18" t="str">
        <f>"+0"</f>
        <v>+0</v>
      </c>
      <c r="S1386" s="14" t="s">
        <v>277</v>
      </c>
    </row>
    <row r="1387">
      <c r="A1387" s="13">
        <v>45901.0</v>
      </c>
      <c r="B1387" s="14" t="s">
        <v>47</v>
      </c>
      <c r="C1387" s="14" t="s">
        <v>48</v>
      </c>
      <c r="D1387" s="14" t="s">
        <v>143</v>
      </c>
      <c r="E1387" s="14" t="s">
        <v>144</v>
      </c>
      <c r="F1387" s="15" t="s">
        <v>51</v>
      </c>
      <c r="G1387" s="14" t="s">
        <v>145</v>
      </c>
      <c r="H1387" s="14" t="s">
        <v>143</v>
      </c>
      <c r="I1387" s="14" t="s">
        <v>59</v>
      </c>
      <c r="J1387" s="14" t="s">
        <v>198</v>
      </c>
      <c r="K1387" s="14" t="s">
        <v>212</v>
      </c>
      <c r="L1387" s="14" t="s">
        <v>249</v>
      </c>
      <c r="M1387" s="14" t="s">
        <v>598</v>
      </c>
      <c r="N1387" s="14" t="s">
        <v>599</v>
      </c>
      <c r="O1387" s="14">
        <v>100.0</v>
      </c>
      <c r="P1387" s="21">
        <v>0.0</v>
      </c>
      <c r="Q1387" s="22" t="str">
        <f t="shared" ref="Q1387:R1387" si="824">"+0"</f>
        <v>+0</v>
      </c>
      <c r="R1387" s="18" t="str">
        <f t="shared" si="824"/>
        <v>+0</v>
      </c>
      <c r="S1387" s="14" t="s">
        <v>281</v>
      </c>
    </row>
    <row r="1388">
      <c r="A1388" s="13">
        <v>45901.0</v>
      </c>
      <c r="B1388" s="14" t="s">
        <v>47</v>
      </c>
      <c r="C1388" s="14" t="s">
        <v>48</v>
      </c>
      <c r="D1388" s="14" t="s">
        <v>73</v>
      </c>
      <c r="E1388" s="14" t="s">
        <v>74</v>
      </c>
      <c r="F1388" s="15" t="s">
        <v>51</v>
      </c>
      <c r="G1388" s="14" t="s">
        <v>75</v>
      </c>
      <c r="H1388" s="14" t="s">
        <v>76</v>
      </c>
      <c r="I1388" s="14" t="s">
        <v>59</v>
      </c>
      <c r="J1388" s="14" t="s">
        <v>198</v>
      </c>
      <c r="K1388" s="14" t="s">
        <v>205</v>
      </c>
      <c r="L1388" s="14" t="s">
        <v>274</v>
      </c>
      <c r="M1388" s="14" t="s">
        <v>473</v>
      </c>
      <c r="N1388" s="14" t="s">
        <v>474</v>
      </c>
      <c r="O1388" s="14">
        <v>50.0</v>
      </c>
      <c r="P1388" s="21">
        <v>15.0</v>
      </c>
      <c r="Q1388" s="22" t="str">
        <f t="shared" ref="Q1388:Q1392" si="825">"+0"</f>
        <v>+0</v>
      </c>
      <c r="S1388" s="14" t="s">
        <v>475</v>
      </c>
    </row>
    <row r="1389">
      <c r="A1389" s="13">
        <v>45901.0</v>
      </c>
      <c r="B1389" s="14" t="s">
        <v>47</v>
      </c>
      <c r="C1389" s="14" t="s">
        <v>48</v>
      </c>
      <c r="D1389" s="14" t="s">
        <v>129</v>
      </c>
      <c r="E1389" s="14" t="s">
        <v>130</v>
      </c>
      <c r="F1389" s="15" t="s">
        <v>51</v>
      </c>
      <c r="G1389" s="14" t="s">
        <v>131</v>
      </c>
      <c r="H1389" s="14" t="s">
        <v>129</v>
      </c>
      <c r="I1389" s="14" t="s">
        <v>59</v>
      </c>
      <c r="J1389" s="14" t="s">
        <v>198</v>
      </c>
      <c r="K1389" s="14" t="s">
        <v>207</v>
      </c>
      <c r="L1389" s="14" t="s">
        <v>318</v>
      </c>
      <c r="M1389" s="14" t="s">
        <v>319</v>
      </c>
      <c r="N1389" s="14" t="s">
        <v>320</v>
      </c>
      <c r="O1389" s="14">
        <v>0.0</v>
      </c>
      <c r="P1389" s="21">
        <v>0.0</v>
      </c>
      <c r="Q1389" s="22" t="str">
        <f t="shared" si="825"/>
        <v>+0</v>
      </c>
      <c r="S1389" s="14" t="s">
        <v>281</v>
      </c>
    </row>
    <row r="1390">
      <c r="A1390" s="13">
        <v>45901.0</v>
      </c>
      <c r="B1390" s="14" t="s">
        <v>47</v>
      </c>
      <c r="C1390" s="14" t="s">
        <v>48</v>
      </c>
      <c r="D1390" s="14" t="s">
        <v>129</v>
      </c>
      <c r="E1390" s="14" t="s">
        <v>130</v>
      </c>
      <c r="F1390" s="15" t="s">
        <v>51</v>
      </c>
      <c r="G1390" s="14" t="s">
        <v>131</v>
      </c>
      <c r="H1390" s="14" t="s">
        <v>129</v>
      </c>
      <c r="I1390" s="14" t="s">
        <v>59</v>
      </c>
      <c r="J1390" s="14" t="s">
        <v>200</v>
      </c>
      <c r="K1390" s="14" t="s">
        <v>231</v>
      </c>
      <c r="L1390" s="14" t="s">
        <v>512</v>
      </c>
      <c r="M1390" s="14" t="s">
        <v>1435</v>
      </c>
      <c r="N1390" s="14" t="s">
        <v>1436</v>
      </c>
      <c r="O1390" s="14">
        <v>0.0</v>
      </c>
      <c r="P1390" s="21">
        <v>0.0</v>
      </c>
      <c r="Q1390" s="22" t="str">
        <f t="shared" si="825"/>
        <v>+0</v>
      </c>
      <c r="R1390" s="18" t="str">
        <f t="shared" ref="R1390:R1392" si="826">"+0"</f>
        <v>+0</v>
      </c>
      <c r="S1390" s="14" t="s">
        <v>260</v>
      </c>
    </row>
    <row r="1391">
      <c r="A1391" s="13">
        <v>45901.0</v>
      </c>
      <c r="B1391" s="14" t="s">
        <v>47</v>
      </c>
      <c r="C1391" s="14" t="s">
        <v>48</v>
      </c>
      <c r="D1391" s="14" t="s">
        <v>171</v>
      </c>
      <c r="E1391" s="14" t="s">
        <v>172</v>
      </c>
      <c r="F1391" s="15" t="s">
        <v>51</v>
      </c>
      <c r="G1391" s="14" t="s">
        <v>173</v>
      </c>
      <c r="H1391" s="14" t="s">
        <v>171</v>
      </c>
      <c r="I1391" s="14" t="s">
        <v>59</v>
      </c>
      <c r="J1391" s="14" t="s">
        <v>199</v>
      </c>
      <c r="K1391" s="14" t="s">
        <v>206</v>
      </c>
      <c r="L1391" s="14" t="s">
        <v>515</v>
      </c>
      <c r="M1391" s="14" t="s">
        <v>515</v>
      </c>
      <c r="N1391" s="14" t="s">
        <v>516</v>
      </c>
      <c r="O1391" s="14">
        <v>0.0</v>
      </c>
      <c r="P1391" s="21">
        <v>0.0</v>
      </c>
      <c r="Q1391" s="22" t="str">
        <f t="shared" si="825"/>
        <v>+0</v>
      </c>
      <c r="R1391" s="18" t="str">
        <f t="shared" si="826"/>
        <v>+0</v>
      </c>
      <c r="S1391" s="14" t="s">
        <v>383</v>
      </c>
    </row>
    <row r="1392">
      <c r="A1392" s="13">
        <v>45901.0</v>
      </c>
      <c r="B1392" s="14" t="s">
        <v>47</v>
      </c>
      <c r="C1392" s="14" t="s">
        <v>48</v>
      </c>
      <c r="D1392" s="14" t="s">
        <v>87</v>
      </c>
      <c r="E1392" s="14" t="s">
        <v>88</v>
      </c>
      <c r="F1392" s="15" t="s">
        <v>51</v>
      </c>
      <c r="G1392" s="14" t="s">
        <v>89</v>
      </c>
      <c r="H1392" s="14" t="s">
        <v>90</v>
      </c>
      <c r="I1392" s="14" t="s">
        <v>59</v>
      </c>
      <c r="J1392" s="14" t="s">
        <v>200</v>
      </c>
      <c r="K1392" s="14" t="s">
        <v>222</v>
      </c>
      <c r="L1392" s="14" t="s">
        <v>253</v>
      </c>
      <c r="M1392" s="14" t="s">
        <v>732</v>
      </c>
      <c r="N1392" s="14" t="s">
        <v>733</v>
      </c>
      <c r="O1392" s="14">
        <v>50.0</v>
      </c>
      <c r="P1392" s="21">
        <v>1.0</v>
      </c>
      <c r="Q1392" s="22" t="str">
        <f t="shared" si="825"/>
        <v>+0</v>
      </c>
      <c r="R1392" s="18" t="str">
        <f t="shared" si="826"/>
        <v>+0</v>
      </c>
      <c r="S1392" s="14" t="s">
        <v>450</v>
      </c>
    </row>
    <row r="1393">
      <c r="A1393" s="13">
        <v>45901.0</v>
      </c>
      <c r="B1393" s="14" t="s">
        <v>47</v>
      </c>
      <c r="C1393" s="14" t="s">
        <v>48</v>
      </c>
      <c r="D1393" s="14" t="s">
        <v>136</v>
      </c>
      <c r="E1393" s="14" t="s">
        <v>137</v>
      </c>
      <c r="F1393" s="15" t="s">
        <v>51</v>
      </c>
      <c r="G1393" s="14" t="s">
        <v>138</v>
      </c>
      <c r="H1393" s="14" t="s">
        <v>139</v>
      </c>
      <c r="I1393" s="14" t="s">
        <v>59</v>
      </c>
      <c r="J1393" s="14" t="s">
        <v>200</v>
      </c>
      <c r="K1393" s="14" t="s">
        <v>213</v>
      </c>
      <c r="L1393" s="14" t="s">
        <v>253</v>
      </c>
      <c r="M1393" s="14" t="s">
        <v>366</v>
      </c>
      <c r="N1393" s="14" t="s">
        <v>367</v>
      </c>
      <c r="O1393" s="14">
        <v>83.0</v>
      </c>
      <c r="P1393" s="23">
        <v>0.8305</v>
      </c>
      <c r="Q1393" s="22" t="str">
        <f>"-0.68%"</f>
        <v>-0.68%</v>
      </c>
      <c r="R1393" s="18" t="str">
        <f>"-6.61%"</f>
        <v>-6.61%</v>
      </c>
      <c r="S1393" s="14" t="s">
        <v>1437</v>
      </c>
    </row>
    <row r="1394">
      <c r="A1394" s="13">
        <v>45901.0</v>
      </c>
      <c r="B1394" s="14" t="s">
        <v>47</v>
      </c>
      <c r="C1394" s="14" t="s">
        <v>48</v>
      </c>
      <c r="D1394" s="14" t="s">
        <v>87</v>
      </c>
      <c r="E1394" s="14" t="s">
        <v>88</v>
      </c>
      <c r="F1394" s="15" t="s">
        <v>51</v>
      </c>
      <c r="G1394" s="14" t="s">
        <v>89</v>
      </c>
      <c r="H1394" s="14" t="s">
        <v>90</v>
      </c>
      <c r="I1394" s="14" t="s">
        <v>59</v>
      </c>
      <c r="J1394" s="14" t="s">
        <v>200</v>
      </c>
      <c r="K1394" s="14" t="s">
        <v>223</v>
      </c>
      <c r="L1394" s="14" t="s">
        <v>710</v>
      </c>
      <c r="M1394" s="14" t="s">
        <v>711</v>
      </c>
      <c r="N1394" s="14" t="s">
        <v>712</v>
      </c>
      <c r="O1394" s="14">
        <v>0.0</v>
      </c>
      <c r="P1394" s="23">
        <v>0.0</v>
      </c>
      <c r="Q1394" s="22" t="str">
        <f t="shared" ref="Q1394:R1394" si="827">"+0.00%"</f>
        <v>+0.00%</v>
      </c>
      <c r="R1394" s="18" t="str">
        <f t="shared" si="827"/>
        <v>+0.00%</v>
      </c>
      <c r="S1394" s="14" t="s">
        <v>285</v>
      </c>
    </row>
    <row r="1395">
      <c r="A1395" s="13">
        <v>45901.0</v>
      </c>
      <c r="B1395" s="14" t="s">
        <v>47</v>
      </c>
      <c r="C1395" s="14" t="s">
        <v>48</v>
      </c>
      <c r="D1395" s="14" t="s">
        <v>149</v>
      </c>
      <c r="E1395" s="14" t="s">
        <v>150</v>
      </c>
      <c r="F1395" s="15" t="s">
        <v>51</v>
      </c>
      <c r="G1395" s="14" t="s">
        <v>151</v>
      </c>
      <c r="H1395" s="14" t="s">
        <v>152</v>
      </c>
      <c r="I1395" s="14" t="s">
        <v>54</v>
      </c>
      <c r="J1395" s="14" t="s">
        <v>200</v>
      </c>
      <c r="K1395" s="14" t="s">
        <v>223</v>
      </c>
      <c r="L1395" s="14" t="s">
        <v>261</v>
      </c>
      <c r="M1395" s="14" t="s">
        <v>808</v>
      </c>
      <c r="N1395" s="14" t="s">
        <v>809</v>
      </c>
      <c r="O1395" s="14">
        <v>76.0</v>
      </c>
      <c r="P1395" s="23">
        <v>0.7607</v>
      </c>
      <c r="Q1395" s="22" t="str">
        <f>"-1.82%"</f>
        <v>-1.82%</v>
      </c>
      <c r="R1395" s="18" t="str">
        <f>"-1.53%"</f>
        <v>-1.53%</v>
      </c>
      <c r="S1395" s="14" t="s">
        <v>1438</v>
      </c>
    </row>
    <row r="1396">
      <c r="A1396" s="13">
        <v>45901.0</v>
      </c>
      <c r="B1396" s="14" t="s">
        <v>47</v>
      </c>
      <c r="C1396" s="14" t="s">
        <v>48</v>
      </c>
      <c r="D1396" s="14" t="s">
        <v>149</v>
      </c>
      <c r="E1396" s="14" t="s">
        <v>150</v>
      </c>
      <c r="F1396" s="15" t="s">
        <v>51</v>
      </c>
      <c r="G1396" s="14" t="s">
        <v>151</v>
      </c>
      <c r="H1396" s="14" t="s">
        <v>152</v>
      </c>
      <c r="I1396" s="14" t="s">
        <v>54</v>
      </c>
      <c r="J1396" s="14" t="s">
        <v>200</v>
      </c>
      <c r="K1396" s="14" t="s">
        <v>224</v>
      </c>
      <c r="L1396" s="14" t="s">
        <v>453</v>
      </c>
      <c r="M1396" s="14" t="s">
        <v>949</v>
      </c>
      <c r="N1396" s="14" t="s">
        <v>950</v>
      </c>
      <c r="O1396" s="14">
        <v>100.0</v>
      </c>
      <c r="P1396" s="23">
        <v>1.0</v>
      </c>
      <c r="Q1396" s="22" t="str">
        <f t="shared" ref="Q1396:R1396" si="828">"+0.00%"</f>
        <v>+0.00%</v>
      </c>
      <c r="R1396" s="18" t="str">
        <f t="shared" si="828"/>
        <v>+0.00%</v>
      </c>
      <c r="S1396" s="14" t="s">
        <v>951</v>
      </c>
    </row>
    <row r="1397">
      <c r="A1397" s="13">
        <v>45901.0</v>
      </c>
      <c r="B1397" s="14" t="s">
        <v>47</v>
      </c>
      <c r="C1397" s="14" t="s">
        <v>48</v>
      </c>
      <c r="D1397" s="14" t="s">
        <v>69</v>
      </c>
      <c r="E1397" s="14" t="s">
        <v>70</v>
      </c>
      <c r="F1397" s="15" t="s">
        <v>51</v>
      </c>
      <c r="G1397" s="14" t="s">
        <v>115</v>
      </c>
      <c r="H1397" s="14" t="s">
        <v>72</v>
      </c>
      <c r="I1397" s="14" t="s">
        <v>54</v>
      </c>
      <c r="J1397" s="14" t="s">
        <v>198</v>
      </c>
      <c r="K1397" s="14" t="s">
        <v>210</v>
      </c>
      <c r="L1397" s="14" t="s">
        <v>458</v>
      </c>
      <c r="M1397" s="14" t="s">
        <v>796</v>
      </c>
      <c r="N1397" s="14" t="s">
        <v>797</v>
      </c>
      <c r="O1397" s="14">
        <v>0.0</v>
      </c>
      <c r="P1397" s="21">
        <v>0.0</v>
      </c>
      <c r="Q1397" s="22" t="str">
        <f t="shared" ref="Q1397:R1397" si="829">"+0"</f>
        <v>+0</v>
      </c>
      <c r="R1397" s="18" t="str">
        <f t="shared" si="829"/>
        <v>+0</v>
      </c>
      <c r="S1397" s="14" t="s">
        <v>277</v>
      </c>
    </row>
    <row r="1398">
      <c r="A1398" s="13">
        <v>45901.0</v>
      </c>
      <c r="B1398" s="14" t="s">
        <v>47</v>
      </c>
      <c r="C1398" s="14" t="s">
        <v>48</v>
      </c>
      <c r="D1398" s="14" t="s">
        <v>96</v>
      </c>
      <c r="E1398" s="14" t="s">
        <v>97</v>
      </c>
      <c r="F1398" s="15" t="s">
        <v>51</v>
      </c>
      <c r="G1398" s="14" t="s">
        <v>98</v>
      </c>
      <c r="H1398" s="14" t="s">
        <v>96</v>
      </c>
      <c r="I1398" s="14" t="s">
        <v>59</v>
      </c>
      <c r="J1398" s="14" t="s">
        <v>200</v>
      </c>
      <c r="K1398" s="14" t="s">
        <v>223</v>
      </c>
      <c r="L1398" s="14" t="s">
        <v>487</v>
      </c>
      <c r="M1398" s="14" t="s">
        <v>1015</v>
      </c>
      <c r="N1398" s="14" t="s">
        <v>1016</v>
      </c>
      <c r="O1398" s="14">
        <v>0.0</v>
      </c>
      <c r="P1398" s="23">
        <v>0.0</v>
      </c>
      <c r="Q1398" s="22" t="str">
        <f t="shared" ref="Q1398:R1398" si="830">"+0.00%"</f>
        <v>+0.00%</v>
      </c>
      <c r="R1398" s="18" t="str">
        <f t="shared" si="830"/>
        <v>+0.00%</v>
      </c>
      <c r="S1398" s="14" t="s">
        <v>285</v>
      </c>
    </row>
    <row r="1399">
      <c r="A1399" s="13">
        <v>45901.0</v>
      </c>
      <c r="B1399" s="14" t="s">
        <v>47</v>
      </c>
      <c r="C1399" s="14" t="s">
        <v>48</v>
      </c>
      <c r="D1399" s="14" t="s">
        <v>125</v>
      </c>
      <c r="E1399" s="14" t="s">
        <v>126</v>
      </c>
      <c r="F1399" s="15" t="s">
        <v>51</v>
      </c>
      <c r="G1399" s="14" t="s">
        <v>127</v>
      </c>
      <c r="H1399" s="14" t="s">
        <v>125</v>
      </c>
      <c r="I1399" s="14" t="s">
        <v>59</v>
      </c>
      <c r="J1399" s="14" t="s">
        <v>200</v>
      </c>
      <c r="K1399" s="14" t="s">
        <v>224</v>
      </c>
      <c r="L1399" s="14" t="s">
        <v>453</v>
      </c>
      <c r="M1399" s="14" t="s">
        <v>949</v>
      </c>
      <c r="N1399" s="14" t="s">
        <v>950</v>
      </c>
      <c r="O1399" s="14">
        <v>0.0</v>
      </c>
      <c r="P1399" s="17"/>
      <c r="Q1399" s="22"/>
      <c r="S1399" s="14" t="s">
        <v>951</v>
      </c>
    </row>
    <row r="1400">
      <c r="A1400" s="13">
        <v>45901.0</v>
      </c>
      <c r="B1400" s="14" t="s">
        <v>47</v>
      </c>
      <c r="C1400" s="14" t="s">
        <v>48</v>
      </c>
      <c r="D1400" s="14" t="s">
        <v>125</v>
      </c>
      <c r="E1400" s="14" t="s">
        <v>126</v>
      </c>
      <c r="F1400" s="15" t="s">
        <v>51</v>
      </c>
      <c r="G1400" s="14" t="s">
        <v>127</v>
      </c>
      <c r="H1400" s="14" t="s">
        <v>125</v>
      </c>
      <c r="I1400" s="14" t="s">
        <v>59</v>
      </c>
      <c r="J1400" s="14" t="s">
        <v>199</v>
      </c>
      <c r="K1400" s="14" t="s">
        <v>206</v>
      </c>
      <c r="L1400" s="14" t="s">
        <v>295</v>
      </c>
      <c r="M1400" s="14" t="s">
        <v>529</v>
      </c>
      <c r="N1400" s="14" t="s">
        <v>530</v>
      </c>
      <c r="O1400" s="14">
        <v>100.0</v>
      </c>
      <c r="P1400" s="21">
        <v>1.0</v>
      </c>
      <c r="Q1400" s="22" t="str">
        <f t="shared" ref="Q1400:R1400" si="831">"+0"</f>
        <v>+0</v>
      </c>
      <c r="R1400" s="18" t="str">
        <f t="shared" si="831"/>
        <v>+0</v>
      </c>
      <c r="S1400" s="14" t="s">
        <v>260</v>
      </c>
    </row>
    <row r="1401">
      <c r="A1401" s="13">
        <v>45901.0</v>
      </c>
      <c r="B1401" s="14" t="s">
        <v>47</v>
      </c>
      <c r="C1401" s="14" t="s">
        <v>48</v>
      </c>
      <c r="D1401" s="14" t="s">
        <v>69</v>
      </c>
      <c r="E1401" s="14" t="s">
        <v>70</v>
      </c>
      <c r="F1401" s="15" t="s">
        <v>51</v>
      </c>
      <c r="G1401" s="14" t="s">
        <v>115</v>
      </c>
      <c r="H1401" s="14" t="s">
        <v>72</v>
      </c>
      <c r="I1401" s="14" t="s">
        <v>54</v>
      </c>
      <c r="J1401" s="14" t="s">
        <v>198</v>
      </c>
      <c r="K1401" s="14" t="s">
        <v>210</v>
      </c>
      <c r="L1401" s="14" t="s">
        <v>458</v>
      </c>
      <c r="M1401" s="14" t="s">
        <v>1439</v>
      </c>
      <c r="N1401" s="14" t="s">
        <v>1440</v>
      </c>
      <c r="O1401" s="14">
        <v>0.0</v>
      </c>
      <c r="P1401" s="21">
        <v>0.0</v>
      </c>
      <c r="Q1401" s="22" t="str">
        <f t="shared" ref="Q1401:R1401" si="832">"+0"</f>
        <v>+0</v>
      </c>
      <c r="R1401" s="18" t="str">
        <f t="shared" si="832"/>
        <v>+0</v>
      </c>
      <c r="S1401" s="14" t="s">
        <v>277</v>
      </c>
    </row>
    <row r="1402">
      <c r="A1402" s="13">
        <v>45901.0</v>
      </c>
      <c r="B1402" s="14" t="s">
        <v>47</v>
      </c>
      <c r="C1402" s="14" t="s">
        <v>48</v>
      </c>
      <c r="D1402" s="14" t="s">
        <v>116</v>
      </c>
      <c r="E1402" s="14" t="s">
        <v>117</v>
      </c>
      <c r="F1402" s="15" t="s">
        <v>51</v>
      </c>
      <c r="G1402" s="14" t="s">
        <v>161</v>
      </c>
      <c r="H1402" s="14" t="s">
        <v>116</v>
      </c>
      <c r="I1402" s="14" t="s">
        <v>54</v>
      </c>
      <c r="J1402" s="14" t="s">
        <v>200</v>
      </c>
      <c r="K1402" s="14" t="s">
        <v>213</v>
      </c>
      <c r="L1402" s="14" t="s">
        <v>676</v>
      </c>
      <c r="M1402" s="14" t="s">
        <v>677</v>
      </c>
      <c r="N1402" s="14" t="s">
        <v>678</v>
      </c>
      <c r="O1402" s="14">
        <v>0.0</v>
      </c>
      <c r="P1402" s="23">
        <v>0.0</v>
      </c>
      <c r="Q1402" s="22" t="str">
        <f t="shared" ref="Q1402:R1402" si="833">"+0.00%"</f>
        <v>+0.00%</v>
      </c>
      <c r="R1402" s="18" t="str">
        <f t="shared" si="833"/>
        <v>+0.00%</v>
      </c>
      <c r="S1402" s="14" t="s">
        <v>285</v>
      </c>
    </row>
    <row r="1403">
      <c r="A1403" s="13">
        <v>45901.0</v>
      </c>
      <c r="B1403" s="14" t="s">
        <v>47</v>
      </c>
      <c r="C1403" s="14" t="s">
        <v>48</v>
      </c>
      <c r="D1403" s="14" t="s">
        <v>158</v>
      </c>
      <c r="E1403" s="14" t="s">
        <v>159</v>
      </c>
      <c r="F1403" s="15" t="s">
        <v>51</v>
      </c>
      <c r="G1403" s="14" t="s">
        <v>160</v>
      </c>
      <c r="H1403" s="14" t="s">
        <v>158</v>
      </c>
      <c r="I1403" s="14" t="s">
        <v>54</v>
      </c>
      <c r="J1403" s="14" t="s">
        <v>198</v>
      </c>
      <c r="K1403" s="14" t="s">
        <v>210</v>
      </c>
      <c r="L1403" s="14" t="s">
        <v>505</v>
      </c>
      <c r="M1403" s="14" t="s">
        <v>1111</v>
      </c>
      <c r="N1403" s="14" t="s">
        <v>1112</v>
      </c>
      <c r="O1403" s="14">
        <v>0.0</v>
      </c>
      <c r="P1403" s="21">
        <v>0.0</v>
      </c>
      <c r="Q1403" s="22" t="str">
        <f t="shared" ref="Q1403:R1403" si="834">"+0"</f>
        <v>+0</v>
      </c>
      <c r="R1403" s="18" t="str">
        <f t="shared" si="834"/>
        <v>+0</v>
      </c>
      <c r="S1403" s="14" t="s">
        <v>277</v>
      </c>
    </row>
    <row r="1404">
      <c r="A1404" s="13">
        <v>45901.0</v>
      </c>
      <c r="B1404" s="14" t="s">
        <v>47</v>
      </c>
      <c r="C1404" s="14" t="s">
        <v>48</v>
      </c>
      <c r="D1404" s="14" t="s">
        <v>108</v>
      </c>
      <c r="E1404" s="14" t="s">
        <v>109</v>
      </c>
      <c r="F1404" s="14" t="s">
        <v>79</v>
      </c>
      <c r="G1404" s="14" t="s">
        <v>153</v>
      </c>
      <c r="H1404" s="14" t="s">
        <v>108</v>
      </c>
      <c r="I1404" s="14" t="s">
        <v>154</v>
      </c>
      <c r="J1404" s="14" t="s">
        <v>200</v>
      </c>
      <c r="K1404" s="14" t="s">
        <v>237</v>
      </c>
      <c r="L1404" s="14" t="s">
        <v>333</v>
      </c>
      <c r="M1404" s="14" t="s">
        <v>1441</v>
      </c>
      <c r="N1404" s="14" t="s">
        <v>1442</v>
      </c>
      <c r="O1404" s="14">
        <v>0.0</v>
      </c>
      <c r="P1404" s="21">
        <v>0.0</v>
      </c>
      <c r="Q1404" s="22" t="str">
        <f t="shared" ref="Q1404:Q1405" si="835">"+0"</f>
        <v>+0</v>
      </c>
      <c r="S1404" s="14" t="s">
        <v>260</v>
      </c>
    </row>
    <row r="1405">
      <c r="A1405" s="13">
        <v>45901.0</v>
      </c>
      <c r="B1405" s="14" t="s">
        <v>47</v>
      </c>
      <c r="C1405" s="14" t="s">
        <v>48</v>
      </c>
      <c r="D1405" s="14" t="s">
        <v>158</v>
      </c>
      <c r="E1405" s="14" t="s">
        <v>159</v>
      </c>
      <c r="F1405" s="15" t="s">
        <v>51</v>
      </c>
      <c r="G1405" s="14" t="s">
        <v>160</v>
      </c>
      <c r="H1405" s="14" t="s">
        <v>158</v>
      </c>
      <c r="I1405" s="14" t="s">
        <v>54</v>
      </c>
      <c r="J1405" s="14" t="s">
        <v>198</v>
      </c>
      <c r="K1405" s="14" t="s">
        <v>210</v>
      </c>
      <c r="L1405" s="14" t="s">
        <v>505</v>
      </c>
      <c r="M1405" s="14" t="s">
        <v>975</v>
      </c>
      <c r="N1405" s="14" t="s">
        <v>976</v>
      </c>
      <c r="O1405" s="14">
        <v>0.0</v>
      </c>
      <c r="P1405" s="21">
        <v>0.0</v>
      </c>
      <c r="Q1405" s="22" t="str">
        <f t="shared" si="835"/>
        <v>+0</v>
      </c>
      <c r="R1405" s="18" t="str">
        <f>"+0"</f>
        <v>+0</v>
      </c>
      <c r="S1405" s="14" t="s">
        <v>277</v>
      </c>
    </row>
    <row r="1406">
      <c r="A1406" s="13">
        <v>45901.0</v>
      </c>
      <c r="B1406" s="14" t="s">
        <v>47</v>
      </c>
      <c r="C1406" s="14" t="s">
        <v>48</v>
      </c>
      <c r="D1406" s="14" t="s">
        <v>108</v>
      </c>
      <c r="E1406" s="14" t="s">
        <v>109</v>
      </c>
      <c r="F1406" s="15" t="s">
        <v>51</v>
      </c>
      <c r="G1406" s="14" t="s">
        <v>110</v>
      </c>
      <c r="H1406" s="14" t="s">
        <v>108</v>
      </c>
      <c r="I1406" s="14" t="s">
        <v>59</v>
      </c>
      <c r="J1406" s="14" t="s">
        <v>200</v>
      </c>
      <c r="K1406" s="14" t="s">
        <v>228</v>
      </c>
      <c r="L1406" s="14" t="s">
        <v>253</v>
      </c>
      <c r="M1406" s="14" t="s">
        <v>1165</v>
      </c>
      <c r="N1406" s="14" t="s">
        <v>1166</v>
      </c>
      <c r="O1406" s="14">
        <v>0.0</v>
      </c>
      <c r="P1406" s="23">
        <v>0.0</v>
      </c>
      <c r="Q1406" s="22" t="str">
        <f t="shared" ref="Q1406:R1406" si="836">"+0.00%"</f>
        <v>+0.00%</v>
      </c>
      <c r="R1406" s="18" t="str">
        <f t="shared" si="836"/>
        <v>+0.00%</v>
      </c>
      <c r="S1406" s="14" t="s">
        <v>1443</v>
      </c>
    </row>
    <row r="1407">
      <c r="A1407" s="13">
        <v>45901.0</v>
      </c>
      <c r="B1407" s="14" t="s">
        <v>47</v>
      </c>
      <c r="C1407" s="14" t="s">
        <v>48</v>
      </c>
      <c r="D1407" s="14" t="s">
        <v>77</v>
      </c>
      <c r="E1407" s="14" t="s">
        <v>78</v>
      </c>
      <c r="F1407" s="14" t="s">
        <v>79</v>
      </c>
      <c r="G1407" s="14" t="s">
        <v>80</v>
      </c>
      <c r="H1407" s="14" t="s">
        <v>81</v>
      </c>
      <c r="J1407" s="14" t="s">
        <v>198</v>
      </c>
      <c r="K1407" s="14" t="s">
        <v>212</v>
      </c>
      <c r="L1407" s="14" t="s">
        <v>249</v>
      </c>
      <c r="M1407" s="14" t="s">
        <v>1444</v>
      </c>
      <c r="N1407" s="14" t="s">
        <v>1445</v>
      </c>
      <c r="O1407" s="14">
        <v>100.0</v>
      </c>
      <c r="P1407" s="21">
        <v>0.0</v>
      </c>
      <c r="Q1407" s="22" t="str">
        <f t="shared" ref="Q1407:Q1408" si="837">"+0"</f>
        <v>+0</v>
      </c>
      <c r="S1407" s="14" t="s">
        <v>277</v>
      </c>
    </row>
    <row r="1408">
      <c r="A1408" s="13">
        <v>45901.0</v>
      </c>
      <c r="B1408" s="14" t="s">
        <v>47</v>
      </c>
      <c r="C1408" s="14" t="s">
        <v>48</v>
      </c>
      <c r="D1408" s="14" t="s">
        <v>77</v>
      </c>
      <c r="E1408" s="14" t="s">
        <v>78</v>
      </c>
      <c r="F1408" s="15" t="s">
        <v>51</v>
      </c>
      <c r="G1408" s="14" t="s">
        <v>128</v>
      </c>
      <c r="H1408" s="14" t="s">
        <v>81</v>
      </c>
      <c r="I1408" s="14" t="s">
        <v>59</v>
      </c>
      <c r="J1408" s="14" t="s">
        <v>199</v>
      </c>
      <c r="K1408" s="14" t="s">
        <v>203</v>
      </c>
      <c r="L1408" s="14" t="s">
        <v>601</v>
      </c>
      <c r="M1408" s="14" t="s">
        <v>601</v>
      </c>
      <c r="N1408" s="14" t="s">
        <v>602</v>
      </c>
      <c r="O1408" s="14">
        <v>0.0</v>
      </c>
      <c r="P1408" s="21">
        <v>0.0</v>
      </c>
      <c r="Q1408" s="22" t="str">
        <f t="shared" si="837"/>
        <v>+0</v>
      </c>
      <c r="R1408" s="18" t="str">
        <f>"+0"</f>
        <v>+0</v>
      </c>
      <c r="S1408" s="14" t="s">
        <v>260</v>
      </c>
    </row>
    <row r="1409">
      <c r="A1409" s="13">
        <v>45901.0</v>
      </c>
      <c r="B1409" s="14" t="s">
        <v>47</v>
      </c>
      <c r="C1409" s="14" t="s">
        <v>48</v>
      </c>
      <c r="D1409" s="14" t="s">
        <v>140</v>
      </c>
      <c r="E1409" s="14" t="s">
        <v>141</v>
      </c>
      <c r="F1409" s="15" t="s">
        <v>51</v>
      </c>
      <c r="G1409" s="14" t="s">
        <v>142</v>
      </c>
      <c r="H1409" s="14" t="s">
        <v>140</v>
      </c>
      <c r="I1409" s="14" t="s">
        <v>59</v>
      </c>
      <c r="J1409" s="14" t="s">
        <v>200</v>
      </c>
      <c r="K1409" s="14" t="s">
        <v>213</v>
      </c>
      <c r="L1409" s="14" t="s">
        <v>253</v>
      </c>
      <c r="M1409" s="14" t="s">
        <v>366</v>
      </c>
      <c r="N1409" s="14" t="s">
        <v>367</v>
      </c>
      <c r="O1409" s="14">
        <v>97.0</v>
      </c>
      <c r="P1409" s="23">
        <v>0.9743</v>
      </c>
      <c r="Q1409" s="22" t="str">
        <f>"+0.29%"</f>
        <v>+0.29%</v>
      </c>
      <c r="R1409" s="18" t="str">
        <f>"+1.71%"</f>
        <v>+1.71%</v>
      </c>
      <c r="S1409" s="14" t="s">
        <v>1446</v>
      </c>
    </row>
    <row r="1410">
      <c r="A1410" s="13">
        <v>45901.0</v>
      </c>
      <c r="B1410" s="14" t="s">
        <v>47</v>
      </c>
      <c r="C1410" s="14" t="s">
        <v>48</v>
      </c>
      <c r="D1410" s="14" t="s">
        <v>56</v>
      </c>
      <c r="E1410" s="14" t="s">
        <v>57</v>
      </c>
      <c r="F1410" s="15" t="s">
        <v>51</v>
      </c>
      <c r="G1410" s="14" t="s">
        <v>58</v>
      </c>
      <c r="H1410" s="14" t="s">
        <v>56</v>
      </c>
      <c r="I1410" s="14" t="s">
        <v>59</v>
      </c>
      <c r="J1410" s="14" t="s">
        <v>200</v>
      </c>
      <c r="K1410" s="14" t="s">
        <v>223</v>
      </c>
      <c r="L1410" s="14" t="s">
        <v>359</v>
      </c>
      <c r="M1410" s="14" t="s">
        <v>628</v>
      </c>
      <c r="N1410" s="14" t="s">
        <v>629</v>
      </c>
      <c r="O1410" s="14">
        <v>0.0</v>
      </c>
      <c r="P1410" s="21">
        <v>0.0</v>
      </c>
      <c r="Q1410" s="22" t="str">
        <f t="shared" ref="Q1410:R1410" si="838">"+0"</f>
        <v>+0</v>
      </c>
      <c r="R1410" s="18" t="str">
        <f t="shared" si="838"/>
        <v>+0</v>
      </c>
      <c r="S1410" s="14" t="s">
        <v>260</v>
      </c>
    </row>
    <row r="1411">
      <c r="A1411" s="13">
        <v>45901.0</v>
      </c>
      <c r="B1411" s="14" t="s">
        <v>47</v>
      </c>
      <c r="C1411" s="14" t="s">
        <v>48</v>
      </c>
      <c r="D1411" s="14" t="s">
        <v>155</v>
      </c>
      <c r="E1411" s="14" t="s">
        <v>156</v>
      </c>
      <c r="F1411" s="15" t="s">
        <v>51</v>
      </c>
      <c r="G1411" s="14" t="s">
        <v>157</v>
      </c>
      <c r="H1411" s="14" t="s">
        <v>155</v>
      </c>
      <c r="I1411" s="14" t="s">
        <v>59</v>
      </c>
      <c r="J1411" s="14" t="s">
        <v>200</v>
      </c>
      <c r="K1411" s="14" t="s">
        <v>223</v>
      </c>
      <c r="L1411" s="14" t="s">
        <v>257</v>
      </c>
      <c r="M1411" s="14" t="s">
        <v>315</v>
      </c>
      <c r="N1411" s="14" t="s">
        <v>316</v>
      </c>
      <c r="O1411" s="14">
        <v>0.0</v>
      </c>
      <c r="P1411" s="17"/>
      <c r="Q1411" s="22"/>
      <c r="S1411" s="14" t="s">
        <v>1447</v>
      </c>
    </row>
    <row r="1412">
      <c r="A1412" s="13">
        <v>45901.0</v>
      </c>
      <c r="B1412" s="14" t="s">
        <v>47</v>
      </c>
      <c r="C1412" s="14" t="s">
        <v>48</v>
      </c>
      <c r="D1412" s="14" t="s">
        <v>60</v>
      </c>
      <c r="E1412" s="14" t="s">
        <v>61</v>
      </c>
      <c r="F1412" s="15" t="s">
        <v>51</v>
      </c>
      <c r="G1412" s="14" t="s">
        <v>62</v>
      </c>
      <c r="H1412" s="14" t="s">
        <v>60</v>
      </c>
      <c r="I1412" s="14" t="s">
        <v>59</v>
      </c>
      <c r="J1412" s="14" t="s">
        <v>200</v>
      </c>
      <c r="K1412" s="14" t="s">
        <v>223</v>
      </c>
      <c r="L1412" s="14" t="s">
        <v>487</v>
      </c>
      <c r="M1412" s="14" t="s">
        <v>1415</v>
      </c>
      <c r="N1412" s="14" t="s">
        <v>1416</v>
      </c>
      <c r="O1412" s="14">
        <v>100.0</v>
      </c>
      <c r="P1412" s="21">
        <v>836.0</v>
      </c>
      <c r="Q1412" s="22" t="str">
        <f>"+30"</f>
        <v>+30</v>
      </c>
      <c r="R1412" s="18" t="str">
        <f>"+46"</f>
        <v>+46</v>
      </c>
      <c r="S1412" s="14" t="s">
        <v>260</v>
      </c>
    </row>
    <row r="1413">
      <c r="A1413" s="13">
        <v>45901.0</v>
      </c>
      <c r="B1413" s="14" t="s">
        <v>47</v>
      </c>
      <c r="C1413" s="14" t="s">
        <v>48</v>
      </c>
      <c r="D1413" s="14" t="s">
        <v>155</v>
      </c>
      <c r="E1413" s="14" t="s">
        <v>156</v>
      </c>
      <c r="F1413" s="15" t="s">
        <v>51</v>
      </c>
      <c r="G1413" s="14" t="s">
        <v>157</v>
      </c>
      <c r="H1413" s="14" t="s">
        <v>155</v>
      </c>
      <c r="I1413" s="14" t="s">
        <v>59</v>
      </c>
      <c r="J1413" s="14" t="s">
        <v>200</v>
      </c>
      <c r="K1413" s="14" t="s">
        <v>223</v>
      </c>
      <c r="L1413" s="14" t="s">
        <v>261</v>
      </c>
      <c r="M1413" s="14" t="s">
        <v>906</v>
      </c>
      <c r="N1413" s="14" t="s">
        <v>907</v>
      </c>
      <c r="O1413" s="14">
        <v>0.0</v>
      </c>
      <c r="P1413" s="17"/>
      <c r="Q1413" s="22"/>
      <c r="S1413" s="14" t="s">
        <v>1448</v>
      </c>
    </row>
    <row r="1414">
      <c r="A1414" s="13">
        <v>45901.0</v>
      </c>
      <c r="B1414" s="14" t="s">
        <v>47</v>
      </c>
      <c r="C1414" s="14" t="s">
        <v>48</v>
      </c>
      <c r="D1414" s="14" t="s">
        <v>121</v>
      </c>
      <c r="E1414" s="14" t="s">
        <v>122</v>
      </c>
      <c r="F1414" s="15" t="s">
        <v>51</v>
      </c>
      <c r="G1414" s="14" t="s">
        <v>123</v>
      </c>
      <c r="H1414" s="14" t="s">
        <v>124</v>
      </c>
      <c r="I1414" s="14" t="s">
        <v>59</v>
      </c>
      <c r="J1414" s="14" t="s">
        <v>198</v>
      </c>
      <c r="K1414" s="14" t="s">
        <v>210</v>
      </c>
      <c r="L1414" s="14" t="s">
        <v>458</v>
      </c>
      <c r="M1414" s="14" t="s">
        <v>459</v>
      </c>
      <c r="N1414" s="14" t="s">
        <v>460</v>
      </c>
      <c r="O1414" s="14">
        <v>100.0</v>
      </c>
      <c r="P1414" s="21">
        <v>0.0</v>
      </c>
      <c r="Q1414" s="22" t="str">
        <f t="shared" ref="Q1414:R1414" si="839">"+0"</f>
        <v>+0</v>
      </c>
      <c r="R1414" s="18" t="str">
        <f t="shared" si="839"/>
        <v>+0</v>
      </c>
      <c r="S1414" s="14" t="s">
        <v>281</v>
      </c>
    </row>
    <row r="1415">
      <c r="A1415" s="13">
        <v>45901.0</v>
      </c>
      <c r="B1415" s="14" t="s">
        <v>47</v>
      </c>
      <c r="C1415" s="14" t="s">
        <v>48</v>
      </c>
      <c r="D1415" s="14" t="s">
        <v>165</v>
      </c>
      <c r="E1415" s="14" t="s">
        <v>166</v>
      </c>
      <c r="F1415" s="15" t="s">
        <v>51</v>
      </c>
      <c r="G1415" s="14" t="s">
        <v>167</v>
      </c>
      <c r="H1415" s="14" t="s">
        <v>165</v>
      </c>
      <c r="I1415" s="14" t="s">
        <v>54</v>
      </c>
      <c r="J1415" s="14" t="s">
        <v>200</v>
      </c>
      <c r="K1415" s="14" t="s">
        <v>201</v>
      </c>
      <c r="L1415" s="14" t="s">
        <v>253</v>
      </c>
      <c r="M1415" s="14" t="s">
        <v>1411</v>
      </c>
      <c r="N1415" s="14" t="s">
        <v>1412</v>
      </c>
      <c r="O1415" s="14">
        <v>1.0</v>
      </c>
      <c r="P1415" s="23">
        <v>0.0031</v>
      </c>
      <c r="Q1415" s="22" t="str">
        <f>"+0.12%"</f>
        <v>+0.12%</v>
      </c>
      <c r="R1415" s="18" t="str">
        <f>"-0.02%"</f>
        <v>-0.02%</v>
      </c>
      <c r="S1415" s="14" t="s">
        <v>1413</v>
      </c>
    </row>
    <row r="1416">
      <c r="A1416" s="13">
        <v>45901.0</v>
      </c>
      <c r="B1416" s="14" t="s">
        <v>47</v>
      </c>
      <c r="C1416" s="14" t="s">
        <v>48</v>
      </c>
      <c r="D1416" s="14" t="s">
        <v>49</v>
      </c>
      <c r="E1416" s="14" t="s">
        <v>50</v>
      </c>
      <c r="F1416" s="15" t="s">
        <v>51</v>
      </c>
      <c r="G1416" s="14" t="s">
        <v>52</v>
      </c>
      <c r="H1416" s="14" t="s">
        <v>53</v>
      </c>
      <c r="I1416" s="14" t="s">
        <v>54</v>
      </c>
      <c r="J1416" s="14" t="s">
        <v>199</v>
      </c>
      <c r="K1416" s="14" t="s">
        <v>203</v>
      </c>
      <c r="L1416" s="14" t="s">
        <v>736</v>
      </c>
      <c r="M1416" s="14" t="s">
        <v>736</v>
      </c>
      <c r="N1416" s="14" t="s">
        <v>737</v>
      </c>
      <c r="O1416" s="14">
        <v>0.0</v>
      </c>
      <c r="P1416" s="21">
        <v>0.0</v>
      </c>
      <c r="Q1416" s="22" t="str">
        <f t="shared" ref="Q1416:R1416" si="840">"+0"</f>
        <v>+0</v>
      </c>
      <c r="R1416" s="18" t="str">
        <f t="shared" si="840"/>
        <v>+0</v>
      </c>
      <c r="S1416" s="14" t="s">
        <v>260</v>
      </c>
    </row>
    <row r="1417">
      <c r="A1417" s="13">
        <v>45901.0</v>
      </c>
      <c r="B1417" s="14" t="s">
        <v>47</v>
      </c>
      <c r="C1417" s="14" t="s">
        <v>48</v>
      </c>
      <c r="D1417" s="14" t="s">
        <v>165</v>
      </c>
      <c r="E1417" s="14" t="s">
        <v>166</v>
      </c>
      <c r="F1417" s="15" t="s">
        <v>51</v>
      </c>
      <c r="G1417" s="14" t="s">
        <v>167</v>
      </c>
      <c r="H1417" s="14" t="s">
        <v>165</v>
      </c>
      <c r="I1417" s="14" t="s">
        <v>54</v>
      </c>
      <c r="J1417" s="14" t="s">
        <v>200</v>
      </c>
      <c r="K1417" s="14" t="s">
        <v>222</v>
      </c>
      <c r="L1417" s="14" t="s">
        <v>301</v>
      </c>
      <c r="M1417" s="14" t="s">
        <v>302</v>
      </c>
      <c r="N1417" s="14" t="s">
        <v>303</v>
      </c>
      <c r="O1417" s="14">
        <v>100.0</v>
      </c>
      <c r="P1417" s="21">
        <v>16.0</v>
      </c>
      <c r="Q1417" s="22" t="str">
        <f>"+16"</f>
        <v>+16</v>
      </c>
      <c r="R1417" s="18" t="str">
        <f>"+13"</f>
        <v>+13</v>
      </c>
      <c r="S1417" s="14" t="s">
        <v>260</v>
      </c>
    </row>
    <row r="1418">
      <c r="A1418" s="13">
        <v>45901.0</v>
      </c>
      <c r="B1418" s="14" t="s">
        <v>47</v>
      </c>
      <c r="C1418" s="14" t="s">
        <v>48</v>
      </c>
      <c r="D1418" s="14" t="s">
        <v>91</v>
      </c>
      <c r="E1418" s="14" t="s">
        <v>92</v>
      </c>
      <c r="F1418" s="14" t="s">
        <v>71</v>
      </c>
      <c r="G1418" s="14">
        <v>5.10000484E8</v>
      </c>
      <c r="H1418" s="14" t="s">
        <v>91</v>
      </c>
      <c r="I1418" s="14" t="s">
        <v>54</v>
      </c>
      <c r="J1418" s="14" t="s">
        <v>200</v>
      </c>
      <c r="K1418" s="14" t="s">
        <v>220</v>
      </c>
      <c r="L1418" s="14" t="s">
        <v>253</v>
      </c>
      <c r="M1418" s="14" t="s">
        <v>1449</v>
      </c>
      <c r="N1418" s="14" t="s">
        <v>1450</v>
      </c>
      <c r="O1418" s="14">
        <v>0.0</v>
      </c>
      <c r="P1418" s="23">
        <v>0.0</v>
      </c>
      <c r="Q1418" s="22" t="str">
        <f t="shared" ref="Q1418:R1418" si="841">"+0.00%"</f>
        <v>+0.00%</v>
      </c>
      <c r="R1418" s="18" t="str">
        <f t="shared" si="841"/>
        <v>+0.00%</v>
      </c>
      <c r="S1418" s="14" t="s">
        <v>1451</v>
      </c>
    </row>
    <row r="1419">
      <c r="A1419" s="13">
        <v>45901.0</v>
      </c>
      <c r="B1419" s="14" t="s">
        <v>47</v>
      </c>
      <c r="C1419" s="14" t="s">
        <v>48</v>
      </c>
      <c r="D1419" s="14" t="s">
        <v>91</v>
      </c>
      <c r="E1419" s="14" t="s">
        <v>92</v>
      </c>
      <c r="F1419" s="14" t="s">
        <v>71</v>
      </c>
      <c r="G1419" s="14">
        <v>5.10000484E8</v>
      </c>
      <c r="H1419" s="14" t="s">
        <v>91</v>
      </c>
      <c r="I1419" s="14" t="s">
        <v>54</v>
      </c>
      <c r="J1419" s="14" t="s">
        <v>199</v>
      </c>
      <c r="K1419" s="14" t="s">
        <v>203</v>
      </c>
      <c r="L1419" s="14" t="s">
        <v>725</v>
      </c>
      <c r="M1419" s="14" t="s">
        <v>725</v>
      </c>
      <c r="N1419" s="14" t="s">
        <v>726</v>
      </c>
      <c r="O1419" s="14">
        <v>100.0</v>
      </c>
      <c r="P1419" s="21">
        <v>4.0</v>
      </c>
      <c r="Q1419" s="22" t="str">
        <f>"+1"</f>
        <v>+1</v>
      </c>
      <c r="R1419" s="18" t="str">
        <f>"+2"</f>
        <v>+2</v>
      </c>
      <c r="S1419" s="14" t="s">
        <v>260</v>
      </c>
    </row>
    <row r="1420">
      <c r="A1420" s="13">
        <v>45901.0</v>
      </c>
      <c r="B1420" s="14" t="s">
        <v>47</v>
      </c>
      <c r="C1420" s="14" t="s">
        <v>48</v>
      </c>
      <c r="D1420" s="14" t="s">
        <v>91</v>
      </c>
      <c r="E1420" s="14" t="s">
        <v>92</v>
      </c>
      <c r="F1420" s="15" t="s">
        <v>51</v>
      </c>
      <c r="G1420" s="14" t="s">
        <v>163</v>
      </c>
      <c r="H1420" s="14" t="s">
        <v>91</v>
      </c>
      <c r="I1420" s="14" t="s">
        <v>59</v>
      </c>
      <c r="J1420" s="14" t="s">
        <v>200</v>
      </c>
      <c r="K1420" s="14" t="s">
        <v>223</v>
      </c>
      <c r="L1420" s="14" t="s">
        <v>289</v>
      </c>
      <c r="M1420" s="14" t="s">
        <v>984</v>
      </c>
      <c r="N1420" s="14" t="s">
        <v>985</v>
      </c>
      <c r="O1420" s="14">
        <v>0.0</v>
      </c>
      <c r="P1420" s="23">
        <v>0.0</v>
      </c>
      <c r="Q1420" s="22" t="str">
        <f t="shared" ref="Q1420:R1420" si="842">"+0.00%"</f>
        <v>+0.00%</v>
      </c>
      <c r="R1420" s="18" t="str">
        <f t="shared" si="842"/>
        <v>+0.00%</v>
      </c>
      <c r="S1420" s="14" t="s">
        <v>285</v>
      </c>
    </row>
    <row r="1421">
      <c r="A1421" s="13">
        <v>45901.0</v>
      </c>
      <c r="B1421" s="14" t="s">
        <v>47</v>
      </c>
      <c r="C1421" s="14" t="s">
        <v>48</v>
      </c>
      <c r="D1421" s="14" t="s">
        <v>91</v>
      </c>
      <c r="E1421" s="14" t="s">
        <v>92</v>
      </c>
      <c r="F1421" s="14" t="s">
        <v>71</v>
      </c>
      <c r="G1421" s="14">
        <v>1.00005882E8</v>
      </c>
      <c r="H1421" s="14" t="s">
        <v>91</v>
      </c>
      <c r="I1421" s="14" t="s">
        <v>59</v>
      </c>
      <c r="J1421" s="14" t="s">
        <v>199</v>
      </c>
      <c r="K1421" s="14" t="s">
        <v>203</v>
      </c>
      <c r="L1421" s="14" t="s">
        <v>601</v>
      </c>
      <c r="M1421" s="14" t="s">
        <v>601</v>
      </c>
      <c r="N1421" s="14" t="s">
        <v>602</v>
      </c>
      <c r="O1421" s="14">
        <v>0.0</v>
      </c>
      <c r="P1421" s="21">
        <v>0.0</v>
      </c>
      <c r="Q1421" s="22" t="str">
        <f t="shared" ref="Q1421:R1421" si="843">"+0"</f>
        <v>+0</v>
      </c>
      <c r="R1421" s="18" t="str">
        <f t="shared" si="843"/>
        <v>+0</v>
      </c>
      <c r="S1421" s="14" t="s">
        <v>260</v>
      </c>
    </row>
    <row r="1422">
      <c r="A1422" s="13">
        <v>45901.0</v>
      </c>
      <c r="B1422" s="14" t="s">
        <v>47</v>
      </c>
      <c r="C1422" s="14" t="s">
        <v>48</v>
      </c>
      <c r="D1422" s="14" t="s">
        <v>91</v>
      </c>
      <c r="E1422" s="14" t="s">
        <v>92</v>
      </c>
      <c r="F1422" s="15" t="s">
        <v>51</v>
      </c>
      <c r="G1422" s="14" t="s">
        <v>163</v>
      </c>
      <c r="H1422" s="14" t="s">
        <v>91</v>
      </c>
      <c r="I1422" s="14" t="s">
        <v>59</v>
      </c>
      <c r="J1422" s="14" t="s">
        <v>200</v>
      </c>
      <c r="K1422" s="14" t="s">
        <v>223</v>
      </c>
      <c r="L1422" s="14" t="s">
        <v>487</v>
      </c>
      <c r="M1422" s="14" t="s">
        <v>904</v>
      </c>
      <c r="N1422" s="14" t="s">
        <v>905</v>
      </c>
      <c r="O1422" s="14">
        <v>100.0</v>
      </c>
      <c r="P1422" s="21">
        <v>96.0</v>
      </c>
      <c r="Q1422" s="22" t="str">
        <f t="shared" ref="Q1422:R1422" si="844">"+0"</f>
        <v>+0</v>
      </c>
      <c r="R1422" s="18" t="str">
        <f t="shared" si="844"/>
        <v>+0</v>
      </c>
      <c r="S1422" s="14" t="s">
        <v>260</v>
      </c>
    </row>
    <row r="1423">
      <c r="A1423" s="13">
        <v>45901.0</v>
      </c>
      <c r="B1423" s="14" t="s">
        <v>47</v>
      </c>
      <c r="C1423" s="14" t="s">
        <v>48</v>
      </c>
      <c r="D1423" s="14" t="s">
        <v>82</v>
      </c>
      <c r="E1423" s="14" t="s">
        <v>83</v>
      </c>
      <c r="F1423" s="15" t="s">
        <v>51</v>
      </c>
      <c r="G1423" s="14" t="s">
        <v>84</v>
      </c>
      <c r="H1423" s="14" t="s">
        <v>82</v>
      </c>
      <c r="I1423" s="14" t="s">
        <v>59</v>
      </c>
      <c r="J1423" s="14" t="s">
        <v>198</v>
      </c>
      <c r="K1423" s="14" t="s">
        <v>205</v>
      </c>
      <c r="L1423" s="14" t="s">
        <v>274</v>
      </c>
      <c r="M1423" s="14" t="s">
        <v>425</v>
      </c>
      <c r="N1423" s="14" t="s">
        <v>426</v>
      </c>
      <c r="O1423" s="14">
        <v>0.0</v>
      </c>
      <c r="P1423" s="21">
        <v>0.0</v>
      </c>
      <c r="Q1423" s="22" t="str">
        <f>"+0"</f>
        <v>+0</v>
      </c>
      <c r="S1423" s="14" t="s">
        <v>281</v>
      </c>
    </row>
    <row r="1424">
      <c r="A1424" s="13">
        <v>45901.0</v>
      </c>
      <c r="B1424" s="14" t="s">
        <v>47</v>
      </c>
      <c r="C1424" s="14" t="s">
        <v>48</v>
      </c>
      <c r="D1424" s="14" t="s">
        <v>103</v>
      </c>
      <c r="E1424" s="14" t="s">
        <v>104</v>
      </c>
      <c r="F1424" s="15" t="s">
        <v>51</v>
      </c>
      <c r="G1424" s="14" t="s">
        <v>105</v>
      </c>
      <c r="H1424" s="14" t="s">
        <v>106</v>
      </c>
      <c r="I1424" s="14" t="s">
        <v>59</v>
      </c>
      <c r="J1424" s="14" t="s">
        <v>200</v>
      </c>
      <c r="K1424" s="14" t="s">
        <v>232</v>
      </c>
      <c r="L1424" s="14" t="s">
        <v>304</v>
      </c>
      <c r="M1424" s="14" t="s">
        <v>1012</v>
      </c>
      <c r="N1424" s="14" t="s">
        <v>1013</v>
      </c>
      <c r="O1424" s="14">
        <v>0.0</v>
      </c>
      <c r="P1424" s="23">
        <v>0.0</v>
      </c>
      <c r="Q1424" s="22" t="str">
        <f>"+0.00%"</f>
        <v>+0.00%</v>
      </c>
      <c r="R1424" s="18" t="str">
        <f>"-12.50%"</f>
        <v>-12.50%</v>
      </c>
      <c r="S1424" s="14" t="s">
        <v>285</v>
      </c>
    </row>
    <row r="1425">
      <c r="A1425" s="13">
        <v>45901.0</v>
      </c>
      <c r="B1425" s="14" t="s">
        <v>47</v>
      </c>
      <c r="C1425" s="14" t="s">
        <v>48</v>
      </c>
      <c r="D1425" s="14" t="s">
        <v>149</v>
      </c>
      <c r="E1425" s="14" t="s">
        <v>150</v>
      </c>
      <c r="F1425" s="15" t="s">
        <v>51</v>
      </c>
      <c r="G1425" s="14" t="s">
        <v>151</v>
      </c>
      <c r="H1425" s="14" t="s">
        <v>152</v>
      </c>
      <c r="I1425" s="14" t="s">
        <v>54</v>
      </c>
      <c r="J1425" s="14" t="s">
        <v>198</v>
      </c>
      <c r="K1425" s="14" t="s">
        <v>210</v>
      </c>
      <c r="L1425" s="14" t="s">
        <v>264</v>
      </c>
      <c r="M1425" s="14" t="s">
        <v>559</v>
      </c>
      <c r="N1425" s="14" t="s">
        <v>560</v>
      </c>
      <c r="O1425" s="14">
        <v>0.0</v>
      </c>
      <c r="P1425" s="21">
        <v>0.0</v>
      </c>
      <c r="Q1425" s="22" t="str">
        <f t="shared" ref="Q1425:R1425" si="845">"+0"</f>
        <v>+0</v>
      </c>
      <c r="R1425" s="18" t="str">
        <f t="shared" si="845"/>
        <v>+0</v>
      </c>
      <c r="S1425" s="14" t="s">
        <v>277</v>
      </c>
    </row>
    <row r="1426">
      <c r="A1426" s="13">
        <v>45901.0</v>
      </c>
      <c r="B1426" s="14" t="s">
        <v>47</v>
      </c>
      <c r="C1426" s="14" t="s">
        <v>48</v>
      </c>
      <c r="D1426" s="14" t="s">
        <v>136</v>
      </c>
      <c r="E1426" s="14" t="s">
        <v>137</v>
      </c>
      <c r="F1426" s="15" t="s">
        <v>51</v>
      </c>
      <c r="G1426" s="14" t="s">
        <v>138</v>
      </c>
      <c r="H1426" s="14" t="s">
        <v>139</v>
      </c>
      <c r="I1426" s="14" t="s">
        <v>59</v>
      </c>
      <c r="J1426" s="14" t="s">
        <v>200</v>
      </c>
      <c r="K1426" s="14" t="s">
        <v>224</v>
      </c>
      <c r="L1426" s="14" t="s">
        <v>453</v>
      </c>
      <c r="M1426" s="14" t="s">
        <v>665</v>
      </c>
      <c r="N1426" s="14" t="s">
        <v>666</v>
      </c>
      <c r="O1426" s="14">
        <v>100.0</v>
      </c>
      <c r="P1426" s="23">
        <v>1.0</v>
      </c>
      <c r="Q1426" s="22" t="str">
        <f>"+0.00%"</f>
        <v>+0.00%</v>
      </c>
      <c r="S1426" s="14" t="s">
        <v>667</v>
      </c>
    </row>
    <row r="1427">
      <c r="A1427" s="13">
        <v>45901.0</v>
      </c>
      <c r="B1427" s="14" t="s">
        <v>47</v>
      </c>
      <c r="C1427" s="14" t="s">
        <v>48</v>
      </c>
      <c r="D1427" s="14" t="s">
        <v>171</v>
      </c>
      <c r="E1427" s="14" t="s">
        <v>172</v>
      </c>
      <c r="F1427" s="15" t="s">
        <v>51</v>
      </c>
      <c r="G1427" s="14" t="s">
        <v>173</v>
      </c>
      <c r="H1427" s="14" t="s">
        <v>171</v>
      </c>
      <c r="I1427" s="14" t="s">
        <v>59</v>
      </c>
      <c r="J1427" s="14" t="s">
        <v>200</v>
      </c>
      <c r="K1427" s="14" t="s">
        <v>213</v>
      </c>
      <c r="L1427" s="14" t="s">
        <v>359</v>
      </c>
      <c r="M1427" s="14" t="s">
        <v>628</v>
      </c>
      <c r="N1427" s="14" t="s">
        <v>629</v>
      </c>
      <c r="O1427" s="14">
        <v>100.0</v>
      </c>
      <c r="P1427" s="21">
        <v>564.0</v>
      </c>
      <c r="Q1427" s="22" t="str">
        <f t="shared" ref="Q1427:R1427" si="846">"+0"</f>
        <v>+0</v>
      </c>
      <c r="R1427" s="18" t="str">
        <f t="shared" si="846"/>
        <v>+0</v>
      </c>
      <c r="S1427" s="14" t="s">
        <v>260</v>
      </c>
    </row>
    <row r="1428">
      <c r="A1428" s="13">
        <v>45901.0</v>
      </c>
      <c r="B1428" s="14" t="s">
        <v>47</v>
      </c>
      <c r="C1428" s="14" t="s">
        <v>48</v>
      </c>
      <c r="D1428" s="14" t="s">
        <v>87</v>
      </c>
      <c r="E1428" s="14" t="s">
        <v>88</v>
      </c>
      <c r="F1428" s="15" t="s">
        <v>51</v>
      </c>
      <c r="G1428" s="14" t="s">
        <v>89</v>
      </c>
      <c r="H1428" s="14" t="s">
        <v>90</v>
      </c>
      <c r="I1428" s="14" t="s">
        <v>59</v>
      </c>
      <c r="J1428" s="14" t="s">
        <v>200</v>
      </c>
      <c r="K1428" s="14" t="s">
        <v>223</v>
      </c>
      <c r="L1428" s="14" t="s">
        <v>676</v>
      </c>
      <c r="M1428" s="14" t="s">
        <v>858</v>
      </c>
      <c r="N1428" s="14" t="s">
        <v>859</v>
      </c>
      <c r="O1428" s="14">
        <v>0.0</v>
      </c>
      <c r="P1428" s="23">
        <v>-1.0</v>
      </c>
      <c r="Q1428" s="22" t="str">
        <f t="shared" ref="Q1428:R1428" si="847">"+0.00%"</f>
        <v>+0.00%</v>
      </c>
      <c r="R1428" s="18" t="str">
        <f t="shared" si="847"/>
        <v>+0.00%</v>
      </c>
      <c r="S1428" s="14" t="s">
        <v>1452</v>
      </c>
    </row>
    <row r="1429">
      <c r="A1429" s="13">
        <v>45901.0</v>
      </c>
      <c r="B1429" s="14" t="s">
        <v>47</v>
      </c>
      <c r="C1429" s="14" t="s">
        <v>48</v>
      </c>
      <c r="D1429" s="14" t="s">
        <v>87</v>
      </c>
      <c r="E1429" s="14" t="s">
        <v>88</v>
      </c>
      <c r="F1429" s="14" t="s">
        <v>71</v>
      </c>
      <c r="G1429" s="14">
        <v>5.46000941E8</v>
      </c>
      <c r="H1429" s="14" t="s">
        <v>90</v>
      </c>
      <c r="I1429" s="14" t="s">
        <v>107</v>
      </c>
      <c r="J1429" s="14" t="s">
        <v>200</v>
      </c>
      <c r="K1429" s="14" t="s">
        <v>218</v>
      </c>
      <c r="L1429" s="14" t="s">
        <v>253</v>
      </c>
      <c r="M1429" s="14" t="s">
        <v>1388</v>
      </c>
      <c r="N1429" s="14" t="s">
        <v>1389</v>
      </c>
      <c r="O1429" s="14">
        <v>25.0</v>
      </c>
      <c r="P1429" s="23">
        <v>0.2586</v>
      </c>
      <c r="Q1429" s="22" t="str">
        <f>"+15.87%"</f>
        <v>+15.87%</v>
      </c>
      <c r="R1429" s="18" t="str">
        <f>"+18.45%"</f>
        <v>+18.45%</v>
      </c>
      <c r="S1429" s="14" t="s">
        <v>1453</v>
      </c>
    </row>
    <row r="1430">
      <c r="A1430" s="13">
        <v>45901.0</v>
      </c>
      <c r="B1430" s="14" t="s">
        <v>47</v>
      </c>
      <c r="C1430" s="14" t="s">
        <v>48</v>
      </c>
      <c r="D1430" s="14" t="s">
        <v>149</v>
      </c>
      <c r="E1430" s="14" t="s">
        <v>150</v>
      </c>
      <c r="F1430" s="15" t="s">
        <v>51</v>
      </c>
      <c r="G1430" s="14" t="s">
        <v>151</v>
      </c>
      <c r="H1430" s="14" t="s">
        <v>152</v>
      </c>
      <c r="I1430" s="14" t="s">
        <v>54</v>
      </c>
      <c r="J1430" s="14" t="s">
        <v>200</v>
      </c>
      <c r="K1430" s="14" t="s">
        <v>201</v>
      </c>
      <c r="L1430" s="14" t="s">
        <v>253</v>
      </c>
      <c r="M1430" s="14" t="s">
        <v>585</v>
      </c>
      <c r="N1430" s="14" t="s">
        <v>586</v>
      </c>
      <c r="O1430" s="14">
        <v>13.0</v>
      </c>
      <c r="P1430" s="23">
        <v>0.1316</v>
      </c>
      <c r="Q1430" s="22" t="str">
        <f>"+0.17%"</f>
        <v>+0.17%</v>
      </c>
      <c r="R1430" s="18" t="str">
        <f>"-1.00%"</f>
        <v>-1.00%</v>
      </c>
      <c r="S1430" s="14" t="s">
        <v>1454</v>
      </c>
    </row>
    <row r="1431">
      <c r="A1431" s="13">
        <v>45901.0</v>
      </c>
      <c r="B1431" s="14" t="s">
        <v>47</v>
      </c>
      <c r="C1431" s="14" t="s">
        <v>48</v>
      </c>
      <c r="D1431" s="14" t="s">
        <v>69</v>
      </c>
      <c r="E1431" s="14" t="s">
        <v>70</v>
      </c>
      <c r="F1431" s="15" t="s">
        <v>51</v>
      </c>
      <c r="G1431" s="14" t="s">
        <v>115</v>
      </c>
      <c r="H1431" s="14" t="s">
        <v>72</v>
      </c>
      <c r="I1431" s="14" t="s">
        <v>54</v>
      </c>
      <c r="J1431" s="14" t="s">
        <v>198</v>
      </c>
      <c r="K1431" s="14" t="s">
        <v>205</v>
      </c>
      <c r="L1431" s="14" t="s">
        <v>274</v>
      </c>
      <c r="M1431" s="14" t="s">
        <v>767</v>
      </c>
      <c r="N1431" s="14" t="s">
        <v>768</v>
      </c>
      <c r="O1431" s="14">
        <v>100.0</v>
      </c>
      <c r="P1431" s="21">
        <v>1.0</v>
      </c>
      <c r="Q1431" s="22" t="str">
        <f>"+0"</f>
        <v>+0</v>
      </c>
      <c r="S1431" s="14" t="s">
        <v>281</v>
      </c>
    </row>
    <row r="1432">
      <c r="A1432" s="13">
        <v>45901.0</v>
      </c>
      <c r="B1432" s="14" t="s">
        <v>47</v>
      </c>
      <c r="C1432" s="14" t="s">
        <v>48</v>
      </c>
      <c r="D1432" s="14" t="s">
        <v>125</v>
      </c>
      <c r="E1432" s="14" t="s">
        <v>126</v>
      </c>
      <c r="F1432" s="15" t="s">
        <v>51</v>
      </c>
      <c r="G1432" s="14" t="s">
        <v>127</v>
      </c>
      <c r="H1432" s="14" t="s">
        <v>125</v>
      </c>
      <c r="I1432" s="14" t="s">
        <v>59</v>
      </c>
      <c r="J1432" s="14" t="s">
        <v>200</v>
      </c>
      <c r="K1432" s="14" t="s">
        <v>224</v>
      </c>
      <c r="L1432" s="14" t="s">
        <v>427</v>
      </c>
      <c r="M1432" s="14" t="s">
        <v>617</v>
      </c>
      <c r="N1432" s="14" t="s">
        <v>618</v>
      </c>
      <c r="O1432" s="14">
        <v>0.0</v>
      </c>
      <c r="P1432" s="17"/>
      <c r="Q1432" s="22"/>
      <c r="S1432" s="14" t="s">
        <v>619</v>
      </c>
    </row>
    <row r="1433">
      <c r="A1433" s="13">
        <v>45901.0</v>
      </c>
      <c r="B1433" s="14" t="s">
        <v>47</v>
      </c>
      <c r="C1433" s="14" t="s">
        <v>48</v>
      </c>
      <c r="D1433" s="14" t="s">
        <v>96</v>
      </c>
      <c r="E1433" s="14" t="s">
        <v>97</v>
      </c>
      <c r="F1433" s="15" t="s">
        <v>51</v>
      </c>
      <c r="G1433" s="14" t="s">
        <v>98</v>
      </c>
      <c r="H1433" s="14" t="s">
        <v>96</v>
      </c>
      <c r="I1433" s="14" t="s">
        <v>59</v>
      </c>
      <c r="J1433" s="14" t="s">
        <v>200</v>
      </c>
      <c r="K1433" s="14" t="s">
        <v>209</v>
      </c>
      <c r="L1433" s="14" t="s">
        <v>253</v>
      </c>
      <c r="M1433" s="14" t="s">
        <v>402</v>
      </c>
      <c r="N1433" s="14" t="s">
        <v>403</v>
      </c>
      <c r="O1433" s="14">
        <v>1.0</v>
      </c>
      <c r="P1433" s="23">
        <v>0.0038</v>
      </c>
      <c r="Q1433" s="22" t="str">
        <f t="shared" ref="Q1433:R1433" si="848">"+0.00%"</f>
        <v>+0.00%</v>
      </c>
      <c r="R1433" s="18" t="str">
        <f t="shared" si="848"/>
        <v>+0.00%</v>
      </c>
      <c r="S1433" s="14" t="s">
        <v>1455</v>
      </c>
    </row>
    <row r="1434">
      <c r="A1434" s="13">
        <v>45901.0</v>
      </c>
      <c r="B1434" s="14" t="s">
        <v>47</v>
      </c>
      <c r="C1434" s="14" t="s">
        <v>48</v>
      </c>
      <c r="D1434" s="14" t="s">
        <v>85</v>
      </c>
      <c r="E1434" s="14" t="s">
        <v>86</v>
      </c>
      <c r="F1434" s="15" t="s">
        <v>51</v>
      </c>
      <c r="G1434" s="14" t="s">
        <v>148</v>
      </c>
      <c r="H1434" s="14" t="s">
        <v>85</v>
      </c>
      <c r="I1434" s="14" t="s">
        <v>59</v>
      </c>
      <c r="J1434" s="14" t="s">
        <v>198</v>
      </c>
      <c r="K1434" s="14" t="s">
        <v>210</v>
      </c>
      <c r="L1434" s="14" t="s">
        <v>264</v>
      </c>
      <c r="M1434" s="14" t="s">
        <v>524</v>
      </c>
      <c r="N1434" s="14" t="s">
        <v>525</v>
      </c>
      <c r="O1434" s="14">
        <v>0.0</v>
      </c>
      <c r="P1434" s="21">
        <v>17.0</v>
      </c>
      <c r="Q1434" s="22" t="str">
        <f>"-169"</f>
        <v>-169</v>
      </c>
      <c r="R1434" s="18" t="str">
        <f>"+13"</f>
        <v>+13</v>
      </c>
      <c r="S1434" s="14" t="s">
        <v>1456</v>
      </c>
    </row>
    <row r="1435">
      <c r="A1435" s="13">
        <v>45901.0</v>
      </c>
      <c r="B1435" s="14" t="s">
        <v>47</v>
      </c>
      <c r="C1435" s="14" t="s">
        <v>48</v>
      </c>
      <c r="D1435" s="14" t="s">
        <v>96</v>
      </c>
      <c r="E1435" s="14" t="s">
        <v>97</v>
      </c>
      <c r="F1435" s="15" t="s">
        <v>51</v>
      </c>
      <c r="G1435" s="14" t="s">
        <v>98</v>
      </c>
      <c r="H1435" s="14" t="s">
        <v>96</v>
      </c>
      <c r="I1435" s="14" t="s">
        <v>59</v>
      </c>
      <c r="J1435" s="14" t="s">
        <v>200</v>
      </c>
      <c r="K1435" s="14" t="s">
        <v>202</v>
      </c>
      <c r="L1435" s="14" t="s">
        <v>253</v>
      </c>
      <c r="M1435" s="14" t="s">
        <v>347</v>
      </c>
      <c r="N1435" s="14" t="s">
        <v>348</v>
      </c>
      <c r="O1435" s="14">
        <v>25.0</v>
      </c>
      <c r="P1435" s="23">
        <v>0.25</v>
      </c>
      <c r="Q1435" s="22" t="str">
        <f t="shared" ref="Q1435:R1435" si="849">"+0.00%"</f>
        <v>+0.00%</v>
      </c>
      <c r="R1435" s="18" t="str">
        <f t="shared" si="849"/>
        <v>+0.00%</v>
      </c>
      <c r="S1435" s="14" t="s">
        <v>1457</v>
      </c>
    </row>
    <row r="1436">
      <c r="A1436" s="13">
        <v>45901.0</v>
      </c>
      <c r="B1436" s="14" t="s">
        <v>47</v>
      </c>
      <c r="C1436" s="14" t="s">
        <v>48</v>
      </c>
      <c r="D1436" s="14" t="s">
        <v>158</v>
      </c>
      <c r="E1436" s="14" t="s">
        <v>159</v>
      </c>
      <c r="F1436" s="15" t="s">
        <v>51</v>
      </c>
      <c r="G1436" s="14" t="s">
        <v>160</v>
      </c>
      <c r="H1436" s="14" t="s">
        <v>158</v>
      </c>
      <c r="I1436" s="14" t="s">
        <v>54</v>
      </c>
      <c r="J1436" s="14" t="s">
        <v>200</v>
      </c>
      <c r="K1436" s="14" t="s">
        <v>222</v>
      </c>
      <c r="L1436" s="14" t="s">
        <v>1158</v>
      </c>
      <c r="M1436" s="14" t="s">
        <v>1458</v>
      </c>
      <c r="N1436" s="14" t="s">
        <v>1459</v>
      </c>
      <c r="O1436" s="14">
        <v>0.0</v>
      </c>
      <c r="P1436" s="21">
        <v>0.0</v>
      </c>
      <c r="Q1436" s="22" t="str">
        <f t="shared" ref="Q1436:R1436" si="850">"+0"</f>
        <v>+0</v>
      </c>
      <c r="R1436" s="18" t="str">
        <f t="shared" si="850"/>
        <v>+0</v>
      </c>
      <c r="S1436" s="14" t="s">
        <v>260</v>
      </c>
    </row>
    <row r="1437">
      <c r="A1437" s="13">
        <v>45901.0</v>
      </c>
      <c r="B1437" s="14" t="s">
        <v>47</v>
      </c>
      <c r="C1437" s="14" t="s">
        <v>48</v>
      </c>
      <c r="D1437" s="14" t="s">
        <v>116</v>
      </c>
      <c r="E1437" s="14" t="s">
        <v>117</v>
      </c>
      <c r="F1437" s="15" t="s">
        <v>51</v>
      </c>
      <c r="G1437" s="14" t="s">
        <v>161</v>
      </c>
      <c r="H1437" s="14" t="s">
        <v>116</v>
      </c>
      <c r="I1437" s="14" t="s">
        <v>54</v>
      </c>
      <c r="J1437" s="14" t="s">
        <v>200</v>
      </c>
      <c r="K1437" s="14" t="s">
        <v>209</v>
      </c>
      <c r="L1437" s="14" t="s">
        <v>253</v>
      </c>
      <c r="M1437" s="14" t="s">
        <v>402</v>
      </c>
      <c r="N1437" s="14" t="s">
        <v>403</v>
      </c>
      <c r="O1437" s="14">
        <v>98.0</v>
      </c>
      <c r="P1437" s="23">
        <v>0.9851</v>
      </c>
      <c r="Q1437" s="22" t="str">
        <f>"+1.65%"</f>
        <v>+1.65%</v>
      </c>
      <c r="R1437" s="18" t="str">
        <f>"+4.22%"</f>
        <v>+4.22%</v>
      </c>
      <c r="S1437" s="14" t="s">
        <v>1460</v>
      </c>
    </row>
    <row r="1438">
      <c r="A1438" s="13">
        <v>45901.0</v>
      </c>
      <c r="B1438" s="14" t="s">
        <v>47</v>
      </c>
      <c r="C1438" s="14" t="s">
        <v>48</v>
      </c>
      <c r="D1438" s="14" t="s">
        <v>108</v>
      </c>
      <c r="E1438" s="14" t="s">
        <v>109</v>
      </c>
      <c r="F1438" s="15" t="s">
        <v>51</v>
      </c>
      <c r="G1438" s="14" t="s">
        <v>110</v>
      </c>
      <c r="H1438" s="14" t="s">
        <v>108</v>
      </c>
      <c r="I1438" s="14" t="s">
        <v>59</v>
      </c>
      <c r="J1438" s="14" t="s">
        <v>200</v>
      </c>
      <c r="K1438" s="14" t="s">
        <v>209</v>
      </c>
      <c r="L1438" s="14" t="s">
        <v>253</v>
      </c>
      <c r="M1438" s="14" t="s">
        <v>817</v>
      </c>
      <c r="N1438" s="14" t="s">
        <v>818</v>
      </c>
      <c r="O1438" s="14">
        <v>0.0</v>
      </c>
      <c r="P1438" s="23">
        <v>0.0</v>
      </c>
      <c r="Q1438" s="22" t="str">
        <f t="shared" ref="Q1438:R1438" si="851">"+0.00%"</f>
        <v>+0.00%</v>
      </c>
      <c r="R1438" s="18" t="str">
        <f t="shared" si="851"/>
        <v>+0.00%</v>
      </c>
      <c r="S1438" s="14" t="s">
        <v>1461</v>
      </c>
    </row>
    <row r="1439">
      <c r="A1439" s="13">
        <v>45901.0</v>
      </c>
      <c r="B1439" s="14" t="s">
        <v>47</v>
      </c>
      <c r="C1439" s="14" t="s">
        <v>48</v>
      </c>
      <c r="D1439" s="14" t="s">
        <v>77</v>
      </c>
      <c r="E1439" s="14" t="s">
        <v>78</v>
      </c>
      <c r="F1439" s="15" t="s">
        <v>51</v>
      </c>
      <c r="G1439" s="14" t="s">
        <v>128</v>
      </c>
      <c r="H1439" s="14" t="s">
        <v>81</v>
      </c>
      <c r="I1439" s="14" t="s">
        <v>59</v>
      </c>
      <c r="J1439" s="14" t="s">
        <v>200</v>
      </c>
      <c r="K1439" s="14" t="s">
        <v>223</v>
      </c>
      <c r="L1439" s="14" t="s">
        <v>363</v>
      </c>
      <c r="M1439" s="14" t="s">
        <v>1043</v>
      </c>
      <c r="N1439" s="14" t="s">
        <v>1044</v>
      </c>
      <c r="O1439" s="14">
        <v>0.0</v>
      </c>
      <c r="P1439" s="23">
        <v>0.0</v>
      </c>
      <c r="Q1439" s="22" t="str">
        <f t="shared" ref="Q1439:R1439" si="852">"+0.00%"</f>
        <v>+0.00%</v>
      </c>
      <c r="R1439" s="18" t="str">
        <f t="shared" si="852"/>
        <v>+0.00%</v>
      </c>
      <c r="S1439" s="14" t="s">
        <v>285</v>
      </c>
    </row>
    <row r="1440">
      <c r="A1440" s="13">
        <v>45901.0</v>
      </c>
      <c r="B1440" s="14" t="s">
        <v>47</v>
      </c>
      <c r="C1440" s="14" t="s">
        <v>48</v>
      </c>
      <c r="D1440" s="14" t="s">
        <v>116</v>
      </c>
      <c r="E1440" s="14" t="s">
        <v>117</v>
      </c>
      <c r="F1440" s="15" t="s">
        <v>51</v>
      </c>
      <c r="G1440" s="14" t="s">
        <v>161</v>
      </c>
      <c r="H1440" s="14" t="s">
        <v>116</v>
      </c>
      <c r="I1440" s="14" t="s">
        <v>54</v>
      </c>
      <c r="J1440" s="14" t="s">
        <v>198</v>
      </c>
      <c r="K1440" s="14" t="s">
        <v>210</v>
      </c>
      <c r="L1440" s="14" t="s">
        <v>264</v>
      </c>
      <c r="M1440" s="14" t="s">
        <v>867</v>
      </c>
      <c r="N1440" s="14" t="s">
        <v>868</v>
      </c>
      <c r="O1440" s="14">
        <v>0.0</v>
      </c>
      <c r="P1440" s="21">
        <v>0.0</v>
      </c>
      <c r="Q1440" s="22" t="str">
        <f t="shared" ref="Q1440:R1440" si="853">"+0"</f>
        <v>+0</v>
      </c>
      <c r="R1440" s="18" t="str">
        <f t="shared" si="853"/>
        <v>+0</v>
      </c>
      <c r="S1440" s="14" t="s">
        <v>277</v>
      </c>
    </row>
    <row r="1441">
      <c r="A1441" s="13">
        <v>45901.0</v>
      </c>
      <c r="B1441" s="14" t="s">
        <v>47</v>
      </c>
      <c r="C1441" s="14" t="s">
        <v>48</v>
      </c>
      <c r="D1441" s="14" t="s">
        <v>77</v>
      </c>
      <c r="E1441" s="14" t="s">
        <v>78</v>
      </c>
      <c r="F1441" s="14" t="s">
        <v>71</v>
      </c>
      <c r="G1441" s="14">
        <v>5.36009043E8</v>
      </c>
      <c r="H1441" s="14" t="s">
        <v>81</v>
      </c>
      <c r="J1441" s="14" t="s">
        <v>199</v>
      </c>
      <c r="K1441" s="14" t="s">
        <v>206</v>
      </c>
      <c r="L1441" s="14" t="s">
        <v>295</v>
      </c>
      <c r="M1441" s="14" t="s">
        <v>461</v>
      </c>
      <c r="N1441" s="14" t="s">
        <v>462</v>
      </c>
      <c r="O1441" s="14">
        <v>0.0</v>
      </c>
      <c r="P1441" s="21">
        <v>0.0</v>
      </c>
      <c r="Q1441" s="22" t="str">
        <f t="shared" ref="Q1441:Q1445" si="854">"+0"</f>
        <v>+0</v>
      </c>
      <c r="S1441" s="14" t="s">
        <v>260</v>
      </c>
    </row>
    <row r="1442">
      <c r="A1442" s="13">
        <v>45901.0</v>
      </c>
      <c r="B1442" s="14" t="s">
        <v>47</v>
      </c>
      <c r="C1442" s="14" t="s">
        <v>48</v>
      </c>
      <c r="D1442" s="14" t="s">
        <v>77</v>
      </c>
      <c r="E1442" s="14" t="s">
        <v>78</v>
      </c>
      <c r="F1442" s="15" t="s">
        <v>51</v>
      </c>
      <c r="G1442" s="14" t="s">
        <v>128</v>
      </c>
      <c r="H1442" s="14" t="s">
        <v>81</v>
      </c>
      <c r="I1442" s="14" t="s">
        <v>59</v>
      </c>
      <c r="J1442" s="14" t="s">
        <v>200</v>
      </c>
      <c r="K1442" s="14" t="s">
        <v>223</v>
      </c>
      <c r="L1442" s="14" t="s">
        <v>282</v>
      </c>
      <c r="M1442" s="14" t="s">
        <v>914</v>
      </c>
      <c r="N1442" s="14" t="s">
        <v>915</v>
      </c>
      <c r="O1442" s="14">
        <v>0.0</v>
      </c>
      <c r="P1442" s="21">
        <v>0.0</v>
      </c>
      <c r="Q1442" s="22" t="str">
        <f t="shared" si="854"/>
        <v>+0</v>
      </c>
      <c r="R1442" s="18" t="str">
        <f>"+0"</f>
        <v>+0</v>
      </c>
      <c r="S1442" s="14" t="s">
        <v>260</v>
      </c>
    </row>
    <row r="1443">
      <c r="A1443" s="13">
        <v>45901.0</v>
      </c>
      <c r="B1443" s="14" t="s">
        <v>47</v>
      </c>
      <c r="C1443" s="14" t="s">
        <v>48</v>
      </c>
      <c r="D1443" s="14" t="s">
        <v>77</v>
      </c>
      <c r="E1443" s="14" t="s">
        <v>78</v>
      </c>
      <c r="F1443" s="15" t="s">
        <v>51</v>
      </c>
      <c r="G1443" s="14" t="s">
        <v>128</v>
      </c>
      <c r="H1443" s="14" t="s">
        <v>81</v>
      </c>
      <c r="I1443" s="14" t="s">
        <v>59</v>
      </c>
      <c r="J1443" s="14" t="s">
        <v>198</v>
      </c>
      <c r="K1443" s="14" t="s">
        <v>207</v>
      </c>
      <c r="L1443" s="14" t="s">
        <v>318</v>
      </c>
      <c r="M1443" s="14" t="s">
        <v>508</v>
      </c>
      <c r="N1443" s="14" t="s">
        <v>509</v>
      </c>
      <c r="O1443" s="14">
        <v>0.0</v>
      </c>
      <c r="P1443" s="21">
        <v>0.0</v>
      </c>
      <c r="Q1443" s="22" t="str">
        <f t="shared" si="854"/>
        <v>+0</v>
      </c>
      <c r="S1443" s="14" t="s">
        <v>281</v>
      </c>
    </row>
    <row r="1444">
      <c r="A1444" s="13">
        <v>45901.0</v>
      </c>
      <c r="B1444" s="14" t="s">
        <v>47</v>
      </c>
      <c r="C1444" s="14" t="s">
        <v>48</v>
      </c>
      <c r="D1444" s="14" t="s">
        <v>77</v>
      </c>
      <c r="E1444" s="14" t="s">
        <v>78</v>
      </c>
      <c r="F1444" s="15" t="s">
        <v>51</v>
      </c>
      <c r="G1444" s="14" t="s">
        <v>128</v>
      </c>
      <c r="H1444" s="14" t="s">
        <v>81</v>
      </c>
      <c r="I1444" s="14" t="s">
        <v>59</v>
      </c>
      <c r="J1444" s="14" t="s">
        <v>200</v>
      </c>
      <c r="K1444" s="14" t="s">
        <v>223</v>
      </c>
      <c r="L1444" s="14" t="s">
        <v>705</v>
      </c>
      <c r="M1444" s="14" t="s">
        <v>706</v>
      </c>
      <c r="N1444" s="14" t="s">
        <v>707</v>
      </c>
      <c r="O1444" s="14">
        <v>0.0</v>
      </c>
      <c r="P1444" s="21">
        <v>0.0</v>
      </c>
      <c r="Q1444" s="22" t="str">
        <f t="shared" si="854"/>
        <v>+0</v>
      </c>
      <c r="R1444" s="18" t="str">
        <f>"+0"</f>
        <v>+0</v>
      </c>
      <c r="S1444" s="14" t="s">
        <v>260</v>
      </c>
    </row>
    <row r="1445">
      <c r="A1445" s="13">
        <v>45901.0</v>
      </c>
      <c r="B1445" s="14" t="s">
        <v>47</v>
      </c>
      <c r="C1445" s="14" t="s">
        <v>48</v>
      </c>
      <c r="D1445" s="14" t="s">
        <v>168</v>
      </c>
      <c r="E1445" s="14" t="s">
        <v>169</v>
      </c>
      <c r="F1445" s="15" t="s">
        <v>51</v>
      </c>
      <c r="G1445" s="14" t="s">
        <v>170</v>
      </c>
      <c r="H1445" s="14" t="s">
        <v>168</v>
      </c>
      <c r="I1445" s="14" t="s">
        <v>59</v>
      </c>
      <c r="J1445" s="14" t="s">
        <v>199</v>
      </c>
      <c r="K1445" s="14" t="s">
        <v>208</v>
      </c>
      <c r="L1445" s="14" t="s">
        <v>412</v>
      </c>
      <c r="M1445" s="14" t="s">
        <v>412</v>
      </c>
      <c r="N1445" s="14" t="s">
        <v>413</v>
      </c>
      <c r="O1445" s="14">
        <v>100.0</v>
      </c>
      <c r="P1445" s="21">
        <v>6.0</v>
      </c>
      <c r="Q1445" s="22" t="str">
        <f t="shared" si="854"/>
        <v>+0</v>
      </c>
      <c r="R1445" s="18" t="str">
        <f>"+1"</f>
        <v>+1</v>
      </c>
      <c r="S1445" s="14" t="s">
        <v>260</v>
      </c>
    </row>
    <row r="1446">
      <c r="A1446" s="13">
        <v>45901.0</v>
      </c>
      <c r="B1446" s="14" t="s">
        <v>47</v>
      </c>
      <c r="C1446" s="14" t="s">
        <v>48</v>
      </c>
      <c r="D1446" s="14" t="s">
        <v>56</v>
      </c>
      <c r="E1446" s="14" t="s">
        <v>57</v>
      </c>
      <c r="F1446" s="14" t="s">
        <v>71</v>
      </c>
      <c r="G1446" s="14">
        <v>5.36003976E8</v>
      </c>
      <c r="H1446" s="14" t="s">
        <v>56</v>
      </c>
      <c r="I1446" s="14" t="s">
        <v>59</v>
      </c>
      <c r="J1446" s="14" t="s">
        <v>200</v>
      </c>
      <c r="K1446" s="14" t="s">
        <v>218</v>
      </c>
      <c r="L1446" s="14" t="s">
        <v>253</v>
      </c>
      <c r="M1446" s="14" t="s">
        <v>1202</v>
      </c>
      <c r="N1446" s="14" t="s">
        <v>1203</v>
      </c>
      <c r="O1446" s="14">
        <v>1.0</v>
      </c>
      <c r="P1446" s="23">
        <v>0.001</v>
      </c>
      <c r="Q1446" s="22" t="str">
        <f>"+0.02%"</f>
        <v>+0.02%</v>
      </c>
      <c r="R1446" s="18" t="str">
        <f>"+0.01%"</f>
        <v>+0.01%</v>
      </c>
      <c r="S1446" s="14" t="s">
        <v>1462</v>
      </c>
    </row>
    <row r="1447">
      <c r="A1447" s="13">
        <v>45901.0</v>
      </c>
      <c r="B1447" s="14" t="s">
        <v>47</v>
      </c>
      <c r="C1447" s="14" t="s">
        <v>48</v>
      </c>
      <c r="D1447" s="14" t="s">
        <v>155</v>
      </c>
      <c r="E1447" s="14" t="s">
        <v>156</v>
      </c>
      <c r="F1447" s="15" t="s">
        <v>51</v>
      </c>
      <c r="G1447" s="14" t="s">
        <v>157</v>
      </c>
      <c r="H1447" s="14" t="s">
        <v>155</v>
      </c>
      <c r="I1447" s="14" t="s">
        <v>59</v>
      </c>
      <c r="J1447" s="14" t="s">
        <v>200</v>
      </c>
      <c r="K1447" s="14" t="s">
        <v>223</v>
      </c>
      <c r="L1447" s="14" t="s">
        <v>289</v>
      </c>
      <c r="M1447" s="14" t="s">
        <v>331</v>
      </c>
      <c r="N1447" s="14" t="s">
        <v>332</v>
      </c>
      <c r="O1447" s="14">
        <v>0.0</v>
      </c>
      <c r="P1447" s="17"/>
      <c r="Q1447" s="22"/>
      <c r="S1447" s="14" t="s">
        <v>285</v>
      </c>
    </row>
    <row r="1448">
      <c r="A1448" s="13">
        <v>45901.0</v>
      </c>
      <c r="B1448" s="14" t="s">
        <v>47</v>
      </c>
      <c r="C1448" s="14" t="s">
        <v>48</v>
      </c>
      <c r="D1448" s="14" t="s">
        <v>56</v>
      </c>
      <c r="E1448" s="14" t="s">
        <v>57</v>
      </c>
      <c r="F1448" s="15" t="s">
        <v>51</v>
      </c>
      <c r="G1448" s="14" t="s">
        <v>58</v>
      </c>
      <c r="H1448" s="14" t="s">
        <v>56</v>
      </c>
      <c r="I1448" s="14" t="s">
        <v>59</v>
      </c>
      <c r="J1448" s="14" t="s">
        <v>200</v>
      </c>
      <c r="K1448" s="14" t="s">
        <v>227</v>
      </c>
      <c r="L1448" s="14" t="s">
        <v>721</v>
      </c>
      <c r="M1448" s="14" t="s">
        <v>748</v>
      </c>
      <c r="N1448" s="14" t="s">
        <v>749</v>
      </c>
      <c r="O1448" s="14">
        <v>0.0</v>
      </c>
      <c r="P1448" s="23">
        <v>-1.0</v>
      </c>
      <c r="Q1448" s="22" t="str">
        <f t="shared" ref="Q1448:R1448" si="855">"+0.00%"</f>
        <v>+0.00%</v>
      </c>
      <c r="R1448" s="18" t="str">
        <f t="shared" si="855"/>
        <v>+0.00%</v>
      </c>
      <c r="S1448" s="14" t="s">
        <v>750</v>
      </c>
    </row>
    <row r="1449">
      <c r="A1449" s="13">
        <v>45901.0</v>
      </c>
      <c r="B1449" s="14" t="s">
        <v>47</v>
      </c>
      <c r="C1449" s="14" t="s">
        <v>48</v>
      </c>
      <c r="D1449" s="14" t="s">
        <v>60</v>
      </c>
      <c r="E1449" s="14" t="s">
        <v>61</v>
      </c>
      <c r="F1449" s="15" t="s">
        <v>51</v>
      </c>
      <c r="G1449" s="14" t="s">
        <v>62</v>
      </c>
      <c r="H1449" s="14" t="s">
        <v>60</v>
      </c>
      <c r="I1449" s="14" t="s">
        <v>59</v>
      </c>
      <c r="J1449" s="14" t="s">
        <v>200</v>
      </c>
      <c r="K1449" s="14" t="s">
        <v>223</v>
      </c>
      <c r="L1449" s="14" t="s">
        <v>359</v>
      </c>
      <c r="M1449" s="14" t="s">
        <v>519</v>
      </c>
      <c r="N1449" s="14" t="s">
        <v>520</v>
      </c>
      <c r="O1449" s="14">
        <v>0.0</v>
      </c>
      <c r="P1449" s="21">
        <v>0.0</v>
      </c>
      <c r="Q1449" s="22" t="str">
        <f t="shared" ref="Q1449:R1449" si="856">"+0"</f>
        <v>+0</v>
      </c>
      <c r="R1449" s="18" t="str">
        <f t="shared" si="856"/>
        <v>+0</v>
      </c>
      <c r="S1449" s="14" t="s">
        <v>260</v>
      </c>
    </row>
    <row r="1450">
      <c r="A1450" s="13">
        <v>45901.0</v>
      </c>
      <c r="B1450" s="14" t="s">
        <v>47</v>
      </c>
      <c r="C1450" s="14" t="s">
        <v>48</v>
      </c>
      <c r="D1450" s="14" t="s">
        <v>49</v>
      </c>
      <c r="E1450" s="14" t="s">
        <v>50</v>
      </c>
      <c r="F1450" s="15" t="s">
        <v>51</v>
      </c>
      <c r="G1450" s="14" t="s">
        <v>52</v>
      </c>
      <c r="H1450" s="14" t="s">
        <v>53</v>
      </c>
      <c r="I1450" s="14" t="s">
        <v>54</v>
      </c>
      <c r="J1450" s="14" t="s">
        <v>198</v>
      </c>
      <c r="K1450" s="14" t="s">
        <v>210</v>
      </c>
      <c r="L1450" s="14" t="s">
        <v>264</v>
      </c>
      <c r="M1450" s="14" t="s">
        <v>357</v>
      </c>
      <c r="N1450" s="14" t="s">
        <v>358</v>
      </c>
      <c r="O1450" s="14">
        <v>88.0</v>
      </c>
      <c r="P1450" s="21">
        <v>330.0</v>
      </c>
      <c r="Q1450" s="22" t="str">
        <f>"-219"</f>
        <v>-219</v>
      </c>
      <c r="R1450" s="18" t="str">
        <f>"-3,820"</f>
        <v>-3,820</v>
      </c>
      <c r="S1450" s="14" t="s">
        <v>1463</v>
      </c>
    </row>
    <row r="1451">
      <c r="A1451" s="13">
        <v>45901.0</v>
      </c>
      <c r="B1451" s="14" t="s">
        <v>47</v>
      </c>
      <c r="C1451" s="14" t="s">
        <v>48</v>
      </c>
      <c r="D1451" s="14" t="s">
        <v>99</v>
      </c>
      <c r="E1451" s="14" t="s">
        <v>100</v>
      </c>
      <c r="F1451" s="15" t="s">
        <v>51</v>
      </c>
      <c r="G1451" s="14" t="s">
        <v>101</v>
      </c>
      <c r="H1451" s="14" t="s">
        <v>102</v>
      </c>
      <c r="I1451" s="14" t="s">
        <v>54</v>
      </c>
      <c r="J1451" s="14" t="s">
        <v>200</v>
      </c>
      <c r="K1451" s="14" t="s">
        <v>213</v>
      </c>
      <c r="L1451" s="14" t="s">
        <v>676</v>
      </c>
      <c r="M1451" s="14" t="s">
        <v>836</v>
      </c>
      <c r="N1451" s="14" t="s">
        <v>837</v>
      </c>
      <c r="O1451" s="14">
        <v>0.0</v>
      </c>
      <c r="P1451" s="23">
        <v>0.0</v>
      </c>
      <c r="Q1451" s="22" t="str">
        <f t="shared" ref="Q1451:R1451" si="857">"+0.00%"</f>
        <v>+0.00%</v>
      </c>
      <c r="R1451" s="18" t="str">
        <f t="shared" si="857"/>
        <v>+0.00%</v>
      </c>
      <c r="S1451" s="14" t="s">
        <v>1464</v>
      </c>
    </row>
    <row r="1452">
      <c r="A1452" s="13">
        <v>45901.0</v>
      </c>
      <c r="B1452" s="14" t="s">
        <v>47</v>
      </c>
      <c r="C1452" s="14" t="s">
        <v>48</v>
      </c>
      <c r="D1452" s="14" t="s">
        <v>91</v>
      </c>
      <c r="E1452" s="14" t="s">
        <v>92</v>
      </c>
      <c r="F1452" s="14" t="s">
        <v>71</v>
      </c>
      <c r="G1452" s="14">
        <v>5.00008343E8</v>
      </c>
      <c r="H1452" s="14" t="s">
        <v>91</v>
      </c>
      <c r="I1452" s="14" t="s">
        <v>59</v>
      </c>
      <c r="J1452" s="14" t="s">
        <v>199</v>
      </c>
      <c r="K1452" s="14" t="s">
        <v>203</v>
      </c>
      <c r="L1452" s="14" t="s">
        <v>431</v>
      </c>
      <c r="M1452" s="14" t="s">
        <v>431</v>
      </c>
      <c r="N1452" s="14" t="s">
        <v>432</v>
      </c>
      <c r="O1452" s="14">
        <v>0.0</v>
      </c>
      <c r="P1452" s="21">
        <v>0.0</v>
      </c>
      <c r="Q1452" s="22" t="str">
        <f t="shared" ref="Q1452:R1452" si="858">"+0"</f>
        <v>+0</v>
      </c>
      <c r="R1452" s="18" t="str">
        <f t="shared" si="858"/>
        <v>+0</v>
      </c>
      <c r="S1452" s="14" t="s">
        <v>260</v>
      </c>
    </row>
    <row r="1453">
      <c r="A1453" s="13">
        <v>45901.0</v>
      </c>
      <c r="B1453" s="14" t="s">
        <v>47</v>
      </c>
      <c r="C1453" s="14" t="s">
        <v>48</v>
      </c>
      <c r="D1453" s="14" t="s">
        <v>91</v>
      </c>
      <c r="E1453" s="14" t="s">
        <v>92</v>
      </c>
      <c r="F1453" s="14" t="s">
        <v>71</v>
      </c>
      <c r="G1453" s="14">
        <v>5.00008613E8</v>
      </c>
      <c r="H1453" s="14" t="s">
        <v>91</v>
      </c>
      <c r="I1453" s="14" t="s">
        <v>59</v>
      </c>
      <c r="J1453" s="14" t="s">
        <v>200</v>
      </c>
      <c r="K1453" s="14" t="s">
        <v>230</v>
      </c>
      <c r="L1453" s="14" t="s">
        <v>253</v>
      </c>
      <c r="M1453" s="14" t="s">
        <v>541</v>
      </c>
      <c r="N1453" s="14" t="s">
        <v>542</v>
      </c>
      <c r="O1453" s="14">
        <v>5.0</v>
      </c>
      <c r="P1453" s="23">
        <v>0.0512</v>
      </c>
      <c r="Q1453" s="22" t="str">
        <f t="shared" ref="Q1453:R1453" si="859">"+0.00%"</f>
        <v>+0.00%</v>
      </c>
      <c r="R1453" s="18" t="str">
        <f t="shared" si="859"/>
        <v>+0.00%</v>
      </c>
      <c r="S1453" s="14" t="s">
        <v>1465</v>
      </c>
    </row>
    <row r="1454">
      <c r="A1454" s="13">
        <v>45901.0</v>
      </c>
      <c r="B1454" s="14" t="s">
        <v>47</v>
      </c>
      <c r="C1454" s="14" t="s">
        <v>48</v>
      </c>
      <c r="D1454" s="14" t="s">
        <v>82</v>
      </c>
      <c r="E1454" s="14" t="s">
        <v>83</v>
      </c>
      <c r="F1454" s="15" t="s">
        <v>51</v>
      </c>
      <c r="G1454" s="14" t="s">
        <v>84</v>
      </c>
      <c r="H1454" s="14" t="s">
        <v>82</v>
      </c>
      <c r="I1454" s="14" t="s">
        <v>59</v>
      </c>
      <c r="J1454" s="14" t="s">
        <v>200</v>
      </c>
      <c r="K1454" s="14" t="s">
        <v>202</v>
      </c>
      <c r="L1454" s="14" t="s">
        <v>253</v>
      </c>
      <c r="M1454" s="14" t="s">
        <v>347</v>
      </c>
      <c r="N1454" s="14" t="s">
        <v>348</v>
      </c>
      <c r="O1454" s="14">
        <v>0.0</v>
      </c>
      <c r="P1454" s="23">
        <v>0.0</v>
      </c>
      <c r="Q1454" s="22" t="str">
        <f t="shared" ref="Q1454:R1454" si="860">"+0.00%"</f>
        <v>+0.00%</v>
      </c>
      <c r="R1454" s="18" t="str">
        <f t="shared" si="860"/>
        <v>+0.00%</v>
      </c>
      <c r="S1454" s="14" t="s">
        <v>1466</v>
      </c>
    </row>
    <row r="1455">
      <c r="A1455" s="13">
        <v>45901.0</v>
      </c>
      <c r="B1455" s="14" t="s">
        <v>47</v>
      </c>
      <c r="C1455" s="14" t="s">
        <v>48</v>
      </c>
      <c r="D1455" s="14" t="s">
        <v>192</v>
      </c>
      <c r="E1455" s="14" t="s">
        <v>193</v>
      </c>
      <c r="F1455" s="15" t="s">
        <v>51</v>
      </c>
      <c r="G1455" s="14" t="s">
        <v>194</v>
      </c>
      <c r="H1455" s="14" t="s">
        <v>192</v>
      </c>
      <c r="I1455" s="14" t="s">
        <v>54</v>
      </c>
      <c r="J1455" s="14" t="s">
        <v>200</v>
      </c>
      <c r="K1455" s="14" t="s">
        <v>222</v>
      </c>
      <c r="L1455" s="14" t="s">
        <v>337</v>
      </c>
      <c r="M1455" s="14" t="s">
        <v>734</v>
      </c>
      <c r="N1455" s="14" t="s">
        <v>735</v>
      </c>
      <c r="O1455" s="14">
        <v>100.0</v>
      </c>
      <c r="P1455" s="21">
        <v>58078.0</v>
      </c>
      <c r="Q1455" s="22" t="str">
        <f>"+663"</f>
        <v>+663</v>
      </c>
      <c r="R1455" s="18" t="str">
        <f>"+1,060"</f>
        <v>+1,060</v>
      </c>
      <c r="S1455" s="14" t="s">
        <v>260</v>
      </c>
    </row>
    <row r="1456">
      <c r="A1456" s="13">
        <v>45901.0</v>
      </c>
      <c r="B1456" s="14" t="s">
        <v>47</v>
      </c>
      <c r="C1456" s="14" t="s">
        <v>48</v>
      </c>
      <c r="D1456" s="14" t="s">
        <v>66</v>
      </c>
      <c r="E1456" s="14" t="s">
        <v>67</v>
      </c>
      <c r="F1456" s="15" t="s">
        <v>51</v>
      </c>
      <c r="G1456" s="14" t="s">
        <v>68</v>
      </c>
      <c r="H1456" s="14" t="s">
        <v>66</v>
      </c>
      <c r="I1456" s="14" t="s">
        <v>59</v>
      </c>
      <c r="J1456" s="14" t="s">
        <v>200</v>
      </c>
      <c r="K1456" s="14" t="s">
        <v>223</v>
      </c>
      <c r="L1456" s="14" t="s">
        <v>487</v>
      </c>
      <c r="M1456" s="14" t="s">
        <v>904</v>
      </c>
      <c r="N1456" s="14" t="s">
        <v>905</v>
      </c>
      <c r="O1456" s="14">
        <v>100.0</v>
      </c>
      <c r="P1456" s="21">
        <v>713.0</v>
      </c>
      <c r="Q1456" s="22" t="str">
        <f t="shared" ref="Q1456:R1456" si="861">"+0"</f>
        <v>+0</v>
      </c>
      <c r="R1456" s="18" t="str">
        <f t="shared" si="861"/>
        <v>+0</v>
      </c>
      <c r="S1456" s="14" t="s">
        <v>260</v>
      </c>
    </row>
    <row r="1457">
      <c r="A1457" s="13">
        <v>45901.0</v>
      </c>
      <c r="B1457" s="14" t="s">
        <v>47</v>
      </c>
      <c r="C1457" s="14" t="s">
        <v>48</v>
      </c>
      <c r="D1457" s="14" t="s">
        <v>66</v>
      </c>
      <c r="E1457" s="14" t="s">
        <v>67</v>
      </c>
      <c r="F1457" s="15" t="s">
        <v>51</v>
      </c>
      <c r="G1457" s="14" t="s">
        <v>68</v>
      </c>
      <c r="H1457" s="14" t="s">
        <v>66</v>
      </c>
      <c r="I1457" s="14" t="s">
        <v>59</v>
      </c>
      <c r="J1457" s="14" t="s">
        <v>200</v>
      </c>
      <c r="K1457" s="14" t="s">
        <v>223</v>
      </c>
      <c r="L1457" s="14" t="s">
        <v>257</v>
      </c>
      <c r="M1457" s="14" t="s">
        <v>622</v>
      </c>
      <c r="N1457" s="14" t="s">
        <v>623</v>
      </c>
      <c r="O1457" s="14">
        <v>0.0</v>
      </c>
      <c r="P1457" s="23">
        <v>-1.0</v>
      </c>
      <c r="Q1457" s="22" t="str">
        <f t="shared" ref="Q1457:R1457" si="862">"+0.00%"</f>
        <v>+0.00%</v>
      </c>
      <c r="R1457" s="18" t="str">
        <f t="shared" si="862"/>
        <v>+0.00%</v>
      </c>
      <c r="S1457" s="14" t="s">
        <v>1467</v>
      </c>
    </row>
    <row r="1458">
      <c r="A1458" s="13">
        <v>45901.0</v>
      </c>
      <c r="B1458" s="14" t="s">
        <v>47</v>
      </c>
      <c r="C1458" s="14" t="s">
        <v>48</v>
      </c>
      <c r="D1458" s="14" t="s">
        <v>184</v>
      </c>
      <c r="E1458" s="14" t="s">
        <v>185</v>
      </c>
      <c r="F1458" s="15" t="s">
        <v>51</v>
      </c>
      <c r="G1458" s="14" t="s">
        <v>186</v>
      </c>
      <c r="H1458" s="14" t="s">
        <v>187</v>
      </c>
      <c r="I1458" s="14" t="s">
        <v>59</v>
      </c>
      <c r="J1458" s="14" t="s">
        <v>200</v>
      </c>
      <c r="K1458" s="14" t="s">
        <v>227</v>
      </c>
      <c r="L1458" s="14" t="s">
        <v>721</v>
      </c>
      <c r="M1458" s="14" t="s">
        <v>722</v>
      </c>
      <c r="N1458" s="14" t="s">
        <v>723</v>
      </c>
      <c r="O1458" s="14">
        <v>29.0</v>
      </c>
      <c r="P1458" s="23">
        <v>-0.4105</v>
      </c>
      <c r="Q1458" s="22" t="str">
        <f>"+12.32%"</f>
        <v>+12.32%</v>
      </c>
      <c r="R1458" s="18" t="str">
        <f>"-54.32%"</f>
        <v>-54.32%</v>
      </c>
      <c r="S1458" s="14" t="s">
        <v>724</v>
      </c>
    </row>
    <row r="1459">
      <c r="A1459" s="13">
        <v>45901.0</v>
      </c>
      <c r="B1459" s="14" t="s">
        <v>47</v>
      </c>
      <c r="C1459" s="14" t="s">
        <v>48</v>
      </c>
      <c r="D1459" s="14" t="s">
        <v>184</v>
      </c>
      <c r="E1459" s="14" t="s">
        <v>185</v>
      </c>
      <c r="F1459" s="15" t="s">
        <v>51</v>
      </c>
      <c r="G1459" s="14" t="s">
        <v>186</v>
      </c>
      <c r="H1459" s="14" t="s">
        <v>187</v>
      </c>
      <c r="I1459" s="14" t="s">
        <v>59</v>
      </c>
      <c r="J1459" s="14" t="s">
        <v>199</v>
      </c>
      <c r="K1459" s="14" t="s">
        <v>203</v>
      </c>
      <c r="L1459" s="14" t="s">
        <v>431</v>
      </c>
      <c r="M1459" s="14" t="s">
        <v>431</v>
      </c>
      <c r="N1459" s="14" t="s">
        <v>432</v>
      </c>
      <c r="O1459" s="14">
        <v>0.0</v>
      </c>
      <c r="P1459" s="21">
        <v>0.0</v>
      </c>
      <c r="Q1459" s="22" t="str">
        <f t="shared" ref="Q1459:R1459" si="863">"+0"</f>
        <v>+0</v>
      </c>
      <c r="R1459" s="18" t="str">
        <f t="shared" si="863"/>
        <v>+0</v>
      </c>
      <c r="S1459" s="14" t="s">
        <v>260</v>
      </c>
    </row>
    <row r="1460">
      <c r="A1460" s="13">
        <v>45901.0</v>
      </c>
      <c r="B1460" s="14" t="s">
        <v>47</v>
      </c>
      <c r="C1460" s="14" t="s">
        <v>48</v>
      </c>
      <c r="D1460" s="14" t="s">
        <v>73</v>
      </c>
      <c r="E1460" s="14" t="s">
        <v>74</v>
      </c>
      <c r="F1460" s="15" t="s">
        <v>51</v>
      </c>
      <c r="G1460" s="14" t="s">
        <v>75</v>
      </c>
      <c r="H1460" s="14" t="s">
        <v>76</v>
      </c>
      <c r="I1460" s="14" t="s">
        <v>59</v>
      </c>
      <c r="J1460" s="14" t="s">
        <v>200</v>
      </c>
      <c r="K1460" s="14" t="s">
        <v>232</v>
      </c>
      <c r="L1460" s="14" t="s">
        <v>261</v>
      </c>
      <c r="M1460" s="14" t="s">
        <v>814</v>
      </c>
      <c r="N1460" s="14" t="s">
        <v>815</v>
      </c>
      <c r="O1460" s="14">
        <v>0.0</v>
      </c>
      <c r="P1460" s="23">
        <v>-1.0</v>
      </c>
      <c r="Q1460" s="22" t="str">
        <f t="shared" ref="Q1460:R1460" si="864">"+0.00%"</f>
        <v>+0.00%</v>
      </c>
      <c r="R1460" s="18" t="str">
        <f t="shared" si="864"/>
        <v>+0.00%</v>
      </c>
      <c r="S1460" s="14" t="s">
        <v>860</v>
      </c>
    </row>
    <row r="1461">
      <c r="A1461" s="13">
        <v>45901.0</v>
      </c>
      <c r="B1461" s="14" t="s">
        <v>47</v>
      </c>
      <c r="C1461" s="14" t="s">
        <v>48</v>
      </c>
      <c r="D1461" s="14" t="s">
        <v>132</v>
      </c>
      <c r="E1461" s="14" t="s">
        <v>133</v>
      </c>
      <c r="F1461" s="15" t="s">
        <v>51</v>
      </c>
      <c r="G1461" s="14" t="s">
        <v>134</v>
      </c>
      <c r="H1461" s="14" t="s">
        <v>135</v>
      </c>
      <c r="I1461" s="14" t="s">
        <v>59</v>
      </c>
      <c r="J1461" s="14" t="s">
        <v>200</v>
      </c>
      <c r="K1461" s="14" t="s">
        <v>222</v>
      </c>
      <c r="L1461" s="14" t="s">
        <v>301</v>
      </c>
      <c r="M1461" s="14" t="s">
        <v>302</v>
      </c>
      <c r="N1461" s="14" t="s">
        <v>303</v>
      </c>
      <c r="O1461" s="14">
        <v>0.0</v>
      </c>
      <c r="P1461" s="21">
        <v>0.0</v>
      </c>
      <c r="Q1461" s="22" t="str">
        <f t="shared" ref="Q1461:R1461" si="865">"+0"</f>
        <v>+0</v>
      </c>
      <c r="R1461" s="18" t="str">
        <f t="shared" si="865"/>
        <v>+0</v>
      </c>
      <c r="S1461" s="14" t="s">
        <v>260</v>
      </c>
    </row>
    <row r="1462">
      <c r="A1462" s="13">
        <v>45901.0</v>
      </c>
      <c r="B1462" s="14" t="s">
        <v>47</v>
      </c>
      <c r="C1462" s="14" t="s">
        <v>48</v>
      </c>
      <c r="D1462" s="14" t="s">
        <v>73</v>
      </c>
      <c r="E1462" s="14" t="s">
        <v>74</v>
      </c>
      <c r="F1462" s="15" t="s">
        <v>51</v>
      </c>
      <c r="G1462" s="14" t="s">
        <v>75</v>
      </c>
      <c r="H1462" s="14" t="s">
        <v>76</v>
      </c>
      <c r="I1462" s="14" t="s">
        <v>59</v>
      </c>
      <c r="J1462" s="14" t="s">
        <v>198</v>
      </c>
      <c r="K1462" s="14" t="s">
        <v>207</v>
      </c>
      <c r="L1462" s="14" t="s">
        <v>318</v>
      </c>
      <c r="M1462" s="14" t="s">
        <v>508</v>
      </c>
      <c r="N1462" s="14" t="s">
        <v>509</v>
      </c>
      <c r="O1462" s="14">
        <v>0.0</v>
      </c>
      <c r="P1462" s="21">
        <v>0.0</v>
      </c>
      <c r="Q1462" s="22" t="str">
        <f t="shared" ref="Q1462:Q1468" si="866">"+0"</f>
        <v>+0</v>
      </c>
      <c r="S1462" s="14" t="s">
        <v>281</v>
      </c>
    </row>
    <row r="1463">
      <c r="A1463" s="13">
        <v>45901.0</v>
      </c>
      <c r="B1463" s="14" t="s">
        <v>47</v>
      </c>
      <c r="C1463" s="14" t="s">
        <v>48</v>
      </c>
      <c r="D1463" s="14" t="s">
        <v>149</v>
      </c>
      <c r="E1463" s="14" t="s">
        <v>150</v>
      </c>
      <c r="F1463" s="15" t="s">
        <v>51</v>
      </c>
      <c r="G1463" s="14" t="s">
        <v>151</v>
      </c>
      <c r="H1463" s="14" t="s">
        <v>152</v>
      </c>
      <c r="I1463" s="14" t="s">
        <v>54</v>
      </c>
      <c r="J1463" s="14" t="s">
        <v>198</v>
      </c>
      <c r="K1463" s="14" t="s">
        <v>210</v>
      </c>
      <c r="L1463" s="14" t="s">
        <v>458</v>
      </c>
      <c r="M1463" s="14" t="s">
        <v>1230</v>
      </c>
      <c r="N1463" s="14" t="s">
        <v>1231</v>
      </c>
      <c r="O1463" s="14">
        <v>0.0</v>
      </c>
      <c r="P1463" s="21">
        <v>0.0</v>
      </c>
      <c r="Q1463" s="22" t="str">
        <f t="shared" si="866"/>
        <v>+0</v>
      </c>
      <c r="R1463" s="18" t="str">
        <f>"+0"</f>
        <v>+0</v>
      </c>
      <c r="S1463" s="14" t="s">
        <v>277</v>
      </c>
    </row>
    <row r="1464">
      <c r="A1464" s="13">
        <v>45901.0</v>
      </c>
      <c r="B1464" s="14" t="s">
        <v>47</v>
      </c>
      <c r="C1464" s="14" t="s">
        <v>48</v>
      </c>
      <c r="D1464" s="14" t="s">
        <v>87</v>
      </c>
      <c r="E1464" s="14" t="s">
        <v>88</v>
      </c>
      <c r="F1464" s="15" t="s">
        <v>51</v>
      </c>
      <c r="G1464" s="14" t="s">
        <v>89</v>
      </c>
      <c r="H1464" s="14" t="s">
        <v>90</v>
      </c>
      <c r="I1464" s="14" t="s">
        <v>59</v>
      </c>
      <c r="J1464" s="14" t="s">
        <v>199</v>
      </c>
      <c r="K1464" s="14" t="s">
        <v>208</v>
      </c>
      <c r="L1464" s="14" t="s">
        <v>352</v>
      </c>
      <c r="M1464" s="14" t="s">
        <v>352</v>
      </c>
      <c r="N1464" s="14" t="s">
        <v>353</v>
      </c>
      <c r="O1464" s="14">
        <v>100.0</v>
      </c>
      <c r="P1464" s="21">
        <v>21.0</v>
      </c>
      <c r="Q1464" s="22" t="str">
        <f t="shared" si="866"/>
        <v>+0</v>
      </c>
      <c r="R1464" s="18" t="str">
        <f>"+2"</f>
        <v>+2</v>
      </c>
      <c r="S1464" s="14" t="s">
        <v>260</v>
      </c>
    </row>
    <row r="1465">
      <c r="A1465" s="13">
        <v>45901.0</v>
      </c>
      <c r="B1465" s="14" t="s">
        <v>47</v>
      </c>
      <c r="C1465" s="14" t="s">
        <v>48</v>
      </c>
      <c r="D1465" s="14" t="s">
        <v>87</v>
      </c>
      <c r="E1465" s="14" t="s">
        <v>88</v>
      </c>
      <c r="F1465" s="15" t="s">
        <v>51</v>
      </c>
      <c r="G1465" s="14" t="s">
        <v>89</v>
      </c>
      <c r="H1465" s="14" t="s">
        <v>90</v>
      </c>
      <c r="I1465" s="14" t="s">
        <v>59</v>
      </c>
      <c r="J1465" s="14" t="s">
        <v>200</v>
      </c>
      <c r="K1465" s="14" t="s">
        <v>246</v>
      </c>
      <c r="L1465" s="14" t="s">
        <v>614</v>
      </c>
      <c r="M1465" s="14" t="s">
        <v>1468</v>
      </c>
      <c r="N1465" s="14" t="s">
        <v>1469</v>
      </c>
      <c r="O1465" s="14">
        <v>0.0</v>
      </c>
      <c r="P1465" s="21">
        <v>0.0</v>
      </c>
      <c r="Q1465" s="22" t="str">
        <f t="shared" si="866"/>
        <v>+0</v>
      </c>
      <c r="R1465" s="18" t="str">
        <f>"+0"</f>
        <v>+0</v>
      </c>
      <c r="S1465" s="14" t="s">
        <v>260</v>
      </c>
    </row>
    <row r="1466">
      <c r="A1466" s="13">
        <v>45901.0</v>
      </c>
      <c r="B1466" s="14" t="s">
        <v>47</v>
      </c>
      <c r="C1466" s="14" t="s">
        <v>48</v>
      </c>
      <c r="D1466" s="14" t="s">
        <v>125</v>
      </c>
      <c r="E1466" s="14" t="s">
        <v>126</v>
      </c>
      <c r="F1466" s="15" t="s">
        <v>51</v>
      </c>
      <c r="G1466" s="14" t="s">
        <v>127</v>
      </c>
      <c r="H1466" s="14" t="s">
        <v>125</v>
      </c>
      <c r="I1466" s="14" t="s">
        <v>59</v>
      </c>
      <c r="J1466" s="14" t="s">
        <v>198</v>
      </c>
      <c r="K1466" s="14" t="s">
        <v>205</v>
      </c>
      <c r="L1466" s="14" t="s">
        <v>274</v>
      </c>
      <c r="M1466" s="14" t="s">
        <v>448</v>
      </c>
      <c r="N1466" s="14" t="s">
        <v>449</v>
      </c>
      <c r="O1466" s="14">
        <v>100.0</v>
      </c>
      <c r="P1466" s="21">
        <v>3.0</v>
      </c>
      <c r="Q1466" s="22" t="str">
        <f t="shared" si="866"/>
        <v>+0</v>
      </c>
      <c r="S1466" s="14" t="s">
        <v>450</v>
      </c>
    </row>
    <row r="1467">
      <c r="A1467" s="13">
        <v>45901.0</v>
      </c>
      <c r="B1467" s="14" t="s">
        <v>47</v>
      </c>
      <c r="C1467" s="14" t="s">
        <v>48</v>
      </c>
      <c r="D1467" s="14" t="s">
        <v>125</v>
      </c>
      <c r="E1467" s="14" t="s">
        <v>126</v>
      </c>
      <c r="F1467" s="15" t="s">
        <v>51</v>
      </c>
      <c r="G1467" s="14" t="s">
        <v>127</v>
      </c>
      <c r="H1467" s="14" t="s">
        <v>125</v>
      </c>
      <c r="I1467" s="14" t="s">
        <v>59</v>
      </c>
      <c r="J1467" s="14" t="s">
        <v>200</v>
      </c>
      <c r="K1467" s="14" t="s">
        <v>232</v>
      </c>
      <c r="L1467" s="14" t="s">
        <v>487</v>
      </c>
      <c r="M1467" s="14" t="s">
        <v>670</v>
      </c>
      <c r="N1467" s="14" t="s">
        <v>671</v>
      </c>
      <c r="O1467" s="14">
        <v>0.0</v>
      </c>
      <c r="P1467" s="21">
        <v>0.0</v>
      </c>
      <c r="Q1467" s="22" t="str">
        <f t="shared" si="866"/>
        <v>+0</v>
      </c>
      <c r="R1467" s="18" t="str">
        <f t="shared" ref="R1467:R1468" si="867">"+0"</f>
        <v>+0</v>
      </c>
      <c r="S1467" s="14" t="s">
        <v>260</v>
      </c>
    </row>
    <row r="1468">
      <c r="A1468" s="13">
        <v>45901.0</v>
      </c>
      <c r="B1468" s="14" t="s">
        <v>47</v>
      </c>
      <c r="C1468" s="14" t="s">
        <v>48</v>
      </c>
      <c r="D1468" s="14" t="s">
        <v>85</v>
      </c>
      <c r="E1468" s="14" t="s">
        <v>86</v>
      </c>
      <c r="F1468" s="14" t="s">
        <v>71</v>
      </c>
      <c r="G1468" s="14">
        <v>88285.0</v>
      </c>
      <c r="H1468" s="14" t="s">
        <v>85</v>
      </c>
      <c r="I1468" s="14" t="s">
        <v>59</v>
      </c>
      <c r="J1468" s="14" t="s">
        <v>199</v>
      </c>
      <c r="K1468" s="14" t="s">
        <v>206</v>
      </c>
      <c r="L1468" s="14" t="s">
        <v>295</v>
      </c>
      <c r="M1468" s="14" t="s">
        <v>651</v>
      </c>
      <c r="N1468" s="14" t="s">
        <v>652</v>
      </c>
      <c r="O1468" s="14">
        <v>0.0</v>
      </c>
      <c r="P1468" s="21">
        <v>0.0</v>
      </c>
      <c r="Q1468" s="22" t="str">
        <f t="shared" si="866"/>
        <v>+0</v>
      </c>
      <c r="R1468" s="18" t="str">
        <f t="shared" si="867"/>
        <v>+0</v>
      </c>
      <c r="S1468" s="14" t="s">
        <v>260</v>
      </c>
    </row>
    <row r="1469">
      <c r="A1469" s="13">
        <v>45901.0</v>
      </c>
      <c r="B1469" s="14" t="s">
        <v>47</v>
      </c>
      <c r="C1469" s="14" t="s">
        <v>48</v>
      </c>
      <c r="D1469" s="14" t="s">
        <v>85</v>
      </c>
      <c r="E1469" s="14" t="s">
        <v>86</v>
      </c>
      <c r="F1469" s="15" t="s">
        <v>51</v>
      </c>
      <c r="G1469" s="14" t="s">
        <v>148</v>
      </c>
      <c r="H1469" s="14" t="s">
        <v>85</v>
      </c>
      <c r="I1469" s="14" t="s">
        <v>59</v>
      </c>
      <c r="J1469" s="14" t="s">
        <v>200</v>
      </c>
      <c r="K1469" s="14" t="s">
        <v>209</v>
      </c>
      <c r="L1469" s="14" t="s">
        <v>253</v>
      </c>
      <c r="M1469" s="14" t="s">
        <v>817</v>
      </c>
      <c r="N1469" s="14" t="s">
        <v>818</v>
      </c>
      <c r="O1469" s="14">
        <v>90.0</v>
      </c>
      <c r="P1469" s="23">
        <v>0.9034</v>
      </c>
      <c r="Q1469" s="22" t="str">
        <f>"+0.68%"</f>
        <v>+0.68%</v>
      </c>
      <c r="R1469" s="18" t="str">
        <f>"+1.78%"</f>
        <v>+1.78%</v>
      </c>
      <c r="S1469" s="14" t="s">
        <v>1470</v>
      </c>
    </row>
    <row r="1470">
      <c r="A1470" s="13">
        <v>45901.0</v>
      </c>
      <c r="B1470" s="14" t="s">
        <v>47</v>
      </c>
      <c r="C1470" s="14" t="s">
        <v>48</v>
      </c>
      <c r="D1470" s="14" t="s">
        <v>116</v>
      </c>
      <c r="E1470" s="14" t="s">
        <v>117</v>
      </c>
      <c r="F1470" s="15" t="s">
        <v>51</v>
      </c>
      <c r="G1470" s="14" t="s">
        <v>161</v>
      </c>
      <c r="H1470" s="14" t="s">
        <v>116</v>
      </c>
      <c r="I1470" s="14" t="s">
        <v>54</v>
      </c>
      <c r="J1470" s="14" t="s">
        <v>198</v>
      </c>
      <c r="K1470" s="14" t="s">
        <v>210</v>
      </c>
      <c r="L1470" s="14" t="s">
        <v>264</v>
      </c>
      <c r="M1470" s="14" t="s">
        <v>1064</v>
      </c>
      <c r="N1470" s="14" t="s">
        <v>1065</v>
      </c>
      <c r="O1470" s="14">
        <v>0.0</v>
      </c>
      <c r="P1470" s="21">
        <v>0.0</v>
      </c>
      <c r="Q1470" s="22" t="str">
        <f t="shared" ref="Q1470:R1470" si="868">"+0"</f>
        <v>+0</v>
      </c>
      <c r="R1470" s="18" t="str">
        <f t="shared" si="868"/>
        <v>+0</v>
      </c>
      <c r="S1470" s="14" t="s">
        <v>277</v>
      </c>
    </row>
    <row r="1471">
      <c r="A1471" s="13">
        <v>45901.0</v>
      </c>
      <c r="B1471" s="14" t="s">
        <v>47</v>
      </c>
      <c r="C1471" s="14" t="s">
        <v>48</v>
      </c>
      <c r="D1471" s="14" t="s">
        <v>112</v>
      </c>
      <c r="E1471" s="14" t="s">
        <v>113</v>
      </c>
      <c r="F1471" s="15" t="s">
        <v>51</v>
      </c>
      <c r="G1471" s="14" t="s">
        <v>114</v>
      </c>
      <c r="H1471" s="14" t="s">
        <v>112</v>
      </c>
      <c r="I1471" s="14" t="s">
        <v>59</v>
      </c>
      <c r="J1471" s="14" t="s">
        <v>199</v>
      </c>
      <c r="K1471" s="14" t="s">
        <v>206</v>
      </c>
      <c r="L1471" s="14" t="s">
        <v>295</v>
      </c>
      <c r="M1471" s="14" t="s">
        <v>651</v>
      </c>
      <c r="N1471" s="14" t="s">
        <v>652</v>
      </c>
      <c r="O1471" s="14">
        <v>0.0</v>
      </c>
      <c r="P1471" s="21">
        <v>0.0</v>
      </c>
      <c r="Q1471" s="22" t="str">
        <f t="shared" ref="Q1471:R1471" si="869">"+0"</f>
        <v>+0</v>
      </c>
      <c r="R1471" s="18" t="str">
        <f t="shared" si="869"/>
        <v>+0</v>
      </c>
      <c r="S1471" s="14" t="s">
        <v>260</v>
      </c>
    </row>
    <row r="1472">
      <c r="A1472" s="13">
        <v>45901.0</v>
      </c>
      <c r="B1472" s="14" t="s">
        <v>47</v>
      </c>
      <c r="C1472" s="14" t="s">
        <v>48</v>
      </c>
      <c r="D1472" s="14" t="s">
        <v>174</v>
      </c>
      <c r="E1472" s="14" t="s">
        <v>175</v>
      </c>
      <c r="F1472" s="15" t="s">
        <v>51</v>
      </c>
      <c r="G1472" s="14" t="s">
        <v>176</v>
      </c>
      <c r="H1472" s="14" t="s">
        <v>174</v>
      </c>
      <c r="I1472" s="14" t="s">
        <v>59</v>
      </c>
      <c r="J1472" s="14" t="s">
        <v>200</v>
      </c>
      <c r="K1472" s="14" t="s">
        <v>213</v>
      </c>
      <c r="L1472" s="14" t="s">
        <v>676</v>
      </c>
      <c r="M1472" s="14" t="s">
        <v>836</v>
      </c>
      <c r="N1472" s="14" t="s">
        <v>837</v>
      </c>
      <c r="O1472" s="14">
        <v>0.0</v>
      </c>
      <c r="P1472" s="23">
        <v>0.0</v>
      </c>
      <c r="Q1472" s="22" t="str">
        <f t="shared" ref="Q1472:R1472" si="870">"+0.00%"</f>
        <v>+0.00%</v>
      </c>
      <c r="R1472" s="18" t="str">
        <f t="shared" si="870"/>
        <v>+0.00%</v>
      </c>
      <c r="S1472" s="14" t="s">
        <v>1471</v>
      </c>
    </row>
    <row r="1473">
      <c r="A1473" s="13">
        <v>45901.0</v>
      </c>
      <c r="B1473" s="14" t="s">
        <v>47</v>
      </c>
      <c r="C1473" s="14" t="s">
        <v>48</v>
      </c>
      <c r="D1473" s="14" t="s">
        <v>77</v>
      </c>
      <c r="E1473" s="14" t="s">
        <v>78</v>
      </c>
      <c r="F1473" s="15" t="s">
        <v>51</v>
      </c>
      <c r="G1473" s="14" t="s">
        <v>128</v>
      </c>
      <c r="H1473" s="14" t="s">
        <v>81</v>
      </c>
      <c r="I1473" s="14" t="s">
        <v>59</v>
      </c>
      <c r="J1473" s="14" t="s">
        <v>200</v>
      </c>
      <c r="K1473" s="14" t="s">
        <v>223</v>
      </c>
      <c r="L1473" s="14" t="s">
        <v>261</v>
      </c>
      <c r="M1473" s="14" t="s">
        <v>414</v>
      </c>
      <c r="N1473" s="14" t="s">
        <v>415</v>
      </c>
      <c r="O1473" s="14">
        <v>0.0</v>
      </c>
      <c r="P1473" s="23">
        <v>-1.0</v>
      </c>
      <c r="Q1473" s="22" t="str">
        <f t="shared" ref="Q1473:R1473" si="871">"+0.00%"</f>
        <v>+0.00%</v>
      </c>
      <c r="R1473" s="18" t="str">
        <f t="shared" si="871"/>
        <v>+0.00%</v>
      </c>
      <c r="S1473" s="14" t="s">
        <v>1472</v>
      </c>
    </row>
    <row r="1474">
      <c r="A1474" s="13">
        <v>45901.0</v>
      </c>
      <c r="B1474" s="14" t="s">
        <v>47</v>
      </c>
      <c r="C1474" s="14" t="s">
        <v>48</v>
      </c>
      <c r="D1474" s="14" t="s">
        <v>158</v>
      </c>
      <c r="E1474" s="14" t="s">
        <v>159</v>
      </c>
      <c r="F1474" s="15" t="s">
        <v>51</v>
      </c>
      <c r="G1474" s="14" t="s">
        <v>160</v>
      </c>
      <c r="H1474" s="14" t="s">
        <v>158</v>
      </c>
      <c r="I1474" s="14" t="s">
        <v>54</v>
      </c>
      <c r="J1474" s="14" t="s">
        <v>198</v>
      </c>
      <c r="K1474" s="14" t="s">
        <v>210</v>
      </c>
      <c r="L1474" s="14" t="s">
        <v>278</v>
      </c>
      <c r="M1474" s="14" t="s">
        <v>947</v>
      </c>
      <c r="N1474" s="14" t="s">
        <v>948</v>
      </c>
      <c r="O1474" s="14">
        <v>0.0</v>
      </c>
      <c r="P1474" s="21">
        <v>0.0</v>
      </c>
      <c r="Q1474" s="22" t="str">
        <f t="shared" ref="Q1474:R1474" si="872">"+0"</f>
        <v>+0</v>
      </c>
      <c r="R1474" s="18" t="str">
        <f t="shared" si="872"/>
        <v>+0</v>
      </c>
      <c r="S1474" s="14" t="s">
        <v>277</v>
      </c>
    </row>
    <row r="1475">
      <c r="A1475" s="13">
        <v>45901.0</v>
      </c>
      <c r="B1475" s="14" t="s">
        <v>47</v>
      </c>
      <c r="C1475" s="14" t="s">
        <v>48</v>
      </c>
      <c r="D1475" s="14" t="s">
        <v>56</v>
      </c>
      <c r="E1475" s="14" t="s">
        <v>57</v>
      </c>
      <c r="F1475" s="15" t="s">
        <v>51</v>
      </c>
      <c r="G1475" s="14" t="s">
        <v>58</v>
      </c>
      <c r="H1475" s="14" t="s">
        <v>56</v>
      </c>
      <c r="I1475" s="14" t="s">
        <v>59</v>
      </c>
      <c r="J1475" s="14" t="s">
        <v>198</v>
      </c>
      <c r="K1475" s="14" t="s">
        <v>210</v>
      </c>
      <c r="L1475" s="14" t="s">
        <v>264</v>
      </c>
      <c r="M1475" s="14" t="s">
        <v>357</v>
      </c>
      <c r="N1475" s="14" t="s">
        <v>358</v>
      </c>
      <c r="O1475" s="14">
        <v>100.0</v>
      </c>
      <c r="P1475" s="21">
        <v>0.0</v>
      </c>
      <c r="Q1475" s="22" t="str">
        <f t="shared" ref="Q1475:R1475" si="873">"+0"</f>
        <v>+0</v>
      </c>
      <c r="R1475" s="18" t="str">
        <f t="shared" si="873"/>
        <v>+0</v>
      </c>
      <c r="S1475" s="14" t="s">
        <v>281</v>
      </c>
    </row>
    <row r="1476">
      <c r="A1476" s="13">
        <v>45901.0</v>
      </c>
      <c r="B1476" s="14" t="s">
        <v>47</v>
      </c>
      <c r="C1476" s="14" t="s">
        <v>48</v>
      </c>
      <c r="D1476" s="14" t="s">
        <v>121</v>
      </c>
      <c r="E1476" s="14" t="s">
        <v>122</v>
      </c>
      <c r="F1476" s="15" t="s">
        <v>51</v>
      </c>
      <c r="G1476" s="14" t="s">
        <v>123</v>
      </c>
      <c r="H1476" s="14" t="s">
        <v>124</v>
      </c>
      <c r="I1476" s="14" t="s">
        <v>59</v>
      </c>
      <c r="J1476" s="14" t="s">
        <v>200</v>
      </c>
      <c r="K1476" s="14" t="s">
        <v>232</v>
      </c>
      <c r="L1476" s="14" t="s">
        <v>422</v>
      </c>
      <c r="M1476" s="14" t="s">
        <v>1197</v>
      </c>
      <c r="N1476" s="14" t="s">
        <v>1198</v>
      </c>
      <c r="O1476" s="14">
        <v>100.0</v>
      </c>
      <c r="P1476" s="23">
        <v>0.1538</v>
      </c>
      <c r="Q1476" s="22" t="str">
        <f>"+4.27%"</f>
        <v>+4.27%</v>
      </c>
      <c r="R1476" s="18" t="str">
        <f>"-2.80%"</f>
        <v>-2.80%</v>
      </c>
      <c r="S1476" s="14" t="s">
        <v>285</v>
      </c>
    </row>
    <row r="1477">
      <c r="A1477" s="13">
        <v>45901.0</v>
      </c>
      <c r="B1477" s="14" t="s">
        <v>47</v>
      </c>
      <c r="C1477" s="14" t="s">
        <v>48</v>
      </c>
      <c r="D1477" s="14" t="s">
        <v>155</v>
      </c>
      <c r="E1477" s="14" t="s">
        <v>156</v>
      </c>
      <c r="F1477" s="15" t="s">
        <v>51</v>
      </c>
      <c r="G1477" s="14" t="s">
        <v>157</v>
      </c>
      <c r="H1477" s="14" t="s">
        <v>155</v>
      </c>
      <c r="I1477" s="14" t="s">
        <v>59</v>
      </c>
      <c r="J1477" s="14" t="s">
        <v>200</v>
      </c>
      <c r="K1477" s="14" t="s">
        <v>223</v>
      </c>
      <c r="L1477" s="14" t="s">
        <v>289</v>
      </c>
      <c r="M1477" s="14" t="s">
        <v>290</v>
      </c>
      <c r="N1477" s="14" t="s">
        <v>291</v>
      </c>
      <c r="O1477" s="14">
        <v>0.0</v>
      </c>
      <c r="P1477" s="17"/>
      <c r="Q1477" s="22"/>
      <c r="S1477" s="14" t="s">
        <v>285</v>
      </c>
    </row>
    <row r="1478">
      <c r="A1478" s="13">
        <v>45901.0</v>
      </c>
      <c r="B1478" s="14" t="s">
        <v>47</v>
      </c>
      <c r="C1478" s="14" t="s">
        <v>48</v>
      </c>
      <c r="D1478" s="14" t="s">
        <v>165</v>
      </c>
      <c r="E1478" s="14" t="s">
        <v>166</v>
      </c>
      <c r="F1478" s="14" t="s">
        <v>111</v>
      </c>
      <c r="G1478" s="14">
        <v>7116371.0</v>
      </c>
      <c r="H1478" s="14" t="s">
        <v>165</v>
      </c>
      <c r="I1478" s="14" t="s">
        <v>59</v>
      </c>
      <c r="J1478" s="14" t="s">
        <v>199</v>
      </c>
      <c r="K1478" s="14" t="s">
        <v>206</v>
      </c>
      <c r="L1478" s="14" t="s">
        <v>515</v>
      </c>
      <c r="M1478" s="14" t="s">
        <v>515</v>
      </c>
      <c r="N1478" s="14" t="s">
        <v>516</v>
      </c>
      <c r="O1478" s="14">
        <v>75.0</v>
      </c>
      <c r="P1478" s="21">
        <v>1.0</v>
      </c>
      <c r="Q1478" s="22" t="str">
        <f t="shared" ref="Q1478:R1478" si="874">"+0"</f>
        <v>+0</v>
      </c>
      <c r="R1478" s="18" t="str">
        <f t="shared" si="874"/>
        <v>+0</v>
      </c>
      <c r="S1478" s="14" t="s">
        <v>383</v>
      </c>
    </row>
    <row r="1479">
      <c r="A1479" s="13">
        <v>45901.0</v>
      </c>
      <c r="B1479" s="14" t="s">
        <v>47</v>
      </c>
      <c r="C1479" s="14" t="s">
        <v>48</v>
      </c>
      <c r="D1479" s="14" t="s">
        <v>165</v>
      </c>
      <c r="E1479" s="14" t="s">
        <v>166</v>
      </c>
      <c r="F1479" s="15" t="s">
        <v>51</v>
      </c>
      <c r="G1479" s="14" t="s">
        <v>167</v>
      </c>
      <c r="H1479" s="14" t="s">
        <v>165</v>
      </c>
      <c r="I1479" s="14" t="s">
        <v>54</v>
      </c>
      <c r="J1479" s="14" t="s">
        <v>200</v>
      </c>
      <c r="K1479" s="14" t="s">
        <v>204</v>
      </c>
      <c r="L1479" s="14" t="s">
        <v>253</v>
      </c>
      <c r="M1479" s="14" t="s">
        <v>490</v>
      </c>
      <c r="N1479" s="14" t="s">
        <v>491</v>
      </c>
      <c r="O1479" s="14">
        <v>0.0</v>
      </c>
      <c r="P1479" s="23">
        <v>0.0</v>
      </c>
      <c r="Q1479" s="22" t="str">
        <f t="shared" ref="Q1479:R1479" si="875">"+0.00%"</f>
        <v>+0.00%</v>
      </c>
      <c r="R1479" s="18" t="str">
        <f t="shared" si="875"/>
        <v>+0.00%</v>
      </c>
      <c r="S1479" s="14" t="s">
        <v>492</v>
      </c>
    </row>
    <row r="1480">
      <c r="A1480" s="13">
        <v>45901.0</v>
      </c>
      <c r="B1480" s="14" t="s">
        <v>47</v>
      </c>
      <c r="C1480" s="14" t="s">
        <v>48</v>
      </c>
      <c r="D1480" s="14" t="s">
        <v>49</v>
      </c>
      <c r="E1480" s="14" t="s">
        <v>50</v>
      </c>
      <c r="F1480" s="15" t="s">
        <v>51</v>
      </c>
      <c r="G1480" s="14" t="s">
        <v>52</v>
      </c>
      <c r="H1480" s="14" t="s">
        <v>53</v>
      </c>
      <c r="I1480" s="14" t="s">
        <v>54</v>
      </c>
      <c r="J1480" s="14" t="s">
        <v>198</v>
      </c>
      <c r="K1480" s="14" t="s">
        <v>210</v>
      </c>
      <c r="L1480" s="14" t="s">
        <v>264</v>
      </c>
      <c r="M1480" s="14" t="s">
        <v>1031</v>
      </c>
      <c r="N1480" s="14" t="s">
        <v>1032</v>
      </c>
      <c r="O1480" s="14">
        <v>0.0</v>
      </c>
      <c r="P1480" s="21">
        <v>0.0</v>
      </c>
      <c r="Q1480" s="22" t="str">
        <f t="shared" ref="Q1480:R1480" si="876">"+0"</f>
        <v>+0</v>
      </c>
      <c r="R1480" s="18" t="str">
        <f t="shared" si="876"/>
        <v>+0</v>
      </c>
      <c r="S1480" s="14" t="s">
        <v>277</v>
      </c>
    </row>
    <row r="1481">
      <c r="A1481" s="13">
        <v>45901.0</v>
      </c>
      <c r="B1481" s="14" t="s">
        <v>47</v>
      </c>
      <c r="C1481" s="14" t="s">
        <v>48</v>
      </c>
      <c r="D1481" s="14" t="s">
        <v>49</v>
      </c>
      <c r="E1481" s="14" t="s">
        <v>50</v>
      </c>
      <c r="F1481" s="15" t="s">
        <v>51</v>
      </c>
      <c r="G1481" s="14" t="s">
        <v>52</v>
      </c>
      <c r="H1481" s="14" t="s">
        <v>53</v>
      </c>
      <c r="I1481" s="14" t="s">
        <v>54</v>
      </c>
      <c r="J1481" s="14" t="s">
        <v>199</v>
      </c>
      <c r="K1481" s="14" t="s">
        <v>206</v>
      </c>
      <c r="L1481" s="14" t="s">
        <v>433</v>
      </c>
      <c r="M1481" s="14" t="s">
        <v>433</v>
      </c>
      <c r="N1481" s="14" t="s">
        <v>434</v>
      </c>
      <c r="O1481" s="14">
        <v>100.0</v>
      </c>
      <c r="P1481" s="21">
        <v>20.0</v>
      </c>
      <c r="Q1481" s="22" t="str">
        <f>"-11"</f>
        <v>-11</v>
      </c>
      <c r="R1481" s="18" t="str">
        <f>"-31"</f>
        <v>-31</v>
      </c>
      <c r="S1481" s="14" t="s">
        <v>383</v>
      </c>
    </row>
    <row r="1482">
      <c r="A1482" s="13">
        <v>45901.0</v>
      </c>
      <c r="B1482" s="14" t="s">
        <v>47</v>
      </c>
      <c r="C1482" s="14" t="s">
        <v>48</v>
      </c>
      <c r="D1482" s="14" t="s">
        <v>49</v>
      </c>
      <c r="E1482" s="14" t="s">
        <v>50</v>
      </c>
      <c r="F1482" s="15" t="s">
        <v>51</v>
      </c>
      <c r="G1482" s="14" t="s">
        <v>52</v>
      </c>
      <c r="H1482" s="14" t="s">
        <v>53</v>
      </c>
      <c r="I1482" s="14" t="s">
        <v>54</v>
      </c>
      <c r="J1482" s="14" t="s">
        <v>198</v>
      </c>
      <c r="K1482" s="14" t="s">
        <v>210</v>
      </c>
      <c r="L1482" s="14" t="s">
        <v>505</v>
      </c>
      <c r="M1482" s="14" t="s">
        <v>831</v>
      </c>
      <c r="N1482" s="14" t="s">
        <v>832</v>
      </c>
      <c r="O1482" s="14">
        <v>0.0</v>
      </c>
      <c r="P1482" s="21">
        <v>0.0</v>
      </c>
      <c r="Q1482" s="22" t="str">
        <f t="shared" ref="Q1482:R1482" si="877">"+0"</f>
        <v>+0</v>
      </c>
      <c r="R1482" s="18" t="str">
        <f t="shared" si="877"/>
        <v>+0</v>
      </c>
      <c r="S1482" s="14" t="s">
        <v>277</v>
      </c>
    </row>
    <row r="1483">
      <c r="A1483" s="13">
        <v>45901.0</v>
      </c>
      <c r="B1483" s="14" t="s">
        <v>47</v>
      </c>
      <c r="C1483" s="14" t="s">
        <v>48</v>
      </c>
      <c r="D1483" s="14" t="s">
        <v>177</v>
      </c>
      <c r="E1483" s="14" t="s">
        <v>178</v>
      </c>
      <c r="F1483" s="14" t="s">
        <v>146</v>
      </c>
      <c r="G1483" s="14" t="s">
        <v>179</v>
      </c>
      <c r="H1483" s="14" t="s">
        <v>177</v>
      </c>
      <c r="I1483" s="14" t="s">
        <v>107</v>
      </c>
      <c r="J1483" s="14" t="s">
        <v>200</v>
      </c>
      <c r="K1483" s="14" t="s">
        <v>226</v>
      </c>
      <c r="L1483" s="14" t="s">
        <v>253</v>
      </c>
      <c r="M1483" s="14" t="s">
        <v>1130</v>
      </c>
      <c r="N1483" s="14" t="s">
        <v>1473</v>
      </c>
      <c r="O1483" s="14">
        <v>100.0</v>
      </c>
      <c r="P1483" s="23">
        <v>1.0</v>
      </c>
      <c r="Q1483" s="22" t="str">
        <f t="shared" ref="Q1483:R1483" si="878">"+0.00%"</f>
        <v>+0.00%</v>
      </c>
      <c r="R1483" s="18" t="str">
        <f t="shared" si="878"/>
        <v>+0.00%</v>
      </c>
      <c r="S1483" s="14" t="s">
        <v>1474</v>
      </c>
    </row>
    <row r="1484">
      <c r="A1484" s="13">
        <v>45901.0</v>
      </c>
      <c r="B1484" s="14" t="s">
        <v>47</v>
      </c>
      <c r="C1484" s="14" t="s">
        <v>48</v>
      </c>
      <c r="D1484" s="14" t="s">
        <v>91</v>
      </c>
      <c r="E1484" s="14" t="s">
        <v>92</v>
      </c>
      <c r="F1484" s="14" t="s">
        <v>71</v>
      </c>
      <c r="G1484" s="14">
        <v>5.10000484E8</v>
      </c>
      <c r="H1484" s="14" t="s">
        <v>91</v>
      </c>
      <c r="I1484" s="14" t="s">
        <v>54</v>
      </c>
      <c r="J1484" s="14" t="s">
        <v>199</v>
      </c>
      <c r="K1484" s="14" t="s">
        <v>208</v>
      </c>
      <c r="L1484" s="14" t="s">
        <v>352</v>
      </c>
      <c r="M1484" s="14" t="s">
        <v>352</v>
      </c>
      <c r="N1484" s="14" t="s">
        <v>353</v>
      </c>
      <c r="O1484" s="14">
        <v>100.0</v>
      </c>
      <c r="P1484" s="21">
        <v>70.0</v>
      </c>
      <c r="Q1484" s="22" t="str">
        <f>"+1"</f>
        <v>+1</v>
      </c>
      <c r="R1484" s="18" t="str">
        <f>"+2"</f>
        <v>+2</v>
      </c>
      <c r="S1484" s="14" t="s">
        <v>260</v>
      </c>
    </row>
    <row r="1485">
      <c r="A1485" s="13">
        <v>45901.0</v>
      </c>
      <c r="B1485" s="14" t="s">
        <v>47</v>
      </c>
      <c r="C1485" s="14" t="s">
        <v>48</v>
      </c>
      <c r="D1485" s="14" t="s">
        <v>63</v>
      </c>
      <c r="E1485" s="14" t="s">
        <v>64</v>
      </c>
      <c r="F1485" s="14" t="s">
        <v>111</v>
      </c>
      <c r="G1485" s="14">
        <v>4916210.0</v>
      </c>
      <c r="H1485" s="14" t="s">
        <v>63</v>
      </c>
      <c r="I1485" s="14" t="s">
        <v>59</v>
      </c>
      <c r="J1485" s="14" t="s">
        <v>199</v>
      </c>
      <c r="K1485" s="14" t="s">
        <v>203</v>
      </c>
      <c r="L1485" s="14" t="s">
        <v>431</v>
      </c>
      <c r="M1485" s="14" t="s">
        <v>431</v>
      </c>
      <c r="N1485" s="14" t="s">
        <v>432</v>
      </c>
      <c r="O1485" s="14">
        <v>0.0</v>
      </c>
      <c r="P1485" s="21">
        <v>0.0</v>
      </c>
      <c r="Q1485" s="22" t="str">
        <f t="shared" ref="Q1485:R1485" si="879">"+0"</f>
        <v>+0</v>
      </c>
      <c r="R1485" s="18" t="str">
        <f t="shared" si="879"/>
        <v>+0</v>
      </c>
      <c r="S1485" s="14" t="s">
        <v>260</v>
      </c>
    </row>
    <row r="1486">
      <c r="A1486" s="13">
        <v>45901.0</v>
      </c>
      <c r="B1486" s="14" t="s">
        <v>47</v>
      </c>
      <c r="C1486" s="14" t="s">
        <v>48</v>
      </c>
      <c r="D1486" s="14" t="s">
        <v>91</v>
      </c>
      <c r="E1486" s="14" t="s">
        <v>92</v>
      </c>
      <c r="F1486" s="14" t="s">
        <v>71</v>
      </c>
      <c r="G1486" s="14">
        <v>5.00008613E8</v>
      </c>
      <c r="H1486" s="14" t="s">
        <v>91</v>
      </c>
      <c r="I1486" s="14" t="s">
        <v>59</v>
      </c>
      <c r="J1486" s="14" t="s">
        <v>199</v>
      </c>
      <c r="K1486" s="14" t="s">
        <v>203</v>
      </c>
      <c r="L1486" s="14" t="s">
        <v>431</v>
      </c>
      <c r="M1486" s="14" t="s">
        <v>431</v>
      </c>
      <c r="N1486" s="14" t="s">
        <v>432</v>
      </c>
      <c r="O1486" s="14">
        <v>0.0</v>
      </c>
      <c r="P1486" s="21">
        <v>0.0</v>
      </c>
      <c r="Q1486" s="22" t="str">
        <f t="shared" ref="Q1486:R1486" si="880">"+0"</f>
        <v>+0</v>
      </c>
      <c r="R1486" s="18" t="str">
        <f t="shared" si="880"/>
        <v>+0</v>
      </c>
      <c r="S1486" s="14" t="s">
        <v>260</v>
      </c>
    </row>
    <row r="1487">
      <c r="A1487" s="13">
        <v>45901.0</v>
      </c>
      <c r="B1487" s="14" t="s">
        <v>47</v>
      </c>
      <c r="C1487" s="14" t="s">
        <v>48</v>
      </c>
      <c r="D1487" s="14" t="s">
        <v>63</v>
      </c>
      <c r="E1487" s="14" t="s">
        <v>64</v>
      </c>
      <c r="F1487" s="15" t="s">
        <v>51</v>
      </c>
      <c r="G1487" s="14" t="s">
        <v>65</v>
      </c>
      <c r="H1487" s="14" t="s">
        <v>63</v>
      </c>
      <c r="I1487" s="14" t="s">
        <v>54</v>
      </c>
      <c r="J1487" s="14" t="s">
        <v>198</v>
      </c>
      <c r="K1487" s="14" t="s">
        <v>210</v>
      </c>
      <c r="L1487" s="14" t="s">
        <v>505</v>
      </c>
      <c r="M1487" s="14" t="s">
        <v>1475</v>
      </c>
      <c r="N1487" s="14" t="s">
        <v>1476</v>
      </c>
      <c r="O1487" s="14">
        <v>0.0</v>
      </c>
      <c r="P1487" s="21">
        <v>0.0</v>
      </c>
      <c r="Q1487" s="22" t="str">
        <f t="shared" ref="Q1487:R1487" si="881">"+0"</f>
        <v>+0</v>
      </c>
      <c r="R1487" s="18" t="str">
        <f t="shared" si="881"/>
        <v>+0</v>
      </c>
      <c r="S1487" s="14" t="s">
        <v>277</v>
      </c>
    </row>
    <row r="1488">
      <c r="A1488" s="13">
        <v>45901.0</v>
      </c>
      <c r="B1488" s="14" t="s">
        <v>47</v>
      </c>
      <c r="C1488" s="14" t="s">
        <v>48</v>
      </c>
      <c r="D1488" s="14" t="s">
        <v>63</v>
      </c>
      <c r="E1488" s="14" t="s">
        <v>64</v>
      </c>
      <c r="F1488" s="15" t="s">
        <v>51</v>
      </c>
      <c r="G1488" s="14" t="s">
        <v>65</v>
      </c>
      <c r="H1488" s="14" t="s">
        <v>63</v>
      </c>
      <c r="I1488" s="14" t="s">
        <v>54</v>
      </c>
      <c r="J1488" s="14" t="s">
        <v>200</v>
      </c>
      <c r="K1488" s="14" t="s">
        <v>211</v>
      </c>
      <c r="L1488" s="14" t="s">
        <v>253</v>
      </c>
      <c r="M1488" s="14" t="s">
        <v>1381</v>
      </c>
      <c r="N1488" s="14" t="s">
        <v>1382</v>
      </c>
      <c r="O1488" s="14">
        <v>7.0</v>
      </c>
      <c r="P1488" s="23">
        <v>0.0713</v>
      </c>
      <c r="Q1488" s="22" t="str">
        <f>"-0.04%"</f>
        <v>-0.04%</v>
      </c>
      <c r="R1488" s="18" t="str">
        <f>"-0.12%"</f>
        <v>-0.12%</v>
      </c>
      <c r="S1488" s="14" t="s">
        <v>371</v>
      </c>
    </row>
    <row r="1489">
      <c r="A1489" s="13">
        <v>45901.0</v>
      </c>
      <c r="B1489" s="14" t="s">
        <v>47</v>
      </c>
      <c r="C1489" s="14" t="s">
        <v>48</v>
      </c>
      <c r="D1489" s="14" t="s">
        <v>177</v>
      </c>
      <c r="E1489" s="14" t="s">
        <v>178</v>
      </c>
      <c r="F1489" s="14" t="s">
        <v>146</v>
      </c>
      <c r="G1489" s="14" t="s">
        <v>179</v>
      </c>
      <c r="H1489" s="14" t="s">
        <v>177</v>
      </c>
      <c r="I1489" s="14" t="s">
        <v>107</v>
      </c>
      <c r="J1489" s="14" t="s">
        <v>200</v>
      </c>
      <c r="K1489" s="14" t="s">
        <v>226</v>
      </c>
      <c r="L1489" s="14" t="s">
        <v>253</v>
      </c>
      <c r="M1489" s="14" t="s">
        <v>1477</v>
      </c>
      <c r="N1489" s="14" t="s">
        <v>1478</v>
      </c>
      <c r="O1489" s="14">
        <v>100.0</v>
      </c>
      <c r="P1489" s="23">
        <v>1.0</v>
      </c>
      <c r="Q1489" s="22" t="str">
        <f t="shared" ref="Q1489:R1489" si="882">"+0.00%"</f>
        <v>+0.00%</v>
      </c>
      <c r="R1489" s="18" t="str">
        <f t="shared" si="882"/>
        <v>+0.00%</v>
      </c>
      <c r="S1489" s="14" t="s">
        <v>1479</v>
      </c>
    </row>
    <row r="1490">
      <c r="A1490" s="13">
        <v>45901.0</v>
      </c>
      <c r="B1490" s="14" t="s">
        <v>47</v>
      </c>
      <c r="C1490" s="14" t="s">
        <v>48</v>
      </c>
      <c r="D1490" s="14" t="s">
        <v>99</v>
      </c>
      <c r="E1490" s="14" t="s">
        <v>100</v>
      </c>
      <c r="F1490" s="15" t="s">
        <v>51</v>
      </c>
      <c r="G1490" s="14" t="s">
        <v>101</v>
      </c>
      <c r="H1490" s="14" t="s">
        <v>102</v>
      </c>
      <c r="I1490" s="14" t="s">
        <v>54</v>
      </c>
      <c r="J1490" s="14" t="s">
        <v>200</v>
      </c>
      <c r="K1490" s="14" t="s">
        <v>202</v>
      </c>
      <c r="L1490" s="14" t="s">
        <v>253</v>
      </c>
      <c r="M1490" s="14" t="s">
        <v>347</v>
      </c>
      <c r="N1490" s="14" t="s">
        <v>348</v>
      </c>
      <c r="O1490" s="14">
        <v>27.0</v>
      </c>
      <c r="P1490" s="23">
        <v>0.2727</v>
      </c>
      <c r="Q1490" s="22" t="str">
        <f>"+9.09%"</f>
        <v>+9.09%</v>
      </c>
      <c r="R1490" s="18" t="str">
        <f>"+0.00%"</f>
        <v>+0.00%</v>
      </c>
      <c r="S1490" s="14" t="s">
        <v>1480</v>
      </c>
    </row>
    <row r="1491">
      <c r="A1491" s="13">
        <v>45901.0</v>
      </c>
      <c r="B1491" s="14" t="s">
        <v>47</v>
      </c>
      <c r="C1491" s="14" t="s">
        <v>48</v>
      </c>
      <c r="D1491" s="14" t="s">
        <v>91</v>
      </c>
      <c r="E1491" s="14" t="s">
        <v>92</v>
      </c>
      <c r="F1491" s="15" t="s">
        <v>51</v>
      </c>
      <c r="G1491" s="14" t="s">
        <v>163</v>
      </c>
      <c r="H1491" s="14" t="s">
        <v>91</v>
      </c>
      <c r="I1491" s="14" t="s">
        <v>59</v>
      </c>
      <c r="J1491" s="14" t="s">
        <v>198</v>
      </c>
      <c r="K1491" s="14" t="s">
        <v>210</v>
      </c>
      <c r="L1491" s="14" t="s">
        <v>505</v>
      </c>
      <c r="M1491" s="14" t="s">
        <v>506</v>
      </c>
      <c r="N1491" s="14" t="s">
        <v>507</v>
      </c>
      <c r="O1491" s="14">
        <v>100.0</v>
      </c>
      <c r="P1491" s="21">
        <v>0.0</v>
      </c>
      <c r="Q1491" s="22" t="str">
        <f t="shared" ref="Q1491:R1491" si="883">"+0"</f>
        <v>+0</v>
      </c>
      <c r="R1491" s="18" t="str">
        <f t="shared" si="883"/>
        <v>+0</v>
      </c>
      <c r="S1491" s="14" t="s">
        <v>281</v>
      </c>
    </row>
    <row r="1492">
      <c r="A1492" s="13">
        <v>45901.0</v>
      </c>
      <c r="B1492" s="14" t="s">
        <v>47</v>
      </c>
      <c r="C1492" s="14" t="s">
        <v>48</v>
      </c>
      <c r="D1492" s="14" t="s">
        <v>118</v>
      </c>
      <c r="E1492" s="14" t="s">
        <v>119</v>
      </c>
      <c r="F1492" s="15" t="s">
        <v>51</v>
      </c>
      <c r="G1492" s="14" t="s">
        <v>120</v>
      </c>
      <c r="H1492" s="14" t="s">
        <v>118</v>
      </c>
      <c r="I1492" s="14" t="s">
        <v>59</v>
      </c>
      <c r="J1492" s="14" t="s">
        <v>198</v>
      </c>
      <c r="K1492" s="14" t="s">
        <v>205</v>
      </c>
      <c r="L1492" s="14" t="s">
        <v>274</v>
      </c>
      <c r="M1492" s="14" t="s">
        <v>791</v>
      </c>
      <c r="N1492" s="14" t="s">
        <v>792</v>
      </c>
      <c r="O1492" s="14">
        <v>50.0</v>
      </c>
      <c r="P1492" s="21">
        <v>1.0</v>
      </c>
      <c r="Q1492" s="22" t="str">
        <f t="shared" ref="Q1492:Q1495" si="884">"+0"</f>
        <v>+0</v>
      </c>
      <c r="S1492" s="14" t="s">
        <v>260</v>
      </c>
    </row>
    <row r="1493">
      <c r="A1493" s="13">
        <v>45901.0</v>
      </c>
      <c r="B1493" s="14" t="s">
        <v>47</v>
      </c>
      <c r="C1493" s="14" t="s">
        <v>48</v>
      </c>
      <c r="D1493" s="14" t="s">
        <v>118</v>
      </c>
      <c r="E1493" s="14" t="s">
        <v>119</v>
      </c>
      <c r="F1493" s="15" t="s">
        <v>51</v>
      </c>
      <c r="G1493" s="14" t="s">
        <v>120</v>
      </c>
      <c r="H1493" s="14" t="s">
        <v>118</v>
      </c>
      <c r="I1493" s="14" t="s">
        <v>59</v>
      </c>
      <c r="J1493" s="14" t="s">
        <v>198</v>
      </c>
      <c r="K1493" s="14" t="s">
        <v>210</v>
      </c>
      <c r="L1493" s="14" t="s">
        <v>278</v>
      </c>
      <c r="M1493" s="14" t="s">
        <v>279</v>
      </c>
      <c r="N1493" s="14" t="s">
        <v>280</v>
      </c>
      <c r="O1493" s="14">
        <v>100.0</v>
      </c>
      <c r="P1493" s="21">
        <v>0.0</v>
      </c>
      <c r="Q1493" s="22" t="str">
        <f t="shared" si="884"/>
        <v>+0</v>
      </c>
      <c r="R1493" s="18" t="str">
        <f t="shared" ref="R1493:R1495" si="885">"+0"</f>
        <v>+0</v>
      </c>
      <c r="S1493" s="14" t="s">
        <v>281</v>
      </c>
    </row>
    <row r="1494">
      <c r="A1494" s="13">
        <v>45901.0</v>
      </c>
      <c r="B1494" s="14" t="s">
        <v>47</v>
      </c>
      <c r="C1494" s="14" t="s">
        <v>48</v>
      </c>
      <c r="D1494" s="14" t="s">
        <v>66</v>
      </c>
      <c r="E1494" s="14" t="s">
        <v>67</v>
      </c>
      <c r="F1494" s="15" t="s">
        <v>51</v>
      </c>
      <c r="G1494" s="14" t="s">
        <v>68</v>
      </c>
      <c r="H1494" s="14" t="s">
        <v>66</v>
      </c>
      <c r="I1494" s="14" t="s">
        <v>59</v>
      </c>
      <c r="J1494" s="14" t="s">
        <v>200</v>
      </c>
      <c r="K1494" s="14" t="s">
        <v>231</v>
      </c>
      <c r="L1494" s="14" t="s">
        <v>751</v>
      </c>
      <c r="M1494" s="14" t="s">
        <v>912</v>
      </c>
      <c r="N1494" s="14" t="s">
        <v>913</v>
      </c>
      <c r="O1494" s="14">
        <v>0.0</v>
      </c>
      <c r="P1494" s="21">
        <v>0.0</v>
      </c>
      <c r="Q1494" s="22" t="str">
        <f t="shared" si="884"/>
        <v>+0</v>
      </c>
      <c r="R1494" s="18" t="str">
        <f t="shared" si="885"/>
        <v>+0</v>
      </c>
      <c r="S1494" s="14" t="s">
        <v>260</v>
      </c>
    </row>
    <row r="1495">
      <c r="A1495" s="13">
        <v>45901.0</v>
      </c>
      <c r="B1495" s="14" t="s">
        <v>47</v>
      </c>
      <c r="C1495" s="14" t="s">
        <v>48</v>
      </c>
      <c r="D1495" s="14" t="s">
        <v>66</v>
      </c>
      <c r="E1495" s="14" t="s">
        <v>67</v>
      </c>
      <c r="F1495" s="15" t="s">
        <v>51</v>
      </c>
      <c r="G1495" s="14" t="s">
        <v>68</v>
      </c>
      <c r="H1495" s="14" t="s">
        <v>66</v>
      </c>
      <c r="I1495" s="14" t="s">
        <v>59</v>
      </c>
      <c r="J1495" s="14" t="s">
        <v>200</v>
      </c>
      <c r="K1495" s="14" t="s">
        <v>231</v>
      </c>
      <c r="L1495" s="14" t="s">
        <v>512</v>
      </c>
      <c r="M1495" s="14" t="s">
        <v>1481</v>
      </c>
      <c r="N1495" s="14" t="s">
        <v>1482</v>
      </c>
      <c r="O1495" s="14">
        <v>0.0</v>
      </c>
      <c r="P1495" s="21">
        <v>0.0</v>
      </c>
      <c r="Q1495" s="22" t="str">
        <f t="shared" si="884"/>
        <v>+0</v>
      </c>
      <c r="R1495" s="18" t="str">
        <f t="shared" si="885"/>
        <v>+0</v>
      </c>
      <c r="S1495" s="14" t="s">
        <v>260</v>
      </c>
    </row>
    <row r="1496">
      <c r="A1496" s="13">
        <v>45901.0</v>
      </c>
      <c r="B1496" s="14" t="s">
        <v>47</v>
      </c>
      <c r="C1496" s="14" t="s">
        <v>48</v>
      </c>
      <c r="D1496" s="14" t="s">
        <v>73</v>
      </c>
      <c r="E1496" s="14" t="s">
        <v>74</v>
      </c>
      <c r="F1496" s="15" t="s">
        <v>51</v>
      </c>
      <c r="G1496" s="14" t="s">
        <v>75</v>
      </c>
      <c r="H1496" s="14" t="s">
        <v>76</v>
      </c>
      <c r="I1496" s="14" t="s">
        <v>59</v>
      </c>
      <c r="J1496" s="14" t="s">
        <v>200</v>
      </c>
      <c r="K1496" s="14" t="s">
        <v>232</v>
      </c>
      <c r="L1496" s="14" t="s">
        <v>710</v>
      </c>
      <c r="M1496" s="14" t="s">
        <v>711</v>
      </c>
      <c r="N1496" s="14" t="s">
        <v>712</v>
      </c>
      <c r="O1496" s="14">
        <v>0.0</v>
      </c>
      <c r="P1496" s="23">
        <v>0.0</v>
      </c>
      <c r="Q1496" s="22" t="str">
        <f t="shared" ref="Q1496:R1496" si="886">"+0.00%"</f>
        <v>+0.00%</v>
      </c>
      <c r="R1496" s="18" t="str">
        <f t="shared" si="886"/>
        <v>+0.00%</v>
      </c>
      <c r="S1496" s="14" t="s">
        <v>285</v>
      </c>
    </row>
    <row r="1497">
      <c r="A1497" s="13">
        <v>45901.0</v>
      </c>
      <c r="B1497" s="14" t="s">
        <v>47</v>
      </c>
      <c r="C1497" s="14" t="s">
        <v>48</v>
      </c>
      <c r="D1497" s="14" t="s">
        <v>132</v>
      </c>
      <c r="E1497" s="14" t="s">
        <v>133</v>
      </c>
      <c r="F1497" s="15" t="s">
        <v>51</v>
      </c>
      <c r="G1497" s="14" t="s">
        <v>134</v>
      </c>
      <c r="H1497" s="14" t="s">
        <v>135</v>
      </c>
      <c r="I1497" s="14" t="s">
        <v>59</v>
      </c>
      <c r="J1497" s="14" t="s">
        <v>200</v>
      </c>
      <c r="K1497" s="14" t="s">
        <v>213</v>
      </c>
      <c r="L1497" s="14" t="s">
        <v>307</v>
      </c>
      <c r="M1497" s="14" t="s">
        <v>533</v>
      </c>
      <c r="N1497" s="14" t="s">
        <v>534</v>
      </c>
      <c r="O1497" s="14">
        <v>0.0</v>
      </c>
      <c r="P1497" s="23">
        <v>0.0</v>
      </c>
      <c r="Q1497" s="22" t="str">
        <f>"+0.00%"</f>
        <v>+0.00%</v>
      </c>
      <c r="R1497" s="18" t="str">
        <f>"-4.35%"</f>
        <v>-4.35%</v>
      </c>
      <c r="S1497" s="14" t="s">
        <v>1483</v>
      </c>
    </row>
    <row r="1498">
      <c r="A1498" s="13">
        <v>45901.0</v>
      </c>
      <c r="B1498" s="14" t="s">
        <v>47</v>
      </c>
      <c r="C1498" s="14" t="s">
        <v>48</v>
      </c>
      <c r="D1498" s="14" t="s">
        <v>85</v>
      </c>
      <c r="E1498" s="14" t="s">
        <v>86</v>
      </c>
      <c r="F1498" s="14" t="s">
        <v>71</v>
      </c>
      <c r="G1498" s="14">
        <v>88285.0</v>
      </c>
      <c r="H1498" s="14" t="s">
        <v>85</v>
      </c>
      <c r="I1498" s="14" t="s">
        <v>59</v>
      </c>
      <c r="J1498" s="14" t="s">
        <v>199</v>
      </c>
      <c r="K1498" s="14" t="s">
        <v>206</v>
      </c>
      <c r="L1498" s="14" t="s">
        <v>515</v>
      </c>
      <c r="M1498" s="14" t="s">
        <v>515</v>
      </c>
      <c r="N1498" s="14" t="s">
        <v>516</v>
      </c>
      <c r="O1498" s="14">
        <v>0.0</v>
      </c>
      <c r="P1498" s="21">
        <v>0.0</v>
      </c>
      <c r="Q1498" s="22" t="str">
        <f t="shared" ref="Q1498:R1498" si="887">"+0"</f>
        <v>+0</v>
      </c>
      <c r="R1498" s="18" t="str">
        <f t="shared" si="887"/>
        <v>+0</v>
      </c>
      <c r="S1498" s="14" t="s">
        <v>383</v>
      </c>
    </row>
    <row r="1499">
      <c r="A1499" s="13">
        <v>45901.0</v>
      </c>
      <c r="B1499" s="14" t="s">
        <v>47</v>
      </c>
      <c r="C1499" s="14" t="s">
        <v>48</v>
      </c>
      <c r="D1499" s="14" t="s">
        <v>85</v>
      </c>
      <c r="E1499" s="14" t="s">
        <v>86</v>
      </c>
      <c r="F1499" s="15" t="s">
        <v>51</v>
      </c>
      <c r="G1499" s="14" t="s">
        <v>148</v>
      </c>
      <c r="H1499" s="14" t="s">
        <v>85</v>
      </c>
      <c r="I1499" s="14" t="s">
        <v>59</v>
      </c>
      <c r="J1499" s="14" t="s">
        <v>198</v>
      </c>
      <c r="K1499" s="14" t="s">
        <v>205</v>
      </c>
      <c r="L1499" s="14" t="s">
        <v>274</v>
      </c>
      <c r="M1499" s="14" t="s">
        <v>354</v>
      </c>
      <c r="N1499" s="14" t="s">
        <v>355</v>
      </c>
      <c r="O1499" s="14">
        <v>100.0</v>
      </c>
      <c r="P1499" s="21">
        <v>3.0</v>
      </c>
      <c r="Q1499" s="22" t="str">
        <f>"+0"</f>
        <v>+0</v>
      </c>
      <c r="S1499" s="14" t="s">
        <v>356</v>
      </c>
    </row>
    <row r="1500">
      <c r="A1500" s="13">
        <v>45901.0</v>
      </c>
      <c r="B1500" s="14" t="s">
        <v>47</v>
      </c>
      <c r="C1500" s="14" t="s">
        <v>48</v>
      </c>
      <c r="D1500" s="14" t="s">
        <v>158</v>
      </c>
      <c r="E1500" s="14" t="s">
        <v>159</v>
      </c>
      <c r="F1500" s="15" t="s">
        <v>51</v>
      </c>
      <c r="G1500" s="14" t="s">
        <v>160</v>
      </c>
      <c r="H1500" s="14" t="s">
        <v>158</v>
      </c>
      <c r="I1500" s="14" t="s">
        <v>54</v>
      </c>
      <c r="J1500" s="14" t="s">
        <v>200</v>
      </c>
      <c r="K1500" s="14" t="s">
        <v>224</v>
      </c>
      <c r="L1500" s="14" t="s">
        <v>427</v>
      </c>
      <c r="M1500" s="14" t="s">
        <v>921</v>
      </c>
      <c r="N1500" s="14" t="s">
        <v>922</v>
      </c>
      <c r="O1500" s="14">
        <v>0.0</v>
      </c>
      <c r="P1500" s="17"/>
      <c r="Q1500" s="22"/>
      <c r="S1500" s="14" t="s">
        <v>923</v>
      </c>
    </row>
    <row r="1501">
      <c r="A1501" s="13">
        <v>45901.0</v>
      </c>
      <c r="B1501" s="14" t="s">
        <v>47</v>
      </c>
      <c r="C1501" s="14" t="s">
        <v>48</v>
      </c>
      <c r="D1501" s="14" t="s">
        <v>174</v>
      </c>
      <c r="E1501" s="14" t="s">
        <v>175</v>
      </c>
      <c r="F1501" s="15" t="s">
        <v>51</v>
      </c>
      <c r="G1501" s="14" t="s">
        <v>176</v>
      </c>
      <c r="H1501" s="14" t="s">
        <v>174</v>
      </c>
      <c r="I1501" s="14" t="s">
        <v>59</v>
      </c>
      <c r="J1501" s="14" t="s">
        <v>200</v>
      </c>
      <c r="K1501" s="14" t="s">
        <v>213</v>
      </c>
      <c r="L1501" s="14" t="s">
        <v>676</v>
      </c>
      <c r="M1501" s="14" t="s">
        <v>858</v>
      </c>
      <c r="N1501" s="14" t="s">
        <v>859</v>
      </c>
      <c r="O1501" s="14">
        <v>0.0</v>
      </c>
      <c r="P1501" s="23">
        <v>-1.0</v>
      </c>
      <c r="Q1501" s="22" t="str">
        <f t="shared" ref="Q1501:R1501" si="888">"+0.00%"</f>
        <v>+0.00%</v>
      </c>
      <c r="R1501" s="18" t="str">
        <f t="shared" si="888"/>
        <v>+0.00%</v>
      </c>
      <c r="S1501" s="14" t="s">
        <v>1484</v>
      </c>
    </row>
    <row r="1502">
      <c r="A1502" s="13">
        <v>45901.0</v>
      </c>
      <c r="B1502" s="14" t="s">
        <v>47</v>
      </c>
      <c r="C1502" s="14" t="s">
        <v>48</v>
      </c>
      <c r="D1502" s="14" t="s">
        <v>77</v>
      </c>
      <c r="E1502" s="14" t="s">
        <v>78</v>
      </c>
      <c r="F1502" s="15" t="s">
        <v>51</v>
      </c>
      <c r="G1502" s="14" t="s">
        <v>128</v>
      </c>
      <c r="H1502" s="14" t="s">
        <v>81</v>
      </c>
      <c r="I1502" s="14" t="s">
        <v>59</v>
      </c>
      <c r="J1502" s="14" t="s">
        <v>200</v>
      </c>
      <c r="K1502" s="14" t="s">
        <v>223</v>
      </c>
      <c r="L1502" s="14" t="s">
        <v>607</v>
      </c>
      <c r="M1502" s="14" t="s">
        <v>1312</v>
      </c>
      <c r="N1502" s="14" t="s">
        <v>1313</v>
      </c>
      <c r="O1502" s="14">
        <v>0.0</v>
      </c>
      <c r="P1502" s="23">
        <v>0.0</v>
      </c>
      <c r="Q1502" s="22" t="str">
        <f t="shared" ref="Q1502:R1502" si="889">"+0.00%"</f>
        <v>+0.00%</v>
      </c>
      <c r="R1502" s="18" t="str">
        <f t="shared" si="889"/>
        <v>+0.00%</v>
      </c>
      <c r="S1502" s="14" t="s">
        <v>285</v>
      </c>
    </row>
    <row r="1503">
      <c r="A1503" s="13">
        <v>45901.0</v>
      </c>
      <c r="B1503" s="14" t="s">
        <v>47</v>
      </c>
      <c r="C1503" s="14" t="s">
        <v>48</v>
      </c>
      <c r="D1503" s="14" t="s">
        <v>108</v>
      </c>
      <c r="E1503" s="14" t="s">
        <v>109</v>
      </c>
      <c r="F1503" s="15" t="s">
        <v>51</v>
      </c>
      <c r="G1503" s="14" t="s">
        <v>110</v>
      </c>
      <c r="H1503" s="14" t="s">
        <v>108</v>
      </c>
      <c r="I1503" s="14" t="s">
        <v>59</v>
      </c>
      <c r="J1503" s="14" t="s">
        <v>199</v>
      </c>
      <c r="K1503" s="14" t="s">
        <v>208</v>
      </c>
      <c r="L1503" s="14" t="s">
        <v>352</v>
      </c>
      <c r="M1503" s="14" t="s">
        <v>352</v>
      </c>
      <c r="N1503" s="14" t="s">
        <v>353</v>
      </c>
      <c r="O1503" s="14">
        <v>80.0</v>
      </c>
      <c r="P1503" s="21">
        <v>2.0</v>
      </c>
      <c r="Q1503" s="22" t="str">
        <f>"+0"</f>
        <v>+0</v>
      </c>
      <c r="R1503" s="18" t="str">
        <f>"+1"</f>
        <v>+1</v>
      </c>
      <c r="S1503" s="14" t="s">
        <v>260</v>
      </c>
    </row>
    <row r="1504">
      <c r="A1504" s="13">
        <v>45901.0</v>
      </c>
      <c r="B1504" s="14" t="s">
        <v>47</v>
      </c>
      <c r="C1504" s="14" t="s">
        <v>48</v>
      </c>
      <c r="D1504" s="14" t="s">
        <v>60</v>
      </c>
      <c r="E1504" s="14" t="s">
        <v>61</v>
      </c>
      <c r="F1504" s="15" t="s">
        <v>51</v>
      </c>
      <c r="G1504" s="14" t="s">
        <v>62</v>
      </c>
      <c r="H1504" s="14" t="s">
        <v>60</v>
      </c>
      <c r="I1504" s="14" t="s">
        <v>59</v>
      </c>
      <c r="J1504" s="14" t="s">
        <v>200</v>
      </c>
      <c r="K1504" s="14" t="s">
        <v>223</v>
      </c>
      <c r="L1504" s="14" t="s">
        <v>286</v>
      </c>
      <c r="M1504" s="14" t="s">
        <v>730</v>
      </c>
      <c r="N1504" s="14" t="s">
        <v>731</v>
      </c>
      <c r="O1504" s="14">
        <v>0.0</v>
      </c>
      <c r="P1504" s="23">
        <v>0.0</v>
      </c>
      <c r="Q1504" s="22" t="str">
        <f t="shared" ref="Q1504:R1504" si="890">"+0.00%"</f>
        <v>+0.00%</v>
      </c>
      <c r="R1504" s="18" t="str">
        <f t="shared" si="890"/>
        <v>+0.00%</v>
      </c>
      <c r="S1504" s="14" t="s">
        <v>285</v>
      </c>
    </row>
    <row r="1505">
      <c r="A1505" s="13">
        <v>45901.0</v>
      </c>
      <c r="B1505" s="14" t="s">
        <v>47</v>
      </c>
      <c r="C1505" s="14" t="s">
        <v>48</v>
      </c>
      <c r="D1505" s="14" t="s">
        <v>181</v>
      </c>
      <c r="E1505" s="14" t="s">
        <v>182</v>
      </c>
      <c r="F1505" s="15" t="s">
        <v>51</v>
      </c>
      <c r="G1505" s="14" t="s">
        <v>183</v>
      </c>
      <c r="H1505" s="14" t="s">
        <v>181</v>
      </c>
      <c r="I1505" s="14" t="s">
        <v>59</v>
      </c>
      <c r="J1505" s="14" t="s">
        <v>198</v>
      </c>
      <c r="K1505" s="14" t="s">
        <v>212</v>
      </c>
      <c r="L1505" s="14" t="s">
        <v>344</v>
      </c>
      <c r="M1505" s="14" t="s">
        <v>580</v>
      </c>
      <c r="N1505" s="14" t="s">
        <v>581</v>
      </c>
      <c r="O1505" s="14">
        <v>100.0</v>
      </c>
      <c r="P1505" s="21">
        <v>1.0</v>
      </c>
      <c r="Q1505" s="22" t="str">
        <f>"+1"</f>
        <v>+1</v>
      </c>
      <c r="S1505" s="14" t="s">
        <v>281</v>
      </c>
    </row>
    <row r="1506">
      <c r="A1506" s="13">
        <v>45901.0</v>
      </c>
      <c r="B1506" s="14" t="s">
        <v>47</v>
      </c>
      <c r="C1506" s="14" t="s">
        <v>48</v>
      </c>
      <c r="D1506" s="14" t="s">
        <v>155</v>
      </c>
      <c r="E1506" s="14" t="s">
        <v>156</v>
      </c>
      <c r="F1506" s="15" t="s">
        <v>51</v>
      </c>
      <c r="G1506" s="14" t="s">
        <v>157</v>
      </c>
      <c r="H1506" s="14" t="s">
        <v>155</v>
      </c>
      <c r="I1506" s="14" t="s">
        <v>59</v>
      </c>
      <c r="J1506" s="14" t="s">
        <v>199</v>
      </c>
      <c r="K1506" s="14" t="s">
        <v>206</v>
      </c>
      <c r="L1506" s="14" t="s">
        <v>381</v>
      </c>
      <c r="M1506" s="14" t="s">
        <v>381</v>
      </c>
      <c r="N1506" s="14" t="s">
        <v>382</v>
      </c>
      <c r="O1506" s="14">
        <v>0.0</v>
      </c>
      <c r="P1506" s="21">
        <v>0.0</v>
      </c>
      <c r="Q1506" s="22" t="str">
        <f t="shared" ref="Q1506:R1506" si="891">"+0"</f>
        <v>+0</v>
      </c>
      <c r="R1506" s="18" t="str">
        <f t="shared" si="891"/>
        <v>+0</v>
      </c>
      <c r="S1506" s="14" t="s">
        <v>383</v>
      </c>
    </row>
    <row r="1507">
      <c r="A1507" s="13">
        <v>45901.0</v>
      </c>
      <c r="B1507" s="14" t="s">
        <v>47</v>
      </c>
      <c r="C1507" s="14" t="s">
        <v>48</v>
      </c>
      <c r="D1507" s="14" t="s">
        <v>56</v>
      </c>
      <c r="E1507" s="14" t="s">
        <v>57</v>
      </c>
      <c r="F1507" s="15" t="s">
        <v>51</v>
      </c>
      <c r="G1507" s="14" t="s">
        <v>58</v>
      </c>
      <c r="H1507" s="14" t="s">
        <v>56</v>
      </c>
      <c r="I1507" s="14" t="s">
        <v>59</v>
      </c>
      <c r="J1507" s="14" t="s">
        <v>200</v>
      </c>
      <c r="K1507" s="14" t="s">
        <v>223</v>
      </c>
      <c r="L1507" s="14" t="s">
        <v>257</v>
      </c>
      <c r="M1507" s="14" t="s">
        <v>517</v>
      </c>
      <c r="N1507" s="14" t="s">
        <v>518</v>
      </c>
      <c r="O1507" s="14">
        <v>0.0</v>
      </c>
      <c r="P1507" s="21">
        <v>0.0</v>
      </c>
      <c r="Q1507" s="22" t="str">
        <f t="shared" ref="Q1507:R1507" si="892">"+0"</f>
        <v>+0</v>
      </c>
      <c r="R1507" s="18" t="str">
        <f t="shared" si="892"/>
        <v>+0</v>
      </c>
      <c r="S1507" s="14" t="s">
        <v>260</v>
      </c>
    </row>
    <row r="1508">
      <c r="A1508" s="13">
        <v>45901.0</v>
      </c>
      <c r="B1508" s="14" t="s">
        <v>47</v>
      </c>
      <c r="C1508" s="14" t="s">
        <v>48</v>
      </c>
      <c r="D1508" s="14" t="s">
        <v>140</v>
      </c>
      <c r="E1508" s="14" t="s">
        <v>141</v>
      </c>
      <c r="F1508" s="15" t="s">
        <v>51</v>
      </c>
      <c r="G1508" s="14" t="s">
        <v>142</v>
      </c>
      <c r="H1508" s="14" t="s">
        <v>140</v>
      </c>
      <c r="I1508" s="14" t="s">
        <v>59</v>
      </c>
      <c r="J1508" s="14" t="s">
        <v>199</v>
      </c>
      <c r="K1508" s="14" t="s">
        <v>206</v>
      </c>
      <c r="L1508" s="14" t="s">
        <v>531</v>
      </c>
      <c r="M1508" s="14" t="s">
        <v>531</v>
      </c>
      <c r="N1508" s="14" t="s">
        <v>532</v>
      </c>
      <c r="O1508" s="14">
        <v>0.0</v>
      </c>
      <c r="P1508" s="21">
        <v>0.0</v>
      </c>
      <c r="Q1508" s="22" t="str">
        <f t="shared" ref="Q1508:R1508" si="893">"+0"</f>
        <v>+0</v>
      </c>
      <c r="R1508" s="18" t="str">
        <f t="shared" si="893"/>
        <v>+0</v>
      </c>
      <c r="S1508" s="14" t="s">
        <v>260</v>
      </c>
    </row>
    <row r="1509">
      <c r="A1509" s="13">
        <v>45901.0</v>
      </c>
      <c r="B1509" s="14" t="s">
        <v>47</v>
      </c>
      <c r="C1509" s="14" t="s">
        <v>48</v>
      </c>
      <c r="D1509" s="14" t="s">
        <v>49</v>
      </c>
      <c r="E1509" s="14" t="s">
        <v>50</v>
      </c>
      <c r="F1509" s="15" t="s">
        <v>51</v>
      </c>
      <c r="G1509" s="14" t="s">
        <v>52</v>
      </c>
      <c r="H1509" s="14" t="s">
        <v>53</v>
      </c>
      <c r="I1509" s="14" t="s">
        <v>54</v>
      </c>
      <c r="J1509" s="14" t="s">
        <v>198</v>
      </c>
      <c r="K1509" s="14" t="s">
        <v>210</v>
      </c>
      <c r="L1509" s="14" t="s">
        <v>278</v>
      </c>
      <c r="M1509" s="14" t="s">
        <v>1485</v>
      </c>
      <c r="N1509" s="14" t="s">
        <v>1486</v>
      </c>
      <c r="O1509" s="14">
        <v>0.0</v>
      </c>
      <c r="P1509" s="21">
        <v>0.0</v>
      </c>
      <c r="Q1509" s="22" t="str">
        <f t="shared" ref="Q1509:R1509" si="894">"+0"</f>
        <v>+0</v>
      </c>
      <c r="R1509" s="18" t="str">
        <f t="shared" si="894"/>
        <v>+0</v>
      </c>
      <c r="S1509" s="14" t="s">
        <v>277</v>
      </c>
    </row>
    <row r="1510">
      <c r="A1510" s="13">
        <v>45901.0</v>
      </c>
      <c r="B1510" s="14" t="s">
        <v>47</v>
      </c>
      <c r="C1510" s="14" t="s">
        <v>48</v>
      </c>
      <c r="D1510" s="14" t="s">
        <v>165</v>
      </c>
      <c r="E1510" s="14" t="s">
        <v>166</v>
      </c>
      <c r="F1510" s="15" t="s">
        <v>51</v>
      </c>
      <c r="G1510" s="14" t="s">
        <v>167</v>
      </c>
      <c r="H1510" s="14" t="s">
        <v>165</v>
      </c>
      <c r="I1510" s="14" t="s">
        <v>54</v>
      </c>
      <c r="J1510" s="14" t="s">
        <v>200</v>
      </c>
      <c r="K1510" s="14" t="s">
        <v>224</v>
      </c>
      <c r="L1510" s="14" t="s">
        <v>964</v>
      </c>
      <c r="M1510" s="14" t="s">
        <v>1288</v>
      </c>
      <c r="N1510" s="14" t="s">
        <v>1289</v>
      </c>
      <c r="O1510" s="14">
        <v>0.0</v>
      </c>
      <c r="P1510" s="23">
        <v>0.0</v>
      </c>
      <c r="Q1510" s="22" t="str">
        <f t="shared" ref="Q1510:R1510" si="895">"+0.00%"</f>
        <v>+0.00%</v>
      </c>
      <c r="R1510" s="18" t="str">
        <f t="shared" si="895"/>
        <v>+0.00%</v>
      </c>
      <c r="S1510" s="14" t="s">
        <v>1487</v>
      </c>
    </row>
    <row r="1511">
      <c r="A1511" s="13">
        <v>45901.0</v>
      </c>
      <c r="B1511" s="14" t="s">
        <v>47</v>
      </c>
      <c r="C1511" s="14" t="s">
        <v>48</v>
      </c>
      <c r="D1511" s="14" t="s">
        <v>165</v>
      </c>
      <c r="E1511" s="14" t="s">
        <v>166</v>
      </c>
      <c r="F1511" s="15" t="s">
        <v>51</v>
      </c>
      <c r="G1511" s="14" t="s">
        <v>167</v>
      </c>
      <c r="H1511" s="14" t="s">
        <v>165</v>
      </c>
      <c r="I1511" s="14" t="s">
        <v>54</v>
      </c>
      <c r="J1511" s="14" t="s">
        <v>200</v>
      </c>
      <c r="K1511" s="14" t="s">
        <v>228</v>
      </c>
      <c r="L1511" s="14" t="s">
        <v>253</v>
      </c>
      <c r="M1511" s="14" t="s">
        <v>389</v>
      </c>
      <c r="N1511" s="14" t="s">
        <v>390</v>
      </c>
      <c r="O1511" s="14">
        <v>0.0</v>
      </c>
      <c r="P1511" s="23">
        <v>0.0</v>
      </c>
      <c r="Q1511" s="22" t="str">
        <f t="shared" ref="Q1511:R1511" si="896">"+0.00%"</f>
        <v>+0.00%</v>
      </c>
      <c r="R1511" s="18" t="str">
        <f t="shared" si="896"/>
        <v>+0.00%</v>
      </c>
      <c r="S1511" s="14" t="s">
        <v>1488</v>
      </c>
    </row>
    <row r="1512">
      <c r="A1512" s="13">
        <v>45901.0</v>
      </c>
      <c r="B1512" s="14" t="s">
        <v>47</v>
      </c>
      <c r="C1512" s="14" t="s">
        <v>48</v>
      </c>
      <c r="D1512" s="14" t="s">
        <v>63</v>
      </c>
      <c r="E1512" s="14" t="s">
        <v>64</v>
      </c>
      <c r="F1512" s="15" t="s">
        <v>51</v>
      </c>
      <c r="G1512" s="14" t="s">
        <v>65</v>
      </c>
      <c r="H1512" s="14" t="s">
        <v>63</v>
      </c>
      <c r="I1512" s="14" t="s">
        <v>54</v>
      </c>
      <c r="J1512" s="14" t="s">
        <v>199</v>
      </c>
      <c r="K1512" s="14" t="s">
        <v>206</v>
      </c>
      <c r="L1512" s="14" t="s">
        <v>515</v>
      </c>
      <c r="M1512" s="14" t="s">
        <v>515</v>
      </c>
      <c r="N1512" s="14" t="s">
        <v>516</v>
      </c>
      <c r="O1512" s="14">
        <v>0.0</v>
      </c>
      <c r="P1512" s="21">
        <v>0.0</v>
      </c>
      <c r="Q1512" s="22" t="str">
        <f t="shared" ref="Q1512:R1512" si="897">"+0"</f>
        <v>+0</v>
      </c>
      <c r="R1512" s="18" t="str">
        <f t="shared" si="897"/>
        <v>+0</v>
      </c>
      <c r="S1512" s="14" t="s">
        <v>383</v>
      </c>
    </row>
    <row r="1513">
      <c r="A1513" s="13">
        <v>45901.0</v>
      </c>
      <c r="B1513" s="14" t="s">
        <v>47</v>
      </c>
      <c r="C1513" s="14" t="s">
        <v>48</v>
      </c>
      <c r="D1513" s="14" t="s">
        <v>99</v>
      </c>
      <c r="E1513" s="14" t="s">
        <v>100</v>
      </c>
      <c r="F1513" s="15" t="s">
        <v>51</v>
      </c>
      <c r="G1513" s="14" t="s">
        <v>101</v>
      </c>
      <c r="H1513" s="14" t="s">
        <v>102</v>
      </c>
      <c r="I1513" s="14" t="s">
        <v>54</v>
      </c>
      <c r="J1513" s="14" t="s">
        <v>198</v>
      </c>
      <c r="K1513" s="14" t="s">
        <v>210</v>
      </c>
      <c r="L1513" s="14" t="s">
        <v>458</v>
      </c>
      <c r="M1513" s="14" t="s">
        <v>829</v>
      </c>
      <c r="N1513" s="14" t="s">
        <v>830</v>
      </c>
      <c r="O1513" s="14">
        <v>0.0</v>
      </c>
      <c r="P1513" s="21">
        <v>0.0</v>
      </c>
      <c r="Q1513" s="22" t="str">
        <f t="shared" ref="Q1513:R1513" si="898">"+0"</f>
        <v>+0</v>
      </c>
      <c r="R1513" s="18" t="str">
        <f t="shared" si="898"/>
        <v>+0</v>
      </c>
      <c r="S1513" s="14" t="s">
        <v>277</v>
      </c>
    </row>
    <row r="1514">
      <c r="A1514" s="13">
        <v>45901.0</v>
      </c>
      <c r="B1514" s="14" t="s">
        <v>47</v>
      </c>
      <c r="C1514" s="14" t="s">
        <v>48</v>
      </c>
      <c r="D1514" s="14" t="s">
        <v>118</v>
      </c>
      <c r="E1514" s="14" t="s">
        <v>119</v>
      </c>
      <c r="F1514" s="15" t="s">
        <v>51</v>
      </c>
      <c r="G1514" s="14" t="s">
        <v>120</v>
      </c>
      <c r="H1514" s="14" t="s">
        <v>118</v>
      </c>
      <c r="I1514" s="14" t="s">
        <v>59</v>
      </c>
      <c r="J1514" s="14" t="s">
        <v>198</v>
      </c>
      <c r="K1514" s="14" t="s">
        <v>205</v>
      </c>
      <c r="L1514" s="14" t="s">
        <v>274</v>
      </c>
      <c r="M1514" s="14" t="s">
        <v>738</v>
      </c>
      <c r="N1514" s="14" t="s">
        <v>739</v>
      </c>
      <c r="O1514" s="14">
        <v>0.0</v>
      </c>
      <c r="P1514" s="21">
        <v>0.0</v>
      </c>
      <c r="Q1514" s="22" t="str">
        <f>"+0"</f>
        <v>+0</v>
      </c>
      <c r="S1514" s="14" t="s">
        <v>281</v>
      </c>
    </row>
    <row r="1515">
      <c r="A1515" s="13">
        <v>45901.0</v>
      </c>
      <c r="B1515" s="14" t="s">
        <v>47</v>
      </c>
      <c r="C1515" s="14" t="s">
        <v>48</v>
      </c>
      <c r="D1515" s="14" t="s">
        <v>91</v>
      </c>
      <c r="E1515" s="14" t="s">
        <v>92</v>
      </c>
      <c r="F1515" s="15" t="s">
        <v>51</v>
      </c>
      <c r="G1515" s="14" t="s">
        <v>163</v>
      </c>
      <c r="H1515" s="14" t="s">
        <v>91</v>
      </c>
      <c r="I1515" s="14" t="s">
        <v>59</v>
      </c>
      <c r="J1515" s="14" t="s">
        <v>199</v>
      </c>
      <c r="K1515" s="14" t="s">
        <v>206</v>
      </c>
      <c r="L1515" s="14" t="s">
        <v>433</v>
      </c>
      <c r="M1515" s="14" t="s">
        <v>433</v>
      </c>
      <c r="N1515" s="14" t="s">
        <v>434</v>
      </c>
      <c r="O1515" s="14">
        <v>100.0</v>
      </c>
      <c r="P1515" s="21">
        <v>101.0</v>
      </c>
      <c r="Q1515" s="22" t="str">
        <f>"-32"</f>
        <v>-32</v>
      </c>
      <c r="R1515" s="18" t="str">
        <f>"+4"</f>
        <v>+4</v>
      </c>
      <c r="S1515" s="14" t="s">
        <v>383</v>
      </c>
    </row>
    <row r="1516">
      <c r="A1516" s="13">
        <v>45901.0</v>
      </c>
      <c r="B1516" s="14" t="s">
        <v>47</v>
      </c>
      <c r="C1516" s="14" t="s">
        <v>48</v>
      </c>
      <c r="D1516" s="14" t="s">
        <v>63</v>
      </c>
      <c r="E1516" s="14" t="s">
        <v>64</v>
      </c>
      <c r="F1516" s="15" t="s">
        <v>51</v>
      </c>
      <c r="G1516" s="14" t="s">
        <v>65</v>
      </c>
      <c r="H1516" s="14" t="s">
        <v>63</v>
      </c>
      <c r="I1516" s="14" t="s">
        <v>54</v>
      </c>
      <c r="J1516" s="14" t="s">
        <v>198</v>
      </c>
      <c r="K1516" s="14" t="s">
        <v>210</v>
      </c>
      <c r="L1516" s="14" t="s">
        <v>458</v>
      </c>
      <c r="M1516" s="14" t="s">
        <v>1489</v>
      </c>
      <c r="N1516" s="14" t="s">
        <v>1490</v>
      </c>
      <c r="O1516" s="14">
        <v>0.0</v>
      </c>
      <c r="P1516" s="21">
        <v>0.0</v>
      </c>
      <c r="Q1516" s="22" t="str">
        <f t="shared" ref="Q1516:R1516" si="899">"+0"</f>
        <v>+0</v>
      </c>
      <c r="R1516" s="18" t="str">
        <f t="shared" si="899"/>
        <v>+0</v>
      </c>
      <c r="S1516" s="14" t="s">
        <v>277</v>
      </c>
    </row>
    <row r="1517">
      <c r="A1517" s="13">
        <v>45901.0</v>
      </c>
      <c r="B1517" s="14" t="s">
        <v>47</v>
      </c>
      <c r="C1517" s="14" t="s">
        <v>48</v>
      </c>
      <c r="D1517" s="14" t="s">
        <v>66</v>
      </c>
      <c r="E1517" s="14" t="s">
        <v>67</v>
      </c>
      <c r="F1517" s="15" t="s">
        <v>51</v>
      </c>
      <c r="G1517" s="14" t="s">
        <v>68</v>
      </c>
      <c r="H1517" s="14" t="s">
        <v>66</v>
      </c>
      <c r="I1517" s="14" t="s">
        <v>59</v>
      </c>
      <c r="J1517" s="14" t="s">
        <v>200</v>
      </c>
      <c r="K1517" s="14" t="s">
        <v>223</v>
      </c>
      <c r="L1517" s="14" t="s">
        <v>289</v>
      </c>
      <c r="M1517" s="14" t="s">
        <v>331</v>
      </c>
      <c r="N1517" s="14" t="s">
        <v>332</v>
      </c>
      <c r="O1517" s="14">
        <v>0.0</v>
      </c>
      <c r="P1517" s="23">
        <v>0.0</v>
      </c>
      <c r="Q1517" s="22" t="str">
        <f t="shared" ref="Q1517:R1517" si="900">"+0.00%"</f>
        <v>+0.00%</v>
      </c>
      <c r="R1517" s="18" t="str">
        <f t="shared" si="900"/>
        <v>+0.00%</v>
      </c>
      <c r="S1517" s="14" t="s">
        <v>285</v>
      </c>
    </row>
    <row r="1518">
      <c r="A1518" s="13">
        <v>45901.0</v>
      </c>
      <c r="B1518" s="14" t="s">
        <v>47</v>
      </c>
      <c r="C1518" s="14" t="s">
        <v>48</v>
      </c>
      <c r="D1518" s="14" t="s">
        <v>192</v>
      </c>
      <c r="E1518" s="14" t="s">
        <v>193</v>
      </c>
      <c r="F1518" s="15" t="s">
        <v>51</v>
      </c>
      <c r="G1518" s="14" t="s">
        <v>194</v>
      </c>
      <c r="H1518" s="14" t="s">
        <v>192</v>
      </c>
      <c r="I1518" s="14" t="s">
        <v>54</v>
      </c>
      <c r="J1518" s="14" t="s">
        <v>200</v>
      </c>
      <c r="K1518" s="14" t="s">
        <v>223</v>
      </c>
      <c r="L1518" s="14" t="s">
        <v>591</v>
      </c>
      <c r="M1518" s="14" t="s">
        <v>592</v>
      </c>
      <c r="N1518" s="14" t="s">
        <v>593</v>
      </c>
      <c r="O1518" s="14">
        <v>100.0</v>
      </c>
      <c r="P1518" s="23">
        <v>0.0027</v>
      </c>
      <c r="Q1518" s="22" t="str">
        <f>"+0.19%"</f>
        <v>+0.19%</v>
      </c>
      <c r="R1518" s="18" t="str">
        <f>"+0.04%"</f>
        <v>+0.04%</v>
      </c>
      <c r="S1518" s="14" t="s">
        <v>285</v>
      </c>
    </row>
    <row r="1519">
      <c r="A1519" s="13">
        <v>45901.0</v>
      </c>
      <c r="B1519" s="14" t="s">
        <v>47</v>
      </c>
      <c r="C1519" s="14" t="s">
        <v>48</v>
      </c>
      <c r="D1519" s="14" t="s">
        <v>60</v>
      </c>
      <c r="E1519" s="14" t="s">
        <v>61</v>
      </c>
      <c r="F1519" s="15" t="s">
        <v>51</v>
      </c>
      <c r="G1519" s="14" t="s">
        <v>62</v>
      </c>
      <c r="H1519" s="14" t="s">
        <v>60</v>
      </c>
      <c r="I1519" s="14" t="s">
        <v>59</v>
      </c>
      <c r="J1519" s="14" t="s">
        <v>200</v>
      </c>
      <c r="K1519" s="14" t="s">
        <v>216</v>
      </c>
      <c r="L1519" s="14" t="s">
        <v>1491</v>
      </c>
      <c r="M1519" s="14" t="s">
        <v>1492</v>
      </c>
      <c r="N1519" s="14" t="s">
        <v>1493</v>
      </c>
      <c r="O1519" s="14">
        <v>50.0</v>
      </c>
      <c r="P1519" s="21">
        <v>3.0</v>
      </c>
      <c r="Q1519" s="22" t="str">
        <f>"-3"</f>
        <v>-3</v>
      </c>
      <c r="R1519" s="18" t="str">
        <f>"-10"</f>
        <v>-10</v>
      </c>
      <c r="S1519" s="14" t="s">
        <v>327</v>
      </c>
    </row>
    <row r="1520">
      <c r="A1520" s="13">
        <v>45901.0</v>
      </c>
      <c r="B1520" s="14" t="s">
        <v>47</v>
      </c>
      <c r="C1520" s="14" t="s">
        <v>48</v>
      </c>
      <c r="D1520" s="14" t="s">
        <v>77</v>
      </c>
      <c r="E1520" s="14" t="s">
        <v>78</v>
      </c>
      <c r="F1520" s="15" t="s">
        <v>51</v>
      </c>
      <c r="G1520" s="14" t="s">
        <v>128</v>
      </c>
      <c r="H1520" s="14" t="s">
        <v>81</v>
      </c>
      <c r="I1520" s="14" t="s">
        <v>59</v>
      </c>
      <c r="J1520" s="14" t="s">
        <v>200</v>
      </c>
      <c r="K1520" s="14" t="s">
        <v>223</v>
      </c>
      <c r="L1520" s="14" t="s">
        <v>261</v>
      </c>
      <c r="M1520" s="14" t="s">
        <v>262</v>
      </c>
      <c r="N1520" s="14" t="s">
        <v>263</v>
      </c>
      <c r="O1520" s="14">
        <v>0.0</v>
      </c>
      <c r="P1520" s="21">
        <v>0.0</v>
      </c>
      <c r="Q1520" s="22" t="str">
        <f t="shared" ref="Q1520:R1520" si="901">"+0"</f>
        <v>+0</v>
      </c>
      <c r="R1520" s="18" t="str">
        <f t="shared" si="901"/>
        <v>+0</v>
      </c>
      <c r="S1520" s="14" t="s">
        <v>260</v>
      </c>
    </row>
    <row r="1521">
      <c r="A1521" s="13">
        <v>45901.0</v>
      </c>
      <c r="B1521" s="14" t="s">
        <v>47</v>
      </c>
      <c r="C1521" s="14" t="s">
        <v>48</v>
      </c>
      <c r="D1521" s="14" t="s">
        <v>77</v>
      </c>
      <c r="E1521" s="14" t="s">
        <v>78</v>
      </c>
      <c r="F1521" s="14" t="s">
        <v>79</v>
      </c>
      <c r="G1521" s="14" t="s">
        <v>80</v>
      </c>
      <c r="H1521" s="14" t="s">
        <v>81</v>
      </c>
      <c r="J1521" s="14" t="s">
        <v>198</v>
      </c>
      <c r="K1521" s="14" t="s">
        <v>210</v>
      </c>
      <c r="L1521" s="14" t="s">
        <v>505</v>
      </c>
      <c r="M1521" s="14" t="s">
        <v>1494</v>
      </c>
      <c r="N1521" s="14" t="s">
        <v>1495</v>
      </c>
      <c r="O1521" s="14">
        <v>100.0</v>
      </c>
      <c r="P1521" s="21">
        <v>0.0</v>
      </c>
      <c r="Q1521" s="22" t="str">
        <f>"+0"</f>
        <v>+0</v>
      </c>
      <c r="S1521" s="14" t="s">
        <v>277</v>
      </c>
    </row>
    <row r="1522">
      <c r="A1522" s="13">
        <v>45901.0</v>
      </c>
      <c r="B1522" s="14" t="s">
        <v>47</v>
      </c>
      <c r="C1522" s="14" t="s">
        <v>48</v>
      </c>
      <c r="D1522" s="14" t="s">
        <v>85</v>
      </c>
      <c r="E1522" s="14" t="s">
        <v>86</v>
      </c>
      <c r="F1522" s="15" t="s">
        <v>51</v>
      </c>
      <c r="G1522" s="14" t="s">
        <v>148</v>
      </c>
      <c r="H1522" s="14" t="s">
        <v>85</v>
      </c>
      <c r="I1522" s="14" t="s">
        <v>59</v>
      </c>
      <c r="J1522" s="14" t="s">
        <v>200</v>
      </c>
      <c r="K1522" s="14" t="s">
        <v>227</v>
      </c>
      <c r="L1522" s="14" t="s">
        <v>253</v>
      </c>
      <c r="M1522" s="14" t="s">
        <v>396</v>
      </c>
      <c r="N1522" s="14" t="s">
        <v>397</v>
      </c>
      <c r="O1522" s="14">
        <v>100.0</v>
      </c>
      <c r="P1522" s="23">
        <v>1.0</v>
      </c>
      <c r="Q1522" s="22" t="str">
        <f t="shared" ref="Q1522:R1522" si="902">"+0.00%"</f>
        <v>+0.00%</v>
      </c>
      <c r="R1522" s="18" t="str">
        <f t="shared" si="902"/>
        <v>+0.00%</v>
      </c>
      <c r="S1522" s="14" t="s">
        <v>916</v>
      </c>
    </row>
    <row r="1523">
      <c r="A1523" s="13">
        <v>45901.0</v>
      </c>
      <c r="B1523" s="14" t="s">
        <v>47</v>
      </c>
      <c r="C1523" s="14" t="s">
        <v>48</v>
      </c>
      <c r="D1523" s="14" t="s">
        <v>77</v>
      </c>
      <c r="E1523" s="14" t="s">
        <v>78</v>
      </c>
      <c r="F1523" s="15" t="s">
        <v>51</v>
      </c>
      <c r="G1523" s="14" t="s">
        <v>128</v>
      </c>
      <c r="H1523" s="14" t="s">
        <v>81</v>
      </c>
      <c r="I1523" s="14" t="s">
        <v>59</v>
      </c>
      <c r="J1523" s="14" t="s">
        <v>200</v>
      </c>
      <c r="K1523" s="14" t="s">
        <v>216</v>
      </c>
      <c r="L1523" s="14" t="s">
        <v>1496</v>
      </c>
      <c r="M1523" s="14" t="s">
        <v>1497</v>
      </c>
      <c r="N1523" s="14" t="s">
        <v>1498</v>
      </c>
      <c r="O1523" s="14">
        <v>0.0</v>
      </c>
      <c r="P1523" s="21">
        <v>0.0</v>
      </c>
      <c r="Q1523" s="22" t="str">
        <f t="shared" ref="Q1523:R1523" si="903">"+0"</f>
        <v>+0</v>
      </c>
      <c r="R1523" s="18" t="str">
        <f t="shared" si="903"/>
        <v>+0</v>
      </c>
      <c r="S1523" s="14" t="s">
        <v>327</v>
      </c>
    </row>
    <row r="1524">
      <c r="A1524" s="13">
        <v>45901.0</v>
      </c>
      <c r="B1524" s="14" t="s">
        <v>47</v>
      </c>
      <c r="C1524" s="14" t="s">
        <v>48</v>
      </c>
      <c r="D1524" s="14" t="s">
        <v>66</v>
      </c>
      <c r="E1524" s="14" t="s">
        <v>67</v>
      </c>
      <c r="F1524" s="15" t="s">
        <v>51</v>
      </c>
      <c r="G1524" s="14" t="s">
        <v>68</v>
      </c>
      <c r="H1524" s="14" t="s">
        <v>66</v>
      </c>
      <c r="I1524" s="14" t="s">
        <v>59</v>
      </c>
      <c r="J1524" s="14" t="s">
        <v>200</v>
      </c>
      <c r="K1524" s="14" t="s">
        <v>223</v>
      </c>
      <c r="L1524" s="14" t="s">
        <v>286</v>
      </c>
      <c r="M1524" s="14" t="s">
        <v>419</v>
      </c>
      <c r="N1524" s="14" t="s">
        <v>420</v>
      </c>
      <c r="O1524" s="14">
        <v>0.0</v>
      </c>
      <c r="P1524" s="23">
        <v>0.0</v>
      </c>
      <c r="Q1524" s="22" t="str">
        <f t="shared" ref="Q1524:R1524" si="904">"+0.00%"</f>
        <v>+0.00%</v>
      </c>
      <c r="R1524" s="18" t="str">
        <f t="shared" si="904"/>
        <v>+0.00%</v>
      </c>
      <c r="S1524" s="14" t="s">
        <v>371</v>
      </c>
    </row>
    <row r="1525">
      <c r="A1525" s="13">
        <v>45901.0</v>
      </c>
      <c r="B1525" s="14" t="s">
        <v>47</v>
      </c>
      <c r="C1525" s="14" t="s">
        <v>48</v>
      </c>
      <c r="D1525" s="14" t="s">
        <v>82</v>
      </c>
      <c r="E1525" s="14" t="s">
        <v>83</v>
      </c>
      <c r="F1525" s="15" t="s">
        <v>51</v>
      </c>
      <c r="G1525" s="14" t="s">
        <v>84</v>
      </c>
      <c r="H1525" s="14" t="s">
        <v>82</v>
      </c>
      <c r="I1525" s="14" t="s">
        <v>59</v>
      </c>
      <c r="J1525" s="14" t="s">
        <v>200</v>
      </c>
      <c r="K1525" s="14" t="s">
        <v>213</v>
      </c>
      <c r="L1525" s="14" t="s">
        <v>289</v>
      </c>
      <c r="M1525" s="14" t="s">
        <v>290</v>
      </c>
      <c r="N1525" s="14" t="s">
        <v>291</v>
      </c>
      <c r="O1525" s="14">
        <v>0.0</v>
      </c>
      <c r="P1525" s="23">
        <v>0.0</v>
      </c>
      <c r="Q1525" s="22" t="str">
        <f t="shared" ref="Q1525:R1525" si="905">"+0.00%"</f>
        <v>+0.00%</v>
      </c>
      <c r="R1525" s="18" t="str">
        <f t="shared" si="905"/>
        <v>+0.00%</v>
      </c>
      <c r="S1525" s="14" t="s">
        <v>285</v>
      </c>
    </row>
    <row r="1526">
      <c r="A1526" s="13">
        <v>45901.0</v>
      </c>
      <c r="B1526" s="14" t="s">
        <v>47</v>
      </c>
      <c r="C1526" s="14" t="s">
        <v>48</v>
      </c>
      <c r="D1526" s="14" t="s">
        <v>73</v>
      </c>
      <c r="E1526" s="14" t="s">
        <v>74</v>
      </c>
      <c r="F1526" s="15" t="s">
        <v>51</v>
      </c>
      <c r="G1526" s="14" t="s">
        <v>75</v>
      </c>
      <c r="H1526" s="14" t="s">
        <v>76</v>
      </c>
      <c r="I1526" s="14" t="s">
        <v>59</v>
      </c>
      <c r="J1526" s="14" t="s">
        <v>200</v>
      </c>
      <c r="K1526" s="14" t="s">
        <v>232</v>
      </c>
      <c r="L1526" s="14" t="s">
        <v>286</v>
      </c>
      <c r="M1526" s="14" t="s">
        <v>419</v>
      </c>
      <c r="N1526" s="14" t="s">
        <v>420</v>
      </c>
      <c r="O1526" s="14">
        <v>0.0</v>
      </c>
      <c r="P1526" s="23">
        <v>0.0</v>
      </c>
      <c r="Q1526" s="22" t="str">
        <f t="shared" ref="Q1526:R1526" si="906">"+0.00%"</f>
        <v>+0.00%</v>
      </c>
      <c r="R1526" s="18" t="str">
        <f t="shared" si="906"/>
        <v>+0.00%</v>
      </c>
      <c r="S1526" s="14" t="s">
        <v>1499</v>
      </c>
    </row>
    <row r="1527">
      <c r="A1527" s="13">
        <v>45901.0</v>
      </c>
      <c r="B1527" s="14" t="s">
        <v>47</v>
      </c>
      <c r="C1527" s="14" t="s">
        <v>48</v>
      </c>
      <c r="D1527" s="14" t="s">
        <v>132</v>
      </c>
      <c r="E1527" s="14" t="s">
        <v>133</v>
      </c>
      <c r="F1527" s="15" t="s">
        <v>51</v>
      </c>
      <c r="G1527" s="14" t="s">
        <v>134</v>
      </c>
      <c r="H1527" s="14" t="s">
        <v>135</v>
      </c>
      <c r="I1527" s="14" t="s">
        <v>59</v>
      </c>
      <c r="J1527" s="14" t="s">
        <v>200</v>
      </c>
      <c r="K1527" s="14" t="s">
        <v>214</v>
      </c>
      <c r="L1527" s="14" t="s">
        <v>253</v>
      </c>
      <c r="M1527" s="14" t="s">
        <v>389</v>
      </c>
      <c r="N1527" s="14" t="s">
        <v>390</v>
      </c>
      <c r="O1527" s="14">
        <v>7.0</v>
      </c>
      <c r="P1527" s="23">
        <v>0.0786</v>
      </c>
      <c r="Q1527" s="22" t="str">
        <f>"+2.71%"</f>
        <v>+2.71%</v>
      </c>
      <c r="R1527" s="18" t="str">
        <f>"-1.36%"</f>
        <v>-1.36%</v>
      </c>
      <c r="S1527" s="14" t="s">
        <v>1500</v>
      </c>
    </row>
    <row r="1528">
      <c r="A1528" s="13">
        <v>45901.0</v>
      </c>
      <c r="B1528" s="14" t="s">
        <v>47</v>
      </c>
      <c r="C1528" s="14" t="s">
        <v>48</v>
      </c>
      <c r="D1528" s="14" t="s">
        <v>73</v>
      </c>
      <c r="E1528" s="14" t="s">
        <v>74</v>
      </c>
      <c r="F1528" s="15" t="s">
        <v>51</v>
      </c>
      <c r="G1528" s="14" t="s">
        <v>75</v>
      </c>
      <c r="H1528" s="14" t="s">
        <v>76</v>
      </c>
      <c r="I1528" s="14" t="s">
        <v>59</v>
      </c>
      <c r="J1528" s="14" t="s">
        <v>198</v>
      </c>
      <c r="K1528" s="14" t="s">
        <v>205</v>
      </c>
      <c r="L1528" s="14" t="s">
        <v>274</v>
      </c>
      <c r="M1528" s="14" t="s">
        <v>451</v>
      </c>
      <c r="N1528" s="14" t="s">
        <v>452</v>
      </c>
      <c r="O1528" s="14">
        <v>0.0</v>
      </c>
      <c r="P1528" s="21">
        <v>0.0</v>
      </c>
      <c r="Q1528" s="22" t="str">
        <f t="shared" ref="Q1528:Q1529" si="907">"+0"</f>
        <v>+0</v>
      </c>
      <c r="S1528" s="14" t="s">
        <v>281</v>
      </c>
    </row>
    <row r="1529">
      <c r="A1529" s="13">
        <v>45901.0</v>
      </c>
      <c r="B1529" s="14" t="s">
        <v>47</v>
      </c>
      <c r="C1529" s="14" t="s">
        <v>48</v>
      </c>
      <c r="D1529" s="14" t="s">
        <v>103</v>
      </c>
      <c r="E1529" s="14" t="s">
        <v>104</v>
      </c>
      <c r="F1529" s="15" t="s">
        <v>51</v>
      </c>
      <c r="G1529" s="14" t="s">
        <v>105</v>
      </c>
      <c r="H1529" s="14" t="s">
        <v>106</v>
      </c>
      <c r="I1529" s="14" t="s">
        <v>59</v>
      </c>
      <c r="J1529" s="14" t="s">
        <v>200</v>
      </c>
      <c r="K1529" s="14" t="s">
        <v>232</v>
      </c>
      <c r="L1529" s="14" t="s">
        <v>487</v>
      </c>
      <c r="M1529" s="14" t="s">
        <v>1415</v>
      </c>
      <c r="N1529" s="14" t="s">
        <v>1416</v>
      </c>
      <c r="O1529" s="14">
        <v>0.0</v>
      </c>
      <c r="P1529" s="21">
        <v>0.0</v>
      </c>
      <c r="Q1529" s="22" t="str">
        <f t="shared" si="907"/>
        <v>+0</v>
      </c>
      <c r="R1529" s="18" t="str">
        <f>"+0"</f>
        <v>+0</v>
      </c>
      <c r="S1529" s="14" t="s">
        <v>260</v>
      </c>
    </row>
    <row r="1530">
      <c r="A1530" s="13">
        <v>45901.0</v>
      </c>
      <c r="B1530" s="14" t="s">
        <v>47</v>
      </c>
      <c r="C1530" s="14" t="s">
        <v>48</v>
      </c>
      <c r="D1530" s="14" t="s">
        <v>143</v>
      </c>
      <c r="E1530" s="14" t="s">
        <v>144</v>
      </c>
      <c r="F1530" s="15" t="s">
        <v>51</v>
      </c>
      <c r="G1530" s="14" t="s">
        <v>145</v>
      </c>
      <c r="H1530" s="14" t="s">
        <v>143</v>
      </c>
      <c r="I1530" s="14" t="s">
        <v>59</v>
      </c>
      <c r="J1530" s="14" t="s">
        <v>200</v>
      </c>
      <c r="K1530" s="14" t="s">
        <v>232</v>
      </c>
      <c r="L1530" s="14" t="s">
        <v>487</v>
      </c>
      <c r="M1530" s="14" t="s">
        <v>1015</v>
      </c>
      <c r="N1530" s="14" t="s">
        <v>1016</v>
      </c>
      <c r="O1530" s="14">
        <v>0.0</v>
      </c>
      <c r="P1530" s="23">
        <v>0.0</v>
      </c>
      <c r="Q1530" s="22" t="str">
        <f t="shared" ref="Q1530:R1530" si="908">"+0.00%"</f>
        <v>+0.00%</v>
      </c>
      <c r="R1530" s="18" t="str">
        <f t="shared" si="908"/>
        <v>+0.00%</v>
      </c>
      <c r="S1530" s="14" t="s">
        <v>285</v>
      </c>
    </row>
    <row r="1531">
      <c r="A1531" s="13">
        <v>45901.0</v>
      </c>
      <c r="B1531" s="14" t="s">
        <v>47</v>
      </c>
      <c r="C1531" s="14" t="s">
        <v>48</v>
      </c>
      <c r="D1531" s="14" t="s">
        <v>103</v>
      </c>
      <c r="E1531" s="14" t="s">
        <v>104</v>
      </c>
      <c r="F1531" s="15" t="s">
        <v>51</v>
      </c>
      <c r="G1531" s="14" t="s">
        <v>105</v>
      </c>
      <c r="H1531" s="14" t="s">
        <v>106</v>
      </c>
      <c r="I1531" s="14" t="s">
        <v>59</v>
      </c>
      <c r="J1531" s="14" t="s">
        <v>200</v>
      </c>
      <c r="K1531" s="14" t="s">
        <v>232</v>
      </c>
      <c r="L1531" s="14" t="s">
        <v>261</v>
      </c>
      <c r="M1531" s="14" t="s">
        <v>1338</v>
      </c>
      <c r="N1531" s="14" t="s">
        <v>1339</v>
      </c>
      <c r="O1531" s="14">
        <v>0.0</v>
      </c>
      <c r="P1531" s="23">
        <v>0.0</v>
      </c>
      <c r="Q1531" s="22" t="str">
        <f t="shared" ref="Q1531:R1531" si="909">"+0.00%"</f>
        <v>+0.00%</v>
      </c>
      <c r="R1531" s="18" t="str">
        <f t="shared" si="909"/>
        <v>+0.00%</v>
      </c>
      <c r="S1531" s="14" t="s">
        <v>285</v>
      </c>
    </row>
    <row r="1532">
      <c r="A1532" s="13">
        <v>45901.0</v>
      </c>
      <c r="B1532" s="14" t="s">
        <v>47</v>
      </c>
      <c r="C1532" s="14" t="s">
        <v>48</v>
      </c>
      <c r="D1532" s="14" t="s">
        <v>87</v>
      </c>
      <c r="E1532" s="14" t="s">
        <v>88</v>
      </c>
      <c r="F1532" s="15" t="s">
        <v>51</v>
      </c>
      <c r="G1532" s="14" t="s">
        <v>89</v>
      </c>
      <c r="H1532" s="14" t="s">
        <v>90</v>
      </c>
      <c r="I1532" s="14" t="s">
        <v>59</v>
      </c>
      <c r="J1532" s="14" t="s">
        <v>200</v>
      </c>
      <c r="K1532" s="14" t="s">
        <v>223</v>
      </c>
      <c r="L1532" s="14" t="s">
        <v>304</v>
      </c>
      <c r="M1532" s="14" t="s">
        <v>662</v>
      </c>
      <c r="N1532" s="14" t="s">
        <v>663</v>
      </c>
      <c r="O1532" s="14">
        <v>52.0</v>
      </c>
      <c r="P1532" s="23">
        <v>0.0512</v>
      </c>
      <c r="Q1532" s="22" t="str">
        <f>"+23.58%"</f>
        <v>+23.58%</v>
      </c>
      <c r="R1532" s="18" t="str">
        <f>"-1.27%"</f>
        <v>-1.27%</v>
      </c>
      <c r="S1532" s="14" t="s">
        <v>1501</v>
      </c>
    </row>
    <row r="1533">
      <c r="A1533" s="13">
        <v>45901.0</v>
      </c>
      <c r="B1533" s="14" t="s">
        <v>47</v>
      </c>
      <c r="C1533" s="14" t="s">
        <v>48</v>
      </c>
      <c r="D1533" s="14" t="s">
        <v>87</v>
      </c>
      <c r="E1533" s="14" t="s">
        <v>88</v>
      </c>
      <c r="F1533" s="15" t="s">
        <v>51</v>
      </c>
      <c r="G1533" s="14" t="s">
        <v>89</v>
      </c>
      <c r="H1533" s="14" t="s">
        <v>90</v>
      </c>
      <c r="I1533" s="14" t="s">
        <v>59</v>
      </c>
      <c r="J1533" s="14" t="s">
        <v>200</v>
      </c>
      <c r="K1533" s="14" t="s">
        <v>223</v>
      </c>
      <c r="L1533" s="14" t="s">
        <v>607</v>
      </c>
      <c r="M1533" s="14" t="s">
        <v>886</v>
      </c>
      <c r="N1533" s="14" t="s">
        <v>887</v>
      </c>
      <c r="O1533" s="14">
        <v>4.0</v>
      </c>
      <c r="P1533" s="23">
        <v>0.044</v>
      </c>
      <c r="Q1533" s="22" t="str">
        <f>"+0.07%"</f>
        <v>+0.07%</v>
      </c>
      <c r="R1533" s="18" t="str">
        <f>"+1.47%"</f>
        <v>+1.47%</v>
      </c>
      <c r="S1533" s="14" t="s">
        <v>371</v>
      </c>
    </row>
    <row r="1534">
      <c r="A1534" s="13">
        <v>45901.0</v>
      </c>
      <c r="B1534" s="14" t="s">
        <v>47</v>
      </c>
      <c r="C1534" s="14" t="s">
        <v>48</v>
      </c>
      <c r="D1534" s="14" t="s">
        <v>96</v>
      </c>
      <c r="E1534" s="14" t="s">
        <v>97</v>
      </c>
      <c r="F1534" s="15" t="s">
        <v>51</v>
      </c>
      <c r="G1534" s="14" t="s">
        <v>98</v>
      </c>
      <c r="H1534" s="14" t="s">
        <v>96</v>
      </c>
      <c r="I1534" s="14" t="s">
        <v>59</v>
      </c>
      <c r="J1534" s="14" t="s">
        <v>200</v>
      </c>
      <c r="K1534" s="14" t="s">
        <v>234</v>
      </c>
      <c r="L1534" s="14" t="s">
        <v>253</v>
      </c>
      <c r="M1534" s="14" t="s">
        <v>366</v>
      </c>
      <c r="N1534" s="14" t="s">
        <v>367</v>
      </c>
      <c r="O1534" s="14">
        <v>26.0</v>
      </c>
      <c r="P1534" s="23">
        <v>0.2667</v>
      </c>
      <c r="Q1534" s="22" t="str">
        <f>"+0.00%"</f>
        <v>+0.00%</v>
      </c>
      <c r="R1534" s="18" t="str">
        <f>"-26.67%"</f>
        <v>-26.67%</v>
      </c>
      <c r="S1534" s="14" t="s">
        <v>1502</v>
      </c>
    </row>
    <row r="1535">
      <c r="A1535" s="13">
        <v>45901.0</v>
      </c>
      <c r="B1535" s="14" t="s">
        <v>47</v>
      </c>
      <c r="C1535" s="14" t="s">
        <v>48</v>
      </c>
      <c r="D1535" s="14" t="s">
        <v>96</v>
      </c>
      <c r="E1535" s="14" t="s">
        <v>97</v>
      </c>
      <c r="F1535" s="15" t="s">
        <v>51</v>
      </c>
      <c r="G1535" s="14" t="s">
        <v>98</v>
      </c>
      <c r="H1535" s="14" t="s">
        <v>96</v>
      </c>
      <c r="I1535" s="14" t="s">
        <v>59</v>
      </c>
      <c r="J1535" s="14" t="s">
        <v>198</v>
      </c>
      <c r="K1535" s="14" t="s">
        <v>207</v>
      </c>
      <c r="L1535" s="14" t="s">
        <v>318</v>
      </c>
      <c r="M1535" s="14" t="s">
        <v>508</v>
      </c>
      <c r="N1535" s="14" t="s">
        <v>509</v>
      </c>
      <c r="O1535" s="14">
        <v>0.0</v>
      </c>
      <c r="P1535" s="21">
        <v>0.0</v>
      </c>
      <c r="Q1535" s="22" t="str">
        <f>"+0"</f>
        <v>+0</v>
      </c>
      <c r="S1535" s="14" t="s">
        <v>281</v>
      </c>
    </row>
    <row r="1536">
      <c r="A1536" s="13">
        <v>45901.0</v>
      </c>
      <c r="B1536" s="14" t="s">
        <v>47</v>
      </c>
      <c r="C1536" s="14" t="s">
        <v>48</v>
      </c>
      <c r="D1536" s="14" t="s">
        <v>69</v>
      </c>
      <c r="E1536" s="14" t="s">
        <v>70</v>
      </c>
      <c r="F1536" s="15" t="s">
        <v>51</v>
      </c>
      <c r="G1536" s="14" t="s">
        <v>115</v>
      </c>
      <c r="H1536" s="14" t="s">
        <v>72</v>
      </c>
      <c r="I1536" s="14" t="s">
        <v>54</v>
      </c>
      <c r="J1536" s="14" t="s">
        <v>200</v>
      </c>
      <c r="K1536" s="14" t="s">
        <v>211</v>
      </c>
      <c r="L1536" s="14" t="s">
        <v>253</v>
      </c>
      <c r="M1536" s="14" t="s">
        <v>1247</v>
      </c>
      <c r="N1536" s="14" t="s">
        <v>1248</v>
      </c>
      <c r="O1536" s="14">
        <v>22.0</v>
      </c>
      <c r="P1536" s="23">
        <v>0.2296</v>
      </c>
      <c r="Q1536" s="22" t="str">
        <f>"-0.65%"</f>
        <v>-0.65%</v>
      </c>
      <c r="R1536" s="18" t="str">
        <f>"-0.92%"</f>
        <v>-0.92%</v>
      </c>
      <c r="S1536" s="14" t="s">
        <v>1503</v>
      </c>
    </row>
    <row r="1537">
      <c r="A1537" s="13">
        <v>45901.0</v>
      </c>
      <c r="B1537" s="14" t="s">
        <v>47</v>
      </c>
      <c r="C1537" s="14" t="s">
        <v>48</v>
      </c>
      <c r="D1537" s="14" t="s">
        <v>69</v>
      </c>
      <c r="E1537" s="14" t="s">
        <v>70</v>
      </c>
      <c r="F1537" s="15" t="s">
        <v>51</v>
      </c>
      <c r="G1537" s="14" t="s">
        <v>115</v>
      </c>
      <c r="H1537" s="14" t="s">
        <v>72</v>
      </c>
      <c r="I1537" s="14" t="s">
        <v>54</v>
      </c>
      <c r="J1537" s="14" t="s">
        <v>200</v>
      </c>
      <c r="K1537" s="14" t="s">
        <v>215</v>
      </c>
      <c r="L1537" s="14" t="s">
        <v>253</v>
      </c>
      <c r="M1537" s="14" t="s">
        <v>1504</v>
      </c>
      <c r="N1537" s="14" t="s">
        <v>1505</v>
      </c>
      <c r="O1537" s="14">
        <v>48.0</v>
      </c>
      <c r="P1537" s="23">
        <v>0.4844</v>
      </c>
      <c r="Q1537" s="22" t="str">
        <f>"-10.54%"</f>
        <v>-10.54%</v>
      </c>
      <c r="R1537" s="18" t="str">
        <f>"-5.13%"</f>
        <v>-5.13%</v>
      </c>
      <c r="S1537" s="14" t="s">
        <v>1506</v>
      </c>
    </row>
    <row r="1538">
      <c r="A1538" s="13">
        <v>45901.0</v>
      </c>
      <c r="B1538" s="14" t="s">
        <v>47</v>
      </c>
      <c r="C1538" s="14" t="s">
        <v>48</v>
      </c>
      <c r="D1538" s="14" t="s">
        <v>158</v>
      </c>
      <c r="E1538" s="14" t="s">
        <v>159</v>
      </c>
      <c r="F1538" s="15" t="s">
        <v>51</v>
      </c>
      <c r="G1538" s="14" t="s">
        <v>160</v>
      </c>
      <c r="H1538" s="14" t="s">
        <v>158</v>
      </c>
      <c r="I1538" s="14" t="s">
        <v>54</v>
      </c>
      <c r="J1538" s="14" t="s">
        <v>198</v>
      </c>
      <c r="K1538" s="14" t="s">
        <v>210</v>
      </c>
      <c r="L1538" s="14" t="s">
        <v>264</v>
      </c>
      <c r="M1538" s="14" t="s">
        <v>1210</v>
      </c>
      <c r="N1538" s="14" t="s">
        <v>1211</v>
      </c>
      <c r="O1538" s="14">
        <v>0.0</v>
      </c>
      <c r="P1538" s="21">
        <v>0.0</v>
      </c>
      <c r="Q1538" s="22" t="str">
        <f t="shared" ref="Q1538:R1538" si="910">"+0"</f>
        <v>+0</v>
      </c>
      <c r="R1538" s="18" t="str">
        <f t="shared" si="910"/>
        <v>+0</v>
      </c>
      <c r="S1538" s="14" t="s">
        <v>277</v>
      </c>
    </row>
    <row r="1539">
      <c r="A1539" s="13">
        <v>45901.0</v>
      </c>
      <c r="B1539" s="14" t="s">
        <v>47</v>
      </c>
      <c r="C1539" s="14" t="s">
        <v>48</v>
      </c>
      <c r="D1539" s="14" t="s">
        <v>168</v>
      </c>
      <c r="E1539" s="14" t="s">
        <v>169</v>
      </c>
      <c r="F1539" s="15" t="s">
        <v>51</v>
      </c>
      <c r="G1539" s="14" t="s">
        <v>170</v>
      </c>
      <c r="H1539" s="14" t="s">
        <v>168</v>
      </c>
      <c r="I1539" s="14" t="s">
        <v>59</v>
      </c>
      <c r="J1539" s="14" t="s">
        <v>198</v>
      </c>
      <c r="K1539" s="14" t="s">
        <v>205</v>
      </c>
      <c r="L1539" s="14" t="s">
        <v>274</v>
      </c>
      <c r="M1539" s="14" t="s">
        <v>791</v>
      </c>
      <c r="N1539" s="14" t="s">
        <v>792</v>
      </c>
      <c r="O1539" s="14">
        <v>100.0</v>
      </c>
      <c r="P1539" s="21">
        <v>5.0</v>
      </c>
      <c r="Q1539" s="22" t="str">
        <f t="shared" ref="Q1539:Q1541" si="911">"+0"</f>
        <v>+0</v>
      </c>
      <c r="S1539" s="14" t="s">
        <v>260</v>
      </c>
    </row>
    <row r="1540">
      <c r="A1540" s="13">
        <v>45901.0</v>
      </c>
      <c r="B1540" s="14" t="s">
        <v>47</v>
      </c>
      <c r="C1540" s="14" t="s">
        <v>48</v>
      </c>
      <c r="D1540" s="14" t="s">
        <v>181</v>
      </c>
      <c r="E1540" s="14" t="s">
        <v>182</v>
      </c>
      <c r="F1540" s="15" t="s">
        <v>51</v>
      </c>
      <c r="G1540" s="14" t="s">
        <v>183</v>
      </c>
      <c r="H1540" s="14" t="s">
        <v>181</v>
      </c>
      <c r="I1540" s="14" t="s">
        <v>59</v>
      </c>
      <c r="J1540" s="14" t="s">
        <v>200</v>
      </c>
      <c r="K1540" s="14" t="s">
        <v>232</v>
      </c>
      <c r="L1540" s="14" t="s">
        <v>261</v>
      </c>
      <c r="M1540" s="14" t="s">
        <v>262</v>
      </c>
      <c r="N1540" s="14" t="s">
        <v>263</v>
      </c>
      <c r="O1540" s="14">
        <v>0.0</v>
      </c>
      <c r="P1540" s="21">
        <v>0.0</v>
      </c>
      <c r="Q1540" s="22" t="str">
        <f t="shared" si="911"/>
        <v>+0</v>
      </c>
      <c r="R1540" s="18" t="str">
        <f t="shared" ref="R1540:R1541" si="912">"+0"</f>
        <v>+0</v>
      </c>
      <c r="S1540" s="14" t="s">
        <v>260</v>
      </c>
    </row>
    <row r="1541">
      <c r="A1541" s="13">
        <v>45901.0</v>
      </c>
      <c r="B1541" s="14" t="s">
        <v>47</v>
      </c>
      <c r="C1541" s="14" t="s">
        <v>48</v>
      </c>
      <c r="D1541" s="14" t="s">
        <v>56</v>
      </c>
      <c r="E1541" s="14" t="s">
        <v>57</v>
      </c>
      <c r="F1541" s="14" t="s">
        <v>71</v>
      </c>
      <c r="G1541" s="14">
        <v>5.36003976E8</v>
      </c>
      <c r="H1541" s="14" t="s">
        <v>56</v>
      </c>
      <c r="I1541" s="14" t="s">
        <v>59</v>
      </c>
      <c r="J1541" s="14" t="s">
        <v>199</v>
      </c>
      <c r="K1541" s="14" t="s">
        <v>206</v>
      </c>
      <c r="L1541" s="14" t="s">
        <v>531</v>
      </c>
      <c r="M1541" s="14" t="s">
        <v>531</v>
      </c>
      <c r="N1541" s="14" t="s">
        <v>532</v>
      </c>
      <c r="O1541" s="14">
        <v>0.0</v>
      </c>
      <c r="P1541" s="21">
        <v>0.0</v>
      </c>
      <c r="Q1541" s="22" t="str">
        <f t="shared" si="911"/>
        <v>+0</v>
      </c>
      <c r="R1541" s="18" t="str">
        <f t="shared" si="912"/>
        <v>+0</v>
      </c>
      <c r="S1541" s="14" t="s">
        <v>260</v>
      </c>
    </row>
    <row r="1542">
      <c r="A1542" s="13">
        <v>45901.0</v>
      </c>
      <c r="B1542" s="14" t="s">
        <v>47</v>
      </c>
      <c r="C1542" s="14" t="s">
        <v>48</v>
      </c>
      <c r="D1542" s="14" t="s">
        <v>60</v>
      </c>
      <c r="E1542" s="14" t="s">
        <v>61</v>
      </c>
      <c r="F1542" s="15" t="s">
        <v>51</v>
      </c>
      <c r="G1542" s="14" t="s">
        <v>62</v>
      </c>
      <c r="H1542" s="14" t="s">
        <v>60</v>
      </c>
      <c r="I1542" s="14" t="s">
        <v>59</v>
      </c>
      <c r="J1542" s="14" t="s">
        <v>200</v>
      </c>
      <c r="K1542" s="14" t="s">
        <v>223</v>
      </c>
      <c r="L1542" s="14" t="s">
        <v>286</v>
      </c>
      <c r="M1542" s="14" t="s">
        <v>419</v>
      </c>
      <c r="N1542" s="14" t="s">
        <v>420</v>
      </c>
      <c r="O1542" s="14">
        <v>0.0</v>
      </c>
      <c r="P1542" s="23">
        <v>0.0</v>
      </c>
      <c r="Q1542" s="22" t="str">
        <f t="shared" ref="Q1542:R1542" si="913">"+0.00%"</f>
        <v>+0.00%</v>
      </c>
      <c r="R1542" s="18" t="str">
        <f t="shared" si="913"/>
        <v>+0.00%</v>
      </c>
      <c r="S1542" s="14" t="s">
        <v>371</v>
      </c>
    </row>
    <row r="1543">
      <c r="A1543" s="13">
        <v>45901.0</v>
      </c>
      <c r="B1543" s="14" t="s">
        <v>47</v>
      </c>
      <c r="C1543" s="14" t="s">
        <v>48</v>
      </c>
      <c r="D1543" s="14" t="s">
        <v>168</v>
      </c>
      <c r="E1543" s="14" t="s">
        <v>169</v>
      </c>
      <c r="F1543" s="15" t="s">
        <v>51</v>
      </c>
      <c r="G1543" s="14" t="s">
        <v>170</v>
      </c>
      <c r="H1543" s="14" t="s">
        <v>168</v>
      </c>
      <c r="I1543" s="14" t="s">
        <v>59</v>
      </c>
      <c r="J1543" s="14" t="s">
        <v>198</v>
      </c>
      <c r="K1543" s="14" t="s">
        <v>212</v>
      </c>
      <c r="L1543" s="14" t="s">
        <v>249</v>
      </c>
      <c r="M1543" s="14" t="s">
        <v>250</v>
      </c>
      <c r="N1543" s="14" t="s">
        <v>251</v>
      </c>
      <c r="O1543" s="14">
        <v>0.0</v>
      </c>
      <c r="P1543" s="21">
        <v>583033.0</v>
      </c>
      <c r="Q1543" s="22" t="str">
        <f>"+53,073"</f>
        <v>+53,073</v>
      </c>
      <c r="R1543" s="18" t="str">
        <f>"-499,251"</f>
        <v>-499,251</v>
      </c>
      <c r="S1543" s="14" t="s">
        <v>1507</v>
      </c>
    </row>
    <row r="1544">
      <c r="A1544" s="13">
        <v>45901.0</v>
      </c>
      <c r="B1544" s="14" t="s">
        <v>47</v>
      </c>
      <c r="C1544" s="14" t="s">
        <v>48</v>
      </c>
      <c r="D1544" s="14" t="s">
        <v>121</v>
      </c>
      <c r="E1544" s="14" t="s">
        <v>122</v>
      </c>
      <c r="F1544" s="15" t="s">
        <v>51</v>
      </c>
      <c r="G1544" s="14" t="s">
        <v>123</v>
      </c>
      <c r="H1544" s="14" t="s">
        <v>124</v>
      </c>
      <c r="I1544" s="14" t="s">
        <v>59</v>
      </c>
      <c r="J1544" s="14" t="s">
        <v>200</v>
      </c>
      <c r="K1544" s="14" t="s">
        <v>232</v>
      </c>
      <c r="L1544" s="14" t="s">
        <v>607</v>
      </c>
      <c r="M1544" s="14" t="s">
        <v>1204</v>
      </c>
      <c r="N1544" s="14" t="s">
        <v>1205</v>
      </c>
      <c r="O1544" s="14">
        <v>0.0</v>
      </c>
      <c r="P1544" s="21">
        <v>0.0</v>
      </c>
      <c r="Q1544" s="22" t="str">
        <f t="shared" ref="Q1544:R1544" si="914">"+0"</f>
        <v>+0</v>
      </c>
      <c r="R1544" s="18" t="str">
        <f t="shared" si="914"/>
        <v>+0</v>
      </c>
      <c r="S1544" s="14" t="s">
        <v>260</v>
      </c>
    </row>
    <row r="1545">
      <c r="A1545" s="13">
        <v>45901.0</v>
      </c>
      <c r="B1545" s="14" t="s">
        <v>47</v>
      </c>
      <c r="C1545" s="14" t="s">
        <v>48</v>
      </c>
      <c r="D1545" s="14" t="s">
        <v>165</v>
      </c>
      <c r="E1545" s="14" t="s">
        <v>166</v>
      </c>
      <c r="F1545" s="15" t="s">
        <v>51</v>
      </c>
      <c r="G1545" s="14" t="s">
        <v>167</v>
      </c>
      <c r="H1545" s="14" t="s">
        <v>165</v>
      </c>
      <c r="I1545" s="14" t="s">
        <v>54</v>
      </c>
      <c r="J1545" s="14" t="s">
        <v>199</v>
      </c>
      <c r="K1545" s="14" t="s">
        <v>208</v>
      </c>
      <c r="L1545" s="14" t="s">
        <v>412</v>
      </c>
      <c r="M1545" s="14" t="s">
        <v>412</v>
      </c>
      <c r="N1545" s="14" t="s">
        <v>413</v>
      </c>
      <c r="O1545" s="14">
        <v>85.0</v>
      </c>
      <c r="P1545" s="21">
        <v>3.0</v>
      </c>
      <c r="Q1545" s="22" t="str">
        <f>"+0"</f>
        <v>+0</v>
      </c>
      <c r="R1545" s="18" t="str">
        <f>"+1"</f>
        <v>+1</v>
      </c>
      <c r="S1545" s="14" t="s">
        <v>260</v>
      </c>
    </row>
    <row r="1546">
      <c r="A1546" s="13">
        <v>45901.0</v>
      </c>
      <c r="B1546" s="14" t="s">
        <v>47</v>
      </c>
      <c r="C1546" s="14" t="s">
        <v>48</v>
      </c>
      <c r="D1546" s="14" t="s">
        <v>63</v>
      </c>
      <c r="E1546" s="14" t="s">
        <v>64</v>
      </c>
      <c r="F1546" s="15" t="s">
        <v>51</v>
      </c>
      <c r="G1546" s="14" t="s">
        <v>65</v>
      </c>
      <c r="H1546" s="14" t="s">
        <v>63</v>
      </c>
      <c r="I1546" s="14" t="s">
        <v>54</v>
      </c>
      <c r="J1546" s="14" t="s">
        <v>198</v>
      </c>
      <c r="K1546" s="14" t="s">
        <v>210</v>
      </c>
      <c r="L1546" s="14" t="s">
        <v>264</v>
      </c>
      <c r="M1546" s="14" t="s">
        <v>1369</v>
      </c>
      <c r="N1546" s="14" t="s">
        <v>1370</v>
      </c>
      <c r="O1546" s="14">
        <v>0.0</v>
      </c>
      <c r="P1546" s="21">
        <v>0.0</v>
      </c>
      <c r="Q1546" s="22" t="str">
        <f t="shared" ref="Q1546:R1546" si="915">"-1"</f>
        <v>-1</v>
      </c>
      <c r="R1546" s="18" t="str">
        <f t="shared" si="915"/>
        <v>-1</v>
      </c>
      <c r="S1546" s="14" t="s">
        <v>277</v>
      </c>
    </row>
    <row r="1547">
      <c r="A1547" s="13">
        <v>45901.0</v>
      </c>
      <c r="B1547" s="14" t="s">
        <v>47</v>
      </c>
      <c r="C1547" s="14" t="s">
        <v>48</v>
      </c>
      <c r="D1547" s="14" t="s">
        <v>99</v>
      </c>
      <c r="E1547" s="14" t="s">
        <v>100</v>
      </c>
      <c r="F1547" s="15" t="s">
        <v>51</v>
      </c>
      <c r="G1547" s="14" t="s">
        <v>101</v>
      </c>
      <c r="H1547" s="14" t="s">
        <v>102</v>
      </c>
      <c r="I1547" s="14" t="s">
        <v>54</v>
      </c>
      <c r="J1547" s="14" t="s">
        <v>198</v>
      </c>
      <c r="K1547" s="14" t="s">
        <v>205</v>
      </c>
      <c r="L1547" s="14" t="s">
        <v>274</v>
      </c>
      <c r="M1547" s="14" t="s">
        <v>636</v>
      </c>
      <c r="N1547" s="14" t="s">
        <v>637</v>
      </c>
      <c r="O1547" s="14">
        <v>0.0</v>
      </c>
      <c r="P1547" s="21">
        <v>0.0</v>
      </c>
      <c r="Q1547" s="22" t="str">
        <f t="shared" ref="Q1547:Q1549" si="916">"+0"</f>
        <v>+0</v>
      </c>
      <c r="S1547" s="14" t="s">
        <v>281</v>
      </c>
    </row>
    <row r="1548">
      <c r="A1548" s="13">
        <v>45901.0</v>
      </c>
      <c r="B1548" s="14" t="s">
        <v>47</v>
      </c>
      <c r="C1548" s="14" t="s">
        <v>48</v>
      </c>
      <c r="D1548" s="14" t="s">
        <v>91</v>
      </c>
      <c r="E1548" s="14" t="s">
        <v>92</v>
      </c>
      <c r="F1548" s="15" t="s">
        <v>51</v>
      </c>
      <c r="G1548" s="14" t="s">
        <v>163</v>
      </c>
      <c r="H1548" s="14" t="s">
        <v>91</v>
      </c>
      <c r="I1548" s="14" t="s">
        <v>59</v>
      </c>
      <c r="J1548" s="14" t="s">
        <v>198</v>
      </c>
      <c r="K1548" s="14" t="s">
        <v>205</v>
      </c>
      <c r="L1548" s="14" t="s">
        <v>274</v>
      </c>
      <c r="M1548" s="14" t="s">
        <v>696</v>
      </c>
      <c r="N1548" s="14" t="s">
        <v>697</v>
      </c>
      <c r="O1548" s="14">
        <v>100.0</v>
      </c>
      <c r="P1548" s="21">
        <v>1.0</v>
      </c>
      <c r="Q1548" s="22" t="str">
        <f t="shared" si="916"/>
        <v>+0</v>
      </c>
      <c r="S1548" s="14" t="s">
        <v>281</v>
      </c>
    </row>
    <row r="1549">
      <c r="A1549" s="13">
        <v>45901.0</v>
      </c>
      <c r="B1549" s="14" t="s">
        <v>47</v>
      </c>
      <c r="C1549" s="14" t="s">
        <v>48</v>
      </c>
      <c r="D1549" s="14" t="s">
        <v>63</v>
      </c>
      <c r="E1549" s="14" t="s">
        <v>64</v>
      </c>
      <c r="F1549" s="15" t="s">
        <v>51</v>
      </c>
      <c r="G1549" s="14" t="s">
        <v>65</v>
      </c>
      <c r="H1549" s="14" t="s">
        <v>63</v>
      </c>
      <c r="I1549" s="14" t="s">
        <v>54</v>
      </c>
      <c r="J1549" s="14" t="s">
        <v>198</v>
      </c>
      <c r="K1549" s="14" t="s">
        <v>210</v>
      </c>
      <c r="L1549" s="14" t="s">
        <v>264</v>
      </c>
      <c r="M1549" s="14" t="s">
        <v>802</v>
      </c>
      <c r="N1549" s="14" t="s">
        <v>803</v>
      </c>
      <c r="O1549" s="14">
        <v>0.0</v>
      </c>
      <c r="P1549" s="21">
        <v>0.0</v>
      </c>
      <c r="Q1549" s="22" t="str">
        <f t="shared" si="916"/>
        <v>+0</v>
      </c>
      <c r="R1549" s="18" t="str">
        <f>"+0"</f>
        <v>+0</v>
      </c>
      <c r="S1549" s="14" t="s">
        <v>277</v>
      </c>
    </row>
    <row r="1550">
      <c r="A1550" s="13">
        <v>45901.0</v>
      </c>
      <c r="B1550" s="14" t="s">
        <v>47</v>
      </c>
      <c r="C1550" s="14" t="s">
        <v>48</v>
      </c>
      <c r="D1550" s="14" t="s">
        <v>91</v>
      </c>
      <c r="E1550" s="14" t="s">
        <v>92</v>
      </c>
      <c r="F1550" s="14" t="s">
        <v>71</v>
      </c>
      <c r="G1550" s="14">
        <v>5.00008613E8</v>
      </c>
      <c r="H1550" s="14" t="s">
        <v>91</v>
      </c>
      <c r="I1550" s="14" t="s">
        <v>59</v>
      </c>
      <c r="J1550" s="14" t="s">
        <v>200</v>
      </c>
      <c r="K1550" s="14" t="s">
        <v>220</v>
      </c>
      <c r="L1550" s="14" t="s">
        <v>253</v>
      </c>
      <c r="M1550" s="14" t="s">
        <v>1449</v>
      </c>
      <c r="N1550" s="14" t="s">
        <v>1450</v>
      </c>
      <c r="O1550" s="14">
        <v>0.0</v>
      </c>
      <c r="P1550" s="23">
        <v>0.0</v>
      </c>
      <c r="Q1550" s="22" t="str">
        <f t="shared" ref="Q1550:R1550" si="917">"+0.00%"</f>
        <v>+0.00%</v>
      </c>
      <c r="R1550" s="18" t="str">
        <f t="shared" si="917"/>
        <v>+0.00%</v>
      </c>
      <c r="S1550" s="14" t="s">
        <v>1508</v>
      </c>
    </row>
    <row r="1551">
      <c r="A1551" s="13">
        <v>45901.0</v>
      </c>
      <c r="B1551" s="14" t="s">
        <v>47</v>
      </c>
      <c r="C1551" s="14" t="s">
        <v>48</v>
      </c>
      <c r="D1551" s="14" t="s">
        <v>192</v>
      </c>
      <c r="E1551" s="14" t="s">
        <v>193</v>
      </c>
      <c r="F1551" s="15" t="s">
        <v>51</v>
      </c>
      <c r="G1551" s="14" t="s">
        <v>194</v>
      </c>
      <c r="H1551" s="14" t="s">
        <v>192</v>
      </c>
      <c r="I1551" s="14" t="s">
        <v>54</v>
      </c>
      <c r="J1551" s="14" t="s">
        <v>200</v>
      </c>
      <c r="K1551" s="14" t="s">
        <v>231</v>
      </c>
      <c r="L1551" s="14" t="s">
        <v>512</v>
      </c>
      <c r="M1551" s="14" t="s">
        <v>1481</v>
      </c>
      <c r="N1551" s="14" t="s">
        <v>1482</v>
      </c>
      <c r="O1551" s="14">
        <v>0.0</v>
      </c>
      <c r="P1551" s="21">
        <v>0.0</v>
      </c>
      <c r="Q1551" s="22" t="str">
        <f t="shared" ref="Q1551:R1551" si="918">"+0"</f>
        <v>+0</v>
      </c>
      <c r="R1551" s="18" t="str">
        <f t="shared" si="918"/>
        <v>+0</v>
      </c>
      <c r="S1551" s="14" t="s">
        <v>260</v>
      </c>
    </row>
    <row r="1552">
      <c r="A1552" s="13">
        <v>45901.0</v>
      </c>
      <c r="B1552" s="14" t="s">
        <v>47</v>
      </c>
      <c r="C1552" s="14" t="s">
        <v>48</v>
      </c>
      <c r="D1552" s="14" t="s">
        <v>66</v>
      </c>
      <c r="E1552" s="14" t="s">
        <v>67</v>
      </c>
      <c r="F1552" s="15" t="s">
        <v>51</v>
      </c>
      <c r="G1552" s="14" t="s">
        <v>68</v>
      </c>
      <c r="H1552" s="14" t="s">
        <v>66</v>
      </c>
      <c r="I1552" s="14" t="s">
        <v>59</v>
      </c>
      <c r="J1552" s="14" t="s">
        <v>200</v>
      </c>
      <c r="K1552" s="14" t="s">
        <v>223</v>
      </c>
      <c r="L1552" s="14" t="s">
        <v>286</v>
      </c>
      <c r="M1552" s="14" t="s">
        <v>287</v>
      </c>
      <c r="N1552" s="14" t="s">
        <v>288</v>
      </c>
      <c r="O1552" s="14">
        <v>0.0</v>
      </c>
      <c r="P1552" s="23">
        <v>0.0</v>
      </c>
      <c r="Q1552" s="22" t="str">
        <f t="shared" ref="Q1552:R1552" si="919">"+0.00%"</f>
        <v>+0.00%</v>
      </c>
      <c r="R1552" s="18" t="str">
        <f t="shared" si="919"/>
        <v>+0.00%</v>
      </c>
      <c r="S1552" s="14" t="s">
        <v>285</v>
      </c>
    </row>
    <row r="1553">
      <c r="A1553" s="13">
        <v>45901.0</v>
      </c>
      <c r="B1553" s="14" t="s">
        <v>47</v>
      </c>
      <c r="C1553" s="14" t="s">
        <v>48</v>
      </c>
      <c r="D1553" s="14" t="s">
        <v>103</v>
      </c>
      <c r="E1553" s="14" t="s">
        <v>104</v>
      </c>
      <c r="F1553" s="15" t="s">
        <v>51</v>
      </c>
      <c r="G1553" s="14" t="s">
        <v>105</v>
      </c>
      <c r="H1553" s="14" t="s">
        <v>106</v>
      </c>
      <c r="I1553" s="14" t="s">
        <v>59</v>
      </c>
      <c r="J1553" s="14" t="s">
        <v>198</v>
      </c>
      <c r="K1553" s="14" t="s">
        <v>205</v>
      </c>
      <c r="L1553" s="14" t="s">
        <v>274</v>
      </c>
      <c r="M1553" s="14" t="s">
        <v>473</v>
      </c>
      <c r="N1553" s="14" t="s">
        <v>474</v>
      </c>
      <c r="O1553" s="14">
        <v>50.0</v>
      </c>
      <c r="P1553" s="21">
        <v>15.0</v>
      </c>
      <c r="Q1553" s="22" t="str">
        <f>"+0"</f>
        <v>+0</v>
      </c>
      <c r="S1553" s="14" t="s">
        <v>475</v>
      </c>
    </row>
    <row r="1554">
      <c r="A1554" s="13">
        <v>45901.0</v>
      </c>
      <c r="B1554" s="14" t="s">
        <v>47</v>
      </c>
      <c r="C1554" s="14" t="s">
        <v>48</v>
      </c>
      <c r="D1554" s="14" t="s">
        <v>136</v>
      </c>
      <c r="E1554" s="14" t="s">
        <v>137</v>
      </c>
      <c r="F1554" s="15" t="s">
        <v>51</v>
      </c>
      <c r="G1554" s="14" t="s">
        <v>138</v>
      </c>
      <c r="H1554" s="14" t="s">
        <v>139</v>
      </c>
      <c r="I1554" s="14" t="s">
        <v>59</v>
      </c>
      <c r="J1554" s="14" t="s">
        <v>200</v>
      </c>
      <c r="K1554" s="14" t="s">
        <v>224</v>
      </c>
      <c r="L1554" s="14" t="s">
        <v>453</v>
      </c>
      <c r="M1554" s="14" t="s">
        <v>716</v>
      </c>
      <c r="N1554" s="14" t="s">
        <v>717</v>
      </c>
      <c r="O1554" s="14">
        <v>0.0</v>
      </c>
      <c r="P1554" s="23">
        <v>0.0</v>
      </c>
      <c r="Q1554" s="22" t="str">
        <f>"+0.00%"</f>
        <v>+0.00%</v>
      </c>
      <c r="S1554" s="14" t="s">
        <v>718</v>
      </c>
    </row>
    <row r="1555">
      <c r="A1555" s="13">
        <v>45901.0</v>
      </c>
      <c r="B1555" s="14" t="s">
        <v>47</v>
      </c>
      <c r="C1555" s="14" t="s">
        <v>48</v>
      </c>
      <c r="D1555" s="14" t="s">
        <v>87</v>
      </c>
      <c r="E1555" s="14" t="s">
        <v>88</v>
      </c>
      <c r="F1555" s="15" t="s">
        <v>51</v>
      </c>
      <c r="G1555" s="14" t="s">
        <v>89</v>
      </c>
      <c r="H1555" s="14" t="s">
        <v>90</v>
      </c>
      <c r="I1555" s="14" t="s">
        <v>59</v>
      </c>
      <c r="J1555" s="14" t="s">
        <v>200</v>
      </c>
      <c r="K1555" s="14" t="s">
        <v>223</v>
      </c>
      <c r="L1555" s="14" t="s">
        <v>304</v>
      </c>
      <c r="M1555" s="14" t="s">
        <v>688</v>
      </c>
      <c r="N1555" s="14" t="s">
        <v>689</v>
      </c>
      <c r="O1555" s="14">
        <v>68.0</v>
      </c>
      <c r="P1555" s="23">
        <v>0.6813</v>
      </c>
      <c r="Q1555" s="22" t="str">
        <f>"+5.97%"</f>
        <v>+5.97%</v>
      </c>
      <c r="R1555" s="18" t="str">
        <f>"+2.05%"</f>
        <v>+2.05%</v>
      </c>
      <c r="S1555" s="14" t="s">
        <v>1509</v>
      </c>
    </row>
    <row r="1556">
      <c r="A1556" s="13">
        <v>45901.0</v>
      </c>
      <c r="B1556" s="14" t="s">
        <v>47</v>
      </c>
      <c r="C1556" s="14" t="s">
        <v>48</v>
      </c>
      <c r="D1556" s="14" t="s">
        <v>149</v>
      </c>
      <c r="E1556" s="14" t="s">
        <v>150</v>
      </c>
      <c r="F1556" s="15" t="s">
        <v>51</v>
      </c>
      <c r="G1556" s="14" t="s">
        <v>151</v>
      </c>
      <c r="H1556" s="14" t="s">
        <v>152</v>
      </c>
      <c r="I1556" s="14" t="s">
        <v>54</v>
      </c>
      <c r="J1556" s="14" t="s">
        <v>200</v>
      </c>
      <c r="K1556" s="14" t="s">
        <v>231</v>
      </c>
      <c r="L1556" s="14" t="s">
        <v>751</v>
      </c>
      <c r="M1556" s="14" t="s">
        <v>752</v>
      </c>
      <c r="N1556" s="14" t="s">
        <v>753</v>
      </c>
      <c r="O1556" s="14">
        <v>100.0</v>
      </c>
      <c r="P1556" s="23">
        <v>1.0</v>
      </c>
      <c r="Q1556" s="22" t="str">
        <f>"+0.00%"</f>
        <v>+0.00%</v>
      </c>
      <c r="R1556" s="18" t="str">
        <f>"+18.43%"</f>
        <v>+18.43%</v>
      </c>
      <c r="S1556" s="14" t="s">
        <v>1510</v>
      </c>
    </row>
    <row r="1557">
      <c r="A1557" s="13">
        <v>45901.0</v>
      </c>
      <c r="B1557" s="14" t="s">
        <v>47</v>
      </c>
      <c r="C1557" s="14" t="s">
        <v>48</v>
      </c>
      <c r="D1557" s="14" t="s">
        <v>149</v>
      </c>
      <c r="E1557" s="14" t="s">
        <v>150</v>
      </c>
      <c r="F1557" s="15" t="s">
        <v>51</v>
      </c>
      <c r="G1557" s="14" t="s">
        <v>151</v>
      </c>
      <c r="H1557" s="14" t="s">
        <v>152</v>
      </c>
      <c r="I1557" s="14" t="s">
        <v>54</v>
      </c>
      <c r="J1557" s="14" t="s">
        <v>200</v>
      </c>
      <c r="K1557" s="14" t="s">
        <v>231</v>
      </c>
      <c r="L1557" s="14" t="s">
        <v>512</v>
      </c>
      <c r="M1557" s="14" t="s">
        <v>1511</v>
      </c>
      <c r="N1557" s="14" t="s">
        <v>1512</v>
      </c>
      <c r="O1557" s="14">
        <v>42.0</v>
      </c>
      <c r="P1557" s="23">
        <v>-0.15</v>
      </c>
      <c r="Q1557" s="22" t="str">
        <f>"-35.39%"</f>
        <v>-35.39%</v>
      </c>
      <c r="R1557" s="18" t="str">
        <f>"-68.95%"</f>
        <v>-68.95%</v>
      </c>
      <c r="S1557" s="14" t="s">
        <v>1513</v>
      </c>
    </row>
    <row r="1558">
      <c r="A1558" s="13">
        <v>45901.0</v>
      </c>
      <c r="B1558" s="14" t="s">
        <v>47</v>
      </c>
      <c r="C1558" s="14" t="s">
        <v>48</v>
      </c>
      <c r="D1558" s="14" t="s">
        <v>171</v>
      </c>
      <c r="E1558" s="14" t="s">
        <v>172</v>
      </c>
      <c r="F1558" s="15" t="s">
        <v>51</v>
      </c>
      <c r="G1558" s="14" t="s">
        <v>173</v>
      </c>
      <c r="H1558" s="14" t="s">
        <v>171</v>
      </c>
      <c r="I1558" s="14" t="s">
        <v>59</v>
      </c>
      <c r="J1558" s="14" t="s">
        <v>200</v>
      </c>
      <c r="K1558" s="14" t="s">
        <v>213</v>
      </c>
      <c r="L1558" s="14" t="s">
        <v>676</v>
      </c>
      <c r="M1558" s="14" t="s">
        <v>836</v>
      </c>
      <c r="N1558" s="14" t="s">
        <v>837</v>
      </c>
      <c r="O1558" s="14">
        <v>0.0</v>
      </c>
      <c r="P1558" s="23">
        <v>0.0</v>
      </c>
      <c r="Q1558" s="22" t="str">
        <f t="shared" ref="Q1558:R1558" si="920">"+0.00%"</f>
        <v>+0.00%</v>
      </c>
      <c r="R1558" s="18" t="str">
        <f t="shared" si="920"/>
        <v>+0.00%</v>
      </c>
      <c r="S1558" s="14" t="s">
        <v>1514</v>
      </c>
    </row>
    <row r="1559">
      <c r="A1559" s="13">
        <v>45901.0</v>
      </c>
      <c r="B1559" s="14" t="s">
        <v>47</v>
      </c>
      <c r="C1559" s="14" t="s">
        <v>48</v>
      </c>
      <c r="D1559" s="14" t="s">
        <v>149</v>
      </c>
      <c r="E1559" s="14" t="s">
        <v>150</v>
      </c>
      <c r="F1559" s="15" t="s">
        <v>51</v>
      </c>
      <c r="G1559" s="14" t="s">
        <v>151</v>
      </c>
      <c r="H1559" s="14" t="s">
        <v>152</v>
      </c>
      <c r="I1559" s="14" t="s">
        <v>54</v>
      </c>
      <c r="J1559" s="14" t="s">
        <v>200</v>
      </c>
      <c r="K1559" s="14" t="s">
        <v>224</v>
      </c>
      <c r="L1559" s="14" t="s">
        <v>392</v>
      </c>
      <c r="M1559" s="14" t="s">
        <v>393</v>
      </c>
      <c r="N1559" s="14" t="s">
        <v>394</v>
      </c>
      <c r="O1559" s="14">
        <v>33.0</v>
      </c>
      <c r="P1559" s="23">
        <v>0.3333</v>
      </c>
      <c r="Q1559" s="22" t="str">
        <f>"-16.67%"</f>
        <v>-16.67%</v>
      </c>
      <c r="R1559" s="18" t="str">
        <f>"-66.67%"</f>
        <v>-66.67%</v>
      </c>
      <c r="S1559" s="14" t="s">
        <v>1515</v>
      </c>
    </row>
    <row r="1560">
      <c r="A1560" s="13">
        <v>45901.0</v>
      </c>
      <c r="B1560" s="14" t="s">
        <v>47</v>
      </c>
      <c r="C1560" s="14" t="s">
        <v>48</v>
      </c>
      <c r="D1560" s="14" t="s">
        <v>69</v>
      </c>
      <c r="E1560" s="14" t="s">
        <v>70</v>
      </c>
      <c r="F1560" s="15" t="s">
        <v>51</v>
      </c>
      <c r="G1560" s="14" t="s">
        <v>115</v>
      </c>
      <c r="H1560" s="14" t="s">
        <v>72</v>
      </c>
      <c r="I1560" s="14" t="s">
        <v>54</v>
      </c>
      <c r="J1560" s="14" t="s">
        <v>200</v>
      </c>
      <c r="K1560" s="14" t="s">
        <v>224</v>
      </c>
      <c r="L1560" s="14" t="s">
        <v>392</v>
      </c>
      <c r="M1560" s="14" t="s">
        <v>1424</v>
      </c>
      <c r="N1560" s="14" t="s">
        <v>1425</v>
      </c>
      <c r="O1560" s="14">
        <v>0.0</v>
      </c>
      <c r="P1560" s="23">
        <v>0.0</v>
      </c>
      <c r="Q1560" s="22" t="str">
        <f t="shared" ref="Q1560:R1560" si="921">"+0.00%"</f>
        <v>+0.00%</v>
      </c>
      <c r="R1560" s="18" t="str">
        <f t="shared" si="921"/>
        <v>+0.00%</v>
      </c>
      <c r="S1560" s="14" t="s">
        <v>1516</v>
      </c>
    </row>
    <row r="1561">
      <c r="A1561" s="13">
        <v>45901.0</v>
      </c>
      <c r="B1561" s="14" t="s">
        <v>47</v>
      </c>
      <c r="C1561" s="14" t="s">
        <v>48</v>
      </c>
      <c r="D1561" s="14" t="s">
        <v>125</v>
      </c>
      <c r="E1561" s="14" t="s">
        <v>126</v>
      </c>
      <c r="F1561" s="15" t="s">
        <v>51</v>
      </c>
      <c r="G1561" s="14" t="s">
        <v>127</v>
      </c>
      <c r="H1561" s="14" t="s">
        <v>125</v>
      </c>
      <c r="I1561" s="14" t="s">
        <v>59</v>
      </c>
      <c r="J1561" s="14" t="s">
        <v>199</v>
      </c>
      <c r="K1561" s="14" t="s">
        <v>206</v>
      </c>
      <c r="L1561" s="14" t="s">
        <v>515</v>
      </c>
      <c r="M1561" s="14" t="s">
        <v>515</v>
      </c>
      <c r="N1561" s="14" t="s">
        <v>516</v>
      </c>
      <c r="O1561" s="14">
        <v>0.0</v>
      </c>
      <c r="P1561" s="21">
        <v>0.0</v>
      </c>
      <c r="Q1561" s="22" t="str">
        <f t="shared" ref="Q1561:R1561" si="922">"+0"</f>
        <v>+0</v>
      </c>
      <c r="R1561" s="18" t="str">
        <f t="shared" si="922"/>
        <v>+0</v>
      </c>
      <c r="S1561" s="14" t="s">
        <v>383</v>
      </c>
    </row>
    <row r="1562">
      <c r="A1562" s="13">
        <v>45901.0</v>
      </c>
      <c r="B1562" s="14" t="s">
        <v>47</v>
      </c>
      <c r="C1562" s="14" t="s">
        <v>48</v>
      </c>
      <c r="D1562" s="14" t="s">
        <v>69</v>
      </c>
      <c r="E1562" s="14" t="s">
        <v>70</v>
      </c>
      <c r="F1562" s="15" t="s">
        <v>51</v>
      </c>
      <c r="G1562" s="14" t="s">
        <v>115</v>
      </c>
      <c r="H1562" s="14" t="s">
        <v>72</v>
      </c>
      <c r="I1562" s="14" t="s">
        <v>54</v>
      </c>
      <c r="J1562" s="14" t="s">
        <v>200</v>
      </c>
      <c r="K1562" s="14" t="s">
        <v>213</v>
      </c>
      <c r="L1562" s="14" t="s">
        <v>253</v>
      </c>
      <c r="M1562" s="14" t="s">
        <v>552</v>
      </c>
      <c r="N1562" s="14" t="s">
        <v>553</v>
      </c>
      <c r="O1562" s="14">
        <v>57.0</v>
      </c>
      <c r="P1562" s="23">
        <v>0.5782</v>
      </c>
      <c r="Q1562" s="22" t="str">
        <f>"+5.58%"</f>
        <v>+5.58%</v>
      </c>
      <c r="R1562" s="18" t="str">
        <f>"+0.16%"</f>
        <v>+0.16%</v>
      </c>
      <c r="S1562" s="14" t="s">
        <v>1517</v>
      </c>
    </row>
    <row r="1563">
      <c r="A1563" s="13">
        <v>45901.0</v>
      </c>
      <c r="B1563" s="14" t="s">
        <v>47</v>
      </c>
      <c r="C1563" s="14" t="s">
        <v>48</v>
      </c>
      <c r="D1563" s="14" t="s">
        <v>69</v>
      </c>
      <c r="E1563" s="14" t="s">
        <v>70</v>
      </c>
      <c r="F1563" s="15" t="s">
        <v>51</v>
      </c>
      <c r="G1563" s="14" t="s">
        <v>115</v>
      </c>
      <c r="H1563" s="14" t="s">
        <v>72</v>
      </c>
      <c r="I1563" s="14" t="s">
        <v>54</v>
      </c>
      <c r="J1563" s="14" t="s">
        <v>200</v>
      </c>
      <c r="K1563" s="14" t="s">
        <v>239</v>
      </c>
      <c r="L1563" s="14" t="s">
        <v>253</v>
      </c>
      <c r="M1563" s="14" t="s">
        <v>366</v>
      </c>
      <c r="N1563" s="14" t="s">
        <v>367</v>
      </c>
      <c r="O1563" s="14">
        <v>52.0</v>
      </c>
      <c r="P1563" s="23">
        <v>0.52</v>
      </c>
      <c r="Q1563" s="22" t="str">
        <f>"-2.00%"</f>
        <v>-2.00%</v>
      </c>
      <c r="R1563" s="18" t="str">
        <f>"+8.00%"</f>
        <v>+8.00%</v>
      </c>
      <c r="S1563" s="14" t="s">
        <v>1518</v>
      </c>
    </row>
    <row r="1564">
      <c r="A1564" s="13">
        <v>45901.0</v>
      </c>
      <c r="B1564" s="14" t="s">
        <v>47</v>
      </c>
      <c r="C1564" s="14" t="s">
        <v>48</v>
      </c>
      <c r="D1564" s="14" t="s">
        <v>125</v>
      </c>
      <c r="E1564" s="14" t="s">
        <v>126</v>
      </c>
      <c r="F1564" s="15" t="s">
        <v>51</v>
      </c>
      <c r="G1564" s="14" t="s">
        <v>127</v>
      </c>
      <c r="H1564" s="14" t="s">
        <v>125</v>
      </c>
      <c r="I1564" s="14" t="s">
        <v>59</v>
      </c>
      <c r="J1564" s="14" t="s">
        <v>200</v>
      </c>
      <c r="K1564" s="14" t="s">
        <v>224</v>
      </c>
      <c r="L1564" s="14" t="s">
        <v>427</v>
      </c>
      <c r="M1564" s="14" t="s">
        <v>921</v>
      </c>
      <c r="N1564" s="14" t="s">
        <v>922</v>
      </c>
      <c r="O1564" s="14">
        <v>0.0</v>
      </c>
      <c r="P1564" s="17"/>
      <c r="Q1564" s="22"/>
      <c r="S1564" s="14" t="s">
        <v>923</v>
      </c>
    </row>
    <row r="1565">
      <c r="A1565" s="13">
        <v>45901.0</v>
      </c>
      <c r="B1565" s="14" t="s">
        <v>47</v>
      </c>
      <c r="C1565" s="14" t="s">
        <v>48</v>
      </c>
      <c r="D1565" s="14" t="s">
        <v>116</v>
      </c>
      <c r="E1565" s="14" t="s">
        <v>117</v>
      </c>
      <c r="F1565" s="15" t="s">
        <v>51</v>
      </c>
      <c r="G1565" s="14" t="s">
        <v>161</v>
      </c>
      <c r="H1565" s="14" t="s">
        <v>116</v>
      </c>
      <c r="I1565" s="14" t="s">
        <v>54</v>
      </c>
      <c r="J1565" s="14" t="s">
        <v>200</v>
      </c>
      <c r="K1565" s="14" t="s">
        <v>224</v>
      </c>
      <c r="L1565" s="14" t="s">
        <v>453</v>
      </c>
      <c r="M1565" s="14" t="s">
        <v>611</v>
      </c>
      <c r="N1565" s="14" t="s">
        <v>612</v>
      </c>
      <c r="O1565" s="14">
        <v>50.0</v>
      </c>
      <c r="P1565" s="23">
        <v>0.5</v>
      </c>
      <c r="Q1565" s="22"/>
      <c r="S1565" s="14" t="s">
        <v>523</v>
      </c>
    </row>
    <row r="1566">
      <c r="A1566" s="13">
        <v>45901.0</v>
      </c>
      <c r="B1566" s="14" t="s">
        <v>47</v>
      </c>
      <c r="C1566" s="14" t="s">
        <v>48</v>
      </c>
      <c r="D1566" s="14" t="s">
        <v>116</v>
      </c>
      <c r="E1566" s="14" t="s">
        <v>117</v>
      </c>
      <c r="F1566" s="15" t="s">
        <v>51</v>
      </c>
      <c r="G1566" s="14" t="s">
        <v>161</v>
      </c>
      <c r="H1566" s="14" t="s">
        <v>116</v>
      </c>
      <c r="I1566" s="14" t="s">
        <v>54</v>
      </c>
      <c r="J1566" s="14" t="s">
        <v>200</v>
      </c>
      <c r="K1566" s="14" t="s">
        <v>228</v>
      </c>
      <c r="L1566" s="14" t="s">
        <v>253</v>
      </c>
      <c r="M1566" s="14" t="s">
        <v>389</v>
      </c>
      <c r="N1566" s="14" t="s">
        <v>390</v>
      </c>
      <c r="O1566" s="14">
        <v>0.0</v>
      </c>
      <c r="P1566" s="17"/>
      <c r="Q1566" s="22"/>
      <c r="S1566" s="14" t="s">
        <v>1519</v>
      </c>
    </row>
    <row r="1567">
      <c r="A1567" s="13">
        <v>45901.0</v>
      </c>
      <c r="B1567" s="14" t="s">
        <v>47</v>
      </c>
      <c r="C1567" s="14" t="s">
        <v>48</v>
      </c>
      <c r="D1567" s="14" t="s">
        <v>77</v>
      </c>
      <c r="E1567" s="14" t="s">
        <v>78</v>
      </c>
      <c r="F1567" s="14" t="s">
        <v>79</v>
      </c>
      <c r="G1567" s="14" t="s">
        <v>80</v>
      </c>
      <c r="H1567" s="14" t="s">
        <v>81</v>
      </c>
      <c r="J1567" s="14" t="s">
        <v>199</v>
      </c>
      <c r="K1567" s="14" t="s">
        <v>206</v>
      </c>
      <c r="L1567" s="14" t="s">
        <v>295</v>
      </c>
      <c r="M1567" s="14" t="s">
        <v>651</v>
      </c>
      <c r="N1567" s="14" t="s">
        <v>652</v>
      </c>
      <c r="O1567" s="14">
        <v>0.0</v>
      </c>
      <c r="P1567" s="21">
        <v>0.0</v>
      </c>
      <c r="Q1567" s="22" t="str">
        <f t="shared" ref="Q1567:R1567" si="923">"+0"</f>
        <v>+0</v>
      </c>
      <c r="R1567" s="18" t="str">
        <f t="shared" si="923"/>
        <v>+0</v>
      </c>
      <c r="S1567" s="14" t="s">
        <v>260</v>
      </c>
    </row>
    <row r="1568">
      <c r="A1568" s="13">
        <v>45901.0</v>
      </c>
      <c r="B1568" s="14" t="s">
        <v>47</v>
      </c>
      <c r="C1568" s="14" t="s">
        <v>48</v>
      </c>
      <c r="D1568" s="14" t="s">
        <v>108</v>
      </c>
      <c r="E1568" s="14" t="s">
        <v>109</v>
      </c>
      <c r="F1568" s="15" t="s">
        <v>51</v>
      </c>
      <c r="G1568" s="14" t="s">
        <v>110</v>
      </c>
      <c r="H1568" s="14" t="s">
        <v>108</v>
      </c>
      <c r="I1568" s="14" t="s">
        <v>59</v>
      </c>
      <c r="J1568" s="14" t="s">
        <v>200</v>
      </c>
      <c r="K1568" s="14" t="s">
        <v>233</v>
      </c>
      <c r="L1568" s="14" t="s">
        <v>1269</v>
      </c>
      <c r="M1568" s="14" t="s">
        <v>1520</v>
      </c>
      <c r="N1568" s="14" t="s">
        <v>1521</v>
      </c>
      <c r="O1568" s="14">
        <v>0.0</v>
      </c>
      <c r="P1568" s="21">
        <v>0.0</v>
      </c>
      <c r="Q1568" s="22" t="str">
        <f t="shared" ref="Q1568:Q1569" si="924">"+0"</f>
        <v>+0</v>
      </c>
      <c r="S1568" s="14" t="s">
        <v>327</v>
      </c>
    </row>
    <row r="1569">
      <c r="A1569" s="13">
        <v>45901.0</v>
      </c>
      <c r="B1569" s="14" t="s">
        <v>47</v>
      </c>
      <c r="C1569" s="14" t="s">
        <v>48</v>
      </c>
      <c r="D1569" s="14" t="s">
        <v>56</v>
      </c>
      <c r="E1569" s="14" t="s">
        <v>57</v>
      </c>
      <c r="F1569" s="15" t="s">
        <v>51</v>
      </c>
      <c r="G1569" s="14" t="s">
        <v>58</v>
      </c>
      <c r="H1569" s="14" t="s">
        <v>56</v>
      </c>
      <c r="I1569" s="14" t="s">
        <v>59</v>
      </c>
      <c r="J1569" s="14" t="s">
        <v>200</v>
      </c>
      <c r="K1569" s="14" t="s">
        <v>223</v>
      </c>
      <c r="L1569" s="14" t="s">
        <v>422</v>
      </c>
      <c r="M1569" s="14" t="s">
        <v>423</v>
      </c>
      <c r="N1569" s="14" t="s">
        <v>424</v>
      </c>
      <c r="O1569" s="14">
        <v>100.0</v>
      </c>
      <c r="P1569" s="21">
        <v>11.0</v>
      </c>
      <c r="Q1569" s="22" t="str">
        <f t="shared" si="924"/>
        <v>+0</v>
      </c>
      <c r="R1569" s="18" t="str">
        <f>"+0"</f>
        <v>+0</v>
      </c>
      <c r="S1569" s="14" t="s">
        <v>260</v>
      </c>
    </row>
    <row r="1570">
      <c r="A1570" s="13">
        <v>45901.0</v>
      </c>
      <c r="B1570" s="14" t="s">
        <v>47</v>
      </c>
      <c r="C1570" s="14" t="s">
        <v>48</v>
      </c>
      <c r="D1570" s="14" t="s">
        <v>121</v>
      </c>
      <c r="E1570" s="14" t="s">
        <v>122</v>
      </c>
      <c r="F1570" s="15" t="s">
        <v>51</v>
      </c>
      <c r="G1570" s="14" t="s">
        <v>123</v>
      </c>
      <c r="H1570" s="14" t="s">
        <v>124</v>
      </c>
      <c r="I1570" s="14" t="s">
        <v>59</v>
      </c>
      <c r="J1570" s="14" t="s">
        <v>200</v>
      </c>
      <c r="K1570" s="14" t="s">
        <v>232</v>
      </c>
      <c r="L1570" s="14" t="s">
        <v>261</v>
      </c>
      <c r="M1570" s="14" t="s">
        <v>864</v>
      </c>
      <c r="N1570" s="14" t="s">
        <v>865</v>
      </c>
      <c r="O1570" s="14">
        <v>0.0</v>
      </c>
      <c r="P1570" s="23">
        <v>0.0</v>
      </c>
      <c r="Q1570" s="22" t="str">
        <f t="shared" ref="Q1570:R1570" si="925">"+0.00%"</f>
        <v>+0.00%</v>
      </c>
      <c r="R1570" s="18" t="str">
        <f t="shared" si="925"/>
        <v>+0.00%</v>
      </c>
      <c r="S1570" s="14" t="s">
        <v>285</v>
      </c>
    </row>
    <row r="1571">
      <c r="A1571" s="13">
        <v>45901.0</v>
      </c>
      <c r="B1571" s="14" t="s">
        <v>47</v>
      </c>
      <c r="C1571" s="14" t="s">
        <v>48</v>
      </c>
      <c r="D1571" s="14" t="s">
        <v>56</v>
      </c>
      <c r="E1571" s="14" t="s">
        <v>57</v>
      </c>
      <c r="F1571" s="15" t="s">
        <v>51</v>
      </c>
      <c r="G1571" s="14" t="s">
        <v>58</v>
      </c>
      <c r="H1571" s="14" t="s">
        <v>56</v>
      </c>
      <c r="I1571" s="14" t="s">
        <v>59</v>
      </c>
      <c r="J1571" s="14" t="s">
        <v>200</v>
      </c>
      <c r="K1571" s="14" t="s">
        <v>223</v>
      </c>
      <c r="L1571" s="14" t="s">
        <v>375</v>
      </c>
      <c r="M1571" s="14" t="s">
        <v>902</v>
      </c>
      <c r="N1571" s="14" t="s">
        <v>903</v>
      </c>
      <c r="O1571" s="14">
        <v>0.0</v>
      </c>
      <c r="P1571" s="23">
        <v>0.0</v>
      </c>
      <c r="Q1571" s="22" t="str">
        <f t="shared" ref="Q1571:R1571" si="926">"+0.00%"</f>
        <v>+0.00%</v>
      </c>
      <c r="R1571" s="18" t="str">
        <f t="shared" si="926"/>
        <v>+0.00%</v>
      </c>
      <c r="S1571" s="14" t="s">
        <v>285</v>
      </c>
    </row>
    <row r="1572">
      <c r="A1572" s="13">
        <v>45901.0</v>
      </c>
      <c r="B1572" s="14" t="s">
        <v>47</v>
      </c>
      <c r="C1572" s="14" t="s">
        <v>48</v>
      </c>
      <c r="D1572" s="14" t="s">
        <v>140</v>
      </c>
      <c r="E1572" s="14" t="s">
        <v>141</v>
      </c>
      <c r="F1572" s="15" t="s">
        <v>51</v>
      </c>
      <c r="G1572" s="14" t="s">
        <v>142</v>
      </c>
      <c r="H1572" s="14" t="s">
        <v>140</v>
      </c>
      <c r="I1572" s="14" t="s">
        <v>59</v>
      </c>
      <c r="J1572" s="14" t="s">
        <v>200</v>
      </c>
      <c r="K1572" s="14" t="s">
        <v>213</v>
      </c>
      <c r="L1572" s="14" t="s">
        <v>676</v>
      </c>
      <c r="M1572" s="14" t="s">
        <v>677</v>
      </c>
      <c r="N1572" s="14" t="s">
        <v>678</v>
      </c>
      <c r="O1572" s="14">
        <v>0.0</v>
      </c>
      <c r="P1572" s="23">
        <v>0.0</v>
      </c>
      <c r="Q1572" s="22" t="str">
        <f t="shared" ref="Q1572:R1572" si="927">"+0.00%"</f>
        <v>+0.00%</v>
      </c>
      <c r="R1572" s="18" t="str">
        <f t="shared" si="927"/>
        <v>+0.00%</v>
      </c>
      <c r="S1572" s="14" t="s">
        <v>285</v>
      </c>
    </row>
    <row r="1573">
      <c r="A1573" s="13">
        <v>45901.0</v>
      </c>
      <c r="B1573" s="14" t="s">
        <v>47</v>
      </c>
      <c r="C1573" s="14" t="s">
        <v>48</v>
      </c>
      <c r="D1573" s="14" t="s">
        <v>140</v>
      </c>
      <c r="E1573" s="14" t="s">
        <v>141</v>
      </c>
      <c r="F1573" s="15" t="s">
        <v>51</v>
      </c>
      <c r="G1573" s="14" t="s">
        <v>142</v>
      </c>
      <c r="H1573" s="14" t="s">
        <v>140</v>
      </c>
      <c r="I1573" s="14" t="s">
        <v>59</v>
      </c>
      <c r="J1573" s="14" t="s">
        <v>198</v>
      </c>
      <c r="K1573" s="14" t="s">
        <v>205</v>
      </c>
      <c r="L1573" s="14" t="s">
        <v>274</v>
      </c>
      <c r="M1573" s="14" t="s">
        <v>275</v>
      </c>
      <c r="N1573" s="14" t="s">
        <v>276</v>
      </c>
      <c r="O1573" s="14">
        <v>0.0</v>
      </c>
      <c r="P1573" s="21">
        <v>1.0</v>
      </c>
      <c r="Q1573" s="22" t="str">
        <f t="shared" ref="Q1573:Q1574" si="928">"+0"</f>
        <v>+0</v>
      </c>
      <c r="S1573" s="14" t="s">
        <v>277</v>
      </c>
    </row>
    <row r="1574">
      <c r="A1574" s="13">
        <v>45901.0</v>
      </c>
      <c r="B1574" s="14" t="s">
        <v>47</v>
      </c>
      <c r="C1574" s="14" t="s">
        <v>48</v>
      </c>
      <c r="D1574" s="14" t="s">
        <v>140</v>
      </c>
      <c r="E1574" s="14" t="s">
        <v>141</v>
      </c>
      <c r="F1574" s="15" t="s">
        <v>51</v>
      </c>
      <c r="G1574" s="14" t="s">
        <v>142</v>
      </c>
      <c r="H1574" s="14" t="s">
        <v>140</v>
      </c>
      <c r="I1574" s="14" t="s">
        <v>59</v>
      </c>
      <c r="J1574" s="14" t="s">
        <v>200</v>
      </c>
      <c r="K1574" s="14" t="s">
        <v>222</v>
      </c>
      <c r="L1574" s="14" t="s">
        <v>337</v>
      </c>
      <c r="M1574" s="14" t="s">
        <v>734</v>
      </c>
      <c r="N1574" s="14" t="s">
        <v>735</v>
      </c>
      <c r="O1574" s="14">
        <v>0.0</v>
      </c>
      <c r="P1574" s="21">
        <v>0.0</v>
      </c>
      <c r="Q1574" s="22" t="str">
        <f t="shared" si="928"/>
        <v>+0</v>
      </c>
      <c r="R1574" s="18" t="str">
        <f>"+0"</f>
        <v>+0</v>
      </c>
      <c r="S1574" s="14" t="s">
        <v>260</v>
      </c>
    </row>
    <row r="1575">
      <c r="A1575" s="13">
        <v>45901.0</v>
      </c>
      <c r="B1575" s="14" t="s">
        <v>47</v>
      </c>
      <c r="C1575" s="14" t="s">
        <v>48</v>
      </c>
      <c r="D1575" s="14" t="s">
        <v>60</v>
      </c>
      <c r="E1575" s="14" t="s">
        <v>61</v>
      </c>
      <c r="F1575" s="15" t="s">
        <v>51</v>
      </c>
      <c r="G1575" s="14" t="s">
        <v>62</v>
      </c>
      <c r="H1575" s="14" t="s">
        <v>60</v>
      </c>
      <c r="I1575" s="14" t="s">
        <v>59</v>
      </c>
      <c r="J1575" s="14" t="s">
        <v>200</v>
      </c>
      <c r="K1575" s="14" t="s">
        <v>223</v>
      </c>
      <c r="L1575" s="14" t="s">
        <v>286</v>
      </c>
      <c r="M1575" s="14" t="s">
        <v>644</v>
      </c>
      <c r="N1575" s="14" t="s">
        <v>645</v>
      </c>
      <c r="O1575" s="14">
        <v>31.0</v>
      </c>
      <c r="P1575" s="23">
        <v>-0.3684</v>
      </c>
      <c r="Q1575" s="22" t="str">
        <f>"+26.04%"</f>
        <v>+26.04%</v>
      </c>
      <c r="R1575" s="18" t="str">
        <f>"-136.84%"</f>
        <v>-136.84%</v>
      </c>
      <c r="S1575" s="14" t="s">
        <v>1522</v>
      </c>
    </row>
    <row r="1576">
      <c r="A1576" s="13">
        <v>45901.0</v>
      </c>
      <c r="B1576" s="14" t="s">
        <v>47</v>
      </c>
      <c r="C1576" s="14" t="s">
        <v>48</v>
      </c>
      <c r="D1576" s="14" t="s">
        <v>165</v>
      </c>
      <c r="E1576" s="14" t="s">
        <v>166</v>
      </c>
      <c r="F1576" s="15" t="s">
        <v>51</v>
      </c>
      <c r="G1576" s="14" t="s">
        <v>167</v>
      </c>
      <c r="H1576" s="14" t="s">
        <v>165</v>
      </c>
      <c r="I1576" s="14" t="s">
        <v>54</v>
      </c>
      <c r="J1576" s="14" t="s">
        <v>198</v>
      </c>
      <c r="K1576" s="14" t="s">
        <v>210</v>
      </c>
      <c r="L1576" s="14" t="s">
        <v>264</v>
      </c>
      <c r="M1576" s="14" t="s">
        <v>1210</v>
      </c>
      <c r="N1576" s="14" t="s">
        <v>1211</v>
      </c>
      <c r="O1576" s="14">
        <v>0.0</v>
      </c>
      <c r="P1576" s="21">
        <v>0.0</v>
      </c>
      <c r="Q1576" s="22" t="str">
        <f t="shared" ref="Q1576:R1576" si="929">"+0"</f>
        <v>+0</v>
      </c>
      <c r="R1576" s="18" t="str">
        <f t="shared" si="929"/>
        <v>+0</v>
      </c>
      <c r="S1576" s="14" t="s">
        <v>277</v>
      </c>
    </row>
    <row r="1577">
      <c r="A1577" s="13">
        <v>45901.0</v>
      </c>
      <c r="B1577" s="14" t="s">
        <v>47</v>
      </c>
      <c r="C1577" s="14" t="s">
        <v>48</v>
      </c>
      <c r="D1577" s="14" t="s">
        <v>91</v>
      </c>
      <c r="E1577" s="14" t="s">
        <v>92</v>
      </c>
      <c r="F1577" s="14" t="s">
        <v>71</v>
      </c>
      <c r="G1577" s="14">
        <v>7295600.0</v>
      </c>
      <c r="H1577" s="14" t="s">
        <v>91</v>
      </c>
      <c r="I1577" s="14" t="s">
        <v>54</v>
      </c>
      <c r="J1577" s="14" t="s">
        <v>200</v>
      </c>
      <c r="K1577" s="14" t="s">
        <v>218</v>
      </c>
      <c r="L1577" s="14" t="s">
        <v>253</v>
      </c>
      <c r="M1577" s="14" t="s">
        <v>1388</v>
      </c>
      <c r="N1577" s="14" t="s">
        <v>1389</v>
      </c>
      <c r="O1577" s="14">
        <v>0.0</v>
      </c>
      <c r="P1577" s="23">
        <v>0.0</v>
      </c>
      <c r="Q1577" s="22" t="str">
        <f t="shared" ref="Q1577:R1577" si="930">"+0.00%"</f>
        <v>+0.00%</v>
      </c>
      <c r="R1577" s="18" t="str">
        <f t="shared" si="930"/>
        <v>+0.00%</v>
      </c>
      <c r="S1577" s="14" t="s">
        <v>1523</v>
      </c>
    </row>
    <row r="1578">
      <c r="A1578" s="13">
        <v>45901.0</v>
      </c>
      <c r="B1578" s="14" t="s">
        <v>47</v>
      </c>
      <c r="C1578" s="14" t="s">
        <v>48</v>
      </c>
      <c r="D1578" s="14" t="s">
        <v>99</v>
      </c>
      <c r="E1578" s="14" t="s">
        <v>100</v>
      </c>
      <c r="F1578" s="15" t="s">
        <v>51</v>
      </c>
      <c r="G1578" s="14" t="s">
        <v>101</v>
      </c>
      <c r="H1578" s="14" t="s">
        <v>102</v>
      </c>
      <c r="I1578" s="14" t="s">
        <v>54</v>
      </c>
      <c r="J1578" s="14" t="s">
        <v>199</v>
      </c>
      <c r="K1578" s="14" t="s">
        <v>203</v>
      </c>
      <c r="L1578" s="14" t="s">
        <v>536</v>
      </c>
      <c r="M1578" s="14" t="s">
        <v>536</v>
      </c>
      <c r="N1578" s="14" t="s">
        <v>537</v>
      </c>
      <c r="O1578" s="14">
        <v>0.0</v>
      </c>
      <c r="P1578" s="21">
        <v>0.0</v>
      </c>
      <c r="Q1578" s="22" t="str">
        <f t="shared" ref="Q1578:R1578" si="931">"+0"</f>
        <v>+0</v>
      </c>
      <c r="R1578" s="18" t="str">
        <f t="shared" si="931"/>
        <v>+0</v>
      </c>
      <c r="S1578" s="14" t="s">
        <v>260</v>
      </c>
    </row>
    <row r="1579">
      <c r="A1579" s="13">
        <v>45901.0</v>
      </c>
      <c r="B1579" s="14" t="s">
        <v>47</v>
      </c>
      <c r="C1579" s="14" t="s">
        <v>48</v>
      </c>
      <c r="D1579" s="14" t="s">
        <v>91</v>
      </c>
      <c r="E1579" s="14" t="s">
        <v>92</v>
      </c>
      <c r="F1579" s="14" t="s">
        <v>71</v>
      </c>
      <c r="G1579" s="14">
        <v>5.00008613E8</v>
      </c>
      <c r="H1579" s="14" t="s">
        <v>91</v>
      </c>
      <c r="I1579" s="14" t="s">
        <v>59</v>
      </c>
      <c r="J1579" s="14" t="s">
        <v>199</v>
      </c>
      <c r="K1579" s="14" t="s">
        <v>203</v>
      </c>
      <c r="L1579" s="14" t="s">
        <v>725</v>
      </c>
      <c r="M1579" s="14" t="s">
        <v>725</v>
      </c>
      <c r="N1579" s="14" t="s">
        <v>726</v>
      </c>
      <c r="O1579" s="14">
        <v>100.0</v>
      </c>
      <c r="P1579" s="21">
        <v>4.0</v>
      </c>
      <c r="Q1579" s="22" t="str">
        <f t="shared" ref="Q1579:Q1580" si="932">"+1"</f>
        <v>+1</v>
      </c>
      <c r="R1579" s="18" t="str">
        <f>"+2"</f>
        <v>+2</v>
      </c>
      <c r="S1579" s="14" t="s">
        <v>260</v>
      </c>
    </row>
    <row r="1580">
      <c r="A1580" s="13">
        <v>45901.0</v>
      </c>
      <c r="B1580" s="14" t="s">
        <v>47</v>
      </c>
      <c r="C1580" s="14" t="s">
        <v>48</v>
      </c>
      <c r="D1580" s="14" t="s">
        <v>184</v>
      </c>
      <c r="E1580" s="14" t="s">
        <v>185</v>
      </c>
      <c r="F1580" s="15" t="s">
        <v>51</v>
      </c>
      <c r="G1580" s="14" t="s">
        <v>186</v>
      </c>
      <c r="H1580" s="14" t="s">
        <v>187</v>
      </c>
      <c r="I1580" s="14" t="s">
        <v>59</v>
      </c>
      <c r="J1580" s="14" t="s">
        <v>198</v>
      </c>
      <c r="K1580" s="14" t="s">
        <v>210</v>
      </c>
      <c r="L1580" s="14" t="s">
        <v>264</v>
      </c>
      <c r="M1580" s="14" t="s">
        <v>470</v>
      </c>
      <c r="N1580" s="14" t="s">
        <v>471</v>
      </c>
      <c r="O1580" s="14">
        <v>88.0</v>
      </c>
      <c r="P1580" s="21">
        <v>1.0</v>
      </c>
      <c r="Q1580" s="22" t="str">
        <f t="shared" si="932"/>
        <v>+1</v>
      </c>
      <c r="R1580" s="18" t="str">
        <f>"+0"</f>
        <v>+0</v>
      </c>
      <c r="S1580" s="14" t="s">
        <v>356</v>
      </c>
    </row>
    <row r="1581">
      <c r="A1581" s="13">
        <v>45901.0</v>
      </c>
      <c r="B1581" s="14" t="s">
        <v>47</v>
      </c>
      <c r="C1581" s="14" t="s">
        <v>48</v>
      </c>
      <c r="D1581" s="14" t="s">
        <v>192</v>
      </c>
      <c r="E1581" s="14" t="s">
        <v>193</v>
      </c>
      <c r="F1581" s="15" t="s">
        <v>51</v>
      </c>
      <c r="G1581" s="14" t="s">
        <v>194</v>
      </c>
      <c r="H1581" s="14" t="s">
        <v>192</v>
      </c>
      <c r="I1581" s="14" t="s">
        <v>54</v>
      </c>
      <c r="J1581" s="14" t="s">
        <v>198</v>
      </c>
      <c r="K1581" s="14" t="s">
        <v>205</v>
      </c>
      <c r="L1581" s="14" t="s">
        <v>274</v>
      </c>
      <c r="M1581" s="14" t="s">
        <v>696</v>
      </c>
      <c r="N1581" s="14" t="s">
        <v>697</v>
      </c>
      <c r="O1581" s="14">
        <v>100.0</v>
      </c>
      <c r="P1581" s="21">
        <v>1.0</v>
      </c>
      <c r="Q1581" s="22" t="str">
        <f t="shared" ref="Q1581:Q1583" si="933">"+0"</f>
        <v>+0</v>
      </c>
      <c r="S1581" s="14" t="s">
        <v>281</v>
      </c>
    </row>
    <row r="1582">
      <c r="A1582" s="13">
        <v>45901.0</v>
      </c>
      <c r="B1582" s="14" t="s">
        <v>47</v>
      </c>
      <c r="C1582" s="14" t="s">
        <v>48</v>
      </c>
      <c r="D1582" s="14" t="s">
        <v>93</v>
      </c>
      <c r="E1582" s="14" t="s">
        <v>94</v>
      </c>
      <c r="F1582" s="14" t="s">
        <v>71</v>
      </c>
      <c r="G1582" s="14">
        <v>5.36001438E8</v>
      </c>
      <c r="H1582" s="14" t="s">
        <v>95</v>
      </c>
      <c r="I1582" s="14" t="s">
        <v>59</v>
      </c>
      <c r="J1582" s="14" t="s">
        <v>199</v>
      </c>
      <c r="K1582" s="14" t="s">
        <v>206</v>
      </c>
      <c r="L1582" s="14" t="s">
        <v>433</v>
      </c>
      <c r="M1582" s="14" t="s">
        <v>433</v>
      </c>
      <c r="N1582" s="14" t="s">
        <v>434</v>
      </c>
      <c r="O1582" s="14">
        <v>100.0</v>
      </c>
      <c r="P1582" s="21">
        <v>1.0</v>
      </c>
      <c r="Q1582" s="22" t="str">
        <f t="shared" si="933"/>
        <v>+0</v>
      </c>
      <c r="R1582" s="18" t="str">
        <f>"-11"</f>
        <v>-11</v>
      </c>
      <c r="S1582" s="14" t="s">
        <v>383</v>
      </c>
    </row>
    <row r="1583">
      <c r="A1583" s="13">
        <v>45901.0</v>
      </c>
      <c r="B1583" s="14" t="s">
        <v>47</v>
      </c>
      <c r="C1583" s="14" t="s">
        <v>48</v>
      </c>
      <c r="D1583" s="14" t="s">
        <v>103</v>
      </c>
      <c r="E1583" s="14" t="s">
        <v>104</v>
      </c>
      <c r="F1583" s="15" t="s">
        <v>51</v>
      </c>
      <c r="G1583" s="14" t="s">
        <v>105</v>
      </c>
      <c r="H1583" s="14" t="s">
        <v>106</v>
      </c>
      <c r="I1583" s="14" t="s">
        <v>59</v>
      </c>
      <c r="J1583" s="14" t="s">
        <v>199</v>
      </c>
      <c r="K1583" s="14" t="s">
        <v>206</v>
      </c>
      <c r="L1583" s="14" t="s">
        <v>295</v>
      </c>
      <c r="M1583" s="14" t="s">
        <v>986</v>
      </c>
      <c r="N1583" s="14" t="s">
        <v>987</v>
      </c>
      <c r="O1583" s="14">
        <v>0.0</v>
      </c>
      <c r="P1583" s="21">
        <v>0.0</v>
      </c>
      <c r="Q1583" s="22" t="str">
        <f t="shared" si="933"/>
        <v>+0</v>
      </c>
      <c r="R1583" s="18" t="str">
        <f>"+0"</f>
        <v>+0</v>
      </c>
      <c r="S1583" s="14" t="s">
        <v>260</v>
      </c>
    </row>
    <row r="1584">
      <c r="A1584" s="13">
        <v>45901.0</v>
      </c>
      <c r="B1584" s="14" t="s">
        <v>47</v>
      </c>
      <c r="C1584" s="14" t="s">
        <v>48</v>
      </c>
      <c r="D1584" s="14" t="s">
        <v>143</v>
      </c>
      <c r="E1584" s="14" t="s">
        <v>144</v>
      </c>
      <c r="F1584" s="15" t="s">
        <v>51</v>
      </c>
      <c r="G1584" s="14" t="s">
        <v>145</v>
      </c>
      <c r="H1584" s="14" t="s">
        <v>143</v>
      </c>
      <c r="I1584" s="14" t="s">
        <v>59</v>
      </c>
      <c r="J1584" s="14" t="s">
        <v>200</v>
      </c>
      <c r="K1584" s="14" t="s">
        <v>232</v>
      </c>
      <c r="L1584" s="14" t="s">
        <v>253</v>
      </c>
      <c r="M1584" s="14" t="s">
        <v>389</v>
      </c>
      <c r="N1584" s="14" t="s">
        <v>390</v>
      </c>
      <c r="O1584" s="14">
        <v>39.0</v>
      </c>
      <c r="P1584" s="23">
        <v>0.3939</v>
      </c>
      <c r="Q1584" s="22" t="str">
        <f>"+4.55%"</f>
        <v>+4.55%</v>
      </c>
      <c r="R1584" s="18" t="str">
        <f>"-7.58%"</f>
        <v>-7.58%</v>
      </c>
      <c r="S1584" s="14" t="s">
        <v>1524</v>
      </c>
    </row>
    <row r="1585">
      <c r="A1585" s="13">
        <v>45901.0</v>
      </c>
      <c r="B1585" s="14" t="s">
        <v>47</v>
      </c>
      <c r="C1585" s="14" t="s">
        <v>48</v>
      </c>
      <c r="D1585" s="14" t="s">
        <v>149</v>
      </c>
      <c r="E1585" s="14" t="s">
        <v>150</v>
      </c>
      <c r="F1585" s="15" t="s">
        <v>51</v>
      </c>
      <c r="G1585" s="14" t="s">
        <v>151</v>
      </c>
      <c r="H1585" s="14" t="s">
        <v>152</v>
      </c>
      <c r="I1585" s="14" t="s">
        <v>54</v>
      </c>
      <c r="J1585" s="14" t="s">
        <v>198</v>
      </c>
      <c r="K1585" s="14" t="s">
        <v>210</v>
      </c>
      <c r="L1585" s="14" t="s">
        <v>264</v>
      </c>
      <c r="M1585" s="14" t="s">
        <v>804</v>
      </c>
      <c r="N1585" s="14" t="s">
        <v>805</v>
      </c>
      <c r="O1585" s="14">
        <v>0.0</v>
      </c>
      <c r="P1585" s="21">
        <v>0.0</v>
      </c>
      <c r="Q1585" s="22" t="str">
        <f t="shared" ref="Q1585:R1585" si="934">"+0"</f>
        <v>+0</v>
      </c>
      <c r="R1585" s="18" t="str">
        <f t="shared" si="934"/>
        <v>+0</v>
      </c>
      <c r="S1585" s="14" t="s">
        <v>277</v>
      </c>
    </row>
    <row r="1586">
      <c r="A1586" s="13">
        <v>45901.0</v>
      </c>
      <c r="B1586" s="14" t="s">
        <v>47</v>
      </c>
      <c r="C1586" s="14" t="s">
        <v>48</v>
      </c>
      <c r="D1586" s="14" t="s">
        <v>129</v>
      </c>
      <c r="E1586" s="14" t="s">
        <v>130</v>
      </c>
      <c r="F1586" s="15" t="s">
        <v>51</v>
      </c>
      <c r="G1586" s="14" t="s">
        <v>131</v>
      </c>
      <c r="H1586" s="14" t="s">
        <v>129</v>
      </c>
      <c r="I1586" s="14" t="s">
        <v>59</v>
      </c>
      <c r="J1586" s="14" t="s">
        <v>198</v>
      </c>
      <c r="K1586" s="14" t="s">
        <v>212</v>
      </c>
      <c r="L1586" s="14" t="s">
        <v>249</v>
      </c>
      <c r="M1586" s="14" t="s">
        <v>250</v>
      </c>
      <c r="N1586" s="14" t="s">
        <v>251</v>
      </c>
      <c r="O1586" s="14">
        <v>100.0</v>
      </c>
      <c r="P1586" s="21">
        <v>0.0</v>
      </c>
      <c r="Q1586" s="22" t="str">
        <f t="shared" ref="Q1586:R1586" si="935">"+0"</f>
        <v>+0</v>
      </c>
      <c r="R1586" s="18" t="str">
        <f t="shared" si="935"/>
        <v>+0</v>
      </c>
      <c r="S1586" s="14" t="s">
        <v>281</v>
      </c>
    </row>
    <row r="1587">
      <c r="A1587" s="13">
        <v>45901.0</v>
      </c>
      <c r="B1587" s="14" t="s">
        <v>47</v>
      </c>
      <c r="C1587" s="14" t="s">
        <v>48</v>
      </c>
      <c r="D1587" s="14" t="s">
        <v>171</v>
      </c>
      <c r="E1587" s="14" t="s">
        <v>172</v>
      </c>
      <c r="F1587" s="15" t="s">
        <v>51</v>
      </c>
      <c r="G1587" s="14" t="s">
        <v>173</v>
      </c>
      <c r="H1587" s="14" t="s">
        <v>171</v>
      </c>
      <c r="I1587" s="14" t="s">
        <v>59</v>
      </c>
      <c r="J1587" s="14" t="s">
        <v>198</v>
      </c>
      <c r="K1587" s="14" t="s">
        <v>210</v>
      </c>
      <c r="L1587" s="14" t="s">
        <v>278</v>
      </c>
      <c r="M1587" s="14" t="s">
        <v>443</v>
      </c>
      <c r="N1587" s="14" t="s">
        <v>444</v>
      </c>
      <c r="O1587" s="14">
        <v>8.0</v>
      </c>
      <c r="P1587" s="21">
        <v>229.0</v>
      </c>
      <c r="Q1587" s="22" t="str">
        <f>"+17"</f>
        <v>+17</v>
      </c>
      <c r="R1587" s="18" t="str">
        <f>"-105"</f>
        <v>-105</v>
      </c>
      <c r="S1587" s="14" t="s">
        <v>1433</v>
      </c>
    </row>
    <row r="1588">
      <c r="A1588" s="13">
        <v>45901.0</v>
      </c>
      <c r="B1588" s="14" t="s">
        <v>47</v>
      </c>
      <c r="C1588" s="14" t="s">
        <v>48</v>
      </c>
      <c r="D1588" s="14" t="s">
        <v>85</v>
      </c>
      <c r="E1588" s="14" t="s">
        <v>86</v>
      </c>
      <c r="F1588" s="15" t="s">
        <v>51</v>
      </c>
      <c r="G1588" s="14" t="s">
        <v>148</v>
      </c>
      <c r="H1588" s="14" t="s">
        <v>85</v>
      </c>
      <c r="I1588" s="14" t="s">
        <v>59</v>
      </c>
      <c r="J1588" s="14" t="s">
        <v>199</v>
      </c>
      <c r="K1588" s="14" t="s">
        <v>206</v>
      </c>
      <c r="L1588" s="14" t="s">
        <v>569</v>
      </c>
      <c r="M1588" s="14" t="s">
        <v>569</v>
      </c>
      <c r="N1588" s="14" t="s">
        <v>570</v>
      </c>
      <c r="O1588" s="14">
        <v>100.0</v>
      </c>
      <c r="P1588" s="21">
        <v>7.0</v>
      </c>
      <c r="Q1588" s="22" t="str">
        <f t="shared" ref="Q1588:R1588" si="936">"+6"</f>
        <v>+6</v>
      </c>
      <c r="R1588" s="18" t="str">
        <f t="shared" si="936"/>
        <v>+6</v>
      </c>
      <c r="S1588" s="14" t="s">
        <v>383</v>
      </c>
    </row>
    <row r="1589">
      <c r="A1589" s="13">
        <v>45901.0</v>
      </c>
      <c r="B1589" s="14" t="s">
        <v>47</v>
      </c>
      <c r="C1589" s="14" t="s">
        <v>48</v>
      </c>
      <c r="D1589" s="14" t="s">
        <v>69</v>
      </c>
      <c r="E1589" s="14" t="s">
        <v>70</v>
      </c>
      <c r="F1589" s="15" t="s">
        <v>51</v>
      </c>
      <c r="G1589" s="14" t="s">
        <v>115</v>
      </c>
      <c r="H1589" s="14" t="s">
        <v>72</v>
      </c>
      <c r="I1589" s="14" t="s">
        <v>54</v>
      </c>
      <c r="J1589" s="14" t="s">
        <v>198</v>
      </c>
      <c r="K1589" s="14" t="s">
        <v>210</v>
      </c>
      <c r="L1589" s="14" t="s">
        <v>278</v>
      </c>
      <c r="M1589" s="14" t="s">
        <v>1485</v>
      </c>
      <c r="N1589" s="14" t="s">
        <v>1486</v>
      </c>
      <c r="O1589" s="14">
        <v>0.0</v>
      </c>
      <c r="P1589" s="21">
        <v>0.0</v>
      </c>
      <c r="Q1589" s="22" t="str">
        <f t="shared" ref="Q1589:R1589" si="937">"+0"</f>
        <v>+0</v>
      </c>
      <c r="R1589" s="18" t="str">
        <f t="shared" si="937"/>
        <v>+0</v>
      </c>
      <c r="S1589" s="14" t="s">
        <v>277</v>
      </c>
    </row>
    <row r="1590">
      <c r="A1590" s="13">
        <v>45901.0</v>
      </c>
      <c r="B1590" s="14" t="s">
        <v>47</v>
      </c>
      <c r="C1590" s="14" t="s">
        <v>48</v>
      </c>
      <c r="D1590" s="14" t="s">
        <v>125</v>
      </c>
      <c r="E1590" s="14" t="s">
        <v>126</v>
      </c>
      <c r="F1590" s="15" t="s">
        <v>51</v>
      </c>
      <c r="G1590" s="14" t="s">
        <v>127</v>
      </c>
      <c r="H1590" s="14" t="s">
        <v>125</v>
      </c>
      <c r="I1590" s="14" t="s">
        <v>59</v>
      </c>
      <c r="J1590" s="14" t="s">
        <v>200</v>
      </c>
      <c r="K1590" s="14" t="s">
        <v>232</v>
      </c>
      <c r="L1590" s="14" t="s">
        <v>282</v>
      </c>
      <c r="M1590" s="14" t="s">
        <v>914</v>
      </c>
      <c r="N1590" s="14" t="s">
        <v>915</v>
      </c>
      <c r="O1590" s="14">
        <v>0.0</v>
      </c>
      <c r="P1590" s="21">
        <v>0.0</v>
      </c>
      <c r="Q1590" s="22" t="str">
        <f t="shared" ref="Q1590:R1590" si="938">"+0"</f>
        <v>+0</v>
      </c>
      <c r="R1590" s="18" t="str">
        <f t="shared" si="938"/>
        <v>+0</v>
      </c>
      <c r="S1590" s="14" t="s">
        <v>260</v>
      </c>
    </row>
    <row r="1591">
      <c r="A1591" s="13">
        <v>45901.0</v>
      </c>
      <c r="B1591" s="14" t="s">
        <v>47</v>
      </c>
      <c r="C1591" s="14" t="s">
        <v>48</v>
      </c>
      <c r="D1591" s="14" t="s">
        <v>69</v>
      </c>
      <c r="E1591" s="14" t="s">
        <v>70</v>
      </c>
      <c r="F1591" s="15" t="s">
        <v>51</v>
      </c>
      <c r="G1591" s="14" t="s">
        <v>115</v>
      </c>
      <c r="H1591" s="14" t="s">
        <v>72</v>
      </c>
      <c r="I1591" s="14" t="s">
        <v>54</v>
      </c>
      <c r="J1591" s="14" t="s">
        <v>200</v>
      </c>
      <c r="K1591" s="14" t="s">
        <v>245</v>
      </c>
      <c r="L1591" s="14" t="s">
        <v>253</v>
      </c>
      <c r="M1591" s="14" t="s">
        <v>1263</v>
      </c>
      <c r="N1591" s="14" t="s">
        <v>1264</v>
      </c>
      <c r="O1591" s="14">
        <v>4.0</v>
      </c>
      <c r="P1591" s="23">
        <v>0.0493</v>
      </c>
      <c r="Q1591" s="22" t="str">
        <f>"+2.49%"</f>
        <v>+2.49%</v>
      </c>
      <c r="R1591" s="18" t="str">
        <f>"+4.76%"</f>
        <v>+4.76%</v>
      </c>
      <c r="S1591" s="14" t="s">
        <v>1265</v>
      </c>
    </row>
    <row r="1592">
      <c r="A1592" s="13">
        <v>45901.0</v>
      </c>
      <c r="B1592" s="14" t="s">
        <v>47</v>
      </c>
      <c r="C1592" s="14" t="s">
        <v>48</v>
      </c>
      <c r="D1592" s="14" t="s">
        <v>116</v>
      </c>
      <c r="E1592" s="14" t="s">
        <v>117</v>
      </c>
      <c r="F1592" s="15" t="s">
        <v>51</v>
      </c>
      <c r="G1592" s="14" t="s">
        <v>161</v>
      </c>
      <c r="H1592" s="14" t="s">
        <v>116</v>
      </c>
      <c r="I1592" s="14" t="s">
        <v>54</v>
      </c>
      <c r="J1592" s="14" t="s">
        <v>200</v>
      </c>
      <c r="K1592" s="14" t="s">
        <v>213</v>
      </c>
      <c r="L1592" s="14" t="s">
        <v>591</v>
      </c>
      <c r="M1592" s="14" t="s">
        <v>592</v>
      </c>
      <c r="N1592" s="14" t="s">
        <v>1048</v>
      </c>
      <c r="O1592" s="14">
        <v>100.0</v>
      </c>
      <c r="P1592" s="23">
        <v>0.0046</v>
      </c>
      <c r="Q1592" s="22" t="str">
        <f>"+0.18%"</f>
        <v>+0.18%</v>
      </c>
      <c r="R1592" s="18" t="str">
        <f>"+0.07%"</f>
        <v>+0.07%</v>
      </c>
      <c r="S1592" s="14" t="s">
        <v>285</v>
      </c>
    </row>
    <row r="1593">
      <c r="A1593" s="13">
        <v>45901.0</v>
      </c>
      <c r="B1593" s="14" t="s">
        <v>47</v>
      </c>
      <c r="C1593" s="14" t="s">
        <v>48</v>
      </c>
      <c r="D1593" s="14" t="s">
        <v>116</v>
      </c>
      <c r="E1593" s="14" t="s">
        <v>117</v>
      </c>
      <c r="F1593" s="14" t="s">
        <v>111</v>
      </c>
      <c r="G1593" s="14">
        <v>5298600.0</v>
      </c>
      <c r="H1593" s="14" t="s">
        <v>116</v>
      </c>
      <c r="I1593" s="14" t="s">
        <v>59</v>
      </c>
      <c r="J1593" s="14" t="s">
        <v>199</v>
      </c>
      <c r="K1593" s="14" t="s">
        <v>206</v>
      </c>
      <c r="L1593" s="14" t="s">
        <v>295</v>
      </c>
      <c r="M1593" s="14" t="s">
        <v>529</v>
      </c>
      <c r="N1593" s="14" t="s">
        <v>530</v>
      </c>
      <c r="O1593" s="14">
        <v>100.0</v>
      </c>
      <c r="P1593" s="21">
        <v>8.0</v>
      </c>
      <c r="Q1593" s="22" t="str">
        <f t="shared" ref="Q1593:R1593" si="939">"+0"</f>
        <v>+0</v>
      </c>
      <c r="R1593" s="18" t="str">
        <f t="shared" si="939"/>
        <v>+0</v>
      </c>
      <c r="S1593" s="14" t="s">
        <v>260</v>
      </c>
    </row>
    <row r="1594">
      <c r="A1594" s="13">
        <v>45901.0</v>
      </c>
      <c r="B1594" s="14" t="s">
        <v>47</v>
      </c>
      <c r="C1594" s="14" t="s">
        <v>48</v>
      </c>
      <c r="D1594" s="14" t="s">
        <v>116</v>
      </c>
      <c r="E1594" s="14" t="s">
        <v>117</v>
      </c>
      <c r="F1594" s="15" t="s">
        <v>51</v>
      </c>
      <c r="G1594" s="14" t="s">
        <v>161</v>
      </c>
      <c r="H1594" s="14" t="s">
        <v>116</v>
      </c>
      <c r="I1594" s="14" t="s">
        <v>54</v>
      </c>
      <c r="J1594" s="14" t="s">
        <v>198</v>
      </c>
      <c r="K1594" s="14" t="s">
        <v>205</v>
      </c>
      <c r="L1594" s="14" t="s">
        <v>274</v>
      </c>
      <c r="M1594" s="14" t="s">
        <v>425</v>
      </c>
      <c r="N1594" s="14" t="s">
        <v>426</v>
      </c>
      <c r="O1594" s="14">
        <v>0.0</v>
      </c>
      <c r="P1594" s="21">
        <v>0.0</v>
      </c>
      <c r="Q1594" s="22" t="str">
        <f t="shared" ref="Q1594:Q1596" si="940">"+0"</f>
        <v>+0</v>
      </c>
      <c r="S1594" s="14" t="s">
        <v>281</v>
      </c>
    </row>
    <row r="1595">
      <c r="A1595" s="13">
        <v>45901.0</v>
      </c>
      <c r="B1595" s="14" t="s">
        <v>47</v>
      </c>
      <c r="C1595" s="14" t="s">
        <v>48</v>
      </c>
      <c r="D1595" s="14" t="s">
        <v>116</v>
      </c>
      <c r="E1595" s="14" t="s">
        <v>117</v>
      </c>
      <c r="F1595" s="15" t="s">
        <v>51</v>
      </c>
      <c r="G1595" s="14" t="s">
        <v>161</v>
      </c>
      <c r="H1595" s="14" t="s">
        <v>116</v>
      </c>
      <c r="I1595" s="14" t="s">
        <v>54</v>
      </c>
      <c r="J1595" s="14" t="s">
        <v>198</v>
      </c>
      <c r="K1595" s="14" t="s">
        <v>210</v>
      </c>
      <c r="L1595" s="14" t="s">
        <v>505</v>
      </c>
      <c r="M1595" s="14" t="s">
        <v>1128</v>
      </c>
      <c r="N1595" s="14" t="s">
        <v>1129</v>
      </c>
      <c r="O1595" s="14">
        <v>0.0</v>
      </c>
      <c r="P1595" s="21">
        <v>0.0</v>
      </c>
      <c r="Q1595" s="22" t="str">
        <f t="shared" si="940"/>
        <v>+0</v>
      </c>
      <c r="R1595" s="18" t="str">
        <f t="shared" ref="R1595:R1596" si="941">"+0"</f>
        <v>+0</v>
      </c>
      <c r="S1595" s="14" t="s">
        <v>277</v>
      </c>
    </row>
    <row r="1596">
      <c r="A1596" s="13">
        <v>45901.0</v>
      </c>
      <c r="B1596" s="14" t="s">
        <v>47</v>
      </c>
      <c r="C1596" s="14" t="s">
        <v>48</v>
      </c>
      <c r="D1596" s="14" t="s">
        <v>158</v>
      </c>
      <c r="E1596" s="14" t="s">
        <v>159</v>
      </c>
      <c r="F1596" s="15" t="s">
        <v>51</v>
      </c>
      <c r="G1596" s="14" t="s">
        <v>160</v>
      </c>
      <c r="H1596" s="14" t="s">
        <v>158</v>
      </c>
      <c r="I1596" s="14" t="s">
        <v>54</v>
      </c>
      <c r="J1596" s="14" t="s">
        <v>198</v>
      </c>
      <c r="K1596" s="14" t="s">
        <v>210</v>
      </c>
      <c r="L1596" s="14" t="s">
        <v>505</v>
      </c>
      <c r="M1596" s="14" t="s">
        <v>1393</v>
      </c>
      <c r="N1596" s="14" t="s">
        <v>1394</v>
      </c>
      <c r="O1596" s="14">
        <v>0.0</v>
      </c>
      <c r="P1596" s="21">
        <v>0.0</v>
      </c>
      <c r="Q1596" s="22" t="str">
        <f t="shared" si="940"/>
        <v>+0</v>
      </c>
      <c r="R1596" s="18" t="str">
        <f t="shared" si="941"/>
        <v>+0</v>
      </c>
      <c r="S1596" s="14" t="s">
        <v>277</v>
      </c>
    </row>
    <row r="1597">
      <c r="A1597" s="13">
        <v>45901.0</v>
      </c>
      <c r="B1597" s="14" t="s">
        <v>47</v>
      </c>
      <c r="C1597" s="14" t="s">
        <v>48</v>
      </c>
      <c r="D1597" s="14" t="s">
        <v>158</v>
      </c>
      <c r="E1597" s="14" t="s">
        <v>159</v>
      </c>
      <c r="F1597" s="15" t="s">
        <v>51</v>
      </c>
      <c r="G1597" s="14" t="s">
        <v>160</v>
      </c>
      <c r="H1597" s="14" t="s">
        <v>158</v>
      </c>
      <c r="I1597" s="14" t="s">
        <v>54</v>
      </c>
      <c r="J1597" s="14" t="s">
        <v>200</v>
      </c>
      <c r="K1597" s="14" t="s">
        <v>224</v>
      </c>
      <c r="L1597" s="14" t="s">
        <v>453</v>
      </c>
      <c r="M1597" s="14" t="s">
        <v>716</v>
      </c>
      <c r="N1597" s="14" t="s">
        <v>717</v>
      </c>
      <c r="O1597" s="14">
        <v>0.0</v>
      </c>
      <c r="P1597" s="17"/>
      <c r="Q1597" s="22"/>
      <c r="S1597" s="14" t="s">
        <v>718</v>
      </c>
    </row>
    <row r="1598">
      <c r="A1598" s="13">
        <v>45901.0</v>
      </c>
      <c r="B1598" s="14" t="s">
        <v>47</v>
      </c>
      <c r="C1598" s="14" t="s">
        <v>48</v>
      </c>
      <c r="D1598" s="14" t="s">
        <v>112</v>
      </c>
      <c r="E1598" s="14" t="s">
        <v>113</v>
      </c>
      <c r="F1598" s="15" t="s">
        <v>51</v>
      </c>
      <c r="G1598" s="14" t="s">
        <v>114</v>
      </c>
      <c r="H1598" s="14" t="s">
        <v>112</v>
      </c>
      <c r="I1598" s="14" t="s">
        <v>59</v>
      </c>
      <c r="J1598" s="14" t="s">
        <v>198</v>
      </c>
      <c r="K1598" s="14" t="s">
        <v>205</v>
      </c>
      <c r="L1598" s="14" t="s">
        <v>274</v>
      </c>
      <c r="M1598" s="14" t="s">
        <v>738</v>
      </c>
      <c r="N1598" s="14" t="s">
        <v>739</v>
      </c>
      <c r="O1598" s="14">
        <v>0.0</v>
      </c>
      <c r="P1598" s="21">
        <v>0.0</v>
      </c>
      <c r="Q1598" s="22" t="str">
        <f t="shared" ref="Q1598:Q1600" si="942">"+0"</f>
        <v>+0</v>
      </c>
      <c r="S1598" s="14" t="s">
        <v>281</v>
      </c>
    </row>
    <row r="1599">
      <c r="A1599" s="13">
        <v>45901.0</v>
      </c>
      <c r="B1599" s="14" t="s">
        <v>47</v>
      </c>
      <c r="C1599" s="14" t="s">
        <v>48</v>
      </c>
      <c r="D1599" s="14" t="s">
        <v>174</v>
      </c>
      <c r="E1599" s="14" t="s">
        <v>175</v>
      </c>
      <c r="F1599" s="15" t="s">
        <v>51</v>
      </c>
      <c r="G1599" s="14" t="s">
        <v>176</v>
      </c>
      <c r="H1599" s="14" t="s">
        <v>174</v>
      </c>
      <c r="I1599" s="14" t="s">
        <v>59</v>
      </c>
      <c r="J1599" s="14" t="s">
        <v>200</v>
      </c>
      <c r="K1599" s="14" t="s">
        <v>227</v>
      </c>
      <c r="L1599" s="14" t="s">
        <v>328</v>
      </c>
      <c r="M1599" s="14" t="s">
        <v>329</v>
      </c>
      <c r="N1599" s="14" t="s">
        <v>330</v>
      </c>
      <c r="O1599" s="14">
        <v>11.0</v>
      </c>
      <c r="P1599" s="21">
        <v>1.0</v>
      </c>
      <c r="Q1599" s="22" t="str">
        <f t="shared" si="942"/>
        <v>+0</v>
      </c>
      <c r="R1599" s="18" t="str">
        <f t="shared" ref="R1599:R1600" si="943">"+0"</f>
        <v>+0</v>
      </c>
      <c r="S1599" s="14" t="s">
        <v>260</v>
      </c>
    </row>
    <row r="1600">
      <c r="A1600" s="13">
        <v>45901.0</v>
      </c>
      <c r="B1600" s="14" t="s">
        <v>47</v>
      </c>
      <c r="C1600" s="14" t="s">
        <v>48</v>
      </c>
      <c r="D1600" s="14" t="s">
        <v>174</v>
      </c>
      <c r="E1600" s="14" t="s">
        <v>175</v>
      </c>
      <c r="F1600" s="15" t="s">
        <v>51</v>
      </c>
      <c r="G1600" s="14" t="s">
        <v>176</v>
      </c>
      <c r="H1600" s="14" t="s">
        <v>174</v>
      </c>
      <c r="I1600" s="14" t="s">
        <v>59</v>
      </c>
      <c r="J1600" s="14" t="s">
        <v>199</v>
      </c>
      <c r="K1600" s="14" t="s">
        <v>203</v>
      </c>
      <c r="L1600" s="14" t="s">
        <v>736</v>
      </c>
      <c r="M1600" s="14" t="s">
        <v>736</v>
      </c>
      <c r="N1600" s="14" t="s">
        <v>737</v>
      </c>
      <c r="O1600" s="14">
        <v>0.0</v>
      </c>
      <c r="P1600" s="21">
        <v>0.0</v>
      </c>
      <c r="Q1600" s="22" t="str">
        <f t="shared" si="942"/>
        <v>+0</v>
      </c>
      <c r="R1600" s="18" t="str">
        <f t="shared" si="943"/>
        <v>+0</v>
      </c>
      <c r="S1600" s="14" t="s">
        <v>260</v>
      </c>
    </row>
    <row r="1601">
      <c r="A1601" s="13">
        <v>45901.0</v>
      </c>
      <c r="B1601" s="14" t="s">
        <v>47</v>
      </c>
      <c r="C1601" s="14" t="s">
        <v>48</v>
      </c>
      <c r="D1601" s="14" t="s">
        <v>112</v>
      </c>
      <c r="E1601" s="14" t="s">
        <v>113</v>
      </c>
      <c r="F1601" s="15" t="s">
        <v>51</v>
      </c>
      <c r="G1601" s="14" t="s">
        <v>114</v>
      </c>
      <c r="H1601" s="14" t="s">
        <v>112</v>
      </c>
      <c r="I1601" s="14" t="s">
        <v>59</v>
      </c>
      <c r="J1601" s="14" t="s">
        <v>200</v>
      </c>
      <c r="K1601" s="14" t="s">
        <v>213</v>
      </c>
      <c r="L1601" s="14" t="s">
        <v>676</v>
      </c>
      <c r="M1601" s="14" t="s">
        <v>858</v>
      </c>
      <c r="N1601" s="14" t="s">
        <v>859</v>
      </c>
      <c r="O1601" s="14">
        <v>0.0</v>
      </c>
      <c r="P1601" s="23">
        <v>-1.0</v>
      </c>
      <c r="Q1601" s="22" t="str">
        <f t="shared" ref="Q1601:R1601" si="944">"+0.00%"</f>
        <v>+0.00%</v>
      </c>
      <c r="R1601" s="18" t="str">
        <f t="shared" si="944"/>
        <v>+0.00%</v>
      </c>
      <c r="S1601" s="14" t="s">
        <v>1525</v>
      </c>
    </row>
    <row r="1602">
      <c r="A1602" s="13">
        <v>45901.0</v>
      </c>
      <c r="B1602" s="14" t="s">
        <v>47</v>
      </c>
      <c r="C1602" s="14" t="s">
        <v>48</v>
      </c>
      <c r="D1602" s="14" t="s">
        <v>112</v>
      </c>
      <c r="E1602" s="14" t="s">
        <v>113</v>
      </c>
      <c r="F1602" s="15" t="s">
        <v>51</v>
      </c>
      <c r="G1602" s="14" t="s">
        <v>114</v>
      </c>
      <c r="H1602" s="14" t="s">
        <v>112</v>
      </c>
      <c r="I1602" s="14" t="s">
        <v>59</v>
      </c>
      <c r="J1602" s="14" t="s">
        <v>199</v>
      </c>
      <c r="K1602" s="14" t="s">
        <v>206</v>
      </c>
      <c r="L1602" s="14" t="s">
        <v>515</v>
      </c>
      <c r="M1602" s="14" t="s">
        <v>515</v>
      </c>
      <c r="N1602" s="14" t="s">
        <v>516</v>
      </c>
      <c r="O1602" s="14">
        <v>0.0</v>
      </c>
      <c r="P1602" s="21">
        <v>0.0</v>
      </c>
      <c r="Q1602" s="22" t="str">
        <f t="shared" ref="Q1602:R1602" si="945">"+0"</f>
        <v>+0</v>
      </c>
      <c r="R1602" s="18" t="str">
        <f t="shared" si="945"/>
        <v>+0</v>
      </c>
      <c r="S1602" s="14" t="s">
        <v>383</v>
      </c>
    </row>
    <row r="1603">
      <c r="A1603" s="13">
        <v>45901.0</v>
      </c>
      <c r="B1603" s="14" t="s">
        <v>47</v>
      </c>
      <c r="C1603" s="14" t="s">
        <v>48</v>
      </c>
      <c r="D1603" s="14" t="s">
        <v>121</v>
      </c>
      <c r="E1603" s="14" t="s">
        <v>122</v>
      </c>
      <c r="F1603" s="15" t="s">
        <v>51</v>
      </c>
      <c r="G1603" s="14" t="s">
        <v>123</v>
      </c>
      <c r="H1603" s="14" t="s">
        <v>124</v>
      </c>
      <c r="I1603" s="14" t="s">
        <v>59</v>
      </c>
      <c r="J1603" s="14" t="s">
        <v>199</v>
      </c>
      <c r="K1603" s="14" t="s">
        <v>206</v>
      </c>
      <c r="L1603" s="14" t="s">
        <v>295</v>
      </c>
      <c r="M1603" s="14" t="s">
        <v>986</v>
      </c>
      <c r="N1603" s="14" t="s">
        <v>987</v>
      </c>
      <c r="O1603" s="14">
        <v>0.0</v>
      </c>
      <c r="P1603" s="21">
        <v>0.0</v>
      </c>
      <c r="Q1603" s="22" t="str">
        <f t="shared" ref="Q1603:R1603" si="946">"+0"</f>
        <v>+0</v>
      </c>
      <c r="R1603" s="18" t="str">
        <f t="shared" si="946"/>
        <v>+0</v>
      </c>
      <c r="S1603" s="14" t="s">
        <v>260</v>
      </c>
    </row>
    <row r="1604">
      <c r="A1604" s="13">
        <v>45901.0</v>
      </c>
      <c r="B1604" s="14" t="s">
        <v>47</v>
      </c>
      <c r="C1604" s="14" t="s">
        <v>48</v>
      </c>
      <c r="D1604" s="14" t="s">
        <v>121</v>
      </c>
      <c r="E1604" s="14" t="s">
        <v>122</v>
      </c>
      <c r="F1604" s="15" t="s">
        <v>51</v>
      </c>
      <c r="G1604" s="14" t="s">
        <v>123</v>
      </c>
      <c r="H1604" s="14" t="s">
        <v>124</v>
      </c>
      <c r="I1604" s="14" t="s">
        <v>59</v>
      </c>
      <c r="J1604" s="14" t="s">
        <v>200</v>
      </c>
      <c r="K1604" s="14" t="s">
        <v>214</v>
      </c>
      <c r="L1604" s="14" t="s">
        <v>253</v>
      </c>
      <c r="M1604" s="14" t="s">
        <v>389</v>
      </c>
      <c r="N1604" s="14" t="s">
        <v>390</v>
      </c>
      <c r="O1604" s="14">
        <v>0.0</v>
      </c>
      <c r="P1604" s="23">
        <v>0.0</v>
      </c>
      <c r="Q1604" s="22" t="str">
        <f t="shared" ref="Q1604:R1604" si="947">"+0.00%"</f>
        <v>+0.00%</v>
      </c>
      <c r="R1604" s="18" t="str">
        <f t="shared" si="947"/>
        <v>+0.00%</v>
      </c>
      <c r="S1604" s="14" t="s">
        <v>1526</v>
      </c>
    </row>
    <row r="1605">
      <c r="A1605" s="13">
        <v>45901.0</v>
      </c>
      <c r="B1605" s="14" t="s">
        <v>47</v>
      </c>
      <c r="C1605" s="14" t="s">
        <v>48</v>
      </c>
      <c r="D1605" s="14" t="s">
        <v>140</v>
      </c>
      <c r="E1605" s="14" t="s">
        <v>141</v>
      </c>
      <c r="F1605" s="15" t="s">
        <v>51</v>
      </c>
      <c r="G1605" s="14" t="s">
        <v>142</v>
      </c>
      <c r="H1605" s="14" t="s">
        <v>140</v>
      </c>
      <c r="I1605" s="14" t="s">
        <v>59</v>
      </c>
      <c r="J1605" s="14" t="s">
        <v>198</v>
      </c>
      <c r="K1605" s="14" t="s">
        <v>205</v>
      </c>
      <c r="L1605" s="14" t="s">
        <v>274</v>
      </c>
      <c r="M1605" s="14" t="s">
        <v>696</v>
      </c>
      <c r="N1605" s="14" t="s">
        <v>697</v>
      </c>
      <c r="O1605" s="14">
        <v>100.0</v>
      </c>
      <c r="P1605" s="21">
        <v>1.0</v>
      </c>
      <c r="Q1605" s="22" t="str">
        <f t="shared" ref="Q1605:Q1606" si="948">"+0"</f>
        <v>+0</v>
      </c>
      <c r="S1605" s="14" t="s">
        <v>281</v>
      </c>
    </row>
    <row r="1606">
      <c r="A1606" s="13">
        <v>45901.0</v>
      </c>
      <c r="B1606" s="14" t="s">
        <v>47</v>
      </c>
      <c r="C1606" s="14" t="s">
        <v>48</v>
      </c>
      <c r="D1606" s="14" t="s">
        <v>49</v>
      </c>
      <c r="E1606" s="14" t="s">
        <v>50</v>
      </c>
      <c r="F1606" s="15" t="s">
        <v>51</v>
      </c>
      <c r="G1606" s="14" t="s">
        <v>52</v>
      </c>
      <c r="H1606" s="14" t="s">
        <v>53</v>
      </c>
      <c r="I1606" s="14" t="s">
        <v>54</v>
      </c>
      <c r="J1606" s="14" t="s">
        <v>198</v>
      </c>
      <c r="K1606" s="14" t="s">
        <v>210</v>
      </c>
      <c r="L1606" s="14" t="s">
        <v>278</v>
      </c>
      <c r="M1606" s="14" t="s">
        <v>853</v>
      </c>
      <c r="N1606" s="14" t="s">
        <v>854</v>
      </c>
      <c r="O1606" s="14">
        <v>0.0</v>
      </c>
      <c r="P1606" s="21">
        <v>0.0</v>
      </c>
      <c r="Q1606" s="22" t="str">
        <f t="shared" si="948"/>
        <v>+0</v>
      </c>
      <c r="R1606" s="18" t="str">
        <f>"+0"</f>
        <v>+0</v>
      </c>
      <c r="S1606" s="14" t="s">
        <v>277</v>
      </c>
    </row>
    <row r="1607">
      <c r="A1607" s="13">
        <v>45901.0</v>
      </c>
      <c r="B1607" s="14" t="s">
        <v>47</v>
      </c>
      <c r="C1607" s="14" t="s">
        <v>48</v>
      </c>
      <c r="D1607" s="14" t="s">
        <v>49</v>
      </c>
      <c r="E1607" s="14" t="s">
        <v>50</v>
      </c>
      <c r="F1607" s="15" t="s">
        <v>51</v>
      </c>
      <c r="G1607" s="14" t="s">
        <v>52</v>
      </c>
      <c r="H1607" s="14" t="s">
        <v>53</v>
      </c>
      <c r="I1607" s="14" t="s">
        <v>54</v>
      </c>
      <c r="J1607" s="14" t="s">
        <v>200</v>
      </c>
      <c r="K1607" s="14" t="s">
        <v>213</v>
      </c>
      <c r="L1607" s="14" t="s">
        <v>571</v>
      </c>
      <c r="M1607" s="14" t="s">
        <v>572</v>
      </c>
      <c r="N1607" s="14" t="s">
        <v>573</v>
      </c>
      <c r="O1607" s="14">
        <v>0.0</v>
      </c>
      <c r="P1607" s="23">
        <v>0.0</v>
      </c>
      <c r="Q1607" s="22" t="str">
        <f t="shared" ref="Q1607:R1607" si="949">"+0.00%"</f>
        <v>+0.00%</v>
      </c>
      <c r="R1607" s="18" t="str">
        <f t="shared" si="949"/>
        <v>+0.00%</v>
      </c>
      <c r="S1607" s="14" t="s">
        <v>285</v>
      </c>
    </row>
    <row r="1608">
      <c r="A1608" s="13">
        <v>45901.0</v>
      </c>
      <c r="B1608" s="14" t="s">
        <v>47</v>
      </c>
      <c r="C1608" s="14" t="s">
        <v>48</v>
      </c>
      <c r="D1608" s="14" t="s">
        <v>63</v>
      </c>
      <c r="E1608" s="14" t="s">
        <v>64</v>
      </c>
      <c r="F1608" s="15" t="s">
        <v>51</v>
      </c>
      <c r="G1608" s="14" t="s">
        <v>65</v>
      </c>
      <c r="H1608" s="14" t="s">
        <v>63</v>
      </c>
      <c r="I1608" s="14" t="s">
        <v>54</v>
      </c>
      <c r="J1608" s="14" t="s">
        <v>198</v>
      </c>
      <c r="K1608" s="14" t="s">
        <v>210</v>
      </c>
      <c r="L1608" s="14" t="s">
        <v>264</v>
      </c>
      <c r="M1608" s="14" t="s">
        <v>1214</v>
      </c>
      <c r="N1608" s="14" t="s">
        <v>1215</v>
      </c>
      <c r="O1608" s="14">
        <v>0.0</v>
      </c>
      <c r="P1608" s="21">
        <v>0.0</v>
      </c>
      <c r="Q1608" s="22" t="str">
        <f>"+0"</f>
        <v>+0</v>
      </c>
      <c r="R1608" s="18" t="str">
        <f>"-1"</f>
        <v>-1</v>
      </c>
      <c r="S1608" s="14" t="s">
        <v>277</v>
      </c>
    </row>
    <row r="1609">
      <c r="A1609" s="13">
        <v>45901.0</v>
      </c>
      <c r="B1609" s="14" t="s">
        <v>47</v>
      </c>
      <c r="C1609" s="14" t="s">
        <v>48</v>
      </c>
      <c r="D1609" s="14" t="s">
        <v>91</v>
      </c>
      <c r="E1609" s="14" t="s">
        <v>92</v>
      </c>
      <c r="F1609" s="14" t="s">
        <v>71</v>
      </c>
      <c r="G1609" s="14">
        <v>5.00008612E8</v>
      </c>
      <c r="H1609" s="14" t="s">
        <v>91</v>
      </c>
      <c r="I1609" s="14" t="s">
        <v>59</v>
      </c>
      <c r="J1609" s="14" t="s">
        <v>199</v>
      </c>
      <c r="K1609" s="14" t="s">
        <v>206</v>
      </c>
      <c r="L1609" s="14" t="s">
        <v>569</v>
      </c>
      <c r="M1609" s="14" t="s">
        <v>569</v>
      </c>
      <c r="N1609" s="14" t="s">
        <v>570</v>
      </c>
      <c r="O1609" s="14">
        <v>100.0</v>
      </c>
      <c r="P1609" s="21">
        <v>10.0</v>
      </c>
      <c r="Q1609" s="22" t="str">
        <f>"-2"</f>
        <v>-2</v>
      </c>
      <c r="R1609" s="18" t="str">
        <f>"-7"</f>
        <v>-7</v>
      </c>
      <c r="S1609" s="14" t="s">
        <v>383</v>
      </c>
    </row>
    <row r="1610">
      <c r="A1610" s="13">
        <v>45901.0</v>
      </c>
      <c r="B1610" s="14" t="s">
        <v>47</v>
      </c>
      <c r="C1610" s="14" t="s">
        <v>48</v>
      </c>
      <c r="D1610" s="14" t="s">
        <v>91</v>
      </c>
      <c r="E1610" s="14" t="s">
        <v>92</v>
      </c>
      <c r="F1610" s="14" t="s">
        <v>71</v>
      </c>
      <c r="G1610" s="14">
        <v>7295600.0</v>
      </c>
      <c r="H1610" s="14" t="s">
        <v>91</v>
      </c>
      <c r="I1610" s="14" t="s">
        <v>54</v>
      </c>
      <c r="J1610" s="14" t="s">
        <v>199</v>
      </c>
      <c r="K1610" s="14" t="s">
        <v>206</v>
      </c>
      <c r="L1610" s="14" t="s">
        <v>381</v>
      </c>
      <c r="M1610" s="14" t="s">
        <v>381</v>
      </c>
      <c r="N1610" s="14" t="s">
        <v>382</v>
      </c>
      <c r="O1610" s="14">
        <v>0.0</v>
      </c>
      <c r="P1610" s="21">
        <v>0.0</v>
      </c>
      <c r="Q1610" s="22" t="str">
        <f t="shared" ref="Q1610:R1610" si="950">"+0"</f>
        <v>+0</v>
      </c>
      <c r="R1610" s="18" t="str">
        <f t="shared" si="950"/>
        <v>+0</v>
      </c>
      <c r="S1610" s="14" t="s">
        <v>383</v>
      </c>
    </row>
    <row r="1611">
      <c r="A1611" s="13">
        <v>45901.0</v>
      </c>
      <c r="B1611" s="14" t="s">
        <v>47</v>
      </c>
      <c r="C1611" s="14" t="s">
        <v>48</v>
      </c>
      <c r="D1611" s="14" t="s">
        <v>63</v>
      </c>
      <c r="E1611" s="14" t="s">
        <v>64</v>
      </c>
      <c r="F1611" s="14" t="s">
        <v>111</v>
      </c>
      <c r="G1611" s="14">
        <v>4916210.0</v>
      </c>
      <c r="H1611" s="14" t="s">
        <v>63</v>
      </c>
      <c r="I1611" s="14" t="s">
        <v>59</v>
      </c>
      <c r="J1611" s="14" t="s">
        <v>199</v>
      </c>
      <c r="K1611" s="14" t="s">
        <v>203</v>
      </c>
      <c r="L1611" s="14" t="s">
        <v>601</v>
      </c>
      <c r="M1611" s="14" t="s">
        <v>601</v>
      </c>
      <c r="N1611" s="14" t="s">
        <v>602</v>
      </c>
      <c r="O1611" s="14">
        <v>0.0</v>
      </c>
      <c r="P1611" s="21">
        <v>0.0</v>
      </c>
      <c r="Q1611" s="22" t="str">
        <f t="shared" ref="Q1611:R1611" si="951">"+0"</f>
        <v>+0</v>
      </c>
      <c r="R1611" s="18" t="str">
        <f t="shared" si="951"/>
        <v>+0</v>
      </c>
      <c r="S1611" s="14" t="s">
        <v>260</v>
      </c>
    </row>
    <row r="1612">
      <c r="A1612" s="13">
        <v>45901.0</v>
      </c>
      <c r="B1612" s="14" t="s">
        <v>47</v>
      </c>
      <c r="C1612" s="14" t="s">
        <v>48</v>
      </c>
      <c r="D1612" s="14" t="s">
        <v>99</v>
      </c>
      <c r="E1612" s="14" t="s">
        <v>100</v>
      </c>
      <c r="F1612" s="15" t="s">
        <v>51</v>
      </c>
      <c r="G1612" s="14" t="s">
        <v>101</v>
      </c>
      <c r="H1612" s="14" t="s">
        <v>102</v>
      </c>
      <c r="I1612" s="14" t="s">
        <v>54</v>
      </c>
      <c r="J1612" s="14" t="s">
        <v>200</v>
      </c>
      <c r="K1612" s="14" t="s">
        <v>213</v>
      </c>
      <c r="L1612" s="14" t="s">
        <v>359</v>
      </c>
      <c r="M1612" s="14" t="s">
        <v>519</v>
      </c>
      <c r="N1612" s="14" t="s">
        <v>520</v>
      </c>
      <c r="O1612" s="14">
        <v>0.0</v>
      </c>
      <c r="P1612" s="21">
        <v>0.0</v>
      </c>
      <c r="Q1612" s="22" t="str">
        <f t="shared" ref="Q1612:R1612" si="952">"+0"</f>
        <v>+0</v>
      </c>
      <c r="R1612" s="18" t="str">
        <f t="shared" si="952"/>
        <v>+0</v>
      </c>
      <c r="S1612" s="14" t="s">
        <v>260</v>
      </c>
    </row>
    <row r="1613">
      <c r="A1613" s="13">
        <v>45901.0</v>
      </c>
      <c r="B1613" s="14" t="s">
        <v>47</v>
      </c>
      <c r="C1613" s="14" t="s">
        <v>48</v>
      </c>
      <c r="D1613" s="14" t="s">
        <v>91</v>
      </c>
      <c r="E1613" s="14" t="s">
        <v>92</v>
      </c>
      <c r="F1613" s="14" t="s">
        <v>71</v>
      </c>
      <c r="G1613" s="14">
        <v>5.10011769E8</v>
      </c>
      <c r="H1613" s="14" t="s">
        <v>91</v>
      </c>
      <c r="I1613" s="14" t="s">
        <v>59</v>
      </c>
      <c r="J1613" s="14" t="s">
        <v>199</v>
      </c>
      <c r="K1613" s="14" t="s">
        <v>203</v>
      </c>
      <c r="L1613" s="14" t="s">
        <v>342</v>
      </c>
      <c r="M1613" s="14" t="s">
        <v>342</v>
      </c>
      <c r="N1613" s="14" t="s">
        <v>343</v>
      </c>
      <c r="O1613" s="14">
        <v>0.0</v>
      </c>
      <c r="P1613" s="21">
        <v>0.0</v>
      </c>
      <c r="Q1613" s="22" t="str">
        <f t="shared" ref="Q1613:R1613" si="953">"+0"</f>
        <v>+0</v>
      </c>
      <c r="R1613" s="18" t="str">
        <f t="shared" si="953"/>
        <v>+0</v>
      </c>
      <c r="S1613" s="14" t="s">
        <v>260</v>
      </c>
    </row>
    <row r="1614">
      <c r="A1614" s="13">
        <v>45901.0</v>
      </c>
      <c r="B1614" s="14" t="s">
        <v>47</v>
      </c>
      <c r="C1614" s="14" t="s">
        <v>48</v>
      </c>
      <c r="D1614" s="14" t="s">
        <v>82</v>
      </c>
      <c r="E1614" s="14" t="s">
        <v>83</v>
      </c>
      <c r="F1614" s="15" t="s">
        <v>51</v>
      </c>
      <c r="G1614" s="14" t="s">
        <v>84</v>
      </c>
      <c r="H1614" s="14" t="s">
        <v>82</v>
      </c>
      <c r="I1614" s="14" t="s">
        <v>59</v>
      </c>
      <c r="J1614" s="14" t="s">
        <v>198</v>
      </c>
      <c r="K1614" s="14" t="s">
        <v>212</v>
      </c>
      <c r="L1614" s="14" t="s">
        <v>344</v>
      </c>
      <c r="M1614" s="14" t="s">
        <v>580</v>
      </c>
      <c r="N1614" s="14" t="s">
        <v>581</v>
      </c>
      <c r="O1614" s="14">
        <v>100.0</v>
      </c>
      <c r="P1614" s="21">
        <v>1.0</v>
      </c>
      <c r="Q1614" s="22" t="str">
        <f>"+1"</f>
        <v>+1</v>
      </c>
      <c r="S1614" s="14" t="s">
        <v>281</v>
      </c>
    </row>
    <row r="1615">
      <c r="A1615" s="13">
        <v>45901.0</v>
      </c>
      <c r="B1615" s="14" t="s">
        <v>47</v>
      </c>
      <c r="C1615" s="14" t="s">
        <v>48</v>
      </c>
      <c r="D1615" s="14" t="s">
        <v>192</v>
      </c>
      <c r="E1615" s="14" t="s">
        <v>193</v>
      </c>
      <c r="F1615" s="15" t="s">
        <v>51</v>
      </c>
      <c r="G1615" s="14" t="s">
        <v>194</v>
      </c>
      <c r="H1615" s="14" t="s">
        <v>192</v>
      </c>
      <c r="I1615" s="14" t="s">
        <v>54</v>
      </c>
      <c r="J1615" s="14" t="s">
        <v>200</v>
      </c>
      <c r="K1615" s="14" t="s">
        <v>231</v>
      </c>
      <c r="L1615" s="14" t="s">
        <v>751</v>
      </c>
      <c r="M1615" s="14" t="s">
        <v>1527</v>
      </c>
      <c r="N1615" s="14" t="s">
        <v>1528</v>
      </c>
      <c r="O1615" s="14">
        <v>19.0</v>
      </c>
      <c r="P1615" s="23">
        <v>0.1975</v>
      </c>
      <c r="Q1615" s="22" t="str">
        <f>"+0.65%"</f>
        <v>+0.65%</v>
      </c>
      <c r="R1615" s="18" t="str">
        <f>"+0.94%"</f>
        <v>+0.94%</v>
      </c>
      <c r="S1615" s="14" t="s">
        <v>1529</v>
      </c>
    </row>
    <row r="1616">
      <c r="A1616" s="13">
        <v>45901.0</v>
      </c>
      <c r="B1616" s="14" t="s">
        <v>47</v>
      </c>
      <c r="C1616" s="14" t="s">
        <v>48</v>
      </c>
      <c r="D1616" s="14" t="s">
        <v>192</v>
      </c>
      <c r="E1616" s="14" t="s">
        <v>193</v>
      </c>
      <c r="F1616" s="15" t="s">
        <v>51</v>
      </c>
      <c r="G1616" s="14" t="s">
        <v>194</v>
      </c>
      <c r="H1616" s="14" t="s">
        <v>192</v>
      </c>
      <c r="I1616" s="14" t="s">
        <v>54</v>
      </c>
      <c r="J1616" s="14" t="s">
        <v>200</v>
      </c>
      <c r="K1616" s="14" t="s">
        <v>223</v>
      </c>
      <c r="L1616" s="14" t="s">
        <v>261</v>
      </c>
      <c r="M1616" s="14" t="s">
        <v>1338</v>
      </c>
      <c r="N1616" s="14" t="s">
        <v>1339</v>
      </c>
      <c r="O1616" s="14">
        <v>0.0</v>
      </c>
      <c r="P1616" s="23">
        <v>0.0</v>
      </c>
      <c r="Q1616" s="22" t="str">
        <f t="shared" ref="Q1616:R1616" si="954">"+0.00%"</f>
        <v>+0.00%</v>
      </c>
      <c r="R1616" s="18" t="str">
        <f t="shared" si="954"/>
        <v>+0.00%</v>
      </c>
      <c r="S1616" s="14" t="s">
        <v>285</v>
      </c>
    </row>
    <row r="1617">
      <c r="A1617" s="13">
        <v>45901.0</v>
      </c>
      <c r="B1617" s="14" t="s">
        <v>47</v>
      </c>
      <c r="C1617" s="14" t="s">
        <v>48</v>
      </c>
      <c r="D1617" s="14" t="s">
        <v>192</v>
      </c>
      <c r="E1617" s="14" t="s">
        <v>193</v>
      </c>
      <c r="F1617" s="15" t="s">
        <v>51</v>
      </c>
      <c r="G1617" s="14" t="s">
        <v>194</v>
      </c>
      <c r="H1617" s="14" t="s">
        <v>192</v>
      </c>
      <c r="I1617" s="14" t="s">
        <v>54</v>
      </c>
      <c r="J1617" s="14" t="s">
        <v>198</v>
      </c>
      <c r="K1617" s="14" t="s">
        <v>210</v>
      </c>
      <c r="L1617" s="14" t="s">
        <v>264</v>
      </c>
      <c r="M1617" s="14" t="s">
        <v>350</v>
      </c>
      <c r="N1617" s="14" t="s">
        <v>351</v>
      </c>
      <c r="O1617" s="14">
        <v>0.0</v>
      </c>
      <c r="P1617" s="21">
        <v>0.0</v>
      </c>
      <c r="Q1617" s="22" t="str">
        <f t="shared" ref="Q1617:R1617" si="955">"+0"</f>
        <v>+0</v>
      </c>
      <c r="R1617" s="18" t="str">
        <f t="shared" si="955"/>
        <v>+0</v>
      </c>
      <c r="S1617" s="14" t="s">
        <v>277</v>
      </c>
    </row>
    <row r="1618">
      <c r="A1618" s="13">
        <v>45901.0</v>
      </c>
      <c r="B1618" s="14" t="s">
        <v>47</v>
      </c>
      <c r="C1618" s="14" t="s">
        <v>48</v>
      </c>
      <c r="D1618" s="14" t="s">
        <v>192</v>
      </c>
      <c r="E1618" s="14" t="s">
        <v>193</v>
      </c>
      <c r="F1618" s="15" t="s">
        <v>51</v>
      </c>
      <c r="G1618" s="14" t="s">
        <v>194</v>
      </c>
      <c r="H1618" s="14" t="s">
        <v>192</v>
      </c>
      <c r="I1618" s="14" t="s">
        <v>54</v>
      </c>
      <c r="J1618" s="14" t="s">
        <v>198</v>
      </c>
      <c r="K1618" s="14" t="s">
        <v>210</v>
      </c>
      <c r="L1618" s="14" t="s">
        <v>264</v>
      </c>
      <c r="M1618" s="14" t="s">
        <v>943</v>
      </c>
      <c r="N1618" s="14" t="s">
        <v>944</v>
      </c>
      <c r="O1618" s="14">
        <v>0.0</v>
      </c>
      <c r="P1618" s="21">
        <v>0.0</v>
      </c>
      <c r="Q1618" s="22" t="str">
        <f t="shared" ref="Q1618:R1618" si="956">"+0"</f>
        <v>+0</v>
      </c>
      <c r="R1618" s="18" t="str">
        <f t="shared" si="956"/>
        <v>+0</v>
      </c>
      <c r="S1618" s="14" t="s">
        <v>277</v>
      </c>
    </row>
    <row r="1619">
      <c r="A1619" s="13">
        <v>45901.0</v>
      </c>
      <c r="B1619" s="14" t="s">
        <v>47</v>
      </c>
      <c r="C1619" s="14" t="s">
        <v>48</v>
      </c>
      <c r="D1619" s="14" t="s">
        <v>184</v>
      </c>
      <c r="E1619" s="14" t="s">
        <v>185</v>
      </c>
      <c r="F1619" s="15" t="s">
        <v>51</v>
      </c>
      <c r="G1619" s="14" t="s">
        <v>186</v>
      </c>
      <c r="H1619" s="14" t="s">
        <v>187</v>
      </c>
      <c r="I1619" s="14" t="s">
        <v>59</v>
      </c>
      <c r="J1619" s="14" t="s">
        <v>200</v>
      </c>
      <c r="K1619" s="14" t="s">
        <v>224</v>
      </c>
      <c r="L1619" s="14" t="s">
        <v>436</v>
      </c>
      <c r="M1619" s="14" t="s">
        <v>437</v>
      </c>
      <c r="N1619" s="14" t="s">
        <v>438</v>
      </c>
      <c r="O1619" s="14">
        <v>0.0</v>
      </c>
      <c r="P1619" s="17"/>
      <c r="Q1619" s="22"/>
      <c r="S1619" s="14" t="s">
        <v>1530</v>
      </c>
    </row>
    <row r="1620">
      <c r="A1620" s="13">
        <v>45901.0</v>
      </c>
      <c r="B1620" s="14" t="s">
        <v>47</v>
      </c>
      <c r="C1620" s="14" t="s">
        <v>48</v>
      </c>
      <c r="D1620" s="14" t="s">
        <v>192</v>
      </c>
      <c r="E1620" s="14" t="s">
        <v>193</v>
      </c>
      <c r="F1620" s="15" t="s">
        <v>51</v>
      </c>
      <c r="G1620" s="14" t="s">
        <v>194</v>
      </c>
      <c r="H1620" s="14" t="s">
        <v>192</v>
      </c>
      <c r="I1620" s="14" t="s">
        <v>54</v>
      </c>
      <c r="J1620" s="14" t="s">
        <v>200</v>
      </c>
      <c r="K1620" s="14" t="s">
        <v>211</v>
      </c>
      <c r="L1620" s="14" t="s">
        <v>991</v>
      </c>
      <c r="M1620" s="14" t="s">
        <v>992</v>
      </c>
      <c r="N1620" s="14" t="s">
        <v>993</v>
      </c>
      <c r="O1620" s="14">
        <v>100.0</v>
      </c>
      <c r="P1620" s="23">
        <v>1.0</v>
      </c>
      <c r="Q1620" s="22" t="str">
        <f>"+0.00%"</f>
        <v>+0.00%</v>
      </c>
      <c r="R1620" s="18" t="str">
        <f>"+200.00%"</f>
        <v>+200.00%</v>
      </c>
      <c r="S1620" s="14" t="s">
        <v>1531</v>
      </c>
    </row>
    <row r="1621">
      <c r="A1621" s="13">
        <v>45901.0</v>
      </c>
      <c r="B1621" s="14" t="s">
        <v>47</v>
      </c>
      <c r="C1621" s="14" t="s">
        <v>48</v>
      </c>
      <c r="D1621" s="14" t="s">
        <v>132</v>
      </c>
      <c r="E1621" s="14" t="s">
        <v>133</v>
      </c>
      <c r="F1621" s="15" t="s">
        <v>51</v>
      </c>
      <c r="G1621" s="14" t="s">
        <v>134</v>
      </c>
      <c r="H1621" s="14" t="s">
        <v>135</v>
      </c>
      <c r="I1621" s="14" t="s">
        <v>59</v>
      </c>
      <c r="J1621" s="14" t="s">
        <v>200</v>
      </c>
      <c r="K1621" s="14" t="s">
        <v>213</v>
      </c>
      <c r="L1621" s="14" t="s">
        <v>571</v>
      </c>
      <c r="M1621" s="14" t="s">
        <v>578</v>
      </c>
      <c r="N1621" s="14" t="s">
        <v>579</v>
      </c>
      <c r="O1621" s="14">
        <v>100.0</v>
      </c>
      <c r="P1621" s="23">
        <v>0.0476</v>
      </c>
      <c r="Q1621" s="22" t="str">
        <f>"-1.49%"</f>
        <v>-1.49%</v>
      </c>
      <c r="R1621" s="18" t="str">
        <f>"+4.76%"</f>
        <v>+4.76%</v>
      </c>
      <c r="S1621" s="14" t="s">
        <v>285</v>
      </c>
    </row>
    <row r="1622">
      <c r="A1622" s="13">
        <v>45901.0</v>
      </c>
      <c r="B1622" s="14" t="s">
        <v>47</v>
      </c>
      <c r="C1622" s="14" t="s">
        <v>48</v>
      </c>
      <c r="D1622" s="14" t="s">
        <v>132</v>
      </c>
      <c r="E1622" s="14" t="s">
        <v>133</v>
      </c>
      <c r="F1622" s="15" t="s">
        <v>51</v>
      </c>
      <c r="G1622" s="14" t="s">
        <v>134</v>
      </c>
      <c r="H1622" s="14" t="s">
        <v>135</v>
      </c>
      <c r="I1622" s="14" t="s">
        <v>59</v>
      </c>
      <c r="J1622" s="14" t="s">
        <v>198</v>
      </c>
      <c r="K1622" s="14" t="s">
        <v>205</v>
      </c>
      <c r="L1622" s="14" t="s">
        <v>274</v>
      </c>
      <c r="M1622" s="14" t="s">
        <v>466</v>
      </c>
      <c r="N1622" s="14" t="s">
        <v>467</v>
      </c>
      <c r="O1622" s="14">
        <v>100.0</v>
      </c>
      <c r="P1622" s="21">
        <v>1.0</v>
      </c>
      <c r="Q1622" s="22" t="str">
        <f>"+0"</f>
        <v>+0</v>
      </c>
      <c r="S1622" s="14" t="s">
        <v>281</v>
      </c>
    </row>
    <row r="1623">
      <c r="A1623" s="13">
        <v>45901.0</v>
      </c>
      <c r="B1623" s="14" t="s">
        <v>47</v>
      </c>
      <c r="C1623" s="14" t="s">
        <v>48</v>
      </c>
      <c r="D1623" s="14" t="s">
        <v>73</v>
      </c>
      <c r="E1623" s="14" t="s">
        <v>74</v>
      </c>
      <c r="F1623" s="15" t="s">
        <v>51</v>
      </c>
      <c r="G1623" s="14" t="s">
        <v>75</v>
      </c>
      <c r="H1623" s="14" t="s">
        <v>76</v>
      </c>
      <c r="I1623" s="14" t="s">
        <v>59</v>
      </c>
      <c r="J1623" s="14" t="s">
        <v>198</v>
      </c>
      <c r="K1623" s="14" t="s">
        <v>212</v>
      </c>
      <c r="L1623" s="14" t="s">
        <v>249</v>
      </c>
      <c r="M1623" s="14" t="s">
        <v>598</v>
      </c>
      <c r="N1623" s="14" t="s">
        <v>599</v>
      </c>
      <c r="O1623" s="14">
        <v>0.0</v>
      </c>
      <c r="P1623" s="21">
        <v>450.0</v>
      </c>
      <c r="Q1623" s="22" t="str">
        <f>"-15"</f>
        <v>-15</v>
      </c>
      <c r="R1623" s="18" t="str">
        <f>"+0"</f>
        <v>+0</v>
      </c>
      <c r="S1623" s="14" t="s">
        <v>1532</v>
      </c>
    </row>
    <row r="1624">
      <c r="A1624" s="13">
        <v>45901.0</v>
      </c>
      <c r="B1624" s="14" t="s">
        <v>47</v>
      </c>
      <c r="C1624" s="14" t="s">
        <v>48</v>
      </c>
      <c r="D1624" s="14" t="s">
        <v>143</v>
      </c>
      <c r="E1624" s="14" t="s">
        <v>144</v>
      </c>
      <c r="F1624" s="15" t="s">
        <v>51</v>
      </c>
      <c r="G1624" s="14" t="s">
        <v>145</v>
      </c>
      <c r="H1624" s="14" t="s">
        <v>143</v>
      </c>
      <c r="I1624" s="14" t="s">
        <v>59</v>
      </c>
      <c r="J1624" s="14" t="s">
        <v>200</v>
      </c>
      <c r="K1624" s="14" t="s">
        <v>224</v>
      </c>
      <c r="L1624" s="14" t="s">
        <v>392</v>
      </c>
      <c r="M1624" s="14" t="s">
        <v>754</v>
      </c>
      <c r="N1624" s="14" t="s">
        <v>755</v>
      </c>
      <c r="O1624" s="14">
        <v>100.0</v>
      </c>
      <c r="P1624" s="23">
        <v>1.0</v>
      </c>
      <c r="Q1624" s="22" t="str">
        <f>"+0.00%"</f>
        <v>+0.00%</v>
      </c>
      <c r="S1624" s="14" t="s">
        <v>1533</v>
      </c>
    </row>
    <row r="1625">
      <c r="A1625" s="13">
        <v>45901.0</v>
      </c>
      <c r="B1625" s="14" t="s">
        <v>47</v>
      </c>
      <c r="C1625" s="14" t="s">
        <v>48</v>
      </c>
      <c r="D1625" s="14" t="s">
        <v>129</v>
      </c>
      <c r="E1625" s="14" t="s">
        <v>130</v>
      </c>
      <c r="F1625" s="15" t="s">
        <v>51</v>
      </c>
      <c r="G1625" s="14" t="s">
        <v>131</v>
      </c>
      <c r="H1625" s="14" t="s">
        <v>129</v>
      </c>
      <c r="I1625" s="14" t="s">
        <v>59</v>
      </c>
      <c r="J1625" s="14" t="s">
        <v>200</v>
      </c>
      <c r="K1625" s="14" t="s">
        <v>213</v>
      </c>
      <c r="L1625" s="14" t="s">
        <v>257</v>
      </c>
      <c r="M1625" s="14" t="s">
        <v>258</v>
      </c>
      <c r="N1625" s="14" t="s">
        <v>259</v>
      </c>
      <c r="O1625" s="14">
        <v>100.0</v>
      </c>
      <c r="P1625" s="21">
        <v>5.0</v>
      </c>
      <c r="Q1625" s="22" t="str">
        <f t="shared" ref="Q1625:R1625" si="957">"+0"</f>
        <v>+0</v>
      </c>
      <c r="R1625" s="18" t="str">
        <f t="shared" si="957"/>
        <v>+0</v>
      </c>
      <c r="S1625" s="14" t="s">
        <v>260</v>
      </c>
    </row>
    <row r="1626">
      <c r="A1626" s="13">
        <v>45901.0</v>
      </c>
      <c r="B1626" s="14" t="s">
        <v>47</v>
      </c>
      <c r="C1626" s="14" t="s">
        <v>48</v>
      </c>
      <c r="D1626" s="14" t="s">
        <v>129</v>
      </c>
      <c r="E1626" s="14" t="s">
        <v>130</v>
      </c>
      <c r="F1626" s="15" t="s">
        <v>51</v>
      </c>
      <c r="G1626" s="14" t="s">
        <v>131</v>
      </c>
      <c r="H1626" s="14" t="s">
        <v>129</v>
      </c>
      <c r="I1626" s="14" t="s">
        <v>59</v>
      </c>
      <c r="J1626" s="14" t="s">
        <v>199</v>
      </c>
      <c r="K1626" s="14" t="s">
        <v>206</v>
      </c>
      <c r="L1626" s="14" t="s">
        <v>381</v>
      </c>
      <c r="M1626" s="14" t="s">
        <v>381</v>
      </c>
      <c r="N1626" s="14" t="s">
        <v>382</v>
      </c>
      <c r="O1626" s="14">
        <v>0.0</v>
      </c>
      <c r="P1626" s="21">
        <v>0.0</v>
      </c>
      <c r="Q1626" s="22" t="str">
        <f t="shared" ref="Q1626:R1626" si="958">"+0"</f>
        <v>+0</v>
      </c>
      <c r="R1626" s="18" t="str">
        <f t="shared" si="958"/>
        <v>+0</v>
      </c>
      <c r="S1626" s="14" t="s">
        <v>383</v>
      </c>
    </row>
    <row r="1627">
      <c r="A1627" s="13">
        <v>45901.0</v>
      </c>
      <c r="B1627" s="14" t="s">
        <v>47</v>
      </c>
      <c r="C1627" s="14" t="s">
        <v>48</v>
      </c>
      <c r="D1627" s="14" t="s">
        <v>136</v>
      </c>
      <c r="E1627" s="14" t="s">
        <v>137</v>
      </c>
      <c r="F1627" s="15" t="s">
        <v>51</v>
      </c>
      <c r="G1627" s="14" t="s">
        <v>138</v>
      </c>
      <c r="H1627" s="14" t="s">
        <v>139</v>
      </c>
      <c r="I1627" s="14" t="s">
        <v>59</v>
      </c>
      <c r="J1627" s="14" t="s">
        <v>199</v>
      </c>
      <c r="K1627" s="14" t="s">
        <v>206</v>
      </c>
      <c r="L1627" s="14" t="s">
        <v>295</v>
      </c>
      <c r="M1627" s="14" t="s">
        <v>651</v>
      </c>
      <c r="N1627" s="14" t="s">
        <v>652</v>
      </c>
      <c r="O1627" s="14">
        <v>0.0</v>
      </c>
      <c r="P1627" s="21">
        <v>0.0</v>
      </c>
      <c r="Q1627" s="22" t="str">
        <f t="shared" ref="Q1627:R1627" si="959">"+0"</f>
        <v>+0</v>
      </c>
      <c r="R1627" s="18" t="str">
        <f t="shared" si="959"/>
        <v>+0</v>
      </c>
      <c r="S1627" s="14" t="s">
        <v>260</v>
      </c>
    </row>
    <row r="1628">
      <c r="A1628" s="13">
        <v>45901.0</v>
      </c>
      <c r="B1628" s="14" t="s">
        <v>47</v>
      </c>
      <c r="C1628" s="14" t="s">
        <v>48</v>
      </c>
      <c r="D1628" s="14" t="s">
        <v>69</v>
      </c>
      <c r="E1628" s="14" t="s">
        <v>70</v>
      </c>
      <c r="F1628" s="15" t="s">
        <v>51</v>
      </c>
      <c r="G1628" s="14" t="s">
        <v>115</v>
      </c>
      <c r="H1628" s="14" t="s">
        <v>72</v>
      </c>
      <c r="I1628" s="14" t="s">
        <v>54</v>
      </c>
      <c r="J1628" s="14" t="s">
        <v>198</v>
      </c>
      <c r="K1628" s="14" t="s">
        <v>212</v>
      </c>
      <c r="L1628" s="14" t="s">
        <v>344</v>
      </c>
      <c r="M1628" s="14" t="s">
        <v>345</v>
      </c>
      <c r="N1628" s="14" t="s">
        <v>346</v>
      </c>
      <c r="O1628" s="14">
        <v>0.0</v>
      </c>
      <c r="P1628" s="21">
        <v>0.0</v>
      </c>
      <c r="Q1628" s="22" t="str">
        <f t="shared" ref="Q1628:R1628" si="960">"+0"</f>
        <v>+0</v>
      </c>
      <c r="R1628" s="18" t="str">
        <f t="shared" si="960"/>
        <v>+0</v>
      </c>
      <c r="S1628" s="14" t="s">
        <v>277</v>
      </c>
    </row>
    <row r="1629">
      <c r="A1629" s="13">
        <v>45901.0</v>
      </c>
      <c r="B1629" s="14" t="s">
        <v>47</v>
      </c>
      <c r="C1629" s="14" t="s">
        <v>48</v>
      </c>
      <c r="D1629" s="14" t="s">
        <v>85</v>
      </c>
      <c r="E1629" s="14" t="s">
        <v>86</v>
      </c>
      <c r="F1629" s="14" t="s">
        <v>71</v>
      </c>
      <c r="G1629" s="14">
        <v>88285.0</v>
      </c>
      <c r="H1629" s="14" t="s">
        <v>85</v>
      </c>
      <c r="I1629" s="14" t="s">
        <v>59</v>
      </c>
      <c r="J1629" s="14" t="s">
        <v>199</v>
      </c>
      <c r="K1629" s="14" t="s">
        <v>206</v>
      </c>
      <c r="L1629" s="14" t="s">
        <v>569</v>
      </c>
      <c r="M1629" s="14" t="s">
        <v>569</v>
      </c>
      <c r="N1629" s="14" t="s">
        <v>570</v>
      </c>
      <c r="O1629" s="14">
        <v>100.0</v>
      </c>
      <c r="P1629" s="21">
        <v>7.0</v>
      </c>
      <c r="Q1629" s="22" t="str">
        <f t="shared" ref="Q1629:R1629" si="961">"+6"</f>
        <v>+6</v>
      </c>
      <c r="R1629" s="18" t="str">
        <f t="shared" si="961"/>
        <v>+6</v>
      </c>
      <c r="S1629" s="14" t="s">
        <v>383</v>
      </c>
    </row>
    <row r="1630">
      <c r="A1630" s="13">
        <v>45901.0</v>
      </c>
      <c r="B1630" s="14" t="s">
        <v>47</v>
      </c>
      <c r="C1630" s="14" t="s">
        <v>48</v>
      </c>
      <c r="D1630" s="14" t="s">
        <v>85</v>
      </c>
      <c r="E1630" s="14" t="s">
        <v>86</v>
      </c>
      <c r="F1630" s="15" t="s">
        <v>51</v>
      </c>
      <c r="G1630" s="14" t="s">
        <v>148</v>
      </c>
      <c r="H1630" s="14" t="s">
        <v>85</v>
      </c>
      <c r="I1630" s="14" t="s">
        <v>59</v>
      </c>
      <c r="J1630" s="14" t="s">
        <v>200</v>
      </c>
      <c r="K1630" s="14" t="s">
        <v>213</v>
      </c>
      <c r="L1630" s="14" t="s">
        <v>257</v>
      </c>
      <c r="M1630" s="14" t="s">
        <v>517</v>
      </c>
      <c r="N1630" s="14" t="s">
        <v>518</v>
      </c>
      <c r="O1630" s="14">
        <v>100.0</v>
      </c>
      <c r="P1630" s="21">
        <v>8.0</v>
      </c>
      <c r="Q1630" s="22" t="str">
        <f t="shared" ref="Q1630:R1630" si="962">"+0"</f>
        <v>+0</v>
      </c>
      <c r="R1630" s="18" t="str">
        <f t="shared" si="962"/>
        <v>+0</v>
      </c>
      <c r="S1630" s="14" t="s">
        <v>260</v>
      </c>
    </row>
    <row r="1631">
      <c r="A1631" s="13">
        <v>45901.0</v>
      </c>
      <c r="B1631" s="14" t="s">
        <v>47</v>
      </c>
      <c r="C1631" s="14" t="s">
        <v>48</v>
      </c>
      <c r="D1631" s="14" t="s">
        <v>69</v>
      </c>
      <c r="E1631" s="14" t="s">
        <v>70</v>
      </c>
      <c r="F1631" s="15" t="s">
        <v>51</v>
      </c>
      <c r="G1631" s="14" t="s">
        <v>115</v>
      </c>
      <c r="H1631" s="14" t="s">
        <v>72</v>
      </c>
      <c r="I1631" s="14" t="s">
        <v>54</v>
      </c>
      <c r="J1631" s="14" t="s">
        <v>198</v>
      </c>
      <c r="K1631" s="14" t="s">
        <v>210</v>
      </c>
      <c r="L1631" s="14" t="s">
        <v>505</v>
      </c>
      <c r="M1631" s="14" t="s">
        <v>1222</v>
      </c>
      <c r="N1631" s="14" t="s">
        <v>1223</v>
      </c>
      <c r="O1631" s="14">
        <v>0.0</v>
      </c>
      <c r="P1631" s="21">
        <v>0.0</v>
      </c>
      <c r="Q1631" s="22" t="str">
        <f t="shared" ref="Q1631:R1631" si="963">"+0"</f>
        <v>+0</v>
      </c>
      <c r="R1631" s="18" t="str">
        <f t="shared" si="963"/>
        <v>+0</v>
      </c>
      <c r="S1631" s="14" t="s">
        <v>277</v>
      </c>
    </row>
    <row r="1632">
      <c r="A1632" s="13">
        <v>45901.0</v>
      </c>
      <c r="B1632" s="14" t="s">
        <v>47</v>
      </c>
      <c r="C1632" s="14" t="s">
        <v>48</v>
      </c>
      <c r="D1632" s="14" t="s">
        <v>96</v>
      </c>
      <c r="E1632" s="14" t="s">
        <v>97</v>
      </c>
      <c r="F1632" s="15" t="s">
        <v>51</v>
      </c>
      <c r="G1632" s="14" t="s">
        <v>98</v>
      </c>
      <c r="H1632" s="14" t="s">
        <v>96</v>
      </c>
      <c r="I1632" s="14" t="s">
        <v>59</v>
      </c>
      <c r="J1632" s="14" t="s">
        <v>200</v>
      </c>
      <c r="K1632" s="14" t="s">
        <v>223</v>
      </c>
      <c r="L1632" s="14" t="s">
        <v>487</v>
      </c>
      <c r="M1632" s="14" t="s">
        <v>1415</v>
      </c>
      <c r="N1632" s="14" t="s">
        <v>1416</v>
      </c>
      <c r="O1632" s="14">
        <v>100.0</v>
      </c>
      <c r="P1632" s="21">
        <v>129.0</v>
      </c>
      <c r="Q1632" s="22" t="str">
        <f t="shared" ref="Q1632:R1632" si="964">"+0"</f>
        <v>+0</v>
      </c>
      <c r="R1632" s="18" t="str">
        <f t="shared" si="964"/>
        <v>+0</v>
      </c>
      <c r="S1632" s="14" t="s">
        <v>260</v>
      </c>
    </row>
    <row r="1633">
      <c r="A1633" s="13">
        <v>45901.0</v>
      </c>
      <c r="B1633" s="14" t="s">
        <v>47</v>
      </c>
      <c r="C1633" s="14" t="s">
        <v>48</v>
      </c>
      <c r="D1633" s="14" t="s">
        <v>108</v>
      </c>
      <c r="E1633" s="14" t="s">
        <v>109</v>
      </c>
      <c r="F1633" s="14" t="s">
        <v>146</v>
      </c>
      <c r="G1633" s="14" t="s">
        <v>180</v>
      </c>
      <c r="H1633" s="14" t="s">
        <v>108</v>
      </c>
      <c r="I1633" s="14" t="s">
        <v>59</v>
      </c>
      <c r="J1633" s="14" t="s">
        <v>199</v>
      </c>
      <c r="K1633" s="14" t="s">
        <v>206</v>
      </c>
      <c r="L1633" s="14" t="s">
        <v>531</v>
      </c>
      <c r="M1633" s="14" t="s">
        <v>531</v>
      </c>
      <c r="N1633" s="14" t="s">
        <v>532</v>
      </c>
      <c r="O1633" s="14">
        <v>0.0</v>
      </c>
      <c r="P1633" s="21">
        <v>0.0</v>
      </c>
      <c r="Q1633" s="22" t="str">
        <f t="shared" ref="Q1633:Q1638" si="965">"+0"</f>
        <v>+0</v>
      </c>
      <c r="S1633" s="14" t="s">
        <v>260</v>
      </c>
    </row>
    <row r="1634">
      <c r="A1634" s="13">
        <v>45901.0</v>
      </c>
      <c r="B1634" s="14" t="s">
        <v>47</v>
      </c>
      <c r="C1634" s="14" t="s">
        <v>48</v>
      </c>
      <c r="D1634" s="14" t="s">
        <v>116</v>
      </c>
      <c r="E1634" s="14" t="s">
        <v>117</v>
      </c>
      <c r="F1634" s="15" t="s">
        <v>51</v>
      </c>
      <c r="G1634" s="14" t="s">
        <v>161</v>
      </c>
      <c r="H1634" s="14" t="s">
        <v>116</v>
      </c>
      <c r="I1634" s="14" t="s">
        <v>54</v>
      </c>
      <c r="J1634" s="14" t="s">
        <v>198</v>
      </c>
      <c r="K1634" s="14" t="s">
        <v>210</v>
      </c>
      <c r="L1634" s="14" t="s">
        <v>264</v>
      </c>
      <c r="M1634" s="14" t="s">
        <v>559</v>
      </c>
      <c r="N1634" s="14" t="s">
        <v>560</v>
      </c>
      <c r="O1634" s="14">
        <v>0.0</v>
      </c>
      <c r="P1634" s="21">
        <v>0.0</v>
      </c>
      <c r="Q1634" s="22" t="str">
        <f t="shared" si="965"/>
        <v>+0</v>
      </c>
      <c r="R1634" s="18" t="str">
        <f t="shared" ref="R1634:R1639" si="966">"+0"</f>
        <v>+0</v>
      </c>
      <c r="S1634" s="14" t="s">
        <v>277</v>
      </c>
    </row>
    <row r="1635">
      <c r="A1635" s="13">
        <v>45901.0</v>
      </c>
      <c r="B1635" s="14" t="s">
        <v>47</v>
      </c>
      <c r="C1635" s="14" t="s">
        <v>48</v>
      </c>
      <c r="D1635" s="14" t="s">
        <v>174</v>
      </c>
      <c r="E1635" s="14" t="s">
        <v>175</v>
      </c>
      <c r="F1635" s="15" t="s">
        <v>51</v>
      </c>
      <c r="G1635" s="14" t="s">
        <v>176</v>
      </c>
      <c r="H1635" s="14" t="s">
        <v>174</v>
      </c>
      <c r="I1635" s="14" t="s">
        <v>59</v>
      </c>
      <c r="J1635" s="14" t="s">
        <v>200</v>
      </c>
      <c r="K1635" s="14" t="s">
        <v>213</v>
      </c>
      <c r="L1635" s="14" t="s">
        <v>359</v>
      </c>
      <c r="M1635" s="14" t="s">
        <v>519</v>
      </c>
      <c r="N1635" s="14" t="s">
        <v>520</v>
      </c>
      <c r="O1635" s="14">
        <v>0.0</v>
      </c>
      <c r="P1635" s="21">
        <v>0.0</v>
      </c>
      <c r="Q1635" s="22" t="str">
        <f t="shared" si="965"/>
        <v>+0</v>
      </c>
      <c r="R1635" s="18" t="str">
        <f t="shared" si="966"/>
        <v>+0</v>
      </c>
      <c r="S1635" s="14" t="s">
        <v>260</v>
      </c>
    </row>
    <row r="1636">
      <c r="A1636" s="13">
        <v>45901.0</v>
      </c>
      <c r="B1636" s="14" t="s">
        <v>47</v>
      </c>
      <c r="C1636" s="14" t="s">
        <v>48</v>
      </c>
      <c r="D1636" s="14" t="s">
        <v>140</v>
      </c>
      <c r="E1636" s="14" t="s">
        <v>141</v>
      </c>
      <c r="F1636" s="15" t="s">
        <v>51</v>
      </c>
      <c r="G1636" s="14" t="s">
        <v>142</v>
      </c>
      <c r="H1636" s="14" t="s">
        <v>140</v>
      </c>
      <c r="I1636" s="14" t="s">
        <v>59</v>
      </c>
      <c r="J1636" s="14" t="s">
        <v>200</v>
      </c>
      <c r="K1636" s="14" t="s">
        <v>227</v>
      </c>
      <c r="L1636" s="14" t="s">
        <v>270</v>
      </c>
      <c r="M1636" s="14" t="s">
        <v>400</v>
      </c>
      <c r="N1636" s="14" t="s">
        <v>401</v>
      </c>
      <c r="O1636" s="14">
        <v>0.0</v>
      </c>
      <c r="P1636" s="21">
        <v>0.0</v>
      </c>
      <c r="Q1636" s="22" t="str">
        <f t="shared" si="965"/>
        <v>+0</v>
      </c>
      <c r="R1636" s="18" t="str">
        <f t="shared" si="966"/>
        <v>+0</v>
      </c>
      <c r="S1636" s="14" t="s">
        <v>260</v>
      </c>
    </row>
    <row r="1637">
      <c r="A1637" s="13">
        <v>45901.0</v>
      </c>
      <c r="B1637" s="14" t="s">
        <v>47</v>
      </c>
      <c r="C1637" s="14" t="s">
        <v>48</v>
      </c>
      <c r="D1637" s="14" t="s">
        <v>140</v>
      </c>
      <c r="E1637" s="14" t="s">
        <v>141</v>
      </c>
      <c r="F1637" s="15" t="s">
        <v>51</v>
      </c>
      <c r="G1637" s="14" t="s">
        <v>142</v>
      </c>
      <c r="H1637" s="14" t="s">
        <v>140</v>
      </c>
      <c r="I1637" s="14" t="s">
        <v>59</v>
      </c>
      <c r="J1637" s="14" t="s">
        <v>200</v>
      </c>
      <c r="K1637" s="14" t="s">
        <v>222</v>
      </c>
      <c r="L1637" s="14" t="s">
        <v>337</v>
      </c>
      <c r="M1637" s="14" t="s">
        <v>338</v>
      </c>
      <c r="N1637" s="14" t="s">
        <v>339</v>
      </c>
      <c r="O1637" s="14">
        <v>0.0</v>
      </c>
      <c r="P1637" s="21">
        <v>0.0</v>
      </c>
      <c r="Q1637" s="22" t="str">
        <f t="shared" si="965"/>
        <v>+0</v>
      </c>
      <c r="R1637" s="18" t="str">
        <f t="shared" si="966"/>
        <v>+0</v>
      </c>
      <c r="S1637" s="14" t="s">
        <v>260</v>
      </c>
    </row>
    <row r="1638">
      <c r="A1638" s="13">
        <v>45901.0</v>
      </c>
      <c r="B1638" s="14" t="s">
        <v>47</v>
      </c>
      <c r="C1638" s="14" t="s">
        <v>48</v>
      </c>
      <c r="D1638" s="14" t="s">
        <v>168</v>
      </c>
      <c r="E1638" s="14" t="s">
        <v>169</v>
      </c>
      <c r="F1638" s="15" t="s">
        <v>51</v>
      </c>
      <c r="G1638" s="14" t="s">
        <v>170</v>
      </c>
      <c r="H1638" s="14" t="s">
        <v>168</v>
      </c>
      <c r="I1638" s="14" t="s">
        <v>59</v>
      </c>
      <c r="J1638" s="14" t="s">
        <v>200</v>
      </c>
      <c r="K1638" s="14" t="s">
        <v>213</v>
      </c>
      <c r="L1638" s="14" t="s">
        <v>359</v>
      </c>
      <c r="M1638" s="14" t="s">
        <v>628</v>
      </c>
      <c r="N1638" s="14" t="s">
        <v>629</v>
      </c>
      <c r="O1638" s="14">
        <v>100.0</v>
      </c>
      <c r="P1638" s="21">
        <v>118.0</v>
      </c>
      <c r="Q1638" s="22" t="str">
        <f t="shared" si="965"/>
        <v>+0</v>
      </c>
      <c r="R1638" s="18" t="str">
        <f t="shared" si="966"/>
        <v>+0</v>
      </c>
      <c r="S1638" s="14" t="s">
        <v>260</v>
      </c>
    </row>
    <row r="1639">
      <c r="A1639" s="13">
        <v>45901.0</v>
      </c>
      <c r="B1639" s="14" t="s">
        <v>47</v>
      </c>
      <c r="C1639" s="14" t="s">
        <v>48</v>
      </c>
      <c r="D1639" s="14" t="s">
        <v>168</v>
      </c>
      <c r="E1639" s="14" t="s">
        <v>169</v>
      </c>
      <c r="F1639" s="15" t="s">
        <v>51</v>
      </c>
      <c r="G1639" s="14" t="s">
        <v>170</v>
      </c>
      <c r="H1639" s="14" t="s">
        <v>168</v>
      </c>
      <c r="I1639" s="14" t="s">
        <v>59</v>
      </c>
      <c r="J1639" s="14" t="s">
        <v>200</v>
      </c>
      <c r="K1639" s="14" t="s">
        <v>227</v>
      </c>
      <c r="L1639" s="14" t="s">
        <v>328</v>
      </c>
      <c r="M1639" s="14" t="s">
        <v>329</v>
      </c>
      <c r="N1639" s="14" t="s">
        <v>330</v>
      </c>
      <c r="O1639" s="14">
        <v>33.0</v>
      </c>
      <c r="P1639" s="21">
        <v>1.0</v>
      </c>
      <c r="Q1639" s="22" t="str">
        <f>"+1"</f>
        <v>+1</v>
      </c>
      <c r="R1639" s="18" t="str">
        <f t="shared" si="966"/>
        <v>+0</v>
      </c>
      <c r="S1639" s="14" t="s">
        <v>260</v>
      </c>
    </row>
    <row r="1640">
      <c r="A1640" s="13">
        <v>45901.0</v>
      </c>
      <c r="B1640" s="14" t="s">
        <v>47</v>
      </c>
      <c r="C1640" s="14" t="s">
        <v>48</v>
      </c>
      <c r="D1640" s="14" t="s">
        <v>155</v>
      </c>
      <c r="E1640" s="14" t="s">
        <v>156</v>
      </c>
      <c r="F1640" s="15" t="s">
        <v>51</v>
      </c>
      <c r="G1640" s="14" t="s">
        <v>157</v>
      </c>
      <c r="H1640" s="14" t="s">
        <v>155</v>
      </c>
      <c r="I1640" s="14" t="s">
        <v>59</v>
      </c>
      <c r="J1640" s="14" t="s">
        <v>200</v>
      </c>
      <c r="K1640" s="14" t="s">
        <v>223</v>
      </c>
      <c r="L1640" s="14" t="s">
        <v>257</v>
      </c>
      <c r="M1640" s="14" t="s">
        <v>298</v>
      </c>
      <c r="N1640" s="14" t="s">
        <v>299</v>
      </c>
      <c r="O1640" s="14">
        <v>0.0</v>
      </c>
      <c r="P1640" s="17"/>
      <c r="Q1640" s="22"/>
      <c r="S1640" s="14" t="s">
        <v>1534</v>
      </c>
    </row>
    <row r="1641">
      <c r="A1641" s="13">
        <v>45901.0</v>
      </c>
      <c r="B1641" s="14" t="s">
        <v>47</v>
      </c>
      <c r="C1641" s="14" t="s">
        <v>48</v>
      </c>
      <c r="D1641" s="14" t="s">
        <v>121</v>
      </c>
      <c r="E1641" s="14" t="s">
        <v>122</v>
      </c>
      <c r="F1641" s="15" t="s">
        <v>51</v>
      </c>
      <c r="G1641" s="14" t="s">
        <v>123</v>
      </c>
      <c r="H1641" s="14" t="s">
        <v>124</v>
      </c>
      <c r="I1641" s="14" t="s">
        <v>59</v>
      </c>
      <c r="J1641" s="14" t="s">
        <v>199</v>
      </c>
      <c r="K1641" s="14" t="s">
        <v>206</v>
      </c>
      <c r="L1641" s="14" t="s">
        <v>268</v>
      </c>
      <c r="M1641" s="14" t="s">
        <v>268</v>
      </c>
      <c r="N1641" s="14" t="s">
        <v>269</v>
      </c>
      <c r="O1641" s="14">
        <v>0.0</v>
      </c>
      <c r="P1641" s="21">
        <v>0.0</v>
      </c>
      <c r="Q1641" s="22" t="str">
        <f t="shared" ref="Q1641:R1641" si="967">"+0"</f>
        <v>+0</v>
      </c>
      <c r="R1641" s="18" t="str">
        <f t="shared" si="967"/>
        <v>+0</v>
      </c>
      <c r="S1641" s="14" t="s">
        <v>260</v>
      </c>
    </row>
    <row r="1642">
      <c r="A1642" s="13">
        <v>45901.0</v>
      </c>
      <c r="B1642" s="14" t="s">
        <v>47</v>
      </c>
      <c r="C1642" s="14" t="s">
        <v>48</v>
      </c>
      <c r="D1642" s="14" t="s">
        <v>49</v>
      </c>
      <c r="E1642" s="14" t="s">
        <v>50</v>
      </c>
      <c r="F1642" s="15" t="s">
        <v>51</v>
      </c>
      <c r="G1642" s="14" t="s">
        <v>52</v>
      </c>
      <c r="H1642" s="14" t="s">
        <v>53</v>
      </c>
      <c r="I1642" s="14" t="s">
        <v>54</v>
      </c>
      <c r="J1642" s="14" t="s">
        <v>198</v>
      </c>
      <c r="K1642" s="14" t="s">
        <v>205</v>
      </c>
      <c r="L1642" s="14" t="s">
        <v>274</v>
      </c>
      <c r="M1642" s="14" t="s">
        <v>387</v>
      </c>
      <c r="N1642" s="14" t="s">
        <v>388</v>
      </c>
      <c r="O1642" s="14">
        <v>100.0</v>
      </c>
      <c r="P1642" s="21">
        <v>1.0</v>
      </c>
      <c r="Q1642" s="22" t="str">
        <f>"+0"</f>
        <v>+0</v>
      </c>
      <c r="S1642" s="14" t="s">
        <v>281</v>
      </c>
    </row>
    <row r="1643">
      <c r="A1643" s="13">
        <v>45901.0</v>
      </c>
      <c r="B1643" s="14" t="s">
        <v>47</v>
      </c>
      <c r="C1643" s="14" t="s">
        <v>48</v>
      </c>
      <c r="D1643" s="14" t="s">
        <v>91</v>
      </c>
      <c r="E1643" s="14" t="s">
        <v>92</v>
      </c>
      <c r="F1643" s="14" t="s">
        <v>71</v>
      </c>
      <c r="G1643" s="14">
        <v>1.00005882E8</v>
      </c>
      <c r="H1643" s="14" t="s">
        <v>91</v>
      </c>
      <c r="I1643" s="14" t="s">
        <v>59</v>
      </c>
      <c r="J1643" s="14" t="s">
        <v>199</v>
      </c>
      <c r="K1643" s="14" t="s">
        <v>206</v>
      </c>
      <c r="L1643" s="14" t="s">
        <v>268</v>
      </c>
      <c r="M1643" s="14" t="s">
        <v>268</v>
      </c>
      <c r="N1643" s="14" t="s">
        <v>269</v>
      </c>
      <c r="O1643" s="14">
        <v>100.0</v>
      </c>
      <c r="P1643" s="21">
        <v>9.0</v>
      </c>
      <c r="Q1643" s="22" t="str">
        <f t="shared" ref="Q1643:R1643" si="968">"+5"</f>
        <v>+5</v>
      </c>
      <c r="R1643" s="18" t="str">
        <f t="shared" si="968"/>
        <v>+5</v>
      </c>
      <c r="S1643" s="14" t="s">
        <v>260</v>
      </c>
    </row>
    <row r="1644">
      <c r="A1644" s="13">
        <v>45901.0</v>
      </c>
      <c r="B1644" s="14" t="s">
        <v>47</v>
      </c>
      <c r="C1644" s="14" t="s">
        <v>48</v>
      </c>
      <c r="D1644" s="14" t="s">
        <v>91</v>
      </c>
      <c r="E1644" s="14" t="s">
        <v>92</v>
      </c>
      <c r="F1644" s="15" t="s">
        <v>51</v>
      </c>
      <c r="G1644" s="14" t="s">
        <v>163</v>
      </c>
      <c r="H1644" s="14" t="s">
        <v>91</v>
      </c>
      <c r="I1644" s="14" t="s">
        <v>59</v>
      </c>
      <c r="J1644" s="14" t="s">
        <v>200</v>
      </c>
      <c r="K1644" s="14" t="s">
        <v>223</v>
      </c>
      <c r="L1644" s="14" t="s">
        <v>261</v>
      </c>
      <c r="M1644" s="14" t="s">
        <v>566</v>
      </c>
      <c r="N1644" s="14" t="s">
        <v>567</v>
      </c>
      <c r="O1644" s="14">
        <v>0.0</v>
      </c>
      <c r="P1644" s="23">
        <v>0.0</v>
      </c>
      <c r="Q1644" s="22" t="str">
        <f t="shared" ref="Q1644:R1644" si="969">"+0.00%"</f>
        <v>+0.00%</v>
      </c>
      <c r="R1644" s="18" t="str">
        <f t="shared" si="969"/>
        <v>+0.00%</v>
      </c>
      <c r="S1644" s="14" t="s">
        <v>1535</v>
      </c>
    </row>
    <row r="1645">
      <c r="A1645" s="13">
        <v>45901.0</v>
      </c>
      <c r="B1645" s="14" t="s">
        <v>47</v>
      </c>
      <c r="C1645" s="14" t="s">
        <v>48</v>
      </c>
      <c r="D1645" s="14" t="s">
        <v>63</v>
      </c>
      <c r="E1645" s="14" t="s">
        <v>64</v>
      </c>
      <c r="F1645" s="15" t="s">
        <v>51</v>
      </c>
      <c r="G1645" s="14" t="s">
        <v>65</v>
      </c>
      <c r="H1645" s="14" t="s">
        <v>63</v>
      </c>
      <c r="I1645" s="14" t="s">
        <v>54</v>
      </c>
      <c r="J1645" s="14" t="s">
        <v>200</v>
      </c>
      <c r="K1645" s="14" t="s">
        <v>224</v>
      </c>
      <c r="L1645" s="14" t="s">
        <v>594</v>
      </c>
      <c r="M1645" s="14" t="s">
        <v>595</v>
      </c>
      <c r="N1645" s="14" t="s">
        <v>596</v>
      </c>
      <c r="O1645" s="14">
        <v>57.0</v>
      </c>
      <c r="P1645" s="23">
        <v>0.5714</v>
      </c>
      <c r="Q1645" s="22" t="str">
        <f>"+9.52%"</f>
        <v>+9.52%</v>
      </c>
      <c r="R1645" s="18" t="str">
        <f>"+2.60%"</f>
        <v>+2.60%</v>
      </c>
      <c r="S1645" s="14" t="s">
        <v>1536</v>
      </c>
    </row>
    <row r="1646">
      <c r="A1646" s="13">
        <v>45901.0</v>
      </c>
      <c r="B1646" s="14" t="s">
        <v>47</v>
      </c>
      <c r="C1646" s="14" t="s">
        <v>48</v>
      </c>
      <c r="D1646" s="14" t="s">
        <v>63</v>
      </c>
      <c r="E1646" s="14" t="s">
        <v>64</v>
      </c>
      <c r="F1646" s="15" t="s">
        <v>51</v>
      </c>
      <c r="G1646" s="14" t="s">
        <v>65</v>
      </c>
      <c r="H1646" s="14" t="s">
        <v>63</v>
      </c>
      <c r="I1646" s="14" t="s">
        <v>54</v>
      </c>
      <c r="J1646" s="14" t="s">
        <v>200</v>
      </c>
      <c r="K1646" s="14" t="s">
        <v>204</v>
      </c>
      <c r="L1646" s="14" t="s">
        <v>253</v>
      </c>
      <c r="M1646" s="14" t="s">
        <v>844</v>
      </c>
      <c r="N1646" s="14" t="s">
        <v>845</v>
      </c>
      <c r="O1646" s="14">
        <v>0.0</v>
      </c>
      <c r="P1646" s="17"/>
      <c r="Q1646" s="22"/>
      <c r="S1646" s="14" t="s">
        <v>846</v>
      </c>
    </row>
    <row r="1647">
      <c r="A1647" s="13">
        <v>45901.0</v>
      </c>
      <c r="B1647" s="14" t="s">
        <v>47</v>
      </c>
      <c r="C1647" s="14" t="s">
        <v>48</v>
      </c>
      <c r="D1647" s="14" t="s">
        <v>91</v>
      </c>
      <c r="E1647" s="14" t="s">
        <v>92</v>
      </c>
      <c r="F1647" s="15" t="s">
        <v>51</v>
      </c>
      <c r="G1647" s="14" t="s">
        <v>163</v>
      </c>
      <c r="H1647" s="14" t="s">
        <v>91</v>
      </c>
      <c r="I1647" s="14" t="s">
        <v>59</v>
      </c>
      <c r="J1647" s="14" t="s">
        <v>200</v>
      </c>
      <c r="K1647" s="14" t="s">
        <v>214</v>
      </c>
      <c r="L1647" s="14" t="s">
        <v>253</v>
      </c>
      <c r="M1647" s="14" t="s">
        <v>366</v>
      </c>
      <c r="N1647" s="14" t="s">
        <v>367</v>
      </c>
      <c r="O1647" s="14">
        <v>0.0</v>
      </c>
      <c r="P1647" s="23">
        <v>0.0</v>
      </c>
      <c r="Q1647" s="22" t="str">
        <f t="shared" ref="Q1647:R1647" si="970">"+0.00%"</f>
        <v>+0.00%</v>
      </c>
      <c r="R1647" s="18" t="str">
        <f t="shared" si="970"/>
        <v>+0.00%</v>
      </c>
      <c r="S1647" s="14" t="s">
        <v>1537</v>
      </c>
    </row>
    <row r="1648">
      <c r="A1648" s="13">
        <v>45901.0</v>
      </c>
      <c r="B1648" s="14" t="s">
        <v>47</v>
      </c>
      <c r="C1648" s="14" t="s">
        <v>48</v>
      </c>
      <c r="D1648" s="14" t="s">
        <v>93</v>
      </c>
      <c r="E1648" s="14" t="s">
        <v>94</v>
      </c>
      <c r="F1648" s="15" t="s">
        <v>51</v>
      </c>
      <c r="G1648" s="14" t="s">
        <v>191</v>
      </c>
      <c r="H1648" s="14" t="s">
        <v>95</v>
      </c>
      <c r="I1648" s="14" t="s">
        <v>59</v>
      </c>
      <c r="J1648" s="14" t="s">
        <v>198</v>
      </c>
      <c r="K1648" s="14" t="s">
        <v>205</v>
      </c>
      <c r="L1648" s="14" t="s">
        <v>274</v>
      </c>
      <c r="M1648" s="14" t="s">
        <v>387</v>
      </c>
      <c r="N1648" s="14" t="s">
        <v>388</v>
      </c>
      <c r="O1648" s="14">
        <v>0.0</v>
      </c>
      <c r="P1648" s="21">
        <v>0.0</v>
      </c>
      <c r="Q1648" s="22" t="str">
        <f t="shared" ref="Q1648:Q1652" si="971">"+0"</f>
        <v>+0</v>
      </c>
      <c r="S1648" s="14" t="s">
        <v>281</v>
      </c>
    </row>
    <row r="1649">
      <c r="A1649" s="13">
        <v>45901.0</v>
      </c>
      <c r="B1649" s="14" t="s">
        <v>47</v>
      </c>
      <c r="C1649" s="14" t="s">
        <v>48</v>
      </c>
      <c r="D1649" s="14" t="s">
        <v>82</v>
      </c>
      <c r="E1649" s="14" t="s">
        <v>83</v>
      </c>
      <c r="F1649" s="15" t="s">
        <v>51</v>
      </c>
      <c r="G1649" s="14" t="s">
        <v>84</v>
      </c>
      <c r="H1649" s="14" t="s">
        <v>82</v>
      </c>
      <c r="I1649" s="14" t="s">
        <v>59</v>
      </c>
      <c r="J1649" s="14" t="s">
        <v>198</v>
      </c>
      <c r="K1649" s="14" t="s">
        <v>205</v>
      </c>
      <c r="L1649" s="14" t="s">
        <v>274</v>
      </c>
      <c r="M1649" s="14" t="s">
        <v>767</v>
      </c>
      <c r="N1649" s="14" t="s">
        <v>768</v>
      </c>
      <c r="O1649" s="14">
        <v>100.0</v>
      </c>
      <c r="P1649" s="21">
        <v>1.0</v>
      </c>
      <c r="Q1649" s="22" t="str">
        <f t="shared" si="971"/>
        <v>+0</v>
      </c>
      <c r="S1649" s="14" t="s">
        <v>281</v>
      </c>
    </row>
    <row r="1650">
      <c r="A1650" s="13">
        <v>45901.0</v>
      </c>
      <c r="B1650" s="14" t="s">
        <v>47</v>
      </c>
      <c r="C1650" s="14" t="s">
        <v>48</v>
      </c>
      <c r="D1650" s="14" t="s">
        <v>192</v>
      </c>
      <c r="E1650" s="14" t="s">
        <v>193</v>
      </c>
      <c r="F1650" s="15" t="s">
        <v>51</v>
      </c>
      <c r="G1650" s="14" t="s">
        <v>194</v>
      </c>
      <c r="H1650" s="14" t="s">
        <v>192</v>
      </c>
      <c r="I1650" s="14" t="s">
        <v>54</v>
      </c>
      <c r="J1650" s="14" t="s">
        <v>198</v>
      </c>
      <c r="K1650" s="14" t="s">
        <v>205</v>
      </c>
      <c r="L1650" s="14" t="s">
        <v>274</v>
      </c>
      <c r="M1650" s="14" t="s">
        <v>275</v>
      </c>
      <c r="N1650" s="14" t="s">
        <v>276</v>
      </c>
      <c r="O1650" s="14">
        <v>0.0</v>
      </c>
      <c r="P1650" s="21">
        <v>1.0</v>
      </c>
      <c r="Q1650" s="22" t="str">
        <f t="shared" si="971"/>
        <v>+0</v>
      </c>
      <c r="S1650" s="14" t="s">
        <v>277</v>
      </c>
    </row>
    <row r="1651">
      <c r="A1651" s="13">
        <v>45901.0</v>
      </c>
      <c r="B1651" s="14" t="s">
        <v>47</v>
      </c>
      <c r="C1651" s="14" t="s">
        <v>48</v>
      </c>
      <c r="D1651" s="14" t="s">
        <v>66</v>
      </c>
      <c r="E1651" s="14" t="s">
        <v>67</v>
      </c>
      <c r="F1651" s="15" t="s">
        <v>51</v>
      </c>
      <c r="G1651" s="14" t="s">
        <v>68</v>
      </c>
      <c r="H1651" s="14" t="s">
        <v>66</v>
      </c>
      <c r="I1651" s="14" t="s">
        <v>59</v>
      </c>
      <c r="J1651" s="14" t="s">
        <v>199</v>
      </c>
      <c r="K1651" s="14" t="s">
        <v>203</v>
      </c>
      <c r="L1651" s="14" t="s">
        <v>736</v>
      </c>
      <c r="M1651" s="14" t="s">
        <v>736</v>
      </c>
      <c r="N1651" s="14" t="s">
        <v>737</v>
      </c>
      <c r="O1651" s="14">
        <v>0.0</v>
      </c>
      <c r="P1651" s="21">
        <v>0.0</v>
      </c>
      <c r="Q1651" s="22" t="str">
        <f t="shared" si="971"/>
        <v>+0</v>
      </c>
      <c r="R1651" s="18" t="str">
        <f>"+0"</f>
        <v>+0</v>
      </c>
      <c r="S1651" s="14" t="s">
        <v>260</v>
      </c>
    </row>
    <row r="1652">
      <c r="A1652" s="13">
        <v>45901.0</v>
      </c>
      <c r="B1652" s="14" t="s">
        <v>47</v>
      </c>
      <c r="C1652" s="14" t="s">
        <v>48</v>
      </c>
      <c r="D1652" s="14" t="s">
        <v>192</v>
      </c>
      <c r="E1652" s="14" t="s">
        <v>193</v>
      </c>
      <c r="F1652" s="15" t="s">
        <v>51</v>
      </c>
      <c r="G1652" s="14" t="s">
        <v>194</v>
      </c>
      <c r="H1652" s="14" t="s">
        <v>192</v>
      </c>
      <c r="I1652" s="14" t="s">
        <v>54</v>
      </c>
      <c r="J1652" s="14" t="s">
        <v>200</v>
      </c>
      <c r="K1652" s="14" t="s">
        <v>211</v>
      </c>
      <c r="L1652" s="14" t="s">
        <v>991</v>
      </c>
      <c r="M1652" s="14" t="s">
        <v>1040</v>
      </c>
      <c r="N1652" s="14" t="s">
        <v>1041</v>
      </c>
      <c r="O1652" s="14">
        <v>0.0</v>
      </c>
      <c r="P1652" s="21">
        <v>1.0</v>
      </c>
      <c r="Q1652" s="22" t="str">
        <f t="shared" si="971"/>
        <v>+0</v>
      </c>
      <c r="R1652" s="18" t="str">
        <f>"+1"</f>
        <v>+1</v>
      </c>
      <c r="S1652" s="14" t="s">
        <v>1042</v>
      </c>
    </row>
    <row r="1653">
      <c r="A1653" s="13">
        <v>45901.0</v>
      </c>
      <c r="B1653" s="14" t="s">
        <v>47</v>
      </c>
      <c r="C1653" s="14" t="s">
        <v>48</v>
      </c>
      <c r="D1653" s="14" t="s">
        <v>149</v>
      </c>
      <c r="E1653" s="14" t="s">
        <v>150</v>
      </c>
      <c r="F1653" s="15" t="s">
        <v>51</v>
      </c>
      <c r="G1653" s="14" t="s">
        <v>151</v>
      </c>
      <c r="H1653" s="14" t="s">
        <v>152</v>
      </c>
      <c r="I1653" s="14" t="s">
        <v>54</v>
      </c>
      <c r="J1653" s="14" t="s">
        <v>200</v>
      </c>
      <c r="K1653" s="14" t="s">
        <v>223</v>
      </c>
      <c r="L1653" s="14" t="s">
        <v>261</v>
      </c>
      <c r="M1653" s="14" t="s">
        <v>1338</v>
      </c>
      <c r="N1653" s="14" t="s">
        <v>1339</v>
      </c>
      <c r="O1653" s="14">
        <v>0.0</v>
      </c>
      <c r="P1653" s="23">
        <v>0.0</v>
      </c>
      <c r="Q1653" s="22" t="str">
        <f t="shared" ref="Q1653:R1653" si="972">"+0.00%"</f>
        <v>+0.00%</v>
      </c>
      <c r="R1653" s="18" t="str">
        <f t="shared" si="972"/>
        <v>+0.00%</v>
      </c>
      <c r="S1653" s="14" t="s">
        <v>285</v>
      </c>
    </row>
    <row r="1654">
      <c r="A1654" s="13">
        <v>45901.0</v>
      </c>
      <c r="B1654" s="14" t="s">
        <v>47</v>
      </c>
      <c r="C1654" s="14" t="s">
        <v>48</v>
      </c>
      <c r="D1654" s="14" t="s">
        <v>149</v>
      </c>
      <c r="E1654" s="14" t="s">
        <v>150</v>
      </c>
      <c r="F1654" s="15" t="s">
        <v>51</v>
      </c>
      <c r="G1654" s="14" t="s">
        <v>151</v>
      </c>
      <c r="H1654" s="14" t="s">
        <v>152</v>
      </c>
      <c r="I1654" s="14" t="s">
        <v>54</v>
      </c>
      <c r="J1654" s="14" t="s">
        <v>198</v>
      </c>
      <c r="K1654" s="14" t="s">
        <v>210</v>
      </c>
      <c r="L1654" s="14" t="s">
        <v>278</v>
      </c>
      <c r="M1654" s="14" t="s">
        <v>1485</v>
      </c>
      <c r="N1654" s="14" t="s">
        <v>1486</v>
      </c>
      <c r="O1654" s="14">
        <v>0.0</v>
      </c>
      <c r="P1654" s="21">
        <v>0.0</v>
      </c>
      <c r="Q1654" s="22" t="str">
        <f>"+0"</f>
        <v>+0</v>
      </c>
      <c r="R1654" s="18" t="str">
        <f>"-1"</f>
        <v>-1</v>
      </c>
      <c r="S1654" s="14" t="s">
        <v>277</v>
      </c>
    </row>
    <row r="1655">
      <c r="A1655" s="13">
        <v>45901.0</v>
      </c>
      <c r="B1655" s="14" t="s">
        <v>47</v>
      </c>
      <c r="C1655" s="14" t="s">
        <v>48</v>
      </c>
      <c r="D1655" s="14" t="s">
        <v>149</v>
      </c>
      <c r="E1655" s="14" t="s">
        <v>150</v>
      </c>
      <c r="F1655" s="15" t="s">
        <v>51</v>
      </c>
      <c r="G1655" s="14" t="s">
        <v>151</v>
      </c>
      <c r="H1655" s="14" t="s">
        <v>152</v>
      </c>
      <c r="I1655" s="14" t="s">
        <v>54</v>
      </c>
      <c r="J1655" s="14" t="s">
        <v>198</v>
      </c>
      <c r="K1655" s="14" t="s">
        <v>210</v>
      </c>
      <c r="L1655" s="14" t="s">
        <v>278</v>
      </c>
      <c r="M1655" s="14" t="s">
        <v>443</v>
      </c>
      <c r="N1655" s="14" t="s">
        <v>444</v>
      </c>
      <c r="O1655" s="14">
        <v>1.0</v>
      </c>
      <c r="P1655" s="21">
        <v>246.0</v>
      </c>
      <c r="Q1655" s="22" t="str">
        <f>"+7"</f>
        <v>+7</v>
      </c>
      <c r="R1655" s="18" t="str">
        <f>"+5"</f>
        <v>+5</v>
      </c>
      <c r="S1655" s="14" t="s">
        <v>1433</v>
      </c>
    </row>
    <row r="1656">
      <c r="A1656" s="13">
        <v>45901.0</v>
      </c>
      <c r="B1656" s="14" t="s">
        <v>47</v>
      </c>
      <c r="C1656" s="14" t="s">
        <v>48</v>
      </c>
      <c r="D1656" s="14" t="s">
        <v>96</v>
      </c>
      <c r="E1656" s="14" t="s">
        <v>97</v>
      </c>
      <c r="F1656" s="15" t="s">
        <v>51</v>
      </c>
      <c r="G1656" s="14" t="s">
        <v>98</v>
      </c>
      <c r="H1656" s="14" t="s">
        <v>96</v>
      </c>
      <c r="I1656" s="14" t="s">
        <v>59</v>
      </c>
      <c r="J1656" s="14" t="s">
        <v>200</v>
      </c>
      <c r="K1656" s="14" t="s">
        <v>223</v>
      </c>
      <c r="L1656" s="14" t="s">
        <v>261</v>
      </c>
      <c r="M1656" s="14" t="s">
        <v>262</v>
      </c>
      <c r="N1656" s="14" t="s">
        <v>263</v>
      </c>
      <c r="O1656" s="14">
        <v>0.0</v>
      </c>
      <c r="P1656" s="21">
        <v>0.0</v>
      </c>
      <c r="Q1656" s="22" t="str">
        <f t="shared" ref="Q1656:R1656" si="973">"+0"</f>
        <v>+0</v>
      </c>
      <c r="R1656" s="18" t="str">
        <f t="shared" si="973"/>
        <v>+0</v>
      </c>
      <c r="S1656" s="14" t="s">
        <v>260</v>
      </c>
    </row>
    <row r="1657">
      <c r="A1657" s="13">
        <v>45901.0</v>
      </c>
      <c r="B1657" s="14" t="s">
        <v>47</v>
      </c>
      <c r="C1657" s="14" t="s">
        <v>48</v>
      </c>
      <c r="D1657" s="14" t="s">
        <v>96</v>
      </c>
      <c r="E1657" s="14" t="s">
        <v>97</v>
      </c>
      <c r="F1657" s="15" t="s">
        <v>51</v>
      </c>
      <c r="G1657" s="14" t="s">
        <v>98</v>
      </c>
      <c r="H1657" s="14" t="s">
        <v>96</v>
      </c>
      <c r="I1657" s="14" t="s">
        <v>59</v>
      </c>
      <c r="J1657" s="14" t="s">
        <v>199</v>
      </c>
      <c r="K1657" s="14" t="s">
        <v>206</v>
      </c>
      <c r="L1657" s="14" t="s">
        <v>433</v>
      </c>
      <c r="M1657" s="14" t="s">
        <v>433</v>
      </c>
      <c r="N1657" s="14" t="s">
        <v>434</v>
      </c>
      <c r="O1657" s="14">
        <v>0.0</v>
      </c>
      <c r="P1657" s="21">
        <v>0.0</v>
      </c>
      <c r="Q1657" s="22" t="str">
        <f t="shared" ref="Q1657:R1657" si="974">"+0"</f>
        <v>+0</v>
      </c>
      <c r="R1657" s="18" t="str">
        <f t="shared" si="974"/>
        <v>+0</v>
      </c>
      <c r="S1657" s="14" t="s">
        <v>383</v>
      </c>
    </row>
    <row r="1658">
      <c r="A1658" s="13">
        <v>45901.0</v>
      </c>
      <c r="B1658" s="14" t="s">
        <v>47</v>
      </c>
      <c r="C1658" s="14" t="s">
        <v>48</v>
      </c>
      <c r="D1658" s="14" t="s">
        <v>69</v>
      </c>
      <c r="E1658" s="14" t="s">
        <v>70</v>
      </c>
      <c r="F1658" s="15" t="s">
        <v>51</v>
      </c>
      <c r="G1658" s="14" t="s">
        <v>115</v>
      </c>
      <c r="H1658" s="14" t="s">
        <v>72</v>
      </c>
      <c r="I1658" s="14" t="s">
        <v>54</v>
      </c>
      <c r="J1658" s="14" t="s">
        <v>198</v>
      </c>
      <c r="K1658" s="14" t="s">
        <v>210</v>
      </c>
      <c r="L1658" s="14" t="s">
        <v>278</v>
      </c>
      <c r="M1658" s="14" t="s">
        <v>839</v>
      </c>
      <c r="N1658" s="14" t="s">
        <v>840</v>
      </c>
      <c r="O1658" s="14">
        <v>8.0</v>
      </c>
      <c r="P1658" s="21">
        <v>2445.0</v>
      </c>
      <c r="Q1658" s="22" t="str">
        <f>"-13"</f>
        <v>-13</v>
      </c>
      <c r="R1658" s="18" t="str">
        <f>"-872"</f>
        <v>-872</v>
      </c>
      <c r="S1658" s="14" t="s">
        <v>1538</v>
      </c>
    </row>
    <row r="1659">
      <c r="A1659" s="13">
        <v>45901.0</v>
      </c>
      <c r="B1659" s="14" t="s">
        <v>47</v>
      </c>
      <c r="C1659" s="14" t="s">
        <v>48</v>
      </c>
      <c r="D1659" s="14" t="s">
        <v>69</v>
      </c>
      <c r="E1659" s="14" t="s">
        <v>70</v>
      </c>
      <c r="F1659" s="15" t="s">
        <v>51</v>
      </c>
      <c r="G1659" s="14" t="s">
        <v>115</v>
      </c>
      <c r="H1659" s="14" t="s">
        <v>72</v>
      </c>
      <c r="I1659" s="14" t="s">
        <v>54</v>
      </c>
      <c r="J1659" s="14" t="s">
        <v>199</v>
      </c>
      <c r="K1659" s="14" t="s">
        <v>203</v>
      </c>
      <c r="L1659" s="14" t="s">
        <v>342</v>
      </c>
      <c r="M1659" s="14" t="s">
        <v>342</v>
      </c>
      <c r="N1659" s="14" t="s">
        <v>343</v>
      </c>
      <c r="O1659" s="14">
        <v>0.0</v>
      </c>
      <c r="P1659" s="21">
        <v>0.0</v>
      </c>
      <c r="Q1659" s="22" t="str">
        <f t="shared" ref="Q1659:R1659" si="975">"+0"</f>
        <v>+0</v>
      </c>
      <c r="R1659" s="18" t="str">
        <f t="shared" si="975"/>
        <v>+0</v>
      </c>
      <c r="S1659" s="14" t="s">
        <v>260</v>
      </c>
    </row>
    <row r="1660">
      <c r="A1660" s="13">
        <v>45901.0</v>
      </c>
      <c r="B1660" s="14" t="s">
        <v>47</v>
      </c>
      <c r="C1660" s="14" t="s">
        <v>48</v>
      </c>
      <c r="D1660" s="14" t="s">
        <v>108</v>
      </c>
      <c r="E1660" s="14" t="s">
        <v>109</v>
      </c>
      <c r="F1660" s="14" t="s">
        <v>79</v>
      </c>
      <c r="G1660" s="14" t="s">
        <v>153</v>
      </c>
      <c r="H1660" s="14" t="s">
        <v>108</v>
      </c>
      <c r="I1660" s="14" t="s">
        <v>154</v>
      </c>
      <c r="J1660" s="14" t="s">
        <v>198</v>
      </c>
      <c r="K1660" s="14" t="s">
        <v>212</v>
      </c>
      <c r="L1660" s="14" t="s">
        <v>249</v>
      </c>
      <c r="M1660" s="14" t="s">
        <v>1444</v>
      </c>
      <c r="N1660" s="14" t="s">
        <v>1445</v>
      </c>
      <c r="O1660" s="14">
        <v>100.0</v>
      </c>
      <c r="P1660" s="21">
        <v>0.0</v>
      </c>
      <c r="Q1660" s="22" t="str">
        <f>"+0"</f>
        <v>+0</v>
      </c>
      <c r="S1660" s="14" t="s">
        <v>277</v>
      </c>
    </row>
    <row r="1661">
      <c r="A1661" s="13">
        <v>45901.0</v>
      </c>
      <c r="B1661" s="14" t="s">
        <v>47</v>
      </c>
      <c r="C1661" s="14" t="s">
        <v>48</v>
      </c>
      <c r="D1661" s="14" t="s">
        <v>112</v>
      </c>
      <c r="E1661" s="14" t="s">
        <v>113</v>
      </c>
      <c r="F1661" s="15" t="s">
        <v>51</v>
      </c>
      <c r="G1661" s="14" t="s">
        <v>114</v>
      </c>
      <c r="H1661" s="14" t="s">
        <v>112</v>
      </c>
      <c r="I1661" s="14" t="s">
        <v>59</v>
      </c>
      <c r="J1661" s="14" t="s">
        <v>198</v>
      </c>
      <c r="K1661" s="14" t="s">
        <v>210</v>
      </c>
      <c r="L1661" s="14" t="s">
        <v>264</v>
      </c>
      <c r="M1661" s="14" t="s">
        <v>265</v>
      </c>
      <c r="N1661" s="14" t="s">
        <v>266</v>
      </c>
      <c r="O1661" s="14">
        <v>0.0</v>
      </c>
      <c r="P1661" s="21">
        <v>1425.0</v>
      </c>
      <c r="Q1661" s="22" t="str">
        <f>"-1,151"</f>
        <v>-1,151</v>
      </c>
      <c r="R1661" s="18" t="str">
        <f>"+659"</f>
        <v>+659</v>
      </c>
      <c r="S1661" s="14" t="s">
        <v>1539</v>
      </c>
    </row>
    <row r="1662">
      <c r="A1662" s="13">
        <v>45901.0</v>
      </c>
      <c r="B1662" s="14" t="s">
        <v>47</v>
      </c>
      <c r="C1662" s="14" t="s">
        <v>48</v>
      </c>
      <c r="D1662" s="14" t="s">
        <v>116</v>
      </c>
      <c r="E1662" s="14" t="s">
        <v>117</v>
      </c>
      <c r="F1662" s="15" t="s">
        <v>51</v>
      </c>
      <c r="G1662" s="14" t="s">
        <v>161</v>
      </c>
      <c r="H1662" s="14" t="s">
        <v>116</v>
      </c>
      <c r="I1662" s="14" t="s">
        <v>54</v>
      </c>
      <c r="J1662" s="14" t="s">
        <v>200</v>
      </c>
      <c r="K1662" s="14" t="s">
        <v>227</v>
      </c>
      <c r="L1662" s="14" t="s">
        <v>270</v>
      </c>
      <c r="M1662" s="14" t="s">
        <v>321</v>
      </c>
      <c r="N1662" s="14" t="s">
        <v>322</v>
      </c>
      <c r="O1662" s="14">
        <v>52.0</v>
      </c>
      <c r="P1662" s="23">
        <v>0.0428</v>
      </c>
      <c r="Q1662" s="22" t="str">
        <f>"+5.84%"</f>
        <v>+5.84%</v>
      </c>
      <c r="R1662" s="18" t="str">
        <f>"-10.85%"</f>
        <v>-10.85%</v>
      </c>
      <c r="S1662" s="14" t="s">
        <v>323</v>
      </c>
    </row>
    <row r="1663">
      <c r="A1663" s="13">
        <v>45901.0</v>
      </c>
      <c r="B1663" s="14" t="s">
        <v>47</v>
      </c>
      <c r="C1663" s="14" t="s">
        <v>48</v>
      </c>
      <c r="D1663" s="14" t="s">
        <v>158</v>
      </c>
      <c r="E1663" s="14" t="s">
        <v>159</v>
      </c>
      <c r="F1663" s="15" t="s">
        <v>51</v>
      </c>
      <c r="G1663" s="14" t="s">
        <v>160</v>
      </c>
      <c r="H1663" s="14" t="s">
        <v>158</v>
      </c>
      <c r="I1663" s="14" t="s">
        <v>54</v>
      </c>
      <c r="J1663" s="14" t="s">
        <v>199</v>
      </c>
      <c r="K1663" s="14" t="s">
        <v>206</v>
      </c>
      <c r="L1663" s="14" t="s">
        <v>569</v>
      </c>
      <c r="M1663" s="14" t="s">
        <v>569</v>
      </c>
      <c r="N1663" s="14" t="s">
        <v>570</v>
      </c>
      <c r="O1663" s="14">
        <v>75.0</v>
      </c>
      <c r="P1663" s="21">
        <v>3.0</v>
      </c>
      <c r="Q1663" s="22" t="str">
        <f>"-1"</f>
        <v>-1</v>
      </c>
      <c r="R1663" s="18" t="str">
        <f>"+0"</f>
        <v>+0</v>
      </c>
      <c r="S1663" s="14" t="s">
        <v>383</v>
      </c>
    </row>
    <row r="1664">
      <c r="A1664" s="13">
        <v>45901.0</v>
      </c>
      <c r="B1664" s="14" t="s">
        <v>47</v>
      </c>
      <c r="C1664" s="14" t="s">
        <v>48</v>
      </c>
      <c r="D1664" s="14" t="s">
        <v>56</v>
      </c>
      <c r="E1664" s="14" t="s">
        <v>57</v>
      </c>
      <c r="F1664" s="15" t="s">
        <v>51</v>
      </c>
      <c r="G1664" s="14" t="s">
        <v>58</v>
      </c>
      <c r="H1664" s="14" t="s">
        <v>56</v>
      </c>
      <c r="I1664" s="14" t="s">
        <v>59</v>
      </c>
      <c r="J1664" s="14" t="s">
        <v>198</v>
      </c>
      <c r="K1664" s="14" t="s">
        <v>205</v>
      </c>
      <c r="L1664" s="14" t="s">
        <v>274</v>
      </c>
      <c r="M1664" s="14" t="s">
        <v>425</v>
      </c>
      <c r="N1664" s="14" t="s">
        <v>426</v>
      </c>
      <c r="O1664" s="14">
        <v>0.0</v>
      </c>
      <c r="P1664" s="21">
        <v>0.0</v>
      </c>
      <c r="Q1664" s="22" t="str">
        <f>"+0"</f>
        <v>+0</v>
      </c>
      <c r="S1664" s="14" t="s">
        <v>281</v>
      </c>
    </row>
    <row r="1665">
      <c r="A1665" s="13">
        <v>45901.0</v>
      </c>
      <c r="B1665" s="14" t="s">
        <v>47</v>
      </c>
      <c r="C1665" s="14" t="s">
        <v>48</v>
      </c>
      <c r="D1665" s="14" t="s">
        <v>168</v>
      </c>
      <c r="E1665" s="14" t="s">
        <v>169</v>
      </c>
      <c r="F1665" s="15" t="s">
        <v>51</v>
      </c>
      <c r="G1665" s="14" t="s">
        <v>170</v>
      </c>
      <c r="H1665" s="14" t="s">
        <v>168</v>
      </c>
      <c r="I1665" s="14" t="s">
        <v>59</v>
      </c>
      <c r="J1665" s="14" t="s">
        <v>200</v>
      </c>
      <c r="K1665" s="14" t="s">
        <v>227</v>
      </c>
      <c r="L1665" s="14" t="s">
        <v>721</v>
      </c>
      <c r="M1665" s="14" t="s">
        <v>722</v>
      </c>
      <c r="N1665" s="14" t="s">
        <v>723</v>
      </c>
      <c r="O1665" s="14">
        <v>30.0</v>
      </c>
      <c r="P1665" s="23">
        <v>-0.3942</v>
      </c>
      <c r="Q1665" s="22" t="str">
        <f>"+17.50%"</f>
        <v>+17.50%</v>
      </c>
      <c r="R1665" s="18" t="str">
        <f>"+2.98%"</f>
        <v>+2.98%</v>
      </c>
      <c r="S1665" s="14" t="s">
        <v>724</v>
      </c>
    </row>
    <row r="1666">
      <c r="A1666" s="13">
        <v>45901.0</v>
      </c>
      <c r="B1666" s="14" t="s">
        <v>47</v>
      </c>
      <c r="C1666" s="14" t="s">
        <v>48</v>
      </c>
      <c r="D1666" s="14" t="s">
        <v>155</v>
      </c>
      <c r="E1666" s="14" t="s">
        <v>156</v>
      </c>
      <c r="F1666" s="15" t="s">
        <v>51</v>
      </c>
      <c r="G1666" s="14" t="s">
        <v>157</v>
      </c>
      <c r="H1666" s="14" t="s">
        <v>155</v>
      </c>
      <c r="I1666" s="14" t="s">
        <v>59</v>
      </c>
      <c r="J1666" s="14" t="s">
        <v>200</v>
      </c>
      <c r="K1666" s="14" t="s">
        <v>223</v>
      </c>
      <c r="L1666" s="14" t="s">
        <v>257</v>
      </c>
      <c r="M1666" s="14" t="s">
        <v>258</v>
      </c>
      <c r="N1666" s="14" t="s">
        <v>259</v>
      </c>
      <c r="O1666" s="14">
        <v>0.0</v>
      </c>
      <c r="P1666" s="21">
        <v>0.0</v>
      </c>
      <c r="Q1666" s="22" t="str">
        <f t="shared" ref="Q1666:R1666" si="976">"+0"</f>
        <v>+0</v>
      </c>
      <c r="R1666" s="18" t="str">
        <f t="shared" si="976"/>
        <v>+0</v>
      </c>
      <c r="S1666" s="14" t="s">
        <v>260</v>
      </c>
    </row>
    <row r="1667">
      <c r="A1667" s="13">
        <v>45901.0</v>
      </c>
      <c r="B1667" s="14" t="s">
        <v>47</v>
      </c>
      <c r="C1667" s="14" t="s">
        <v>48</v>
      </c>
      <c r="D1667" s="14" t="s">
        <v>56</v>
      </c>
      <c r="E1667" s="14" t="s">
        <v>57</v>
      </c>
      <c r="F1667" s="14" t="s">
        <v>71</v>
      </c>
      <c r="G1667" s="14">
        <v>5.36003976E8</v>
      </c>
      <c r="H1667" s="14" t="s">
        <v>56</v>
      </c>
      <c r="I1667" s="14" t="s">
        <v>59</v>
      </c>
      <c r="J1667" s="14" t="s">
        <v>199</v>
      </c>
      <c r="K1667" s="14" t="s">
        <v>206</v>
      </c>
      <c r="L1667" s="14" t="s">
        <v>515</v>
      </c>
      <c r="M1667" s="14" t="s">
        <v>515</v>
      </c>
      <c r="N1667" s="14" t="s">
        <v>516</v>
      </c>
      <c r="O1667" s="14">
        <v>0.0</v>
      </c>
      <c r="P1667" s="21">
        <v>0.0</v>
      </c>
      <c r="Q1667" s="22" t="str">
        <f t="shared" ref="Q1667:R1667" si="977">"+0"</f>
        <v>+0</v>
      </c>
      <c r="R1667" s="18" t="str">
        <f t="shared" si="977"/>
        <v>+0</v>
      </c>
      <c r="S1667" s="14" t="s">
        <v>383</v>
      </c>
    </row>
    <row r="1668">
      <c r="A1668" s="13">
        <v>45901.0</v>
      </c>
      <c r="B1668" s="14" t="s">
        <v>47</v>
      </c>
      <c r="C1668" s="14" t="s">
        <v>48</v>
      </c>
      <c r="D1668" s="14" t="s">
        <v>155</v>
      </c>
      <c r="E1668" s="14" t="s">
        <v>156</v>
      </c>
      <c r="F1668" s="15" t="s">
        <v>51</v>
      </c>
      <c r="G1668" s="14" t="s">
        <v>157</v>
      </c>
      <c r="H1668" s="14" t="s">
        <v>155</v>
      </c>
      <c r="I1668" s="14" t="s">
        <v>59</v>
      </c>
      <c r="J1668" s="14" t="s">
        <v>198</v>
      </c>
      <c r="K1668" s="14" t="s">
        <v>210</v>
      </c>
      <c r="L1668" s="14" t="s">
        <v>278</v>
      </c>
      <c r="M1668" s="14" t="s">
        <v>839</v>
      </c>
      <c r="N1668" s="14" t="s">
        <v>840</v>
      </c>
      <c r="O1668" s="14">
        <v>100.0</v>
      </c>
      <c r="P1668" s="21">
        <v>0.0</v>
      </c>
      <c r="Q1668" s="22" t="str">
        <f t="shared" ref="Q1668:R1668" si="978">"+0"</f>
        <v>+0</v>
      </c>
      <c r="R1668" s="18" t="str">
        <f t="shared" si="978"/>
        <v>+0</v>
      </c>
      <c r="S1668" s="14" t="s">
        <v>281</v>
      </c>
    </row>
    <row r="1669">
      <c r="A1669" s="13">
        <v>45901.0</v>
      </c>
      <c r="B1669" s="14" t="s">
        <v>47</v>
      </c>
      <c r="C1669" s="14" t="s">
        <v>48</v>
      </c>
      <c r="D1669" s="14" t="s">
        <v>140</v>
      </c>
      <c r="E1669" s="14" t="s">
        <v>141</v>
      </c>
      <c r="F1669" s="15" t="s">
        <v>51</v>
      </c>
      <c r="G1669" s="14" t="s">
        <v>142</v>
      </c>
      <c r="H1669" s="14" t="s">
        <v>140</v>
      </c>
      <c r="I1669" s="14" t="s">
        <v>59</v>
      </c>
      <c r="J1669" s="14" t="s">
        <v>200</v>
      </c>
      <c r="K1669" s="14" t="s">
        <v>222</v>
      </c>
      <c r="L1669" s="14" t="s">
        <v>253</v>
      </c>
      <c r="M1669" s="14" t="s">
        <v>732</v>
      </c>
      <c r="N1669" s="14" t="s">
        <v>733</v>
      </c>
      <c r="O1669" s="14">
        <v>50.0</v>
      </c>
      <c r="P1669" s="21">
        <v>1.0</v>
      </c>
      <c r="Q1669" s="22" t="str">
        <f t="shared" ref="Q1669:R1669" si="979">"+0"</f>
        <v>+0</v>
      </c>
      <c r="R1669" s="18" t="str">
        <f t="shared" si="979"/>
        <v>+0</v>
      </c>
      <c r="S1669" s="14" t="s">
        <v>450</v>
      </c>
    </row>
    <row r="1670">
      <c r="A1670" s="13">
        <v>45901.0</v>
      </c>
      <c r="B1670" s="14" t="s">
        <v>47</v>
      </c>
      <c r="C1670" s="14" t="s">
        <v>48</v>
      </c>
      <c r="D1670" s="14" t="s">
        <v>155</v>
      </c>
      <c r="E1670" s="14" t="s">
        <v>156</v>
      </c>
      <c r="F1670" s="15" t="s">
        <v>51</v>
      </c>
      <c r="G1670" s="14" t="s">
        <v>157</v>
      </c>
      <c r="H1670" s="14" t="s">
        <v>155</v>
      </c>
      <c r="I1670" s="14" t="s">
        <v>59</v>
      </c>
      <c r="J1670" s="14" t="s">
        <v>200</v>
      </c>
      <c r="K1670" s="14" t="s">
        <v>223</v>
      </c>
      <c r="L1670" s="14" t="s">
        <v>289</v>
      </c>
      <c r="M1670" s="14" t="s">
        <v>684</v>
      </c>
      <c r="N1670" s="14" t="s">
        <v>685</v>
      </c>
      <c r="O1670" s="14">
        <v>0.0</v>
      </c>
      <c r="P1670" s="17"/>
      <c r="Q1670" s="22"/>
      <c r="S1670" s="14" t="s">
        <v>285</v>
      </c>
    </row>
    <row r="1671">
      <c r="A1671" s="13">
        <v>45901.0</v>
      </c>
      <c r="B1671" s="14" t="s">
        <v>47</v>
      </c>
      <c r="C1671" s="14" t="s">
        <v>48</v>
      </c>
      <c r="D1671" s="14" t="s">
        <v>121</v>
      </c>
      <c r="E1671" s="14" t="s">
        <v>122</v>
      </c>
      <c r="F1671" s="15" t="s">
        <v>51</v>
      </c>
      <c r="G1671" s="14" t="s">
        <v>123</v>
      </c>
      <c r="H1671" s="14" t="s">
        <v>124</v>
      </c>
      <c r="I1671" s="14" t="s">
        <v>59</v>
      </c>
      <c r="J1671" s="14" t="s">
        <v>200</v>
      </c>
      <c r="K1671" s="14" t="s">
        <v>222</v>
      </c>
      <c r="L1671" s="14" t="s">
        <v>337</v>
      </c>
      <c r="M1671" s="14" t="s">
        <v>1000</v>
      </c>
      <c r="N1671" s="14" t="s">
        <v>1001</v>
      </c>
      <c r="O1671" s="14">
        <v>0.0</v>
      </c>
      <c r="P1671" s="21">
        <v>0.0</v>
      </c>
      <c r="Q1671" s="22" t="str">
        <f t="shared" ref="Q1671:R1671" si="980">"+0"</f>
        <v>+0</v>
      </c>
      <c r="R1671" s="18" t="str">
        <f t="shared" si="980"/>
        <v>+0</v>
      </c>
      <c r="S1671" s="14" t="s">
        <v>260</v>
      </c>
    </row>
    <row r="1672">
      <c r="A1672" s="13">
        <v>45901.0</v>
      </c>
      <c r="B1672" s="14" t="s">
        <v>47</v>
      </c>
      <c r="C1672" s="14" t="s">
        <v>48</v>
      </c>
      <c r="D1672" s="14" t="s">
        <v>155</v>
      </c>
      <c r="E1672" s="14" t="s">
        <v>156</v>
      </c>
      <c r="F1672" s="15" t="s">
        <v>51</v>
      </c>
      <c r="G1672" s="14" t="s">
        <v>157</v>
      </c>
      <c r="H1672" s="14" t="s">
        <v>155</v>
      </c>
      <c r="I1672" s="14" t="s">
        <v>59</v>
      </c>
      <c r="J1672" s="14" t="s">
        <v>200</v>
      </c>
      <c r="K1672" s="14" t="s">
        <v>223</v>
      </c>
      <c r="L1672" s="14" t="s">
        <v>304</v>
      </c>
      <c r="M1672" s="14" t="s">
        <v>1012</v>
      </c>
      <c r="N1672" s="14" t="s">
        <v>1013</v>
      </c>
      <c r="O1672" s="14">
        <v>0.0</v>
      </c>
      <c r="P1672" s="17"/>
      <c r="Q1672" s="22"/>
      <c r="S1672" s="14" t="s">
        <v>285</v>
      </c>
    </row>
    <row r="1673">
      <c r="A1673" s="13">
        <v>45901.0</v>
      </c>
      <c r="B1673" s="14" t="s">
        <v>47</v>
      </c>
      <c r="C1673" s="14" t="s">
        <v>48</v>
      </c>
      <c r="D1673" s="14" t="s">
        <v>140</v>
      </c>
      <c r="E1673" s="14" t="s">
        <v>141</v>
      </c>
      <c r="F1673" s="15" t="s">
        <v>51</v>
      </c>
      <c r="G1673" s="14" t="s">
        <v>142</v>
      </c>
      <c r="H1673" s="14" t="s">
        <v>140</v>
      </c>
      <c r="I1673" s="14" t="s">
        <v>59</v>
      </c>
      <c r="J1673" s="14" t="s">
        <v>200</v>
      </c>
      <c r="K1673" s="14" t="s">
        <v>213</v>
      </c>
      <c r="L1673" s="14" t="s">
        <v>571</v>
      </c>
      <c r="M1673" s="14" t="s">
        <v>578</v>
      </c>
      <c r="N1673" s="14" t="s">
        <v>579</v>
      </c>
      <c r="O1673" s="14">
        <v>0.0</v>
      </c>
      <c r="P1673" s="23">
        <v>0.0</v>
      </c>
      <c r="Q1673" s="22" t="str">
        <f t="shared" ref="Q1673:R1673" si="981">"+0.00%"</f>
        <v>+0.00%</v>
      </c>
      <c r="R1673" s="18" t="str">
        <f t="shared" si="981"/>
        <v>+0.00%</v>
      </c>
      <c r="S1673" s="14" t="s">
        <v>285</v>
      </c>
    </row>
    <row r="1674">
      <c r="A1674" s="13">
        <v>45901.0</v>
      </c>
      <c r="B1674" s="14" t="s">
        <v>47</v>
      </c>
      <c r="C1674" s="14" t="s">
        <v>48</v>
      </c>
      <c r="D1674" s="14" t="s">
        <v>91</v>
      </c>
      <c r="E1674" s="14" t="s">
        <v>92</v>
      </c>
      <c r="F1674" s="14" t="s">
        <v>71</v>
      </c>
      <c r="G1674" s="14">
        <v>5.10001669E8</v>
      </c>
      <c r="H1674" s="14" t="s">
        <v>91</v>
      </c>
      <c r="I1674" s="14" t="s">
        <v>107</v>
      </c>
      <c r="J1674" s="14" t="s">
        <v>200</v>
      </c>
      <c r="K1674" s="14" t="s">
        <v>218</v>
      </c>
      <c r="L1674" s="14" t="s">
        <v>253</v>
      </c>
      <c r="M1674" s="14" t="s">
        <v>1388</v>
      </c>
      <c r="N1674" s="14" t="s">
        <v>1389</v>
      </c>
      <c r="O1674" s="14">
        <v>100.0</v>
      </c>
      <c r="P1674" s="23">
        <v>1.0</v>
      </c>
      <c r="Q1674" s="22" t="str">
        <f t="shared" ref="Q1674:R1674" si="982">"+0.00%"</f>
        <v>+0.00%</v>
      </c>
      <c r="R1674" s="18" t="str">
        <f t="shared" si="982"/>
        <v>+0.00%</v>
      </c>
      <c r="S1674" s="14" t="s">
        <v>439</v>
      </c>
    </row>
    <row r="1675">
      <c r="A1675" s="13">
        <v>45901.0</v>
      </c>
      <c r="B1675" s="14" t="s">
        <v>47</v>
      </c>
      <c r="C1675" s="14" t="s">
        <v>48</v>
      </c>
      <c r="D1675" s="14" t="s">
        <v>91</v>
      </c>
      <c r="E1675" s="14" t="s">
        <v>92</v>
      </c>
      <c r="F1675" s="14" t="s">
        <v>71</v>
      </c>
      <c r="G1675" s="14">
        <v>1.00004432E8</v>
      </c>
      <c r="H1675" s="14" t="s">
        <v>91</v>
      </c>
      <c r="I1675" s="14" t="s">
        <v>59</v>
      </c>
      <c r="J1675" s="14" t="s">
        <v>199</v>
      </c>
      <c r="K1675" s="14" t="s">
        <v>206</v>
      </c>
      <c r="L1675" s="14" t="s">
        <v>433</v>
      </c>
      <c r="M1675" s="14" t="s">
        <v>433</v>
      </c>
      <c r="N1675" s="14" t="s">
        <v>434</v>
      </c>
      <c r="O1675" s="14">
        <v>100.0</v>
      </c>
      <c r="P1675" s="21">
        <v>101.0</v>
      </c>
      <c r="Q1675" s="22" t="str">
        <f>"-32"</f>
        <v>-32</v>
      </c>
      <c r="R1675" s="18" t="str">
        <f>"+4"</f>
        <v>+4</v>
      </c>
      <c r="S1675" s="14" t="s">
        <v>383</v>
      </c>
    </row>
    <row r="1676">
      <c r="A1676" s="13">
        <v>45901.0</v>
      </c>
      <c r="B1676" s="14" t="s">
        <v>47</v>
      </c>
      <c r="C1676" s="14" t="s">
        <v>48</v>
      </c>
      <c r="D1676" s="14" t="s">
        <v>192</v>
      </c>
      <c r="E1676" s="14" t="s">
        <v>193</v>
      </c>
      <c r="F1676" s="15" t="s">
        <v>51</v>
      </c>
      <c r="G1676" s="14" t="s">
        <v>194</v>
      </c>
      <c r="H1676" s="14" t="s">
        <v>192</v>
      </c>
      <c r="I1676" s="14" t="s">
        <v>54</v>
      </c>
      <c r="J1676" s="14" t="s">
        <v>199</v>
      </c>
      <c r="K1676" s="14" t="s">
        <v>203</v>
      </c>
      <c r="L1676" s="14" t="s">
        <v>736</v>
      </c>
      <c r="M1676" s="14" t="s">
        <v>736</v>
      </c>
      <c r="N1676" s="14" t="s">
        <v>737</v>
      </c>
      <c r="O1676" s="14">
        <v>0.0</v>
      </c>
      <c r="P1676" s="21">
        <v>0.0</v>
      </c>
      <c r="Q1676" s="22" t="str">
        <f t="shared" ref="Q1676:R1676" si="983">"+0"</f>
        <v>+0</v>
      </c>
      <c r="R1676" s="18" t="str">
        <f t="shared" si="983"/>
        <v>+0</v>
      </c>
      <c r="S1676" s="14" t="s">
        <v>260</v>
      </c>
    </row>
    <row r="1677">
      <c r="A1677" s="13">
        <v>45901.0</v>
      </c>
      <c r="B1677" s="14" t="s">
        <v>47</v>
      </c>
      <c r="C1677" s="14" t="s">
        <v>48</v>
      </c>
      <c r="D1677" s="14" t="s">
        <v>93</v>
      </c>
      <c r="E1677" s="14" t="s">
        <v>94</v>
      </c>
      <c r="F1677" s="14" t="s">
        <v>71</v>
      </c>
      <c r="G1677" s="14">
        <v>5.36001438E8</v>
      </c>
      <c r="H1677" s="14" t="s">
        <v>95</v>
      </c>
      <c r="I1677" s="14" t="s">
        <v>59</v>
      </c>
      <c r="J1677" s="14" t="s">
        <v>199</v>
      </c>
      <c r="K1677" s="14" t="s">
        <v>203</v>
      </c>
      <c r="L1677" s="14" t="s">
        <v>736</v>
      </c>
      <c r="M1677" s="14" t="s">
        <v>736</v>
      </c>
      <c r="N1677" s="14" t="s">
        <v>737</v>
      </c>
      <c r="O1677" s="14">
        <v>0.0</v>
      </c>
      <c r="P1677" s="21">
        <v>0.0</v>
      </c>
      <c r="Q1677" s="22" t="str">
        <f t="shared" ref="Q1677:R1677" si="984">"+0"</f>
        <v>+0</v>
      </c>
      <c r="R1677" s="18" t="str">
        <f t="shared" si="984"/>
        <v>+0</v>
      </c>
      <c r="S1677" s="14" t="s">
        <v>260</v>
      </c>
    </row>
    <row r="1678">
      <c r="A1678" s="13">
        <v>45901.0</v>
      </c>
      <c r="B1678" s="14" t="s">
        <v>47</v>
      </c>
      <c r="C1678" s="14" t="s">
        <v>48</v>
      </c>
      <c r="D1678" s="14" t="s">
        <v>184</v>
      </c>
      <c r="E1678" s="14" t="s">
        <v>185</v>
      </c>
      <c r="F1678" s="15" t="s">
        <v>51</v>
      </c>
      <c r="G1678" s="14" t="s">
        <v>186</v>
      </c>
      <c r="H1678" s="14" t="s">
        <v>187</v>
      </c>
      <c r="I1678" s="14" t="s">
        <v>59</v>
      </c>
      <c r="J1678" s="14" t="s">
        <v>200</v>
      </c>
      <c r="K1678" s="14" t="s">
        <v>222</v>
      </c>
      <c r="L1678" s="14" t="s">
        <v>337</v>
      </c>
      <c r="M1678" s="14" t="s">
        <v>734</v>
      </c>
      <c r="N1678" s="14" t="s">
        <v>735</v>
      </c>
      <c r="O1678" s="14">
        <v>0.0</v>
      </c>
      <c r="P1678" s="21">
        <v>0.0</v>
      </c>
      <c r="Q1678" s="22" t="str">
        <f t="shared" ref="Q1678:R1678" si="985">"+0"</f>
        <v>+0</v>
      </c>
      <c r="R1678" s="18" t="str">
        <f t="shared" si="985"/>
        <v>+0</v>
      </c>
      <c r="S1678" s="14" t="s">
        <v>260</v>
      </c>
    </row>
    <row r="1679">
      <c r="A1679" s="13">
        <v>45901.0</v>
      </c>
      <c r="B1679" s="14" t="s">
        <v>47</v>
      </c>
      <c r="C1679" s="14" t="s">
        <v>48</v>
      </c>
      <c r="D1679" s="14" t="s">
        <v>192</v>
      </c>
      <c r="E1679" s="14" t="s">
        <v>193</v>
      </c>
      <c r="F1679" s="15" t="s">
        <v>51</v>
      </c>
      <c r="G1679" s="14" t="s">
        <v>194</v>
      </c>
      <c r="H1679" s="14" t="s">
        <v>192</v>
      </c>
      <c r="I1679" s="14" t="s">
        <v>54</v>
      </c>
      <c r="J1679" s="14" t="s">
        <v>200</v>
      </c>
      <c r="K1679" s="14" t="s">
        <v>231</v>
      </c>
      <c r="L1679" s="14" t="s">
        <v>762</v>
      </c>
      <c r="M1679" s="14" t="s">
        <v>1218</v>
      </c>
      <c r="N1679" s="14" t="s">
        <v>1219</v>
      </c>
      <c r="O1679" s="14">
        <v>0.0</v>
      </c>
      <c r="P1679" s="23">
        <v>0.0</v>
      </c>
      <c r="Q1679" s="22" t="str">
        <f t="shared" ref="Q1679:R1679" si="986">"+0.00%"</f>
        <v>+0.00%</v>
      </c>
      <c r="R1679" s="18" t="str">
        <f t="shared" si="986"/>
        <v>+0.00%</v>
      </c>
      <c r="S1679" s="14" t="s">
        <v>1540</v>
      </c>
    </row>
    <row r="1680">
      <c r="A1680" s="13">
        <v>45901.0</v>
      </c>
      <c r="B1680" s="14" t="s">
        <v>47</v>
      </c>
      <c r="C1680" s="14" t="s">
        <v>48</v>
      </c>
      <c r="D1680" s="14" t="s">
        <v>82</v>
      </c>
      <c r="E1680" s="14" t="s">
        <v>83</v>
      </c>
      <c r="F1680" s="15" t="s">
        <v>51</v>
      </c>
      <c r="G1680" s="14" t="s">
        <v>84</v>
      </c>
      <c r="H1680" s="14" t="s">
        <v>82</v>
      </c>
      <c r="I1680" s="14" t="s">
        <v>59</v>
      </c>
      <c r="J1680" s="14" t="s">
        <v>200</v>
      </c>
      <c r="K1680" s="14" t="s">
        <v>213</v>
      </c>
      <c r="L1680" s="14" t="s">
        <v>359</v>
      </c>
      <c r="M1680" s="14" t="s">
        <v>519</v>
      </c>
      <c r="N1680" s="14" t="s">
        <v>520</v>
      </c>
      <c r="O1680" s="14">
        <v>0.0</v>
      </c>
      <c r="P1680" s="21">
        <v>0.0</v>
      </c>
      <c r="Q1680" s="22" t="str">
        <f t="shared" ref="Q1680:R1680" si="987">"+0"</f>
        <v>+0</v>
      </c>
      <c r="R1680" s="18" t="str">
        <f t="shared" si="987"/>
        <v>+0</v>
      </c>
      <c r="S1680" s="14" t="s">
        <v>260</v>
      </c>
    </row>
    <row r="1681">
      <c r="A1681" s="13">
        <v>45901.0</v>
      </c>
      <c r="B1681" s="14" t="s">
        <v>47</v>
      </c>
      <c r="C1681" s="14" t="s">
        <v>48</v>
      </c>
      <c r="D1681" s="14" t="s">
        <v>82</v>
      </c>
      <c r="E1681" s="14" t="s">
        <v>83</v>
      </c>
      <c r="F1681" s="15" t="s">
        <v>51</v>
      </c>
      <c r="G1681" s="14" t="s">
        <v>84</v>
      </c>
      <c r="H1681" s="14" t="s">
        <v>82</v>
      </c>
      <c r="I1681" s="14" t="s">
        <v>59</v>
      </c>
      <c r="J1681" s="14" t="s">
        <v>199</v>
      </c>
      <c r="K1681" s="14" t="s">
        <v>206</v>
      </c>
      <c r="L1681" s="14" t="s">
        <v>295</v>
      </c>
      <c r="M1681" s="14" t="s">
        <v>296</v>
      </c>
      <c r="N1681" s="14" t="s">
        <v>297</v>
      </c>
      <c r="O1681" s="14">
        <v>0.0</v>
      </c>
      <c r="P1681" s="21">
        <v>0.0</v>
      </c>
      <c r="Q1681" s="22" t="str">
        <f t="shared" ref="Q1681:R1681" si="988">"+0"</f>
        <v>+0</v>
      </c>
      <c r="R1681" s="18" t="str">
        <f t="shared" si="988"/>
        <v>+0</v>
      </c>
      <c r="S1681" s="14" t="s">
        <v>260</v>
      </c>
    </row>
    <row r="1682">
      <c r="A1682" s="13">
        <v>45901.0</v>
      </c>
      <c r="B1682" s="14" t="s">
        <v>47</v>
      </c>
      <c r="C1682" s="14" t="s">
        <v>48</v>
      </c>
      <c r="D1682" s="14" t="s">
        <v>184</v>
      </c>
      <c r="E1682" s="14" t="s">
        <v>185</v>
      </c>
      <c r="F1682" s="15" t="s">
        <v>51</v>
      </c>
      <c r="G1682" s="14" t="s">
        <v>186</v>
      </c>
      <c r="H1682" s="14" t="s">
        <v>187</v>
      </c>
      <c r="I1682" s="14" t="s">
        <v>59</v>
      </c>
      <c r="J1682" s="14" t="s">
        <v>198</v>
      </c>
      <c r="K1682" s="14" t="s">
        <v>210</v>
      </c>
      <c r="L1682" s="14" t="s">
        <v>264</v>
      </c>
      <c r="M1682" s="14" t="s">
        <v>265</v>
      </c>
      <c r="N1682" s="14" t="s">
        <v>266</v>
      </c>
      <c r="O1682" s="14">
        <v>68.0</v>
      </c>
      <c r="P1682" s="21">
        <v>78.0</v>
      </c>
      <c r="Q1682" s="22" t="str">
        <f>"-37"</f>
        <v>-37</v>
      </c>
      <c r="R1682" s="18" t="str">
        <f>"-152"</f>
        <v>-152</v>
      </c>
      <c r="S1682" s="14" t="s">
        <v>1433</v>
      </c>
    </row>
    <row r="1683">
      <c r="A1683" s="13">
        <v>45901.0</v>
      </c>
      <c r="B1683" s="14" t="s">
        <v>47</v>
      </c>
      <c r="C1683" s="14" t="s">
        <v>48</v>
      </c>
      <c r="D1683" s="14" t="s">
        <v>103</v>
      </c>
      <c r="E1683" s="14" t="s">
        <v>104</v>
      </c>
      <c r="F1683" s="15" t="s">
        <v>51</v>
      </c>
      <c r="G1683" s="14" t="s">
        <v>105</v>
      </c>
      <c r="H1683" s="14" t="s">
        <v>106</v>
      </c>
      <c r="I1683" s="14" t="s">
        <v>59</v>
      </c>
      <c r="J1683" s="14" t="s">
        <v>199</v>
      </c>
      <c r="K1683" s="14" t="s">
        <v>206</v>
      </c>
      <c r="L1683" s="14" t="s">
        <v>295</v>
      </c>
      <c r="M1683" s="14" t="s">
        <v>461</v>
      </c>
      <c r="N1683" s="14" t="s">
        <v>462</v>
      </c>
      <c r="O1683" s="14">
        <v>0.0</v>
      </c>
      <c r="P1683" s="21">
        <v>0.0</v>
      </c>
      <c r="Q1683" s="22" t="str">
        <f t="shared" ref="Q1683:R1683" si="989">"+0"</f>
        <v>+0</v>
      </c>
      <c r="R1683" s="18" t="str">
        <f t="shared" si="989"/>
        <v>+0</v>
      </c>
      <c r="S1683" s="14" t="s">
        <v>260</v>
      </c>
    </row>
    <row r="1684">
      <c r="A1684" s="13">
        <v>45901.0</v>
      </c>
      <c r="B1684" s="14" t="s">
        <v>47</v>
      </c>
      <c r="C1684" s="14" t="s">
        <v>48</v>
      </c>
      <c r="D1684" s="14" t="s">
        <v>143</v>
      </c>
      <c r="E1684" s="14" t="s">
        <v>144</v>
      </c>
      <c r="F1684" s="15" t="s">
        <v>51</v>
      </c>
      <c r="G1684" s="14" t="s">
        <v>145</v>
      </c>
      <c r="H1684" s="14" t="s">
        <v>143</v>
      </c>
      <c r="I1684" s="14" t="s">
        <v>59</v>
      </c>
      <c r="J1684" s="14" t="s">
        <v>200</v>
      </c>
      <c r="K1684" s="14" t="s">
        <v>232</v>
      </c>
      <c r="L1684" s="14" t="s">
        <v>286</v>
      </c>
      <c r="M1684" s="14" t="s">
        <v>1199</v>
      </c>
      <c r="N1684" s="14" t="s">
        <v>1200</v>
      </c>
      <c r="O1684" s="14">
        <v>0.0</v>
      </c>
      <c r="P1684" s="23">
        <v>0.0</v>
      </c>
      <c r="Q1684" s="22" t="str">
        <f t="shared" ref="Q1684:R1684" si="990">"+0.00%"</f>
        <v>+0.00%</v>
      </c>
      <c r="R1684" s="18" t="str">
        <f t="shared" si="990"/>
        <v>+0.00%</v>
      </c>
      <c r="S1684" s="14" t="s">
        <v>285</v>
      </c>
    </row>
    <row r="1685">
      <c r="A1685" s="13">
        <v>45901.0</v>
      </c>
      <c r="B1685" s="14" t="s">
        <v>47</v>
      </c>
      <c r="C1685" s="14" t="s">
        <v>48</v>
      </c>
      <c r="D1685" s="14" t="s">
        <v>143</v>
      </c>
      <c r="E1685" s="14" t="s">
        <v>144</v>
      </c>
      <c r="F1685" s="15" t="s">
        <v>51</v>
      </c>
      <c r="G1685" s="14" t="s">
        <v>145</v>
      </c>
      <c r="H1685" s="14" t="s">
        <v>143</v>
      </c>
      <c r="I1685" s="14" t="s">
        <v>59</v>
      </c>
      <c r="J1685" s="14" t="s">
        <v>200</v>
      </c>
      <c r="K1685" s="14" t="s">
        <v>224</v>
      </c>
      <c r="L1685" s="14" t="s">
        <v>427</v>
      </c>
      <c r="M1685" s="14" t="s">
        <v>769</v>
      </c>
      <c r="N1685" s="14" t="s">
        <v>770</v>
      </c>
      <c r="O1685" s="14">
        <v>0.0</v>
      </c>
      <c r="P1685" s="23">
        <v>0.0</v>
      </c>
      <c r="Q1685" s="22" t="str">
        <f t="shared" ref="Q1685:Q1686" si="991">"+0.00%"</f>
        <v>+0.00%</v>
      </c>
      <c r="S1685" s="14" t="s">
        <v>771</v>
      </c>
    </row>
    <row r="1686">
      <c r="A1686" s="13">
        <v>45901.0</v>
      </c>
      <c r="B1686" s="14" t="s">
        <v>47</v>
      </c>
      <c r="C1686" s="14" t="s">
        <v>48</v>
      </c>
      <c r="D1686" s="14" t="s">
        <v>73</v>
      </c>
      <c r="E1686" s="14" t="s">
        <v>74</v>
      </c>
      <c r="F1686" s="15" t="s">
        <v>51</v>
      </c>
      <c r="G1686" s="14" t="s">
        <v>75</v>
      </c>
      <c r="H1686" s="14" t="s">
        <v>76</v>
      </c>
      <c r="I1686" s="14" t="s">
        <v>59</v>
      </c>
      <c r="J1686" s="14" t="s">
        <v>200</v>
      </c>
      <c r="K1686" s="14" t="s">
        <v>232</v>
      </c>
      <c r="L1686" s="14" t="s">
        <v>261</v>
      </c>
      <c r="M1686" s="14" t="s">
        <v>1338</v>
      </c>
      <c r="N1686" s="14" t="s">
        <v>1339</v>
      </c>
      <c r="O1686" s="14">
        <v>0.0</v>
      </c>
      <c r="P1686" s="23">
        <v>0.0</v>
      </c>
      <c r="Q1686" s="22" t="str">
        <f t="shared" si="991"/>
        <v>+0.00%</v>
      </c>
      <c r="R1686" s="18" t="str">
        <f>"+0.00%"</f>
        <v>+0.00%</v>
      </c>
      <c r="S1686" s="14" t="s">
        <v>285</v>
      </c>
    </row>
    <row r="1687">
      <c r="A1687" s="13">
        <v>45901.0</v>
      </c>
      <c r="B1687" s="14" t="s">
        <v>47</v>
      </c>
      <c r="C1687" s="14" t="s">
        <v>48</v>
      </c>
      <c r="D1687" s="14" t="s">
        <v>132</v>
      </c>
      <c r="E1687" s="14" t="s">
        <v>133</v>
      </c>
      <c r="F1687" s="15" t="s">
        <v>51</v>
      </c>
      <c r="G1687" s="14" t="s">
        <v>134</v>
      </c>
      <c r="H1687" s="14" t="s">
        <v>135</v>
      </c>
      <c r="I1687" s="14" t="s">
        <v>59</v>
      </c>
      <c r="J1687" s="14" t="s">
        <v>198</v>
      </c>
      <c r="K1687" s="14" t="s">
        <v>210</v>
      </c>
      <c r="L1687" s="14" t="s">
        <v>264</v>
      </c>
      <c r="M1687" s="14" t="s">
        <v>265</v>
      </c>
      <c r="N1687" s="14" t="s">
        <v>266</v>
      </c>
      <c r="O1687" s="14">
        <v>0.0</v>
      </c>
      <c r="P1687" s="21">
        <v>1965.0</v>
      </c>
      <c r="Q1687" s="22" t="str">
        <f>"-1,021"</f>
        <v>-1,021</v>
      </c>
      <c r="R1687" s="18" t="str">
        <f>"-9,325"</f>
        <v>-9,325</v>
      </c>
      <c r="S1687" s="14" t="s">
        <v>1541</v>
      </c>
    </row>
    <row r="1688">
      <c r="A1688" s="13">
        <v>45901.0</v>
      </c>
      <c r="B1688" s="14" t="s">
        <v>47</v>
      </c>
      <c r="C1688" s="14" t="s">
        <v>48</v>
      </c>
      <c r="D1688" s="14" t="s">
        <v>143</v>
      </c>
      <c r="E1688" s="14" t="s">
        <v>144</v>
      </c>
      <c r="F1688" s="15" t="s">
        <v>51</v>
      </c>
      <c r="G1688" s="14" t="s">
        <v>145</v>
      </c>
      <c r="H1688" s="14" t="s">
        <v>143</v>
      </c>
      <c r="I1688" s="14" t="s">
        <v>59</v>
      </c>
      <c r="J1688" s="14" t="s">
        <v>200</v>
      </c>
      <c r="K1688" s="14" t="s">
        <v>224</v>
      </c>
      <c r="L1688" s="14" t="s">
        <v>436</v>
      </c>
      <c r="M1688" s="14" t="s">
        <v>1353</v>
      </c>
      <c r="N1688" s="14" t="s">
        <v>1354</v>
      </c>
      <c r="O1688" s="14">
        <v>100.0</v>
      </c>
      <c r="P1688" s="23">
        <v>1.0</v>
      </c>
      <c r="Q1688" s="22" t="str">
        <f>"+0.00%"</f>
        <v>+0.00%</v>
      </c>
      <c r="S1688" s="14" t="s">
        <v>1542</v>
      </c>
    </row>
    <row r="1689">
      <c r="A1689" s="13">
        <v>45901.0</v>
      </c>
      <c r="B1689" s="14" t="s">
        <v>47</v>
      </c>
      <c r="C1689" s="14" t="s">
        <v>48</v>
      </c>
      <c r="D1689" s="14" t="s">
        <v>73</v>
      </c>
      <c r="E1689" s="14" t="s">
        <v>74</v>
      </c>
      <c r="F1689" s="15" t="s">
        <v>51</v>
      </c>
      <c r="G1689" s="14" t="s">
        <v>75</v>
      </c>
      <c r="H1689" s="14" t="s">
        <v>76</v>
      </c>
      <c r="I1689" s="14" t="s">
        <v>59</v>
      </c>
      <c r="J1689" s="14" t="s">
        <v>198</v>
      </c>
      <c r="K1689" s="14" t="s">
        <v>210</v>
      </c>
      <c r="L1689" s="14" t="s">
        <v>505</v>
      </c>
      <c r="M1689" s="14" t="s">
        <v>506</v>
      </c>
      <c r="N1689" s="14" t="s">
        <v>507</v>
      </c>
      <c r="O1689" s="14">
        <v>100.0</v>
      </c>
      <c r="P1689" s="21">
        <v>0.0</v>
      </c>
      <c r="Q1689" s="22" t="str">
        <f t="shared" ref="Q1689:R1689" si="992">"+0"</f>
        <v>+0</v>
      </c>
      <c r="R1689" s="18" t="str">
        <f t="shared" si="992"/>
        <v>+0</v>
      </c>
      <c r="S1689" s="14" t="s">
        <v>281</v>
      </c>
    </row>
    <row r="1690">
      <c r="A1690" s="13">
        <v>45901.0</v>
      </c>
      <c r="B1690" s="14" t="s">
        <v>47</v>
      </c>
      <c r="C1690" s="14" t="s">
        <v>48</v>
      </c>
      <c r="D1690" s="14" t="s">
        <v>87</v>
      </c>
      <c r="E1690" s="14" t="s">
        <v>88</v>
      </c>
      <c r="F1690" s="15" t="s">
        <v>51</v>
      </c>
      <c r="G1690" s="14" t="s">
        <v>89</v>
      </c>
      <c r="H1690" s="14" t="s">
        <v>90</v>
      </c>
      <c r="I1690" s="14" t="s">
        <v>59</v>
      </c>
      <c r="J1690" s="14" t="s">
        <v>200</v>
      </c>
      <c r="K1690" s="14" t="s">
        <v>223</v>
      </c>
      <c r="L1690" s="14" t="s">
        <v>307</v>
      </c>
      <c r="M1690" s="14" t="s">
        <v>561</v>
      </c>
      <c r="N1690" s="14" t="s">
        <v>562</v>
      </c>
      <c r="O1690" s="14">
        <v>0.0</v>
      </c>
      <c r="P1690" s="23">
        <v>0.0</v>
      </c>
      <c r="Q1690" s="22" t="str">
        <f t="shared" ref="Q1690:R1690" si="993">"+0.00%"</f>
        <v>+0.00%</v>
      </c>
      <c r="R1690" s="18" t="str">
        <f t="shared" si="993"/>
        <v>+0.00%</v>
      </c>
      <c r="S1690" s="14" t="s">
        <v>285</v>
      </c>
    </row>
    <row r="1691">
      <c r="A1691" s="13">
        <v>45901.0</v>
      </c>
      <c r="B1691" s="14" t="s">
        <v>47</v>
      </c>
      <c r="C1691" s="14" t="s">
        <v>48</v>
      </c>
      <c r="D1691" s="14" t="s">
        <v>87</v>
      </c>
      <c r="E1691" s="14" t="s">
        <v>88</v>
      </c>
      <c r="F1691" s="15" t="s">
        <v>51</v>
      </c>
      <c r="G1691" s="14" t="s">
        <v>89</v>
      </c>
      <c r="H1691" s="14" t="s">
        <v>90</v>
      </c>
      <c r="I1691" s="14" t="s">
        <v>59</v>
      </c>
      <c r="J1691" s="14" t="s">
        <v>200</v>
      </c>
      <c r="K1691" s="14" t="s">
        <v>223</v>
      </c>
      <c r="L1691" s="14" t="s">
        <v>607</v>
      </c>
      <c r="M1691" s="14" t="s">
        <v>1035</v>
      </c>
      <c r="N1691" s="14" t="s">
        <v>1036</v>
      </c>
      <c r="O1691" s="14">
        <v>6.0</v>
      </c>
      <c r="P1691" s="23">
        <v>0.0604</v>
      </c>
      <c r="Q1691" s="22" t="str">
        <f>"+0.64%"</f>
        <v>+0.64%</v>
      </c>
      <c r="R1691" s="18" t="str">
        <f>"+2.54%"</f>
        <v>+2.54%</v>
      </c>
      <c r="S1691" s="14" t="s">
        <v>1543</v>
      </c>
    </row>
    <row r="1692">
      <c r="A1692" s="13">
        <v>45901.0</v>
      </c>
      <c r="B1692" s="14" t="s">
        <v>47</v>
      </c>
      <c r="C1692" s="14" t="s">
        <v>48</v>
      </c>
      <c r="D1692" s="14" t="s">
        <v>149</v>
      </c>
      <c r="E1692" s="14" t="s">
        <v>150</v>
      </c>
      <c r="F1692" s="15" t="s">
        <v>51</v>
      </c>
      <c r="G1692" s="14" t="s">
        <v>151</v>
      </c>
      <c r="H1692" s="14" t="s">
        <v>152</v>
      </c>
      <c r="I1692" s="14" t="s">
        <v>54</v>
      </c>
      <c r="J1692" s="14" t="s">
        <v>198</v>
      </c>
      <c r="K1692" s="14" t="s">
        <v>212</v>
      </c>
      <c r="L1692" s="14" t="s">
        <v>249</v>
      </c>
      <c r="M1692" s="14" t="s">
        <v>1406</v>
      </c>
      <c r="N1692" s="14" t="s">
        <v>1407</v>
      </c>
      <c r="O1692" s="14">
        <v>0.0</v>
      </c>
      <c r="P1692" s="21">
        <v>0.0</v>
      </c>
      <c r="Q1692" s="22" t="str">
        <f t="shared" ref="Q1692:R1692" si="994">"+0"</f>
        <v>+0</v>
      </c>
      <c r="R1692" s="18" t="str">
        <f t="shared" si="994"/>
        <v>+0</v>
      </c>
      <c r="S1692" s="14" t="s">
        <v>277</v>
      </c>
    </row>
    <row r="1693">
      <c r="A1693" s="13">
        <v>45901.0</v>
      </c>
      <c r="B1693" s="14" t="s">
        <v>47</v>
      </c>
      <c r="C1693" s="14" t="s">
        <v>48</v>
      </c>
      <c r="D1693" s="14" t="s">
        <v>149</v>
      </c>
      <c r="E1693" s="14" t="s">
        <v>150</v>
      </c>
      <c r="F1693" s="15" t="s">
        <v>51</v>
      </c>
      <c r="G1693" s="14" t="s">
        <v>151</v>
      </c>
      <c r="H1693" s="14" t="s">
        <v>152</v>
      </c>
      <c r="I1693" s="14" t="s">
        <v>54</v>
      </c>
      <c r="J1693" s="14" t="s">
        <v>198</v>
      </c>
      <c r="K1693" s="14" t="s">
        <v>210</v>
      </c>
      <c r="L1693" s="14" t="s">
        <v>505</v>
      </c>
      <c r="M1693" s="14" t="s">
        <v>1097</v>
      </c>
      <c r="N1693" s="14" t="s">
        <v>1098</v>
      </c>
      <c r="O1693" s="14">
        <v>0.0</v>
      </c>
      <c r="P1693" s="21">
        <v>0.0</v>
      </c>
      <c r="Q1693" s="22" t="str">
        <f t="shared" ref="Q1693:R1693" si="995">"+0"</f>
        <v>+0</v>
      </c>
      <c r="R1693" s="18" t="str">
        <f t="shared" si="995"/>
        <v>+0</v>
      </c>
      <c r="S1693" s="14" t="s">
        <v>277</v>
      </c>
    </row>
    <row r="1694">
      <c r="A1694" s="13">
        <v>45901.0</v>
      </c>
      <c r="B1694" s="14" t="s">
        <v>47</v>
      </c>
      <c r="C1694" s="14" t="s">
        <v>48</v>
      </c>
      <c r="D1694" s="14" t="s">
        <v>171</v>
      </c>
      <c r="E1694" s="14" t="s">
        <v>172</v>
      </c>
      <c r="F1694" s="15" t="s">
        <v>51</v>
      </c>
      <c r="G1694" s="14" t="s">
        <v>173</v>
      </c>
      <c r="H1694" s="14" t="s">
        <v>171</v>
      </c>
      <c r="I1694" s="14" t="s">
        <v>59</v>
      </c>
      <c r="J1694" s="14" t="s">
        <v>199</v>
      </c>
      <c r="K1694" s="14" t="s">
        <v>208</v>
      </c>
      <c r="L1694" s="14" t="s">
        <v>352</v>
      </c>
      <c r="M1694" s="14" t="s">
        <v>352</v>
      </c>
      <c r="N1694" s="14" t="s">
        <v>353</v>
      </c>
      <c r="O1694" s="14">
        <v>0.0</v>
      </c>
      <c r="P1694" s="21">
        <v>0.0</v>
      </c>
      <c r="Q1694" s="22" t="str">
        <f t="shared" ref="Q1694:R1694" si="996">"+0"</f>
        <v>+0</v>
      </c>
      <c r="R1694" s="18" t="str">
        <f t="shared" si="996"/>
        <v>+0</v>
      </c>
      <c r="S1694" s="14" t="s">
        <v>260</v>
      </c>
    </row>
    <row r="1695">
      <c r="A1695" s="13">
        <v>45901.0</v>
      </c>
      <c r="B1695" s="14" t="s">
        <v>47</v>
      </c>
      <c r="C1695" s="14" t="s">
        <v>48</v>
      </c>
      <c r="D1695" s="14" t="s">
        <v>149</v>
      </c>
      <c r="E1695" s="14" t="s">
        <v>150</v>
      </c>
      <c r="F1695" s="15" t="s">
        <v>51</v>
      </c>
      <c r="G1695" s="14" t="s">
        <v>151</v>
      </c>
      <c r="H1695" s="14" t="s">
        <v>152</v>
      </c>
      <c r="I1695" s="14" t="s">
        <v>54</v>
      </c>
      <c r="J1695" s="14" t="s">
        <v>200</v>
      </c>
      <c r="K1695" s="14" t="s">
        <v>231</v>
      </c>
      <c r="L1695" s="14" t="s">
        <v>512</v>
      </c>
      <c r="M1695" s="14" t="s">
        <v>1544</v>
      </c>
      <c r="N1695" s="14" t="s">
        <v>1545</v>
      </c>
      <c r="O1695" s="14">
        <v>0.0</v>
      </c>
      <c r="P1695" s="21">
        <v>0.0</v>
      </c>
      <c r="Q1695" s="22" t="str">
        <f t="shared" ref="Q1695:R1695" si="997">"+0"</f>
        <v>+0</v>
      </c>
      <c r="R1695" s="18" t="str">
        <f t="shared" si="997"/>
        <v>+0</v>
      </c>
      <c r="S1695" s="14" t="s">
        <v>260</v>
      </c>
    </row>
    <row r="1696">
      <c r="A1696" s="13">
        <v>45901.0</v>
      </c>
      <c r="B1696" s="14" t="s">
        <v>47</v>
      </c>
      <c r="C1696" s="14" t="s">
        <v>48</v>
      </c>
      <c r="D1696" s="14" t="s">
        <v>129</v>
      </c>
      <c r="E1696" s="14" t="s">
        <v>130</v>
      </c>
      <c r="F1696" s="15" t="s">
        <v>51</v>
      </c>
      <c r="G1696" s="14" t="s">
        <v>131</v>
      </c>
      <c r="H1696" s="14" t="s">
        <v>129</v>
      </c>
      <c r="I1696" s="14" t="s">
        <v>59</v>
      </c>
      <c r="J1696" s="14" t="s">
        <v>199</v>
      </c>
      <c r="K1696" s="14" t="s">
        <v>206</v>
      </c>
      <c r="L1696" s="14" t="s">
        <v>515</v>
      </c>
      <c r="M1696" s="14" t="s">
        <v>515</v>
      </c>
      <c r="N1696" s="14" t="s">
        <v>516</v>
      </c>
      <c r="O1696" s="14">
        <v>0.0</v>
      </c>
      <c r="P1696" s="21">
        <v>0.0</v>
      </c>
      <c r="Q1696" s="22" t="str">
        <f t="shared" ref="Q1696:R1696" si="998">"+0"</f>
        <v>+0</v>
      </c>
      <c r="R1696" s="18" t="str">
        <f t="shared" si="998"/>
        <v>+0</v>
      </c>
      <c r="S1696" s="14" t="s">
        <v>383</v>
      </c>
    </row>
    <row r="1697">
      <c r="A1697" s="13">
        <v>45901.0</v>
      </c>
      <c r="B1697" s="14" t="s">
        <v>47</v>
      </c>
      <c r="C1697" s="14" t="s">
        <v>48</v>
      </c>
      <c r="D1697" s="14" t="s">
        <v>136</v>
      </c>
      <c r="E1697" s="14" t="s">
        <v>137</v>
      </c>
      <c r="F1697" s="15" t="s">
        <v>51</v>
      </c>
      <c r="G1697" s="14" t="s">
        <v>138</v>
      </c>
      <c r="H1697" s="14" t="s">
        <v>139</v>
      </c>
      <c r="I1697" s="14" t="s">
        <v>59</v>
      </c>
      <c r="J1697" s="14" t="s">
        <v>200</v>
      </c>
      <c r="K1697" s="14" t="s">
        <v>209</v>
      </c>
      <c r="L1697" s="14" t="s">
        <v>253</v>
      </c>
      <c r="M1697" s="14" t="s">
        <v>817</v>
      </c>
      <c r="N1697" s="14" t="s">
        <v>818</v>
      </c>
      <c r="O1697" s="14">
        <v>82.0</v>
      </c>
      <c r="P1697" s="23">
        <v>0.8262</v>
      </c>
      <c r="Q1697" s="22" t="str">
        <f>"+1.90%"</f>
        <v>+1.90%</v>
      </c>
      <c r="R1697" s="18" t="str">
        <f>"+6.62%"</f>
        <v>+6.62%</v>
      </c>
      <c r="S1697" s="14" t="s">
        <v>1546</v>
      </c>
    </row>
    <row r="1698">
      <c r="A1698" s="13">
        <v>45901.0</v>
      </c>
      <c r="B1698" s="14" t="s">
        <v>47</v>
      </c>
      <c r="C1698" s="14" t="s">
        <v>48</v>
      </c>
      <c r="D1698" s="14" t="s">
        <v>108</v>
      </c>
      <c r="E1698" s="14" t="s">
        <v>109</v>
      </c>
      <c r="F1698" s="15" t="s">
        <v>51</v>
      </c>
      <c r="G1698" s="14" t="s">
        <v>110</v>
      </c>
      <c r="H1698" s="14" t="s">
        <v>108</v>
      </c>
      <c r="I1698" s="14" t="s">
        <v>59</v>
      </c>
      <c r="J1698" s="14" t="s">
        <v>199</v>
      </c>
      <c r="K1698" s="14" t="s">
        <v>206</v>
      </c>
      <c r="L1698" s="14" t="s">
        <v>268</v>
      </c>
      <c r="M1698" s="14" t="s">
        <v>268</v>
      </c>
      <c r="N1698" s="14" t="s">
        <v>269</v>
      </c>
      <c r="O1698" s="14">
        <v>80.0</v>
      </c>
      <c r="P1698" s="21">
        <v>2.0</v>
      </c>
      <c r="Q1698" s="22" t="str">
        <f t="shared" ref="Q1698:R1698" si="999">"+1"</f>
        <v>+1</v>
      </c>
      <c r="R1698" s="18" t="str">
        <f t="shared" si="999"/>
        <v>+1</v>
      </c>
      <c r="S1698" s="14" t="s">
        <v>260</v>
      </c>
    </row>
    <row r="1699">
      <c r="A1699" s="13">
        <v>45901.0</v>
      </c>
      <c r="B1699" s="14" t="s">
        <v>47</v>
      </c>
      <c r="C1699" s="14" t="s">
        <v>48</v>
      </c>
      <c r="D1699" s="14" t="s">
        <v>174</v>
      </c>
      <c r="E1699" s="14" t="s">
        <v>175</v>
      </c>
      <c r="F1699" s="15" t="s">
        <v>51</v>
      </c>
      <c r="G1699" s="14" t="s">
        <v>176</v>
      </c>
      <c r="H1699" s="14" t="s">
        <v>174</v>
      </c>
      <c r="I1699" s="14" t="s">
        <v>59</v>
      </c>
      <c r="J1699" s="14" t="s">
        <v>200</v>
      </c>
      <c r="K1699" s="14" t="s">
        <v>213</v>
      </c>
      <c r="L1699" s="14" t="s">
        <v>440</v>
      </c>
      <c r="M1699" s="14" t="s">
        <v>510</v>
      </c>
      <c r="N1699" s="14" t="s">
        <v>511</v>
      </c>
      <c r="O1699" s="14">
        <v>0.0</v>
      </c>
      <c r="P1699" s="23">
        <v>0.0</v>
      </c>
      <c r="Q1699" s="22" t="str">
        <f t="shared" ref="Q1699:R1699" si="1000">"+0.00%"</f>
        <v>+0.00%</v>
      </c>
      <c r="R1699" s="18" t="str">
        <f t="shared" si="1000"/>
        <v>+0.00%</v>
      </c>
      <c r="S1699" s="14" t="s">
        <v>285</v>
      </c>
    </row>
    <row r="1700">
      <c r="A1700" s="13">
        <v>45901.0</v>
      </c>
      <c r="B1700" s="14" t="s">
        <v>47</v>
      </c>
      <c r="C1700" s="14" t="s">
        <v>48</v>
      </c>
      <c r="D1700" s="14" t="s">
        <v>108</v>
      </c>
      <c r="E1700" s="14" t="s">
        <v>109</v>
      </c>
      <c r="F1700" s="14" t="s">
        <v>79</v>
      </c>
      <c r="G1700" s="14" t="s">
        <v>153</v>
      </c>
      <c r="H1700" s="14" t="s">
        <v>108</v>
      </c>
      <c r="I1700" s="14" t="s">
        <v>154</v>
      </c>
      <c r="J1700" s="14" t="s">
        <v>200</v>
      </c>
      <c r="K1700" s="14" t="s">
        <v>237</v>
      </c>
      <c r="L1700" s="14" t="s">
        <v>253</v>
      </c>
      <c r="M1700" s="14" t="s">
        <v>1547</v>
      </c>
      <c r="N1700" s="14" t="s">
        <v>1548</v>
      </c>
      <c r="O1700" s="14">
        <v>0.0</v>
      </c>
      <c r="P1700" s="23">
        <v>0.0</v>
      </c>
      <c r="Q1700" s="22" t="str">
        <f>"+0.00%"</f>
        <v>+0.00%</v>
      </c>
      <c r="S1700" s="14" t="s">
        <v>1549</v>
      </c>
    </row>
    <row r="1701">
      <c r="A1701" s="13">
        <v>45901.0</v>
      </c>
      <c r="B1701" s="14" t="s">
        <v>47</v>
      </c>
      <c r="C1701" s="14" t="s">
        <v>48</v>
      </c>
      <c r="D1701" s="14" t="s">
        <v>158</v>
      </c>
      <c r="E1701" s="14" t="s">
        <v>159</v>
      </c>
      <c r="F1701" s="15" t="s">
        <v>51</v>
      </c>
      <c r="G1701" s="14" t="s">
        <v>160</v>
      </c>
      <c r="H1701" s="14" t="s">
        <v>158</v>
      </c>
      <c r="I1701" s="14" t="s">
        <v>54</v>
      </c>
      <c r="J1701" s="14" t="s">
        <v>198</v>
      </c>
      <c r="K1701" s="14" t="s">
        <v>210</v>
      </c>
      <c r="L1701" s="14" t="s">
        <v>278</v>
      </c>
      <c r="M1701" s="14" t="s">
        <v>279</v>
      </c>
      <c r="N1701" s="14" t="s">
        <v>280</v>
      </c>
      <c r="O1701" s="14">
        <v>100.0</v>
      </c>
      <c r="P1701" s="21">
        <v>0.0</v>
      </c>
      <c r="Q1701" s="22" t="str">
        <f t="shared" ref="Q1701:R1701" si="1001">"+0"</f>
        <v>+0</v>
      </c>
      <c r="R1701" s="18" t="str">
        <f t="shared" si="1001"/>
        <v>+0</v>
      </c>
      <c r="S1701" s="14" t="s">
        <v>281</v>
      </c>
    </row>
    <row r="1702">
      <c r="A1702" s="13">
        <v>45901.0</v>
      </c>
      <c r="B1702" s="14" t="s">
        <v>47</v>
      </c>
      <c r="C1702" s="14" t="s">
        <v>48</v>
      </c>
      <c r="D1702" s="14" t="s">
        <v>108</v>
      </c>
      <c r="E1702" s="14" t="s">
        <v>109</v>
      </c>
      <c r="F1702" s="14" t="s">
        <v>79</v>
      </c>
      <c r="G1702" s="14" t="s">
        <v>153</v>
      </c>
      <c r="H1702" s="14" t="s">
        <v>108</v>
      </c>
      <c r="I1702" s="14" t="s">
        <v>154</v>
      </c>
      <c r="J1702" s="14" t="s">
        <v>200</v>
      </c>
      <c r="K1702" s="14" t="s">
        <v>238</v>
      </c>
      <c r="L1702" s="14" t="s">
        <v>253</v>
      </c>
      <c r="M1702" s="14" t="s">
        <v>1550</v>
      </c>
      <c r="N1702" s="14" t="s">
        <v>1551</v>
      </c>
      <c r="O1702" s="14">
        <v>0.0</v>
      </c>
      <c r="P1702" s="23">
        <v>0.0</v>
      </c>
      <c r="Q1702" s="22" t="str">
        <f>"+0.00%"</f>
        <v>+0.00%</v>
      </c>
      <c r="S1702" s="14" t="s">
        <v>1552</v>
      </c>
    </row>
    <row r="1703">
      <c r="A1703" s="13">
        <v>45901.0</v>
      </c>
      <c r="B1703" s="14" t="s">
        <v>47</v>
      </c>
      <c r="C1703" s="14" t="s">
        <v>48</v>
      </c>
      <c r="D1703" s="14" t="s">
        <v>116</v>
      </c>
      <c r="E1703" s="14" t="s">
        <v>117</v>
      </c>
      <c r="F1703" s="15" t="s">
        <v>51</v>
      </c>
      <c r="G1703" s="14" t="s">
        <v>161</v>
      </c>
      <c r="H1703" s="14" t="s">
        <v>116</v>
      </c>
      <c r="I1703" s="14" t="s">
        <v>54</v>
      </c>
      <c r="J1703" s="14" t="s">
        <v>200</v>
      </c>
      <c r="K1703" s="14" t="s">
        <v>222</v>
      </c>
      <c r="L1703" s="14" t="s">
        <v>253</v>
      </c>
      <c r="M1703" s="14" t="s">
        <v>1108</v>
      </c>
      <c r="N1703" s="14" t="s">
        <v>1109</v>
      </c>
      <c r="O1703" s="14">
        <v>100.0</v>
      </c>
      <c r="P1703" s="21">
        <v>2.0</v>
      </c>
      <c r="Q1703" s="22" t="str">
        <f t="shared" ref="Q1703:R1703" si="1002">"+1"</f>
        <v>+1</v>
      </c>
      <c r="R1703" s="18" t="str">
        <f t="shared" si="1002"/>
        <v>+1</v>
      </c>
      <c r="S1703" s="14" t="s">
        <v>450</v>
      </c>
    </row>
    <row r="1704">
      <c r="A1704" s="13">
        <v>45901.0</v>
      </c>
      <c r="B1704" s="14" t="s">
        <v>47</v>
      </c>
      <c r="C1704" s="14" t="s">
        <v>48</v>
      </c>
      <c r="D1704" s="14" t="s">
        <v>121</v>
      </c>
      <c r="E1704" s="14" t="s">
        <v>122</v>
      </c>
      <c r="F1704" s="15" t="s">
        <v>51</v>
      </c>
      <c r="G1704" s="14" t="s">
        <v>123</v>
      </c>
      <c r="H1704" s="14" t="s">
        <v>124</v>
      </c>
      <c r="I1704" s="14" t="s">
        <v>59</v>
      </c>
      <c r="J1704" s="14" t="s">
        <v>198</v>
      </c>
      <c r="K1704" s="14" t="s">
        <v>210</v>
      </c>
      <c r="L1704" s="14" t="s">
        <v>264</v>
      </c>
      <c r="M1704" s="14" t="s">
        <v>265</v>
      </c>
      <c r="N1704" s="14" t="s">
        <v>266</v>
      </c>
      <c r="O1704" s="14">
        <v>38.0</v>
      </c>
      <c r="P1704" s="21">
        <v>191.0</v>
      </c>
      <c r="Q1704" s="22" t="str">
        <f>"-18"</f>
        <v>-18</v>
      </c>
      <c r="R1704" s="18" t="str">
        <f>"-615"</f>
        <v>-615</v>
      </c>
      <c r="S1704" s="14" t="s">
        <v>1553</v>
      </c>
    </row>
    <row r="1705">
      <c r="A1705" s="13">
        <v>45901.0</v>
      </c>
      <c r="B1705" s="14" t="s">
        <v>47</v>
      </c>
      <c r="C1705" s="14" t="s">
        <v>48</v>
      </c>
      <c r="D1705" s="14" t="s">
        <v>181</v>
      </c>
      <c r="E1705" s="14" t="s">
        <v>182</v>
      </c>
      <c r="F1705" s="15" t="s">
        <v>51</v>
      </c>
      <c r="G1705" s="14" t="s">
        <v>183</v>
      </c>
      <c r="H1705" s="14" t="s">
        <v>181</v>
      </c>
      <c r="I1705" s="14" t="s">
        <v>59</v>
      </c>
      <c r="J1705" s="14" t="s">
        <v>200</v>
      </c>
      <c r="K1705" s="14" t="s">
        <v>232</v>
      </c>
      <c r="L1705" s="14" t="s">
        <v>304</v>
      </c>
      <c r="M1705" s="14" t="s">
        <v>688</v>
      </c>
      <c r="N1705" s="14" t="s">
        <v>689</v>
      </c>
      <c r="O1705" s="14">
        <v>0.0</v>
      </c>
      <c r="P1705" s="23">
        <v>0.0</v>
      </c>
      <c r="Q1705" s="22" t="str">
        <f>"+0.00%"</f>
        <v>+0.00%</v>
      </c>
      <c r="R1705" s="18" t="str">
        <f>"-9.09%"</f>
        <v>-9.09%</v>
      </c>
      <c r="S1705" s="14" t="s">
        <v>1554</v>
      </c>
    </row>
    <row r="1706">
      <c r="A1706" s="13">
        <v>45901.0</v>
      </c>
      <c r="B1706" s="14" t="s">
        <v>47</v>
      </c>
      <c r="C1706" s="14" t="s">
        <v>48</v>
      </c>
      <c r="D1706" s="14" t="s">
        <v>121</v>
      </c>
      <c r="E1706" s="14" t="s">
        <v>122</v>
      </c>
      <c r="F1706" s="15" t="s">
        <v>51</v>
      </c>
      <c r="G1706" s="14" t="s">
        <v>123</v>
      </c>
      <c r="H1706" s="14" t="s">
        <v>124</v>
      </c>
      <c r="I1706" s="14" t="s">
        <v>59</v>
      </c>
      <c r="J1706" s="14" t="s">
        <v>200</v>
      </c>
      <c r="K1706" s="14" t="s">
        <v>232</v>
      </c>
      <c r="L1706" s="14" t="s">
        <v>286</v>
      </c>
      <c r="M1706" s="14" t="s">
        <v>979</v>
      </c>
      <c r="N1706" s="14" t="s">
        <v>980</v>
      </c>
      <c r="O1706" s="14">
        <v>46.0</v>
      </c>
      <c r="P1706" s="23">
        <v>0.4615</v>
      </c>
      <c r="Q1706" s="22" t="str">
        <f>"+12.82%"</f>
        <v>+12.82%</v>
      </c>
      <c r="R1706" s="18" t="str">
        <f>"-17.48%"</f>
        <v>-17.48%</v>
      </c>
      <c r="S1706" s="14" t="s">
        <v>1555</v>
      </c>
    </row>
    <row r="1707">
      <c r="A1707" s="13">
        <v>45901.0</v>
      </c>
      <c r="B1707" s="14" t="s">
        <v>47</v>
      </c>
      <c r="C1707" s="14" t="s">
        <v>48</v>
      </c>
      <c r="D1707" s="14" t="s">
        <v>121</v>
      </c>
      <c r="E1707" s="14" t="s">
        <v>122</v>
      </c>
      <c r="F1707" s="15" t="s">
        <v>51</v>
      </c>
      <c r="G1707" s="14" t="s">
        <v>123</v>
      </c>
      <c r="H1707" s="14" t="s">
        <v>124</v>
      </c>
      <c r="I1707" s="14" t="s">
        <v>59</v>
      </c>
      <c r="J1707" s="14" t="s">
        <v>198</v>
      </c>
      <c r="K1707" s="14" t="s">
        <v>205</v>
      </c>
      <c r="L1707" s="14" t="s">
        <v>274</v>
      </c>
      <c r="M1707" s="14" t="s">
        <v>354</v>
      </c>
      <c r="N1707" s="14" t="s">
        <v>355</v>
      </c>
      <c r="O1707" s="14">
        <v>100.0</v>
      </c>
      <c r="P1707" s="21">
        <v>3.0</v>
      </c>
      <c r="Q1707" s="22" t="str">
        <f t="shared" ref="Q1707:Q1709" si="1003">"+0"</f>
        <v>+0</v>
      </c>
      <c r="S1707" s="14" t="s">
        <v>356</v>
      </c>
    </row>
    <row r="1708">
      <c r="A1708" s="13">
        <v>45901.0</v>
      </c>
      <c r="B1708" s="14" t="s">
        <v>47</v>
      </c>
      <c r="C1708" s="14" t="s">
        <v>48</v>
      </c>
      <c r="D1708" s="14" t="s">
        <v>56</v>
      </c>
      <c r="E1708" s="14" t="s">
        <v>57</v>
      </c>
      <c r="F1708" s="15" t="s">
        <v>51</v>
      </c>
      <c r="G1708" s="14" t="s">
        <v>58</v>
      </c>
      <c r="H1708" s="14" t="s">
        <v>56</v>
      </c>
      <c r="I1708" s="14" t="s">
        <v>59</v>
      </c>
      <c r="J1708" s="14" t="s">
        <v>200</v>
      </c>
      <c r="K1708" s="14" t="s">
        <v>227</v>
      </c>
      <c r="L1708" s="14" t="s">
        <v>328</v>
      </c>
      <c r="M1708" s="14" t="s">
        <v>329</v>
      </c>
      <c r="N1708" s="14" t="s">
        <v>330</v>
      </c>
      <c r="O1708" s="14">
        <v>0.0</v>
      </c>
      <c r="P1708" s="21">
        <v>0.0</v>
      </c>
      <c r="Q1708" s="22" t="str">
        <f t="shared" si="1003"/>
        <v>+0</v>
      </c>
      <c r="R1708" s="18" t="str">
        <f>"+0"</f>
        <v>+0</v>
      </c>
      <c r="S1708" s="14" t="s">
        <v>260</v>
      </c>
    </row>
    <row r="1709">
      <c r="A1709" s="13">
        <v>45901.0</v>
      </c>
      <c r="B1709" s="14" t="s">
        <v>47</v>
      </c>
      <c r="C1709" s="14" t="s">
        <v>48</v>
      </c>
      <c r="D1709" s="14" t="s">
        <v>99</v>
      </c>
      <c r="E1709" s="14" t="s">
        <v>100</v>
      </c>
      <c r="F1709" s="15" t="s">
        <v>51</v>
      </c>
      <c r="G1709" s="14" t="s">
        <v>101</v>
      </c>
      <c r="H1709" s="14" t="s">
        <v>102</v>
      </c>
      <c r="I1709" s="14" t="s">
        <v>54</v>
      </c>
      <c r="J1709" s="14" t="s">
        <v>198</v>
      </c>
      <c r="K1709" s="14" t="s">
        <v>205</v>
      </c>
      <c r="L1709" s="14" t="s">
        <v>274</v>
      </c>
      <c r="M1709" s="14" t="s">
        <v>466</v>
      </c>
      <c r="N1709" s="14" t="s">
        <v>467</v>
      </c>
      <c r="O1709" s="14">
        <v>100.0</v>
      </c>
      <c r="P1709" s="21">
        <v>1.0</v>
      </c>
      <c r="Q1709" s="22" t="str">
        <f t="shared" si="1003"/>
        <v>+0</v>
      </c>
      <c r="S1709" s="14" t="s">
        <v>281</v>
      </c>
    </row>
    <row r="1710">
      <c r="A1710" s="13">
        <v>45901.0</v>
      </c>
      <c r="B1710" s="14" t="s">
        <v>47</v>
      </c>
      <c r="C1710" s="14" t="s">
        <v>48</v>
      </c>
      <c r="D1710" s="14" t="s">
        <v>91</v>
      </c>
      <c r="E1710" s="14" t="s">
        <v>92</v>
      </c>
      <c r="F1710" s="14" t="s">
        <v>71</v>
      </c>
      <c r="G1710" s="14">
        <v>1.00004432E8</v>
      </c>
      <c r="H1710" s="14" t="s">
        <v>91</v>
      </c>
      <c r="I1710" s="14" t="s">
        <v>59</v>
      </c>
      <c r="J1710" s="14" t="s">
        <v>200</v>
      </c>
      <c r="K1710" s="14" t="s">
        <v>218</v>
      </c>
      <c r="L1710" s="14" t="s">
        <v>253</v>
      </c>
      <c r="M1710" s="14" t="s">
        <v>1388</v>
      </c>
      <c r="N1710" s="14" t="s">
        <v>1389</v>
      </c>
      <c r="O1710" s="14">
        <v>100.0</v>
      </c>
      <c r="P1710" s="23">
        <v>1.0</v>
      </c>
      <c r="Q1710" s="22" t="str">
        <f t="shared" ref="Q1710:R1710" si="1004">"+0.00%"</f>
        <v>+0.00%</v>
      </c>
      <c r="R1710" s="18" t="str">
        <f t="shared" si="1004"/>
        <v>+0.00%</v>
      </c>
      <c r="S1710" s="14" t="s">
        <v>1556</v>
      </c>
    </row>
    <row r="1711">
      <c r="A1711" s="13">
        <v>45901.0</v>
      </c>
      <c r="B1711" s="14" t="s">
        <v>47</v>
      </c>
      <c r="C1711" s="14" t="s">
        <v>48</v>
      </c>
      <c r="D1711" s="14" t="s">
        <v>99</v>
      </c>
      <c r="E1711" s="14" t="s">
        <v>100</v>
      </c>
      <c r="F1711" s="15" t="s">
        <v>51</v>
      </c>
      <c r="G1711" s="14" t="s">
        <v>101</v>
      </c>
      <c r="H1711" s="14" t="s">
        <v>102</v>
      </c>
      <c r="I1711" s="14" t="s">
        <v>54</v>
      </c>
      <c r="J1711" s="14" t="s">
        <v>200</v>
      </c>
      <c r="K1711" s="14" t="s">
        <v>213</v>
      </c>
      <c r="L1711" s="14" t="s">
        <v>289</v>
      </c>
      <c r="M1711" s="14" t="s">
        <v>384</v>
      </c>
      <c r="N1711" s="14" t="s">
        <v>385</v>
      </c>
      <c r="O1711" s="14">
        <v>0.0</v>
      </c>
      <c r="P1711" s="23">
        <v>0.0</v>
      </c>
      <c r="Q1711" s="22" t="str">
        <f t="shared" ref="Q1711:R1711" si="1005">"+0.00%"</f>
        <v>+0.00%</v>
      </c>
      <c r="R1711" s="18" t="str">
        <f t="shared" si="1005"/>
        <v>+0.00%</v>
      </c>
      <c r="S1711" s="14" t="s">
        <v>1557</v>
      </c>
    </row>
    <row r="1712">
      <c r="A1712" s="13">
        <v>45901.0</v>
      </c>
      <c r="B1712" s="14" t="s">
        <v>47</v>
      </c>
      <c r="C1712" s="14" t="s">
        <v>48</v>
      </c>
      <c r="D1712" s="14" t="s">
        <v>192</v>
      </c>
      <c r="E1712" s="14" t="s">
        <v>193</v>
      </c>
      <c r="F1712" s="15" t="s">
        <v>51</v>
      </c>
      <c r="G1712" s="14" t="s">
        <v>194</v>
      </c>
      <c r="H1712" s="14" t="s">
        <v>192</v>
      </c>
      <c r="I1712" s="14" t="s">
        <v>54</v>
      </c>
      <c r="J1712" s="14" t="s">
        <v>200</v>
      </c>
      <c r="K1712" s="14" t="s">
        <v>223</v>
      </c>
      <c r="L1712" s="14" t="s">
        <v>607</v>
      </c>
      <c r="M1712" s="14" t="s">
        <v>758</v>
      </c>
      <c r="N1712" s="14" t="s">
        <v>759</v>
      </c>
      <c r="O1712" s="14">
        <v>33.0</v>
      </c>
      <c r="P1712" s="23">
        <v>-0.3249</v>
      </c>
      <c r="Q1712" s="22" t="str">
        <f>"+11.69%"</f>
        <v>+11.69%</v>
      </c>
      <c r="R1712" s="18" t="str">
        <f>"-20.59%"</f>
        <v>-20.59%</v>
      </c>
      <c r="S1712" s="14" t="s">
        <v>1558</v>
      </c>
    </row>
    <row r="1713">
      <c r="A1713" s="13">
        <v>45901.0</v>
      </c>
      <c r="B1713" s="14" t="s">
        <v>47</v>
      </c>
      <c r="C1713" s="14" t="s">
        <v>48</v>
      </c>
      <c r="D1713" s="14" t="s">
        <v>184</v>
      </c>
      <c r="E1713" s="14" t="s">
        <v>185</v>
      </c>
      <c r="F1713" s="15" t="s">
        <v>51</v>
      </c>
      <c r="G1713" s="14" t="s">
        <v>186</v>
      </c>
      <c r="H1713" s="14" t="s">
        <v>187</v>
      </c>
      <c r="I1713" s="14" t="s">
        <v>59</v>
      </c>
      <c r="J1713" s="14" t="s">
        <v>200</v>
      </c>
      <c r="K1713" s="14" t="s">
        <v>224</v>
      </c>
      <c r="L1713" s="14" t="s">
        <v>253</v>
      </c>
      <c r="M1713" s="14" t="s">
        <v>952</v>
      </c>
      <c r="N1713" s="14" t="s">
        <v>953</v>
      </c>
      <c r="O1713" s="14">
        <v>88.0</v>
      </c>
      <c r="P1713" s="23">
        <v>0.88</v>
      </c>
      <c r="Q1713" s="22" t="str">
        <f t="shared" ref="Q1713:R1713" si="1006">"+0.00%"</f>
        <v>+0.00%</v>
      </c>
      <c r="R1713" s="18" t="str">
        <f t="shared" si="1006"/>
        <v>+0.00%</v>
      </c>
      <c r="S1713" s="14" t="s">
        <v>1559</v>
      </c>
    </row>
    <row r="1714">
      <c r="A1714" s="13">
        <v>45901.0</v>
      </c>
      <c r="B1714" s="14" t="s">
        <v>47</v>
      </c>
      <c r="C1714" s="14" t="s">
        <v>48</v>
      </c>
      <c r="D1714" s="14" t="s">
        <v>73</v>
      </c>
      <c r="E1714" s="14" t="s">
        <v>74</v>
      </c>
      <c r="F1714" s="15" t="s">
        <v>51</v>
      </c>
      <c r="G1714" s="14" t="s">
        <v>75</v>
      </c>
      <c r="H1714" s="14" t="s">
        <v>76</v>
      </c>
      <c r="I1714" s="14" t="s">
        <v>59</v>
      </c>
      <c r="J1714" s="14" t="s">
        <v>198</v>
      </c>
      <c r="K1714" s="14" t="s">
        <v>205</v>
      </c>
      <c r="L1714" s="14" t="s">
        <v>274</v>
      </c>
      <c r="M1714" s="14" t="s">
        <v>791</v>
      </c>
      <c r="N1714" s="14" t="s">
        <v>792</v>
      </c>
      <c r="O1714" s="14">
        <v>50.0</v>
      </c>
      <c r="P1714" s="21">
        <v>1.0</v>
      </c>
      <c r="Q1714" s="22" t="str">
        <f t="shared" ref="Q1714:Q1715" si="1007">"+0"</f>
        <v>+0</v>
      </c>
      <c r="S1714" s="14" t="s">
        <v>260</v>
      </c>
    </row>
    <row r="1715">
      <c r="A1715" s="13">
        <v>45901.0</v>
      </c>
      <c r="B1715" s="14" t="s">
        <v>47</v>
      </c>
      <c r="C1715" s="14" t="s">
        <v>48</v>
      </c>
      <c r="D1715" s="14" t="s">
        <v>149</v>
      </c>
      <c r="E1715" s="14" t="s">
        <v>150</v>
      </c>
      <c r="F1715" s="15" t="s">
        <v>51</v>
      </c>
      <c r="G1715" s="14" t="s">
        <v>151</v>
      </c>
      <c r="H1715" s="14" t="s">
        <v>152</v>
      </c>
      <c r="I1715" s="14" t="s">
        <v>54</v>
      </c>
      <c r="J1715" s="14" t="s">
        <v>200</v>
      </c>
      <c r="K1715" s="14" t="s">
        <v>231</v>
      </c>
      <c r="L1715" s="14" t="s">
        <v>372</v>
      </c>
      <c r="M1715" s="14" t="s">
        <v>373</v>
      </c>
      <c r="N1715" s="14" t="s">
        <v>374</v>
      </c>
      <c r="O1715" s="14">
        <v>0.0</v>
      </c>
      <c r="P1715" s="21">
        <v>0.0</v>
      </c>
      <c r="Q1715" s="22" t="str">
        <f t="shared" si="1007"/>
        <v>+0</v>
      </c>
      <c r="R1715" s="18" t="str">
        <f>"+0"</f>
        <v>+0</v>
      </c>
      <c r="S1715" s="14" t="s">
        <v>260</v>
      </c>
    </row>
    <row r="1716">
      <c r="A1716" s="13">
        <v>45901.0</v>
      </c>
      <c r="B1716" s="14" t="s">
        <v>47</v>
      </c>
      <c r="C1716" s="14" t="s">
        <v>48</v>
      </c>
      <c r="D1716" s="14" t="s">
        <v>136</v>
      </c>
      <c r="E1716" s="14" t="s">
        <v>137</v>
      </c>
      <c r="F1716" s="15" t="s">
        <v>51</v>
      </c>
      <c r="G1716" s="14" t="s">
        <v>138</v>
      </c>
      <c r="H1716" s="14" t="s">
        <v>139</v>
      </c>
      <c r="I1716" s="14" t="s">
        <v>59</v>
      </c>
      <c r="J1716" s="14" t="s">
        <v>200</v>
      </c>
      <c r="K1716" s="14" t="s">
        <v>213</v>
      </c>
      <c r="L1716" s="14" t="s">
        <v>307</v>
      </c>
      <c r="M1716" s="14" t="s">
        <v>856</v>
      </c>
      <c r="N1716" s="14" t="s">
        <v>857</v>
      </c>
      <c r="O1716" s="14">
        <v>0.0</v>
      </c>
      <c r="P1716" s="23">
        <v>0.0</v>
      </c>
      <c r="Q1716" s="22" t="str">
        <f t="shared" ref="Q1716:R1716" si="1008">"+0.00%"</f>
        <v>+0.00%</v>
      </c>
      <c r="R1716" s="18" t="str">
        <f t="shared" si="1008"/>
        <v>+0.00%</v>
      </c>
      <c r="S1716" s="14" t="s">
        <v>285</v>
      </c>
    </row>
    <row r="1717">
      <c r="A1717" s="13">
        <v>45901.0</v>
      </c>
      <c r="B1717" s="14" t="s">
        <v>47</v>
      </c>
      <c r="C1717" s="14" t="s">
        <v>48</v>
      </c>
      <c r="D1717" s="14" t="s">
        <v>87</v>
      </c>
      <c r="E1717" s="14" t="s">
        <v>88</v>
      </c>
      <c r="F1717" s="15" t="s">
        <v>51</v>
      </c>
      <c r="G1717" s="14" t="s">
        <v>89</v>
      </c>
      <c r="H1717" s="14" t="s">
        <v>90</v>
      </c>
      <c r="I1717" s="14" t="s">
        <v>59</v>
      </c>
      <c r="J1717" s="14" t="s">
        <v>200</v>
      </c>
      <c r="K1717" s="14" t="s">
        <v>211</v>
      </c>
      <c r="L1717" s="14" t="s">
        <v>889</v>
      </c>
      <c r="M1717" s="14" t="s">
        <v>1560</v>
      </c>
      <c r="N1717" s="14" t="s">
        <v>1561</v>
      </c>
      <c r="O1717" s="14">
        <v>0.0</v>
      </c>
      <c r="P1717" s="23">
        <v>-1.0</v>
      </c>
      <c r="Q1717" s="22" t="str">
        <f t="shared" ref="Q1717:R1717" si="1009">"+0.00%"</f>
        <v>+0.00%</v>
      </c>
      <c r="R1717" s="18" t="str">
        <f t="shared" si="1009"/>
        <v>+0.00%</v>
      </c>
      <c r="S1717" s="14" t="s">
        <v>336</v>
      </c>
    </row>
    <row r="1718">
      <c r="A1718" s="13">
        <v>45901.0</v>
      </c>
      <c r="B1718" s="14" t="s">
        <v>47</v>
      </c>
      <c r="C1718" s="14" t="s">
        <v>48</v>
      </c>
      <c r="D1718" s="14" t="s">
        <v>136</v>
      </c>
      <c r="E1718" s="14" t="s">
        <v>137</v>
      </c>
      <c r="F1718" s="15" t="s">
        <v>51</v>
      </c>
      <c r="G1718" s="14" t="s">
        <v>138</v>
      </c>
      <c r="H1718" s="14" t="s">
        <v>139</v>
      </c>
      <c r="I1718" s="14" t="s">
        <v>59</v>
      </c>
      <c r="J1718" s="14" t="s">
        <v>198</v>
      </c>
      <c r="K1718" s="14" t="s">
        <v>205</v>
      </c>
      <c r="L1718" s="14" t="s">
        <v>274</v>
      </c>
      <c r="M1718" s="14" t="s">
        <v>466</v>
      </c>
      <c r="N1718" s="14" t="s">
        <v>467</v>
      </c>
      <c r="O1718" s="14">
        <v>0.0</v>
      </c>
      <c r="P1718" s="21">
        <v>0.0</v>
      </c>
      <c r="Q1718" s="22" t="str">
        <f>"+0"</f>
        <v>+0</v>
      </c>
      <c r="S1718" s="14" t="s">
        <v>281</v>
      </c>
    </row>
    <row r="1719">
      <c r="A1719" s="13">
        <v>45901.0</v>
      </c>
      <c r="B1719" s="14" t="s">
        <v>47</v>
      </c>
      <c r="C1719" s="14" t="s">
        <v>48</v>
      </c>
      <c r="D1719" s="14" t="s">
        <v>149</v>
      </c>
      <c r="E1719" s="14" t="s">
        <v>150</v>
      </c>
      <c r="F1719" s="15" t="s">
        <v>51</v>
      </c>
      <c r="G1719" s="14" t="s">
        <v>151</v>
      </c>
      <c r="H1719" s="14" t="s">
        <v>152</v>
      </c>
      <c r="I1719" s="14" t="s">
        <v>54</v>
      </c>
      <c r="J1719" s="14" t="s">
        <v>200</v>
      </c>
      <c r="K1719" s="14" t="s">
        <v>223</v>
      </c>
      <c r="L1719" s="14" t="s">
        <v>571</v>
      </c>
      <c r="M1719" s="14" t="s">
        <v>572</v>
      </c>
      <c r="N1719" s="14" t="s">
        <v>573</v>
      </c>
      <c r="O1719" s="14">
        <v>0.0</v>
      </c>
      <c r="P1719" s="23">
        <v>0.0</v>
      </c>
      <c r="Q1719" s="22" t="str">
        <f t="shared" ref="Q1719:R1719" si="1010">"+0.00%"</f>
        <v>+0.00%</v>
      </c>
      <c r="R1719" s="18" t="str">
        <f t="shared" si="1010"/>
        <v>+0.00%</v>
      </c>
      <c r="S1719" s="14" t="s">
        <v>285</v>
      </c>
    </row>
    <row r="1720">
      <c r="A1720" s="13">
        <v>45901.0</v>
      </c>
      <c r="B1720" s="14" t="s">
        <v>47</v>
      </c>
      <c r="C1720" s="14" t="s">
        <v>48</v>
      </c>
      <c r="D1720" s="14" t="s">
        <v>136</v>
      </c>
      <c r="E1720" s="14" t="s">
        <v>137</v>
      </c>
      <c r="F1720" s="15" t="s">
        <v>51</v>
      </c>
      <c r="G1720" s="14" t="s">
        <v>138</v>
      </c>
      <c r="H1720" s="14" t="s">
        <v>139</v>
      </c>
      <c r="I1720" s="14" t="s">
        <v>59</v>
      </c>
      <c r="J1720" s="14" t="s">
        <v>198</v>
      </c>
      <c r="K1720" s="14" t="s">
        <v>205</v>
      </c>
      <c r="L1720" s="14" t="s">
        <v>274</v>
      </c>
      <c r="M1720" s="14" t="s">
        <v>738</v>
      </c>
      <c r="N1720" s="14" t="s">
        <v>739</v>
      </c>
      <c r="O1720" s="14">
        <v>0.0</v>
      </c>
      <c r="P1720" s="21">
        <v>0.0</v>
      </c>
      <c r="Q1720" s="22" t="str">
        <f>"+0"</f>
        <v>+0</v>
      </c>
      <c r="S1720" s="14" t="s">
        <v>281</v>
      </c>
    </row>
    <row r="1721">
      <c r="A1721" s="13">
        <v>45901.0</v>
      </c>
      <c r="B1721" s="14" t="s">
        <v>47</v>
      </c>
      <c r="C1721" s="14" t="s">
        <v>48</v>
      </c>
      <c r="D1721" s="14" t="s">
        <v>85</v>
      </c>
      <c r="E1721" s="14" t="s">
        <v>86</v>
      </c>
      <c r="F1721" s="15" t="s">
        <v>51</v>
      </c>
      <c r="G1721" s="14" t="s">
        <v>148</v>
      </c>
      <c r="H1721" s="14" t="s">
        <v>85</v>
      </c>
      <c r="I1721" s="14" t="s">
        <v>59</v>
      </c>
      <c r="J1721" s="14" t="s">
        <v>200</v>
      </c>
      <c r="K1721" s="14" t="s">
        <v>213</v>
      </c>
      <c r="L1721" s="14" t="s">
        <v>359</v>
      </c>
      <c r="M1721" s="14" t="s">
        <v>360</v>
      </c>
      <c r="N1721" s="14" t="s">
        <v>361</v>
      </c>
      <c r="O1721" s="14">
        <v>0.0</v>
      </c>
      <c r="P1721" s="23">
        <v>0.0</v>
      </c>
      <c r="Q1721" s="22" t="str">
        <f t="shared" ref="Q1721:R1721" si="1011">"+0.00%"</f>
        <v>+0.00%</v>
      </c>
      <c r="R1721" s="18" t="str">
        <f t="shared" si="1011"/>
        <v>+0.00%</v>
      </c>
      <c r="S1721" s="14" t="s">
        <v>1562</v>
      </c>
    </row>
    <row r="1722">
      <c r="A1722" s="13">
        <v>45901.0</v>
      </c>
      <c r="B1722" s="14" t="s">
        <v>47</v>
      </c>
      <c r="C1722" s="14" t="s">
        <v>48</v>
      </c>
      <c r="D1722" s="14" t="s">
        <v>195</v>
      </c>
      <c r="E1722" s="14" t="s">
        <v>196</v>
      </c>
      <c r="F1722" s="14" t="s">
        <v>111</v>
      </c>
      <c r="G1722" s="14">
        <v>5252823.0</v>
      </c>
      <c r="H1722" s="14" t="s">
        <v>197</v>
      </c>
      <c r="I1722" s="14" t="s">
        <v>59</v>
      </c>
      <c r="J1722" s="14" t="s">
        <v>199</v>
      </c>
      <c r="K1722" s="14" t="s">
        <v>206</v>
      </c>
      <c r="L1722" s="14" t="s">
        <v>295</v>
      </c>
      <c r="M1722" s="14" t="s">
        <v>986</v>
      </c>
      <c r="N1722" s="14" t="s">
        <v>987</v>
      </c>
      <c r="O1722" s="14">
        <v>0.0</v>
      </c>
      <c r="P1722" s="21">
        <v>0.0</v>
      </c>
      <c r="Q1722" s="22" t="str">
        <f t="shared" ref="Q1722:R1722" si="1012">"+0"</f>
        <v>+0</v>
      </c>
      <c r="R1722" s="18" t="str">
        <f t="shared" si="1012"/>
        <v>+0</v>
      </c>
      <c r="S1722" s="14" t="s">
        <v>260</v>
      </c>
    </row>
    <row r="1723">
      <c r="A1723" s="13">
        <v>45901.0</v>
      </c>
      <c r="B1723" s="14" t="s">
        <v>47</v>
      </c>
      <c r="C1723" s="14" t="s">
        <v>48</v>
      </c>
      <c r="D1723" s="14" t="s">
        <v>125</v>
      </c>
      <c r="E1723" s="14" t="s">
        <v>126</v>
      </c>
      <c r="F1723" s="15" t="s">
        <v>51</v>
      </c>
      <c r="G1723" s="14" t="s">
        <v>127</v>
      </c>
      <c r="H1723" s="14" t="s">
        <v>125</v>
      </c>
      <c r="I1723" s="14" t="s">
        <v>59</v>
      </c>
      <c r="J1723" s="14" t="s">
        <v>199</v>
      </c>
      <c r="K1723" s="14" t="s">
        <v>206</v>
      </c>
      <c r="L1723" s="14" t="s">
        <v>433</v>
      </c>
      <c r="M1723" s="14" t="s">
        <v>433</v>
      </c>
      <c r="N1723" s="14" t="s">
        <v>434</v>
      </c>
      <c r="O1723" s="14">
        <v>0.0</v>
      </c>
      <c r="P1723" s="21">
        <v>0.0</v>
      </c>
      <c r="Q1723" s="22" t="str">
        <f t="shared" ref="Q1723:R1723" si="1013">"+0"</f>
        <v>+0</v>
      </c>
      <c r="R1723" s="18" t="str">
        <f t="shared" si="1013"/>
        <v>+0</v>
      </c>
      <c r="S1723" s="14" t="s">
        <v>383</v>
      </c>
    </row>
    <row r="1724">
      <c r="A1724" s="13">
        <v>45901.0</v>
      </c>
      <c r="B1724" s="14" t="s">
        <v>47</v>
      </c>
      <c r="C1724" s="14" t="s">
        <v>48</v>
      </c>
      <c r="D1724" s="14" t="s">
        <v>69</v>
      </c>
      <c r="E1724" s="14" t="s">
        <v>70</v>
      </c>
      <c r="F1724" s="15" t="s">
        <v>51</v>
      </c>
      <c r="G1724" s="14" t="s">
        <v>115</v>
      </c>
      <c r="H1724" s="14" t="s">
        <v>72</v>
      </c>
      <c r="I1724" s="14" t="s">
        <v>54</v>
      </c>
      <c r="J1724" s="14" t="s">
        <v>200</v>
      </c>
      <c r="K1724" s="14" t="s">
        <v>222</v>
      </c>
      <c r="L1724" s="14" t="s">
        <v>253</v>
      </c>
      <c r="M1724" s="14" t="s">
        <v>1563</v>
      </c>
      <c r="N1724" s="14" t="s">
        <v>1564</v>
      </c>
      <c r="O1724" s="14">
        <v>100.0</v>
      </c>
      <c r="P1724" s="21">
        <v>1.0</v>
      </c>
      <c r="Q1724" s="22" t="str">
        <f t="shared" ref="Q1724:R1724" si="1014">"+0"</f>
        <v>+0</v>
      </c>
      <c r="R1724" s="18" t="str">
        <f t="shared" si="1014"/>
        <v>+0</v>
      </c>
      <c r="S1724" s="14" t="s">
        <v>260</v>
      </c>
    </row>
    <row r="1725">
      <c r="A1725" s="13">
        <v>45901.0</v>
      </c>
      <c r="B1725" s="14" t="s">
        <v>47</v>
      </c>
      <c r="C1725" s="14" t="s">
        <v>48</v>
      </c>
      <c r="D1725" s="14" t="s">
        <v>69</v>
      </c>
      <c r="E1725" s="14" t="s">
        <v>70</v>
      </c>
      <c r="F1725" s="15" t="s">
        <v>51</v>
      </c>
      <c r="G1725" s="14" t="s">
        <v>115</v>
      </c>
      <c r="H1725" s="14" t="s">
        <v>72</v>
      </c>
      <c r="I1725" s="14" t="s">
        <v>54</v>
      </c>
      <c r="J1725" s="14" t="s">
        <v>200</v>
      </c>
      <c r="K1725" s="14" t="s">
        <v>224</v>
      </c>
      <c r="L1725" s="14" t="s">
        <v>594</v>
      </c>
      <c r="M1725" s="14" t="s">
        <v>595</v>
      </c>
      <c r="N1725" s="14" t="s">
        <v>596</v>
      </c>
      <c r="O1725" s="14">
        <v>16.0</v>
      </c>
      <c r="P1725" s="23">
        <v>0.1667</v>
      </c>
      <c r="Q1725" s="22" t="str">
        <f t="shared" ref="Q1725:R1725" si="1015">"+16.67%"</f>
        <v>+16.67%</v>
      </c>
      <c r="R1725" s="18" t="str">
        <f t="shared" si="1015"/>
        <v>+16.67%</v>
      </c>
      <c r="S1725" s="14" t="s">
        <v>1565</v>
      </c>
    </row>
    <row r="1726">
      <c r="A1726" s="13">
        <v>45901.0</v>
      </c>
      <c r="B1726" s="14" t="s">
        <v>47</v>
      </c>
      <c r="C1726" s="14" t="s">
        <v>48</v>
      </c>
      <c r="D1726" s="14" t="s">
        <v>116</v>
      </c>
      <c r="E1726" s="14" t="s">
        <v>117</v>
      </c>
      <c r="F1726" s="15" t="s">
        <v>51</v>
      </c>
      <c r="G1726" s="14" t="s">
        <v>161</v>
      </c>
      <c r="H1726" s="14" t="s">
        <v>116</v>
      </c>
      <c r="I1726" s="14" t="s">
        <v>54</v>
      </c>
      <c r="J1726" s="14" t="s">
        <v>198</v>
      </c>
      <c r="K1726" s="14" t="s">
        <v>210</v>
      </c>
      <c r="L1726" s="14" t="s">
        <v>505</v>
      </c>
      <c r="M1726" s="14" t="s">
        <v>975</v>
      </c>
      <c r="N1726" s="14" t="s">
        <v>976</v>
      </c>
      <c r="O1726" s="14">
        <v>0.0</v>
      </c>
      <c r="P1726" s="21">
        <v>0.0</v>
      </c>
      <c r="Q1726" s="22" t="str">
        <f t="shared" ref="Q1726:R1726" si="1016">"+0"</f>
        <v>+0</v>
      </c>
      <c r="R1726" s="18" t="str">
        <f t="shared" si="1016"/>
        <v>+0</v>
      </c>
      <c r="S1726" s="14" t="s">
        <v>277</v>
      </c>
    </row>
    <row r="1727">
      <c r="A1727" s="13">
        <v>45901.0</v>
      </c>
      <c r="B1727" s="14" t="s">
        <v>47</v>
      </c>
      <c r="C1727" s="14" t="s">
        <v>48</v>
      </c>
      <c r="D1727" s="14" t="s">
        <v>112</v>
      </c>
      <c r="E1727" s="14" t="s">
        <v>113</v>
      </c>
      <c r="F1727" s="15" t="s">
        <v>51</v>
      </c>
      <c r="G1727" s="14" t="s">
        <v>114</v>
      </c>
      <c r="H1727" s="14" t="s">
        <v>112</v>
      </c>
      <c r="I1727" s="14" t="s">
        <v>59</v>
      </c>
      <c r="J1727" s="14" t="s">
        <v>200</v>
      </c>
      <c r="K1727" s="14" t="s">
        <v>213</v>
      </c>
      <c r="L1727" s="14" t="s">
        <v>307</v>
      </c>
      <c r="M1727" s="14" t="s">
        <v>1176</v>
      </c>
      <c r="N1727" s="14" t="s">
        <v>1177</v>
      </c>
      <c r="O1727" s="14">
        <v>0.0</v>
      </c>
      <c r="P1727" s="23">
        <v>0.0</v>
      </c>
      <c r="Q1727" s="22" t="str">
        <f t="shared" ref="Q1727:R1727" si="1017">"+0.00%"</f>
        <v>+0.00%</v>
      </c>
      <c r="R1727" s="18" t="str">
        <f t="shared" si="1017"/>
        <v>+0.00%</v>
      </c>
      <c r="S1727" s="14" t="s">
        <v>285</v>
      </c>
    </row>
    <row r="1728">
      <c r="A1728" s="13">
        <v>45901.0</v>
      </c>
      <c r="B1728" s="14" t="s">
        <v>47</v>
      </c>
      <c r="C1728" s="14" t="s">
        <v>48</v>
      </c>
      <c r="D1728" s="14" t="s">
        <v>116</v>
      </c>
      <c r="E1728" s="14" t="s">
        <v>117</v>
      </c>
      <c r="F1728" s="15" t="s">
        <v>51</v>
      </c>
      <c r="G1728" s="14" t="s">
        <v>161</v>
      </c>
      <c r="H1728" s="14" t="s">
        <v>116</v>
      </c>
      <c r="I1728" s="14" t="s">
        <v>54</v>
      </c>
      <c r="J1728" s="14" t="s">
        <v>198</v>
      </c>
      <c r="K1728" s="14" t="s">
        <v>210</v>
      </c>
      <c r="L1728" s="14" t="s">
        <v>458</v>
      </c>
      <c r="M1728" s="14" t="s">
        <v>1230</v>
      </c>
      <c r="N1728" s="14" t="s">
        <v>1231</v>
      </c>
      <c r="O1728" s="14">
        <v>0.0</v>
      </c>
      <c r="P1728" s="21">
        <v>0.0</v>
      </c>
      <c r="Q1728" s="22" t="str">
        <f t="shared" ref="Q1728:R1728" si="1018">"+0"</f>
        <v>+0</v>
      </c>
      <c r="R1728" s="18" t="str">
        <f t="shared" si="1018"/>
        <v>+0</v>
      </c>
      <c r="S1728" s="14" t="s">
        <v>277</v>
      </c>
    </row>
    <row r="1729">
      <c r="A1729" s="13">
        <v>45901.0</v>
      </c>
      <c r="B1729" s="14" t="s">
        <v>47</v>
      </c>
      <c r="C1729" s="14" t="s">
        <v>48</v>
      </c>
      <c r="D1729" s="14" t="s">
        <v>140</v>
      </c>
      <c r="E1729" s="14" t="s">
        <v>141</v>
      </c>
      <c r="F1729" s="15" t="s">
        <v>51</v>
      </c>
      <c r="G1729" s="14" t="s">
        <v>142</v>
      </c>
      <c r="H1729" s="14" t="s">
        <v>140</v>
      </c>
      <c r="I1729" s="14" t="s">
        <v>59</v>
      </c>
      <c r="J1729" s="14" t="s">
        <v>199</v>
      </c>
      <c r="K1729" s="14" t="s">
        <v>206</v>
      </c>
      <c r="L1729" s="14" t="s">
        <v>295</v>
      </c>
      <c r="M1729" s="14" t="s">
        <v>986</v>
      </c>
      <c r="N1729" s="14" t="s">
        <v>987</v>
      </c>
      <c r="O1729" s="14">
        <v>0.0</v>
      </c>
      <c r="P1729" s="21">
        <v>0.0</v>
      </c>
      <c r="Q1729" s="22" t="str">
        <f t="shared" ref="Q1729:R1729" si="1019">"+0"</f>
        <v>+0</v>
      </c>
      <c r="R1729" s="18" t="str">
        <f t="shared" si="1019"/>
        <v>+0</v>
      </c>
      <c r="S1729" s="14" t="s">
        <v>260</v>
      </c>
    </row>
    <row r="1730">
      <c r="A1730" s="13">
        <v>45901.0</v>
      </c>
      <c r="B1730" s="14" t="s">
        <v>47</v>
      </c>
      <c r="C1730" s="14" t="s">
        <v>48</v>
      </c>
      <c r="D1730" s="14" t="s">
        <v>121</v>
      </c>
      <c r="E1730" s="14" t="s">
        <v>122</v>
      </c>
      <c r="F1730" s="15" t="s">
        <v>51</v>
      </c>
      <c r="G1730" s="14" t="s">
        <v>123</v>
      </c>
      <c r="H1730" s="14" t="s">
        <v>124</v>
      </c>
      <c r="I1730" s="14" t="s">
        <v>59</v>
      </c>
      <c r="J1730" s="14" t="s">
        <v>200</v>
      </c>
      <c r="K1730" s="14" t="s">
        <v>232</v>
      </c>
      <c r="L1730" s="14" t="s">
        <v>261</v>
      </c>
      <c r="M1730" s="14" t="s">
        <v>814</v>
      </c>
      <c r="N1730" s="14" t="s">
        <v>815</v>
      </c>
      <c r="O1730" s="14">
        <v>0.0</v>
      </c>
      <c r="P1730" s="23">
        <v>-1.0</v>
      </c>
      <c r="Q1730" s="22" t="str">
        <f t="shared" ref="Q1730:Q1731" si="1020">"+0.00%"</f>
        <v>+0.00%</v>
      </c>
      <c r="R1730" s="18" t="str">
        <f>"-5.17%"</f>
        <v>-5.17%</v>
      </c>
      <c r="S1730" s="14" t="s">
        <v>1566</v>
      </c>
    </row>
    <row r="1731">
      <c r="A1731" s="13">
        <v>45901.0</v>
      </c>
      <c r="B1731" s="14" t="s">
        <v>47</v>
      </c>
      <c r="C1731" s="14" t="s">
        <v>48</v>
      </c>
      <c r="D1731" s="14" t="s">
        <v>56</v>
      </c>
      <c r="E1731" s="14" t="s">
        <v>57</v>
      </c>
      <c r="F1731" s="15" t="s">
        <v>51</v>
      </c>
      <c r="G1731" s="14" t="s">
        <v>58</v>
      </c>
      <c r="H1731" s="14" t="s">
        <v>56</v>
      </c>
      <c r="I1731" s="14" t="s">
        <v>59</v>
      </c>
      <c r="J1731" s="14" t="s">
        <v>200</v>
      </c>
      <c r="K1731" s="14" t="s">
        <v>223</v>
      </c>
      <c r="L1731" s="14" t="s">
        <v>286</v>
      </c>
      <c r="M1731" s="14" t="s">
        <v>369</v>
      </c>
      <c r="N1731" s="14" t="s">
        <v>370</v>
      </c>
      <c r="O1731" s="14">
        <v>0.0</v>
      </c>
      <c r="P1731" s="23">
        <v>0.0</v>
      </c>
      <c r="Q1731" s="22" t="str">
        <f t="shared" si="1020"/>
        <v>+0.00%</v>
      </c>
      <c r="R1731" s="18" t="str">
        <f>"+0.00%"</f>
        <v>+0.00%</v>
      </c>
      <c r="S1731" s="14" t="s">
        <v>371</v>
      </c>
    </row>
    <row r="1732">
      <c r="A1732" s="13">
        <v>45901.0</v>
      </c>
      <c r="B1732" s="14" t="s">
        <v>47</v>
      </c>
      <c r="C1732" s="14" t="s">
        <v>48</v>
      </c>
      <c r="D1732" s="14" t="s">
        <v>49</v>
      </c>
      <c r="E1732" s="14" t="s">
        <v>50</v>
      </c>
      <c r="F1732" s="15" t="s">
        <v>51</v>
      </c>
      <c r="G1732" s="14" t="s">
        <v>52</v>
      </c>
      <c r="H1732" s="14" t="s">
        <v>53</v>
      </c>
      <c r="I1732" s="14" t="s">
        <v>54</v>
      </c>
      <c r="J1732" s="14" t="s">
        <v>198</v>
      </c>
      <c r="K1732" s="14" t="s">
        <v>210</v>
      </c>
      <c r="L1732" s="14" t="s">
        <v>264</v>
      </c>
      <c r="M1732" s="14" t="s">
        <v>1064</v>
      </c>
      <c r="N1732" s="14" t="s">
        <v>1065</v>
      </c>
      <c r="O1732" s="14">
        <v>0.0</v>
      </c>
      <c r="P1732" s="21">
        <v>0.0</v>
      </c>
      <c r="Q1732" s="22" t="str">
        <f t="shared" ref="Q1732:R1732" si="1021">"+0"</f>
        <v>+0</v>
      </c>
      <c r="R1732" s="18" t="str">
        <f t="shared" si="1021"/>
        <v>+0</v>
      </c>
      <c r="S1732" s="14" t="s">
        <v>277</v>
      </c>
    </row>
    <row r="1733">
      <c r="A1733" s="13">
        <v>45901.0</v>
      </c>
      <c r="B1733" s="14" t="s">
        <v>47</v>
      </c>
      <c r="C1733" s="14" t="s">
        <v>48</v>
      </c>
      <c r="D1733" s="14" t="s">
        <v>49</v>
      </c>
      <c r="E1733" s="14" t="s">
        <v>50</v>
      </c>
      <c r="F1733" s="15" t="s">
        <v>51</v>
      </c>
      <c r="G1733" s="14" t="s">
        <v>52</v>
      </c>
      <c r="H1733" s="14" t="s">
        <v>53</v>
      </c>
      <c r="I1733" s="14" t="s">
        <v>54</v>
      </c>
      <c r="J1733" s="14" t="s">
        <v>200</v>
      </c>
      <c r="K1733" s="14" t="s">
        <v>227</v>
      </c>
      <c r="L1733" s="14" t="s">
        <v>328</v>
      </c>
      <c r="M1733" s="14" t="s">
        <v>329</v>
      </c>
      <c r="N1733" s="14" t="s">
        <v>330</v>
      </c>
      <c r="O1733" s="14">
        <v>9.0</v>
      </c>
      <c r="P1733" s="21">
        <v>2.0</v>
      </c>
      <c r="Q1733" s="22" t="str">
        <f>"-2"</f>
        <v>-2</v>
      </c>
      <c r="R1733" s="18" t="str">
        <f>"-1"</f>
        <v>-1</v>
      </c>
      <c r="S1733" s="14" t="s">
        <v>260</v>
      </c>
    </row>
    <row r="1734">
      <c r="A1734" s="13">
        <v>45901.0</v>
      </c>
      <c r="B1734" s="14" t="s">
        <v>47</v>
      </c>
      <c r="C1734" s="14" t="s">
        <v>48</v>
      </c>
      <c r="D1734" s="14" t="s">
        <v>165</v>
      </c>
      <c r="E1734" s="14" t="s">
        <v>166</v>
      </c>
      <c r="F1734" s="15" t="s">
        <v>51</v>
      </c>
      <c r="G1734" s="14" t="s">
        <v>167</v>
      </c>
      <c r="H1734" s="14" t="s">
        <v>165</v>
      </c>
      <c r="I1734" s="14" t="s">
        <v>54</v>
      </c>
      <c r="J1734" s="14" t="s">
        <v>198</v>
      </c>
      <c r="K1734" s="14" t="s">
        <v>210</v>
      </c>
      <c r="L1734" s="14" t="s">
        <v>264</v>
      </c>
      <c r="M1734" s="14" t="s">
        <v>1068</v>
      </c>
      <c r="N1734" s="14" t="s">
        <v>1069</v>
      </c>
      <c r="O1734" s="14">
        <v>0.0</v>
      </c>
      <c r="P1734" s="21">
        <v>0.0</v>
      </c>
      <c r="Q1734" s="22" t="str">
        <f t="shared" ref="Q1734:R1734" si="1022">"+0"</f>
        <v>+0</v>
      </c>
      <c r="R1734" s="18" t="str">
        <f t="shared" si="1022"/>
        <v>+0</v>
      </c>
      <c r="S1734" s="14" t="s">
        <v>277</v>
      </c>
    </row>
    <row r="1735">
      <c r="A1735" s="13">
        <v>45901.0</v>
      </c>
      <c r="B1735" s="14" t="s">
        <v>47</v>
      </c>
      <c r="C1735" s="14" t="s">
        <v>48</v>
      </c>
      <c r="D1735" s="14" t="s">
        <v>63</v>
      </c>
      <c r="E1735" s="14" t="s">
        <v>64</v>
      </c>
      <c r="F1735" s="15" t="s">
        <v>51</v>
      </c>
      <c r="G1735" s="14" t="s">
        <v>65</v>
      </c>
      <c r="H1735" s="14" t="s">
        <v>63</v>
      </c>
      <c r="I1735" s="14" t="s">
        <v>54</v>
      </c>
      <c r="J1735" s="14" t="s">
        <v>200</v>
      </c>
      <c r="K1735" s="14" t="s">
        <v>224</v>
      </c>
      <c r="L1735" s="14" t="s">
        <v>392</v>
      </c>
      <c r="M1735" s="14" t="s">
        <v>1172</v>
      </c>
      <c r="N1735" s="14" t="s">
        <v>1173</v>
      </c>
      <c r="O1735" s="14">
        <v>7.0</v>
      </c>
      <c r="P1735" s="23">
        <v>0.0714</v>
      </c>
      <c r="Q1735" s="22" t="str">
        <f>"+2.38%"</f>
        <v>+2.38%</v>
      </c>
      <c r="R1735" s="18" t="str">
        <f>"-1.95%"</f>
        <v>-1.95%</v>
      </c>
      <c r="S1735" s="14" t="s">
        <v>1567</v>
      </c>
    </row>
    <row r="1736">
      <c r="A1736" s="13">
        <v>45901.0</v>
      </c>
      <c r="B1736" s="14" t="s">
        <v>47</v>
      </c>
      <c r="C1736" s="14" t="s">
        <v>48</v>
      </c>
      <c r="D1736" s="14" t="s">
        <v>91</v>
      </c>
      <c r="E1736" s="14" t="s">
        <v>92</v>
      </c>
      <c r="F1736" s="14" t="s">
        <v>71</v>
      </c>
      <c r="G1736" s="14">
        <v>5.10001669E8</v>
      </c>
      <c r="H1736" s="14" t="s">
        <v>91</v>
      </c>
      <c r="I1736" s="14" t="s">
        <v>107</v>
      </c>
      <c r="J1736" s="14" t="s">
        <v>200</v>
      </c>
      <c r="K1736" s="14" t="s">
        <v>218</v>
      </c>
      <c r="L1736" s="14" t="s">
        <v>253</v>
      </c>
      <c r="M1736" s="14" t="s">
        <v>784</v>
      </c>
      <c r="N1736" s="14" t="s">
        <v>785</v>
      </c>
      <c r="O1736" s="14">
        <v>1.0</v>
      </c>
      <c r="P1736" s="23">
        <v>0.0</v>
      </c>
      <c r="Q1736" s="22" t="str">
        <f t="shared" ref="Q1736:R1736" si="1023">"+0.00%"</f>
        <v>+0.00%</v>
      </c>
      <c r="R1736" s="18" t="str">
        <f t="shared" si="1023"/>
        <v>+0.00%</v>
      </c>
      <c r="S1736" s="14" t="s">
        <v>1345</v>
      </c>
    </row>
    <row r="1737">
      <c r="A1737" s="13">
        <v>45901.0</v>
      </c>
      <c r="B1737" s="14" t="s">
        <v>47</v>
      </c>
      <c r="C1737" s="14" t="s">
        <v>48</v>
      </c>
      <c r="D1737" s="14" t="s">
        <v>118</v>
      </c>
      <c r="E1737" s="14" t="s">
        <v>119</v>
      </c>
      <c r="F1737" s="15" t="s">
        <v>51</v>
      </c>
      <c r="G1737" s="14" t="s">
        <v>120</v>
      </c>
      <c r="H1737" s="14" t="s">
        <v>118</v>
      </c>
      <c r="I1737" s="14" t="s">
        <v>59</v>
      </c>
      <c r="J1737" s="14" t="s">
        <v>200</v>
      </c>
      <c r="K1737" s="14" t="s">
        <v>213</v>
      </c>
      <c r="L1737" s="14" t="s">
        <v>289</v>
      </c>
      <c r="M1737" s="14" t="s">
        <v>331</v>
      </c>
      <c r="N1737" s="14" t="s">
        <v>332</v>
      </c>
      <c r="O1737" s="14">
        <v>0.0</v>
      </c>
      <c r="P1737" s="23">
        <v>0.0</v>
      </c>
      <c r="Q1737" s="22" t="str">
        <f t="shared" ref="Q1737:R1737" si="1024">"+0.00%"</f>
        <v>+0.00%</v>
      </c>
      <c r="R1737" s="18" t="str">
        <f t="shared" si="1024"/>
        <v>+0.00%</v>
      </c>
      <c r="S1737" s="14" t="s">
        <v>285</v>
      </c>
    </row>
    <row r="1738">
      <c r="A1738" s="13">
        <v>45901.0</v>
      </c>
      <c r="B1738" s="14" t="s">
        <v>47</v>
      </c>
      <c r="C1738" s="14" t="s">
        <v>48</v>
      </c>
      <c r="D1738" s="14" t="s">
        <v>149</v>
      </c>
      <c r="E1738" s="14" t="s">
        <v>150</v>
      </c>
      <c r="F1738" s="15" t="s">
        <v>51</v>
      </c>
      <c r="G1738" s="14" t="s">
        <v>151</v>
      </c>
      <c r="H1738" s="14" t="s">
        <v>152</v>
      </c>
      <c r="I1738" s="14" t="s">
        <v>54</v>
      </c>
      <c r="J1738" s="14" t="s">
        <v>198</v>
      </c>
      <c r="K1738" s="14" t="s">
        <v>210</v>
      </c>
      <c r="L1738" s="14" t="s">
        <v>264</v>
      </c>
      <c r="M1738" s="14" t="s">
        <v>1210</v>
      </c>
      <c r="N1738" s="14" t="s">
        <v>1211</v>
      </c>
      <c r="O1738" s="14">
        <v>0.0</v>
      </c>
      <c r="P1738" s="21">
        <v>0.0</v>
      </c>
      <c r="Q1738" s="22" t="str">
        <f t="shared" ref="Q1738:R1738" si="1025">"+0"</f>
        <v>+0</v>
      </c>
      <c r="R1738" s="18" t="str">
        <f t="shared" si="1025"/>
        <v>+0</v>
      </c>
      <c r="S1738" s="14" t="s">
        <v>277</v>
      </c>
    </row>
    <row r="1739">
      <c r="A1739" s="13">
        <v>45901.0</v>
      </c>
      <c r="B1739" s="14" t="s">
        <v>47</v>
      </c>
      <c r="C1739" s="14" t="s">
        <v>48</v>
      </c>
      <c r="D1739" s="14" t="s">
        <v>69</v>
      </c>
      <c r="E1739" s="14" t="s">
        <v>70</v>
      </c>
      <c r="F1739" s="15" t="s">
        <v>51</v>
      </c>
      <c r="G1739" s="14" t="s">
        <v>115</v>
      </c>
      <c r="H1739" s="14" t="s">
        <v>72</v>
      </c>
      <c r="I1739" s="14" t="s">
        <v>54</v>
      </c>
      <c r="J1739" s="14" t="s">
        <v>200</v>
      </c>
      <c r="K1739" s="14" t="s">
        <v>215</v>
      </c>
      <c r="L1739" s="14" t="s">
        <v>548</v>
      </c>
      <c r="M1739" s="14" t="s">
        <v>1568</v>
      </c>
      <c r="N1739" s="14" t="s">
        <v>1569</v>
      </c>
      <c r="O1739" s="14">
        <v>44.0</v>
      </c>
      <c r="P1739" s="23">
        <v>-0.1053</v>
      </c>
      <c r="Q1739" s="22" t="str">
        <f>"-41.70%"</f>
        <v>-41.70%</v>
      </c>
      <c r="R1739" s="18" t="str">
        <f>"-12.86%"</f>
        <v>-12.86%</v>
      </c>
      <c r="S1739" s="14" t="s">
        <v>1570</v>
      </c>
    </row>
    <row r="1740">
      <c r="A1740" s="13">
        <v>45901.0</v>
      </c>
      <c r="B1740" s="14" t="s">
        <v>47</v>
      </c>
      <c r="C1740" s="14" t="s">
        <v>48</v>
      </c>
      <c r="D1740" s="14" t="s">
        <v>99</v>
      </c>
      <c r="E1740" s="14" t="s">
        <v>100</v>
      </c>
      <c r="F1740" s="15" t="s">
        <v>51</v>
      </c>
      <c r="G1740" s="14" t="s">
        <v>101</v>
      </c>
      <c r="H1740" s="14" t="s">
        <v>102</v>
      </c>
      <c r="I1740" s="14" t="s">
        <v>54</v>
      </c>
      <c r="J1740" s="14" t="s">
        <v>198</v>
      </c>
      <c r="K1740" s="14" t="s">
        <v>210</v>
      </c>
      <c r="L1740" s="14" t="s">
        <v>264</v>
      </c>
      <c r="M1740" s="14" t="s">
        <v>1369</v>
      </c>
      <c r="N1740" s="14" t="s">
        <v>1370</v>
      </c>
      <c r="O1740" s="14">
        <v>0.0</v>
      </c>
      <c r="P1740" s="21">
        <v>0.0</v>
      </c>
      <c r="Q1740" s="22" t="str">
        <f t="shared" ref="Q1740:R1740" si="1026">"+0"</f>
        <v>+0</v>
      </c>
      <c r="R1740" s="18" t="str">
        <f t="shared" si="1026"/>
        <v>+0</v>
      </c>
      <c r="S1740" s="14" t="s">
        <v>277</v>
      </c>
    </row>
    <row r="1741">
      <c r="A1741" s="13">
        <v>45901.0</v>
      </c>
      <c r="B1741" s="14" t="s">
        <v>47</v>
      </c>
      <c r="C1741" s="14" t="s">
        <v>48</v>
      </c>
      <c r="D1741" s="14" t="s">
        <v>192</v>
      </c>
      <c r="E1741" s="14" t="s">
        <v>193</v>
      </c>
      <c r="F1741" s="15" t="s">
        <v>51</v>
      </c>
      <c r="G1741" s="14" t="s">
        <v>194</v>
      </c>
      <c r="H1741" s="14" t="s">
        <v>192</v>
      </c>
      <c r="I1741" s="14" t="s">
        <v>54</v>
      </c>
      <c r="J1741" s="14" t="s">
        <v>200</v>
      </c>
      <c r="K1741" s="14" t="s">
        <v>204</v>
      </c>
      <c r="L1741" s="14" t="s">
        <v>253</v>
      </c>
      <c r="M1741" s="14" t="s">
        <v>844</v>
      </c>
      <c r="N1741" s="14" t="s">
        <v>845</v>
      </c>
      <c r="O1741" s="14">
        <v>0.0</v>
      </c>
      <c r="P1741" s="17"/>
      <c r="Q1741" s="22"/>
      <c r="S1741" s="14" t="s">
        <v>846</v>
      </c>
    </row>
    <row r="1742">
      <c r="A1742" s="13">
        <v>45901.0</v>
      </c>
      <c r="B1742" s="14" t="s">
        <v>47</v>
      </c>
      <c r="C1742" s="14" t="s">
        <v>48</v>
      </c>
      <c r="D1742" s="14" t="s">
        <v>158</v>
      </c>
      <c r="E1742" s="14" t="s">
        <v>159</v>
      </c>
      <c r="F1742" s="15" t="s">
        <v>51</v>
      </c>
      <c r="G1742" s="14" t="s">
        <v>160</v>
      </c>
      <c r="H1742" s="14" t="s">
        <v>158</v>
      </c>
      <c r="I1742" s="14" t="s">
        <v>54</v>
      </c>
      <c r="J1742" s="14" t="s">
        <v>200</v>
      </c>
      <c r="K1742" s="14" t="s">
        <v>222</v>
      </c>
      <c r="L1742" s="14" t="s">
        <v>337</v>
      </c>
      <c r="M1742" s="14" t="s">
        <v>734</v>
      </c>
      <c r="N1742" s="14" t="s">
        <v>735</v>
      </c>
      <c r="O1742" s="14">
        <v>0.0</v>
      </c>
      <c r="P1742" s="21">
        <v>0.0</v>
      </c>
      <c r="Q1742" s="22" t="str">
        <f t="shared" ref="Q1742:R1742" si="1027">"+0"</f>
        <v>+0</v>
      </c>
      <c r="R1742" s="18" t="str">
        <f t="shared" si="1027"/>
        <v>+0</v>
      </c>
      <c r="S1742" s="14" t="s">
        <v>260</v>
      </c>
    </row>
    <row r="1743">
      <c r="A1743" s="13">
        <v>45901.0</v>
      </c>
      <c r="B1743" s="14" t="s">
        <v>47</v>
      </c>
      <c r="C1743" s="14" t="s">
        <v>48</v>
      </c>
      <c r="D1743" s="14" t="s">
        <v>73</v>
      </c>
      <c r="E1743" s="14" t="s">
        <v>74</v>
      </c>
      <c r="F1743" s="15" t="s">
        <v>51</v>
      </c>
      <c r="G1743" s="14" t="s">
        <v>75</v>
      </c>
      <c r="H1743" s="14" t="s">
        <v>76</v>
      </c>
      <c r="I1743" s="14" t="s">
        <v>59</v>
      </c>
      <c r="J1743" s="14" t="s">
        <v>200</v>
      </c>
      <c r="K1743" s="14" t="s">
        <v>229</v>
      </c>
      <c r="L1743" s="14" t="s">
        <v>253</v>
      </c>
      <c r="M1743" s="14" t="s">
        <v>389</v>
      </c>
      <c r="N1743" s="14" t="s">
        <v>390</v>
      </c>
      <c r="O1743" s="14">
        <v>0.0</v>
      </c>
      <c r="P1743" s="23">
        <v>0.0</v>
      </c>
      <c r="Q1743" s="22" t="str">
        <f t="shared" ref="Q1743:R1743" si="1028">"+0.00%"</f>
        <v>+0.00%</v>
      </c>
      <c r="R1743" s="18" t="str">
        <f t="shared" si="1028"/>
        <v>+0.00%</v>
      </c>
      <c r="S1743" s="14" t="s">
        <v>1571</v>
      </c>
    </row>
    <row r="1744">
      <c r="A1744" s="13">
        <v>45901.0</v>
      </c>
      <c r="B1744" s="14" t="s">
        <v>47</v>
      </c>
      <c r="C1744" s="14" t="s">
        <v>48</v>
      </c>
      <c r="D1744" s="14" t="s">
        <v>158</v>
      </c>
      <c r="E1744" s="14" t="s">
        <v>159</v>
      </c>
      <c r="F1744" s="15" t="s">
        <v>51</v>
      </c>
      <c r="G1744" s="14" t="s">
        <v>160</v>
      </c>
      <c r="H1744" s="14" t="s">
        <v>158</v>
      </c>
      <c r="I1744" s="14" t="s">
        <v>54</v>
      </c>
      <c r="J1744" s="14" t="s">
        <v>200</v>
      </c>
      <c r="K1744" s="14" t="s">
        <v>222</v>
      </c>
      <c r="L1744" s="14" t="s">
        <v>1158</v>
      </c>
      <c r="M1744" s="14" t="s">
        <v>1572</v>
      </c>
      <c r="N1744" s="14" t="s">
        <v>1573</v>
      </c>
      <c r="O1744" s="14">
        <v>0.0</v>
      </c>
      <c r="P1744" s="21">
        <v>0.0</v>
      </c>
      <c r="Q1744" s="22" t="str">
        <f t="shared" ref="Q1744:R1744" si="1029">"+0"</f>
        <v>+0</v>
      </c>
      <c r="R1744" s="18" t="str">
        <f t="shared" si="1029"/>
        <v>+0</v>
      </c>
      <c r="S1744" s="14" t="s">
        <v>260</v>
      </c>
    </row>
    <row r="1745">
      <c r="A1745" s="13">
        <v>45901.0</v>
      </c>
      <c r="B1745" s="14" t="s">
        <v>47</v>
      </c>
      <c r="C1745" s="14" t="s">
        <v>48</v>
      </c>
      <c r="D1745" s="14" t="s">
        <v>63</v>
      </c>
      <c r="E1745" s="14" t="s">
        <v>64</v>
      </c>
      <c r="F1745" s="15" t="s">
        <v>51</v>
      </c>
      <c r="G1745" s="14" t="s">
        <v>65</v>
      </c>
      <c r="H1745" s="14" t="s">
        <v>63</v>
      </c>
      <c r="I1745" s="14" t="s">
        <v>54</v>
      </c>
      <c r="J1745" s="14" t="s">
        <v>198</v>
      </c>
      <c r="K1745" s="14" t="s">
        <v>210</v>
      </c>
      <c r="L1745" s="14" t="s">
        <v>264</v>
      </c>
      <c r="M1745" s="14" t="s">
        <v>1409</v>
      </c>
      <c r="N1745" s="14" t="s">
        <v>1410</v>
      </c>
      <c r="O1745" s="14">
        <v>0.0</v>
      </c>
      <c r="P1745" s="21">
        <v>0.0</v>
      </c>
      <c r="Q1745" s="22" t="str">
        <f t="shared" ref="Q1745:R1745" si="1030">"+0"</f>
        <v>+0</v>
      </c>
      <c r="R1745" s="18" t="str">
        <f t="shared" si="1030"/>
        <v>+0</v>
      </c>
      <c r="S1745" s="14" t="s">
        <v>277</v>
      </c>
    </row>
    <row r="1746">
      <c r="A1746" s="13">
        <v>45901.0</v>
      </c>
      <c r="B1746" s="14" t="s">
        <v>47</v>
      </c>
      <c r="C1746" s="14" t="s">
        <v>48</v>
      </c>
      <c r="D1746" s="14" t="s">
        <v>168</v>
      </c>
      <c r="E1746" s="14" t="s">
        <v>169</v>
      </c>
      <c r="F1746" s="15" t="s">
        <v>51</v>
      </c>
      <c r="G1746" s="14" t="s">
        <v>170</v>
      </c>
      <c r="H1746" s="14" t="s">
        <v>168</v>
      </c>
      <c r="I1746" s="14" t="s">
        <v>59</v>
      </c>
      <c r="J1746" s="14" t="s">
        <v>200</v>
      </c>
      <c r="K1746" s="14" t="s">
        <v>213</v>
      </c>
      <c r="L1746" s="14" t="s">
        <v>289</v>
      </c>
      <c r="M1746" s="14" t="s">
        <v>384</v>
      </c>
      <c r="N1746" s="14" t="s">
        <v>385</v>
      </c>
      <c r="O1746" s="14">
        <v>1.0</v>
      </c>
      <c r="P1746" s="23">
        <v>0.0189</v>
      </c>
      <c r="Q1746" s="22" t="str">
        <f>"-3.75%"</f>
        <v>-3.75%</v>
      </c>
      <c r="R1746" s="18" t="str">
        <f>"-7.20%"</f>
        <v>-7.20%</v>
      </c>
      <c r="S1746" s="14" t="s">
        <v>1574</v>
      </c>
    </row>
    <row r="1747">
      <c r="A1747" s="13">
        <v>45901.0</v>
      </c>
      <c r="B1747" s="14" t="s">
        <v>47</v>
      </c>
      <c r="C1747" s="14" t="s">
        <v>48</v>
      </c>
      <c r="D1747" s="14" t="s">
        <v>192</v>
      </c>
      <c r="E1747" s="14" t="s">
        <v>193</v>
      </c>
      <c r="F1747" s="15" t="s">
        <v>51</v>
      </c>
      <c r="G1747" s="14" t="s">
        <v>194</v>
      </c>
      <c r="H1747" s="14" t="s">
        <v>192</v>
      </c>
      <c r="I1747" s="14" t="s">
        <v>54</v>
      </c>
      <c r="J1747" s="14" t="s">
        <v>200</v>
      </c>
      <c r="K1747" s="14" t="s">
        <v>223</v>
      </c>
      <c r="L1747" s="14" t="s">
        <v>607</v>
      </c>
      <c r="M1747" s="14" t="s">
        <v>1312</v>
      </c>
      <c r="N1747" s="14" t="s">
        <v>1313</v>
      </c>
      <c r="O1747" s="14">
        <v>0.0</v>
      </c>
      <c r="P1747" s="23">
        <v>0.0</v>
      </c>
      <c r="Q1747" s="22" t="str">
        <f t="shared" ref="Q1747:R1747" si="1031">"+0.00%"</f>
        <v>+0.00%</v>
      </c>
      <c r="R1747" s="18" t="str">
        <f t="shared" si="1031"/>
        <v>+0.00%</v>
      </c>
      <c r="S1747" s="14" t="s">
        <v>285</v>
      </c>
    </row>
    <row r="1748">
      <c r="A1748" s="13">
        <v>45901.0</v>
      </c>
      <c r="B1748" s="14" t="s">
        <v>47</v>
      </c>
      <c r="C1748" s="14" t="s">
        <v>48</v>
      </c>
      <c r="D1748" s="14" t="s">
        <v>93</v>
      </c>
      <c r="E1748" s="14" t="s">
        <v>94</v>
      </c>
      <c r="F1748" s="15" t="s">
        <v>51</v>
      </c>
      <c r="G1748" s="14" t="s">
        <v>191</v>
      </c>
      <c r="H1748" s="14" t="s">
        <v>95</v>
      </c>
      <c r="I1748" s="14" t="s">
        <v>59</v>
      </c>
      <c r="J1748" s="14" t="s">
        <v>199</v>
      </c>
      <c r="K1748" s="14" t="s">
        <v>208</v>
      </c>
      <c r="L1748" s="14" t="s">
        <v>352</v>
      </c>
      <c r="M1748" s="14" t="s">
        <v>352</v>
      </c>
      <c r="N1748" s="14" t="s">
        <v>353</v>
      </c>
      <c r="O1748" s="14">
        <v>0.0</v>
      </c>
      <c r="P1748" s="21">
        <v>0.0</v>
      </c>
      <c r="Q1748" s="22" t="str">
        <f t="shared" ref="Q1748:R1748" si="1032">"+0"</f>
        <v>+0</v>
      </c>
      <c r="R1748" s="18" t="str">
        <f t="shared" si="1032"/>
        <v>+0</v>
      </c>
      <c r="S1748" s="14" t="s">
        <v>260</v>
      </c>
    </row>
    <row r="1749">
      <c r="A1749" s="13">
        <v>45901.0</v>
      </c>
      <c r="B1749" s="14" t="s">
        <v>47</v>
      </c>
      <c r="C1749" s="14" t="s">
        <v>48</v>
      </c>
      <c r="D1749" s="14" t="s">
        <v>192</v>
      </c>
      <c r="E1749" s="14" t="s">
        <v>193</v>
      </c>
      <c r="F1749" s="15" t="s">
        <v>51</v>
      </c>
      <c r="G1749" s="14" t="s">
        <v>194</v>
      </c>
      <c r="H1749" s="14" t="s">
        <v>192</v>
      </c>
      <c r="I1749" s="14" t="s">
        <v>54</v>
      </c>
      <c r="J1749" s="14" t="s">
        <v>200</v>
      </c>
      <c r="K1749" s="14" t="s">
        <v>223</v>
      </c>
      <c r="L1749" s="14" t="s">
        <v>286</v>
      </c>
      <c r="M1749" s="14" t="s">
        <v>419</v>
      </c>
      <c r="N1749" s="14" t="s">
        <v>420</v>
      </c>
      <c r="O1749" s="14">
        <v>0.0</v>
      </c>
      <c r="P1749" s="23">
        <v>0.0</v>
      </c>
      <c r="Q1749" s="22" t="str">
        <f t="shared" ref="Q1749:R1749" si="1033">"+0.00%"</f>
        <v>+0.00%</v>
      </c>
      <c r="R1749" s="18" t="str">
        <f t="shared" si="1033"/>
        <v>+0.00%</v>
      </c>
      <c r="S1749" s="14" t="s">
        <v>371</v>
      </c>
    </row>
    <row r="1750">
      <c r="A1750" s="13">
        <v>45901.0</v>
      </c>
      <c r="B1750" s="14" t="s">
        <v>47</v>
      </c>
      <c r="C1750" s="14" t="s">
        <v>48</v>
      </c>
      <c r="D1750" s="14" t="s">
        <v>143</v>
      </c>
      <c r="E1750" s="14" t="s">
        <v>144</v>
      </c>
      <c r="F1750" s="15" t="s">
        <v>51</v>
      </c>
      <c r="G1750" s="14" t="s">
        <v>145</v>
      </c>
      <c r="H1750" s="14" t="s">
        <v>143</v>
      </c>
      <c r="I1750" s="14" t="s">
        <v>59</v>
      </c>
      <c r="J1750" s="14" t="s">
        <v>200</v>
      </c>
      <c r="K1750" s="14" t="s">
        <v>232</v>
      </c>
      <c r="L1750" s="14" t="s">
        <v>286</v>
      </c>
      <c r="M1750" s="14" t="s">
        <v>730</v>
      </c>
      <c r="N1750" s="14" t="s">
        <v>731</v>
      </c>
      <c r="O1750" s="14">
        <v>0.0</v>
      </c>
      <c r="P1750" s="23">
        <v>0.0</v>
      </c>
      <c r="Q1750" s="22" t="str">
        <f t="shared" ref="Q1750:R1750" si="1034">"+0.00%"</f>
        <v>+0.00%</v>
      </c>
      <c r="R1750" s="18" t="str">
        <f t="shared" si="1034"/>
        <v>+0.00%</v>
      </c>
      <c r="S1750" s="14" t="s">
        <v>285</v>
      </c>
    </row>
    <row r="1751">
      <c r="A1751" s="13">
        <v>45901.0</v>
      </c>
      <c r="B1751" s="14" t="s">
        <v>47</v>
      </c>
      <c r="C1751" s="14" t="s">
        <v>48</v>
      </c>
      <c r="D1751" s="14" t="s">
        <v>143</v>
      </c>
      <c r="E1751" s="14" t="s">
        <v>144</v>
      </c>
      <c r="F1751" s="15" t="s">
        <v>51</v>
      </c>
      <c r="G1751" s="14" t="s">
        <v>145</v>
      </c>
      <c r="H1751" s="14" t="s">
        <v>143</v>
      </c>
      <c r="I1751" s="14" t="s">
        <v>59</v>
      </c>
      <c r="J1751" s="14" t="s">
        <v>198</v>
      </c>
      <c r="K1751" s="14" t="s">
        <v>212</v>
      </c>
      <c r="L1751" s="14" t="s">
        <v>344</v>
      </c>
      <c r="M1751" s="14" t="s">
        <v>580</v>
      </c>
      <c r="N1751" s="14" t="s">
        <v>581</v>
      </c>
      <c r="O1751" s="14">
        <v>100.0</v>
      </c>
      <c r="P1751" s="21">
        <v>1.0</v>
      </c>
      <c r="Q1751" s="22" t="str">
        <f>"+1"</f>
        <v>+1</v>
      </c>
      <c r="S1751" s="14" t="s">
        <v>281</v>
      </c>
    </row>
    <row r="1752">
      <c r="A1752" s="13">
        <v>45901.0</v>
      </c>
      <c r="B1752" s="14" t="s">
        <v>47</v>
      </c>
      <c r="C1752" s="14" t="s">
        <v>48</v>
      </c>
      <c r="D1752" s="14" t="s">
        <v>73</v>
      </c>
      <c r="E1752" s="14" t="s">
        <v>74</v>
      </c>
      <c r="F1752" s="15" t="s">
        <v>51</v>
      </c>
      <c r="G1752" s="14" t="s">
        <v>75</v>
      </c>
      <c r="H1752" s="14" t="s">
        <v>76</v>
      </c>
      <c r="I1752" s="14" t="s">
        <v>59</v>
      </c>
      <c r="J1752" s="14" t="s">
        <v>200</v>
      </c>
      <c r="K1752" s="14" t="s">
        <v>227</v>
      </c>
      <c r="L1752" s="14" t="s">
        <v>253</v>
      </c>
      <c r="M1752" s="14" t="s">
        <v>811</v>
      </c>
      <c r="N1752" s="14" t="s">
        <v>812</v>
      </c>
      <c r="O1752" s="14">
        <v>0.0</v>
      </c>
      <c r="P1752" s="23">
        <v>0.0</v>
      </c>
      <c r="Q1752" s="22" t="str">
        <f t="shared" ref="Q1752:R1752" si="1035">"+0.00%"</f>
        <v>+0.00%</v>
      </c>
      <c r="R1752" s="18" t="str">
        <f t="shared" si="1035"/>
        <v>+0.00%</v>
      </c>
      <c r="S1752" s="14" t="s">
        <v>813</v>
      </c>
    </row>
    <row r="1753">
      <c r="A1753" s="13">
        <v>45901.0</v>
      </c>
      <c r="B1753" s="14" t="s">
        <v>47</v>
      </c>
      <c r="C1753" s="14" t="s">
        <v>48</v>
      </c>
      <c r="D1753" s="14" t="s">
        <v>129</v>
      </c>
      <c r="E1753" s="14" t="s">
        <v>130</v>
      </c>
      <c r="F1753" s="15" t="s">
        <v>51</v>
      </c>
      <c r="G1753" s="14" t="s">
        <v>131</v>
      </c>
      <c r="H1753" s="14" t="s">
        <v>129</v>
      </c>
      <c r="I1753" s="14" t="s">
        <v>59</v>
      </c>
      <c r="J1753" s="14" t="s">
        <v>200</v>
      </c>
      <c r="K1753" s="14" t="s">
        <v>213</v>
      </c>
      <c r="L1753" s="14" t="s">
        <v>571</v>
      </c>
      <c r="M1753" s="14" t="s">
        <v>572</v>
      </c>
      <c r="N1753" s="14" t="s">
        <v>573</v>
      </c>
      <c r="O1753" s="14">
        <v>0.0</v>
      </c>
      <c r="P1753" s="23">
        <v>0.0</v>
      </c>
      <c r="Q1753" s="22" t="str">
        <f t="shared" ref="Q1753:R1753" si="1036">"+0.00%"</f>
        <v>+0.00%</v>
      </c>
      <c r="R1753" s="18" t="str">
        <f t="shared" si="1036"/>
        <v>+0.00%</v>
      </c>
      <c r="S1753" s="14" t="s">
        <v>285</v>
      </c>
    </row>
    <row r="1754">
      <c r="A1754" s="13">
        <v>45901.0</v>
      </c>
      <c r="B1754" s="14" t="s">
        <v>47</v>
      </c>
      <c r="C1754" s="14" t="s">
        <v>48</v>
      </c>
      <c r="D1754" s="14" t="s">
        <v>136</v>
      </c>
      <c r="E1754" s="14" t="s">
        <v>137</v>
      </c>
      <c r="F1754" s="15" t="s">
        <v>51</v>
      </c>
      <c r="G1754" s="14" t="s">
        <v>138</v>
      </c>
      <c r="H1754" s="14" t="s">
        <v>139</v>
      </c>
      <c r="I1754" s="14" t="s">
        <v>59</v>
      </c>
      <c r="J1754" s="14" t="s">
        <v>200</v>
      </c>
      <c r="K1754" s="14" t="s">
        <v>201</v>
      </c>
      <c r="L1754" s="14" t="s">
        <v>253</v>
      </c>
      <c r="M1754" s="14" t="s">
        <v>1411</v>
      </c>
      <c r="N1754" s="14" t="s">
        <v>1412</v>
      </c>
      <c r="O1754" s="14">
        <v>1.0</v>
      </c>
      <c r="P1754" s="23">
        <v>7.0E-4</v>
      </c>
      <c r="Q1754" s="22" t="str">
        <f>"+0.07%"</f>
        <v>+0.07%</v>
      </c>
      <c r="S1754" s="14" t="s">
        <v>1413</v>
      </c>
    </row>
    <row r="1755">
      <c r="A1755" s="13">
        <v>45901.0</v>
      </c>
      <c r="B1755" s="14" t="s">
        <v>47</v>
      </c>
      <c r="C1755" s="14" t="s">
        <v>48</v>
      </c>
      <c r="D1755" s="14" t="s">
        <v>149</v>
      </c>
      <c r="E1755" s="14" t="s">
        <v>150</v>
      </c>
      <c r="F1755" s="15" t="s">
        <v>51</v>
      </c>
      <c r="G1755" s="14" t="s">
        <v>151</v>
      </c>
      <c r="H1755" s="14" t="s">
        <v>152</v>
      </c>
      <c r="I1755" s="14" t="s">
        <v>54</v>
      </c>
      <c r="J1755" s="14" t="s">
        <v>200</v>
      </c>
      <c r="K1755" s="14" t="s">
        <v>224</v>
      </c>
      <c r="L1755" s="14" t="s">
        <v>427</v>
      </c>
      <c r="M1755" s="14" t="s">
        <v>1575</v>
      </c>
      <c r="N1755" s="14" t="s">
        <v>1576</v>
      </c>
      <c r="O1755" s="14">
        <v>0.0</v>
      </c>
      <c r="P1755" s="23">
        <v>0.0</v>
      </c>
      <c r="Q1755" s="22" t="str">
        <f t="shared" ref="Q1755:R1755" si="1037">"+0.00%"</f>
        <v>+0.00%</v>
      </c>
      <c r="R1755" s="18" t="str">
        <f t="shared" si="1037"/>
        <v>+0.00%</v>
      </c>
      <c r="S1755" s="14" t="s">
        <v>1577</v>
      </c>
    </row>
    <row r="1756">
      <c r="A1756" s="13">
        <v>45901.0</v>
      </c>
      <c r="B1756" s="14" t="s">
        <v>47</v>
      </c>
      <c r="C1756" s="14" t="s">
        <v>48</v>
      </c>
      <c r="D1756" s="14" t="s">
        <v>125</v>
      </c>
      <c r="E1756" s="14" t="s">
        <v>126</v>
      </c>
      <c r="F1756" s="15" t="s">
        <v>51</v>
      </c>
      <c r="G1756" s="14" t="s">
        <v>127</v>
      </c>
      <c r="H1756" s="14" t="s">
        <v>125</v>
      </c>
      <c r="I1756" s="14" t="s">
        <v>59</v>
      </c>
      <c r="J1756" s="14" t="s">
        <v>200</v>
      </c>
      <c r="K1756" s="14" t="s">
        <v>232</v>
      </c>
      <c r="L1756" s="14" t="s">
        <v>261</v>
      </c>
      <c r="M1756" s="14" t="s">
        <v>808</v>
      </c>
      <c r="N1756" s="14" t="s">
        <v>809</v>
      </c>
      <c r="O1756" s="14">
        <v>0.0</v>
      </c>
      <c r="P1756" s="23">
        <v>0.0</v>
      </c>
      <c r="Q1756" s="22" t="str">
        <f t="shared" ref="Q1756:R1756" si="1038">"+0.00%"</f>
        <v>+0.00%</v>
      </c>
      <c r="R1756" s="18" t="str">
        <f t="shared" si="1038"/>
        <v>+0.00%</v>
      </c>
      <c r="S1756" s="14" t="s">
        <v>882</v>
      </c>
    </row>
    <row r="1757">
      <c r="A1757" s="13">
        <v>45901.0</v>
      </c>
      <c r="B1757" s="14" t="s">
        <v>47</v>
      </c>
      <c r="C1757" s="14" t="s">
        <v>48</v>
      </c>
      <c r="D1757" s="14" t="s">
        <v>69</v>
      </c>
      <c r="E1757" s="14" t="s">
        <v>70</v>
      </c>
      <c r="F1757" s="15" t="s">
        <v>51</v>
      </c>
      <c r="G1757" s="14" t="s">
        <v>115</v>
      </c>
      <c r="H1757" s="14" t="s">
        <v>72</v>
      </c>
      <c r="I1757" s="14" t="s">
        <v>54</v>
      </c>
      <c r="J1757" s="14" t="s">
        <v>200</v>
      </c>
      <c r="K1757" s="14" t="s">
        <v>211</v>
      </c>
      <c r="L1757" s="14" t="s">
        <v>889</v>
      </c>
      <c r="M1757" s="14" t="s">
        <v>1578</v>
      </c>
      <c r="N1757" s="14" t="s">
        <v>1579</v>
      </c>
      <c r="O1757" s="14">
        <v>24.0</v>
      </c>
      <c r="P1757" s="23">
        <v>-0.5009</v>
      </c>
      <c r="Q1757" s="22" t="str">
        <f>"-17.24%"</f>
        <v>-17.24%</v>
      </c>
      <c r="R1757" s="18" t="str">
        <f>"-33.69%"</f>
        <v>-33.69%</v>
      </c>
      <c r="S1757" s="14" t="s">
        <v>336</v>
      </c>
    </row>
    <row r="1758">
      <c r="A1758" s="13">
        <v>45901.0</v>
      </c>
      <c r="B1758" s="14" t="s">
        <v>47</v>
      </c>
      <c r="C1758" s="14" t="s">
        <v>48</v>
      </c>
      <c r="D1758" s="14" t="s">
        <v>69</v>
      </c>
      <c r="E1758" s="14" t="s">
        <v>70</v>
      </c>
      <c r="F1758" s="15" t="s">
        <v>51</v>
      </c>
      <c r="G1758" s="14" t="s">
        <v>115</v>
      </c>
      <c r="H1758" s="14" t="s">
        <v>72</v>
      </c>
      <c r="I1758" s="14" t="s">
        <v>54</v>
      </c>
      <c r="J1758" s="14" t="s">
        <v>200</v>
      </c>
      <c r="K1758" s="14" t="s">
        <v>222</v>
      </c>
      <c r="L1758" s="14" t="s">
        <v>337</v>
      </c>
      <c r="M1758" s="14" t="s">
        <v>338</v>
      </c>
      <c r="N1758" s="14" t="s">
        <v>339</v>
      </c>
      <c r="O1758" s="14">
        <v>0.0</v>
      </c>
      <c r="P1758" s="21">
        <v>0.0</v>
      </c>
      <c r="Q1758" s="22" t="str">
        <f>"+0"</f>
        <v>+0</v>
      </c>
      <c r="R1758" s="18" t="str">
        <f>"-4"</f>
        <v>-4</v>
      </c>
      <c r="S1758" s="14" t="s">
        <v>260</v>
      </c>
    </row>
    <row r="1759">
      <c r="A1759" s="13">
        <v>45901.0</v>
      </c>
      <c r="B1759" s="14" t="s">
        <v>47</v>
      </c>
      <c r="C1759" s="14" t="s">
        <v>48</v>
      </c>
      <c r="D1759" s="14" t="s">
        <v>96</v>
      </c>
      <c r="E1759" s="14" t="s">
        <v>97</v>
      </c>
      <c r="F1759" s="15" t="s">
        <v>51</v>
      </c>
      <c r="G1759" s="14" t="s">
        <v>98</v>
      </c>
      <c r="H1759" s="14" t="s">
        <v>96</v>
      </c>
      <c r="I1759" s="14" t="s">
        <v>59</v>
      </c>
      <c r="J1759" s="14" t="s">
        <v>200</v>
      </c>
      <c r="K1759" s="14" t="s">
        <v>223</v>
      </c>
      <c r="L1759" s="14" t="s">
        <v>289</v>
      </c>
      <c r="M1759" s="14" t="s">
        <v>290</v>
      </c>
      <c r="N1759" s="14" t="s">
        <v>291</v>
      </c>
      <c r="O1759" s="14">
        <v>0.0</v>
      </c>
      <c r="P1759" s="23">
        <v>0.0</v>
      </c>
      <c r="Q1759" s="22" t="str">
        <f t="shared" ref="Q1759:R1759" si="1039">"+0.00%"</f>
        <v>+0.00%</v>
      </c>
      <c r="R1759" s="18" t="str">
        <f t="shared" si="1039"/>
        <v>+0.00%</v>
      </c>
      <c r="S1759" s="14" t="s">
        <v>285</v>
      </c>
    </row>
    <row r="1760">
      <c r="A1760" s="13">
        <v>45901.0</v>
      </c>
      <c r="B1760" s="14" t="s">
        <v>47</v>
      </c>
      <c r="C1760" s="14" t="s">
        <v>48</v>
      </c>
      <c r="D1760" s="14" t="s">
        <v>77</v>
      </c>
      <c r="E1760" s="14" t="s">
        <v>78</v>
      </c>
      <c r="F1760" s="15" t="s">
        <v>51</v>
      </c>
      <c r="G1760" s="14" t="s">
        <v>128</v>
      </c>
      <c r="H1760" s="14" t="s">
        <v>81</v>
      </c>
      <c r="I1760" s="14" t="s">
        <v>59</v>
      </c>
      <c r="J1760" s="14" t="s">
        <v>200</v>
      </c>
      <c r="K1760" s="14" t="s">
        <v>223</v>
      </c>
      <c r="L1760" s="14" t="s">
        <v>422</v>
      </c>
      <c r="M1760" s="14" t="s">
        <v>423</v>
      </c>
      <c r="N1760" s="14" t="s">
        <v>424</v>
      </c>
      <c r="O1760" s="14">
        <v>100.0</v>
      </c>
      <c r="P1760" s="21">
        <v>1.0</v>
      </c>
      <c r="Q1760" s="22" t="str">
        <f t="shared" ref="Q1760:R1760" si="1040">"+0"</f>
        <v>+0</v>
      </c>
      <c r="R1760" s="18" t="str">
        <f t="shared" si="1040"/>
        <v>+0</v>
      </c>
      <c r="S1760" s="14" t="s">
        <v>260</v>
      </c>
    </row>
    <row r="1761">
      <c r="A1761" s="13">
        <v>45901.0</v>
      </c>
      <c r="B1761" s="14" t="s">
        <v>47</v>
      </c>
      <c r="C1761" s="14" t="s">
        <v>48</v>
      </c>
      <c r="D1761" s="14" t="s">
        <v>158</v>
      </c>
      <c r="E1761" s="14" t="s">
        <v>159</v>
      </c>
      <c r="F1761" s="15" t="s">
        <v>51</v>
      </c>
      <c r="G1761" s="14" t="s">
        <v>160</v>
      </c>
      <c r="H1761" s="14" t="s">
        <v>158</v>
      </c>
      <c r="I1761" s="14" t="s">
        <v>54</v>
      </c>
      <c r="J1761" s="14" t="s">
        <v>200</v>
      </c>
      <c r="K1761" s="14" t="s">
        <v>227</v>
      </c>
      <c r="L1761" s="14" t="s">
        <v>253</v>
      </c>
      <c r="M1761" s="14" t="s">
        <v>811</v>
      </c>
      <c r="N1761" s="14" t="s">
        <v>812</v>
      </c>
      <c r="O1761" s="14">
        <v>0.0</v>
      </c>
      <c r="P1761" s="23">
        <v>0.0</v>
      </c>
      <c r="Q1761" s="22" t="str">
        <f t="shared" ref="Q1761:R1761" si="1041">"+0.00%"</f>
        <v>+0.00%</v>
      </c>
      <c r="R1761" s="18" t="str">
        <f t="shared" si="1041"/>
        <v>+0.00%</v>
      </c>
      <c r="S1761" s="14" t="s">
        <v>813</v>
      </c>
    </row>
    <row r="1762">
      <c r="A1762" s="13">
        <v>45901.0</v>
      </c>
      <c r="B1762" s="14" t="s">
        <v>47</v>
      </c>
      <c r="C1762" s="14" t="s">
        <v>48</v>
      </c>
      <c r="D1762" s="14" t="s">
        <v>108</v>
      </c>
      <c r="E1762" s="14" t="s">
        <v>109</v>
      </c>
      <c r="F1762" s="14" t="s">
        <v>146</v>
      </c>
      <c r="G1762" s="14" t="s">
        <v>180</v>
      </c>
      <c r="H1762" s="14" t="s">
        <v>108</v>
      </c>
      <c r="I1762" s="14" t="s">
        <v>59</v>
      </c>
      <c r="J1762" s="14" t="s">
        <v>200</v>
      </c>
      <c r="K1762" s="14" t="s">
        <v>226</v>
      </c>
      <c r="L1762" s="14" t="s">
        <v>633</v>
      </c>
      <c r="M1762" s="14" t="s">
        <v>634</v>
      </c>
      <c r="N1762" s="14" t="s">
        <v>635</v>
      </c>
      <c r="O1762" s="14">
        <v>100.0</v>
      </c>
      <c r="P1762" s="21">
        <v>1.0</v>
      </c>
      <c r="Q1762" s="22" t="str">
        <f>"+1"</f>
        <v>+1</v>
      </c>
      <c r="S1762" s="14" t="s">
        <v>260</v>
      </c>
    </row>
    <row r="1763">
      <c r="A1763" s="13">
        <v>45901.0</v>
      </c>
      <c r="B1763" s="14" t="s">
        <v>47</v>
      </c>
      <c r="C1763" s="14" t="s">
        <v>48</v>
      </c>
      <c r="D1763" s="14" t="s">
        <v>77</v>
      </c>
      <c r="E1763" s="14" t="s">
        <v>78</v>
      </c>
      <c r="F1763" s="15" t="s">
        <v>51</v>
      </c>
      <c r="G1763" s="14" t="s">
        <v>128</v>
      </c>
      <c r="H1763" s="14" t="s">
        <v>81</v>
      </c>
      <c r="I1763" s="14" t="s">
        <v>59</v>
      </c>
      <c r="J1763" s="14" t="s">
        <v>200</v>
      </c>
      <c r="K1763" s="14" t="s">
        <v>216</v>
      </c>
      <c r="L1763" s="14" t="s">
        <v>1580</v>
      </c>
      <c r="M1763" s="14" t="s">
        <v>1581</v>
      </c>
      <c r="N1763" s="14" t="s">
        <v>1582</v>
      </c>
      <c r="O1763" s="14">
        <v>0.0</v>
      </c>
      <c r="P1763" s="21">
        <v>0.0</v>
      </c>
      <c r="Q1763" s="22" t="str">
        <f t="shared" ref="Q1763:R1763" si="1042">"+0"</f>
        <v>+0</v>
      </c>
      <c r="R1763" s="18" t="str">
        <f t="shared" si="1042"/>
        <v>+0</v>
      </c>
      <c r="S1763" s="14" t="s">
        <v>260</v>
      </c>
    </row>
    <row r="1764">
      <c r="A1764" s="13">
        <v>45901.0</v>
      </c>
      <c r="B1764" s="14" t="s">
        <v>47</v>
      </c>
      <c r="C1764" s="14" t="s">
        <v>48</v>
      </c>
      <c r="D1764" s="14" t="s">
        <v>116</v>
      </c>
      <c r="E1764" s="14" t="s">
        <v>117</v>
      </c>
      <c r="F1764" s="15" t="s">
        <v>51</v>
      </c>
      <c r="G1764" s="14" t="s">
        <v>161</v>
      </c>
      <c r="H1764" s="14" t="s">
        <v>116</v>
      </c>
      <c r="I1764" s="14" t="s">
        <v>54</v>
      </c>
      <c r="J1764" s="14" t="s">
        <v>200</v>
      </c>
      <c r="K1764" s="14" t="s">
        <v>213</v>
      </c>
      <c r="L1764" s="14" t="s">
        <v>289</v>
      </c>
      <c r="M1764" s="14" t="s">
        <v>684</v>
      </c>
      <c r="N1764" s="14" t="s">
        <v>685</v>
      </c>
      <c r="O1764" s="14">
        <v>0.0</v>
      </c>
      <c r="P1764" s="23">
        <v>0.0</v>
      </c>
      <c r="Q1764" s="22" t="str">
        <f t="shared" ref="Q1764:R1764" si="1043">"+0.00%"</f>
        <v>+0.00%</v>
      </c>
      <c r="R1764" s="18" t="str">
        <f t="shared" si="1043"/>
        <v>+0.00%</v>
      </c>
      <c r="S1764" s="14" t="s">
        <v>285</v>
      </c>
    </row>
    <row r="1765">
      <c r="A1765" s="13">
        <v>45901.0</v>
      </c>
      <c r="B1765" s="14" t="s">
        <v>47</v>
      </c>
      <c r="C1765" s="14" t="s">
        <v>48</v>
      </c>
      <c r="D1765" s="14" t="s">
        <v>108</v>
      </c>
      <c r="E1765" s="14" t="s">
        <v>109</v>
      </c>
      <c r="F1765" s="14" t="s">
        <v>79</v>
      </c>
      <c r="G1765" s="14" t="s">
        <v>153</v>
      </c>
      <c r="H1765" s="14" t="s">
        <v>108</v>
      </c>
      <c r="I1765" s="14" t="s">
        <v>154</v>
      </c>
      <c r="J1765" s="14" t="s">
        <v>199</v>
      </c>
      <c r="K1765" s="14" t="s">
        <v>208</v>
      </c>
      <c r="L1765" s="14" t="s">
        <v>352</v>
      </c>
      <c r="M1765" s="14" t="s">
        <v>352</v>
      </c>
      <c r="N1765" s="14" t="s">
        <v>353</v>
      </c>
      <c r="O1765" s="14">
        <v>80.0</v>
      </c>
      <c r="P1765" s="21">
        <v>2.0</v>
      </c>
      <c r="Q1765" s="22" t="str">
        <f t="shared" ref="Q1765:Q1766" si="1044">"+0"</f>
        <v>+0</v>
      </c>
      <c r="S1765" s="14" t="s">
        <v>260</v>
      </c>
    </row>
    <row r="1766">
      <c r="A1766" s="13">
        <v>45901.0</v>
      </c>
      <c r="B1766" s="14" t="s">
        <v>47</v>
      </c>
      <c r="C1766" s="14" t="s">
        <v>48</v>
      </c>
      <c r="D1766" s="14" t="s">
        <v>116</v>
      </c>
      <c r="E1766" s="14" t="s">
        <v>117</v>
      </c>
      <c r="F1766" s="14" t="s">
        <v>111</v>
      </c>
      <c r="G1766" s="14">
        <v>5298600.0</v>
      </c>
      <c r="H1766" s="14" t="s">
        <v>116</v>
      </c>
      <c r="I1766" s="14" t="s">
        <v>59</v>
      </c>
      <c r="J1766" s="14" t="s">
        <v>199</v>
      </c>
      <c r="K1766" s="14" t="s">
        <v>203</v>
      </c>
      <c r="L1766" s="14" t="s">
        <v>601</v>
      </c>
      <c r="M1766" s="14" t="s">
        <v>601</v>
      </c>
      <c r="N1766" s="14" t="s">
        <v>602</v>
      </c>
      <c r="O1766" s="14">
        <v>0.0</v>
      </c>
      <c r="P1766" s="21">
        <v>0.0</v>
      </c>
      <c r="Q1766" s="22" t="str">
        <f t="shared" si="1044"/>
        <v>+0</v>
      </c>
      <c r="R1766" s="18" t="str">
        <f>"+0"</f>
        <v>+0</v>
      </c>
      <c r="S1766" s="14" t="s">
        <v>260</v>
      </c>
    </row>
    <row r="1767">
      <c r="A1767" s="13">
        <v>45901.0</v>
      </c>
      <c r="B1767" s="14" t="s">
        <v>47</v>
      </c>
      <c r="C1767" s="14" t="s">
        <v>48</v>
      </c>
      <c r="D1767" s="14" t="s">
        <v>158</v>
      </c>
      <c r="E1767" s="14" t="s">
        <v>159</v>
      </c>
      <c r="F1767" s="15" t="s">
        <v>51</v>
      </c>
      <c r="G1767" s="14" t="s">
        <v>160</v>
      </c>
      <c r="H1767" s="14" t="s">
        <v>158</v>
      </c>
      <c r="I1767" s="14" t="s">
        <v>54</v>
      </c>
      <c r="J1767" s="14" t="s">
        <v>200</v>
      </c>
      <c r="K1767" s="14" t="s">
        <v>202</v>
      </c>
      <c r="L1767" s="14" t="s">
        <v>253</v>
      </c>
      <c r="M1767" s="14" t="s">
        <v>347</v>
      </c>
      <c r="N1767" s="14" t="s">
        <v>348</v>
      </c>
      <c r="O1767" s="14">
        <v>0.0</v>
      </c>
      <c r="P1767" s="23">
        <v>0.0</v>
      </c>
      <c r="Q1767" s="22" t="str">
        <f t="shared" ref="Q1767:R1767" si="1045">"+0.00%"</f>
        <v>+0.00%</v>
      </c>
      <c r="R1767" s="18" t="str">
        <f t="shared" si="1045"/>
        <v>+0.00%</v>
      </c>
      <c r="S1767" s="14" t="s">
        <v>1583</v>
      </c>
    </row>
    <row r="1768">
      <c r="A1768" s="13">
        <v>45901.0</v>
      </c>
      <c r="B1768" s="14" t="s">
        <v>47</v>
      </c>
      <c r="C1768" s="14" t="s">
        <v>48</v>
      </c>
      <c r="D1768" s="14" t="s">
        <v>116</v>
      </c>
      <c r="E1768" s="14" t="s">
        <v>117</v>
      </c>
      <c r="F1768" s="15" t="s">
        <v>51</v>
      </c>
      <c r="G1768" s="14" t="s">
        <v>161</v>
      </c>
      <c r="H1768" s="14" t="s">
        <v>116</v>
      </c>
      <c r="I1768" s="14" t="s">
        <v>54</v>
      </c>
      <c r="J1768" s="14" t="s">
        <v>200</v>
      </c>
      <c r="K1768" s="14" t="s">
        <v>224</v>
      </c>
      <c r="L1768" s="14" t="s">
        <v>453</v>
      </c>
      <c r="M1768" s="14" t="s">
        <v>454</v>
      </c>
      <c r="N1768" s="14" t="s">
        <v>455</v>
      </c>
      <c r="O1768" s="14">
        <v>100.0</v>
      </c>
      <c r="P1768" s="23">
        <v>1.0</v>
      </c>
      <c r="Q1768" s="22"/>
      <c r="S1768" s="14" t="s">
        <v>371</v>
      </c>
    </row>
    <row r="1769">
      <c r="A1769" s="13">
        <v>45901.0</v>
      </c>
      <c r="B1769" s="14" t="s">
        <v>47</v>
      </c>
      <c r="C1769" s="14" t="s">
        <v>48</v>
      </c>
      <c r="D1769" s="14" t="s">
        <v>116</v>
      </c>
      <c r="E1769" s="14" t="s">
        <v>117</v>
      </c>
      <c r="F1769" s="14" t="s">
        <v>111</v>
      </c>
      <c r="G1769" s="14">
        <v>5298600.0</v>
      </c>
      <c r="H1769" s="14" t="s">
        <v>116</v>
      </c>
      <c r="I1769" s="14" t="s">
        <v>59</v>
      </c>
      <c r="J1769" s="14" t="s">
        <v>199</v>
      </c>
      <c r="K1769" s="14" t="s">
        <v>206</v>
      </c>
      <c r="L1769" s="14" t="s">
        <v>433</v>
      </c>
      <c r="M1769" s="14" t="s">
        <v>433</v>
      </c>
      <c r="N1769" s="14" t="s">
        <v>434</v>
      </c>
      <c r="O1769" s="14">
        <v>100.0</v>
      </c>
      <c r="P1769" s="21">
        <v>19.0</v>
      </c>
      <c r="Q1769" s="22" t="str">
        <f>"-7"</f>
        <v>-7</v>
      </c>
      <c r="R1769" s="18" t="str">
        <f>"+1"</f>
        <v>+1</v>
      </c>
      <c r="S1769" s="14" t="s">
        <v>383</v>
      </c>
    </row>
    <row r="1770">
      <c r="A1770" s="13">
        <v>45901.0</v>
      </c>
      <c r="B1770" s="14" t="s">
        <v>47</v>
      </c>
      <c r="C1770" s="14" t="s">
        <v>48</v>
      </c>
      <c r="D1770" s="14" t="s">
        <v>60</v>
      </c>
      <c r="E1770" s="14" t="s">
        <v>61</v>
      </c>
      <c r="F1770" s="15" t="s">
        <v>51</v>
      </c>
      <c r="G1770" s="14" t="s">
        <v>62</v>
      </c>
      <c r="H1770" s="14" t="s">
        <v>60</v>
      </c>
      <c r="I1770" s="14" t="s">
        <v>59</v>
      </c>
      <c r="J1770" s="14" t="s">
        <v>200</v>
      </c>
      <c r="K1770" s="14" t="s">
        <v>216</v>
      </c>
      <c r="L1770" s="14" t="s">
        <v>779</v>
      </c>
      <c r="M1770" s="14" t="s">
        <v>1584</v>
      </c>
      <c r="N1770" s="14" t="s">
        <v>1585</v>
      </c>
      <c r="O1770" s="14">
        <v>0.0</v>
      </c>
      <c r="P1770" s="21">
        <v>0.0</v>
      </c>
      <c r="Q1770" s="22" t="str">
        <f t="shared" ref="Q1770:R1770" si="1046">"+0"</f>
        <v>+0</v>
      </c>
      <c r="R1770" s="18" t="str">
        <f t="shared" si="1046"/>
        <v>+0</v>
      </c>
      <c r="S1770" s="14" t="s">
        <v>260</v>
      </c>
    </row>
    <row r="1771">
      <c r="A1771" s="13">
        <v>45901.0</v>
      </c>
      <c r="B1771" s="14" t="s">
        <v>47</v>
      </c>
      <c r="C1771" s="14" t="s">
        <v>48</v>
      </c>
      <c r="D1771" s="14" t="s">
        <v>181</v>
      </c>
      <c r="E1771" s="14" t="s">
        <v>182</v>
      </c>
      <c r="F1771" s="15" t="s">
        <v>51</v>
      </c>
      <c r="G1771" s="14" t="s">
        <v>183</v>
      </c>
      <c r="H1771" s="14" t="s">
        <v>181</v>
      </c>
      <c r="I1771" s="14" t="s">
        <v>59</v>
      </c>
      <c r="J1771" s="14" t="s">
        <v>198</v>
      </c>
      <c r="K1771" s="14" t="s">
        <v>205</v>
      </c>
      <c r="L1771" s="14" t="s">
        <v>274</v>
      </c>
      <c r="M1771" s="14" t="s">
        <v>466</v>
      </c>
      <c r="N1771" s="14" t="s">
        <v>467</v>
      </c>
      <c r="O1771" s="14">
        <v>100.0</v>
      </c>
      <c r="P1771" s="21">
        <v>1.0</v>
      </c>
      <c r="Q1771" s="22" t="str">
        <f t="shared" ref="Q1771:Q1772" si="1047">"+0"</f>
        <v>+0</v>
      </c>
      <c r="S1771" s="14" t="s">
        <v>281</v>
      </c>
    </row>
    <row r="1772">
      <c r="A1772" s="13">
        <v>45901.0</v>
      </c>
      <c r="B1772" s="14" t="s">
        <v>47</v>
      </c>
      <c r="C1772" s="14" t="s">
        <v>48</v>
      </c>
      <c r="D1772" s="14" t="s">
        <v>121</v>
      </c>
      <c r="E1772" s="14" t="s">
        <v>122</v>
      </c>
      <c r="F1772" s="15" t="s">
        <v>51</v>
      </c>
      <c r="G1772" s="14" t="s">
        <v>123</v>
      </c>
      <c r="H1772" s="14" t="s">
        <v>124</v>
      </c>
      <c r="I1772" s="14" t="s">
        <v>59</v>
      </c>
      <c r="J1772" s="14" t="s">
        <v>200</v>
      </c>
      <c r="K1772" s="14" t="s">
        <v>232</v>
      </c>
      <c r="L1772" s="14" t="s">
        <v>607</v>
      </c>
      <c r="M1772" s="14" t="s">
        <v>765</v>
      </c>
      <c r="N1772" s="14" t="s">
        <v>766</v>
      </c>
      <c r="O1772" s="14">
        <v>0.0</v>
      </c>
      <c r="P1772" s="21">
        <v>0.0</v>
      </c>
      <c r="Q1772" s="22" t="str">
        <f t="shared" si="1047"/>
        <v>+0</v>
      </c>
      <c r="R1772" s="18" t="str">
        <f>"+0"</f>
        <v>+0</v>
      </c>
      <c r="S1772" s="14" t="s">
        <v>260</v>
      </c>
    </row>
    <row r="1773">
      <c r="A1773" s="13">
        <v>45901.0</v>
      </c>
      <c r="B1773" s="14" t="s">
        <v>47</v>
      </c>
      <c r="C1773" s="14" t="s">
        <v>48</v>
      </c>
      <c r="D1773" s="14" t="s">
        <v>60</v>
      </c>
      <c r="E1773" s="14" t="s">
        <v>61</v>
      </c>
      <c r="F1773" s="15" t="s">
        <v>51</v>
      </c>
      <c r="G1773" s="14" t="s">
        <v>62</v>
      </c>
      <c r="H1773" s="14" t="s">
        <v>60</v>
      </c>
      <c r="I1773" s="14" t="s">
        <v>59</v>
      </c>
      <c r="J1773" s="14" t="s">
        <v>200</v>
      </c>
      <c r="K1773" s="14" t="s">
        <v>223</v>
      </c>
      <c r="L1773" s="14" t="s">
        <v>676</v>
      </c>
      <c r="M1773" s="14" t="s">
        <v>836</v>
      </c>
      <c r="N1773" s="14" t="s">
        <v>837</v>
      </c>
      <c r="O1773" s="14">
        <v>0.0</v>
      </c>
      <c r="P1773" s="23">
        <v>0.0</v>
      </c>
      <c r="Q1773" s="22" t="str">
        <f t="shared" ref="Q1773:R1773" si="1048">"+0.00%"</f>
        <v>+0.00%</v>
      </c>
      <c r="R1773" s="18" t="str">
        <f t="shared" si="1048"/>
        <v>+0.00%</v>
      </c>
      <c r="S1773" s="14" t="s">
        <v>1586</v>
      </c>
    </row>
    <row r="1774">
      <c r="A1774" s="13">
        <v>45901.0</v>
      </c>
      <c r="B1774" s="14" t="s">
        <v>47</v>
      </c>
      <c r="C1774" s="14" t="s">
        <v>48</v>
      </c>
      <c r="D1774" s="14" t="s">
        <v>155</v>
      </c>
      <c r="E1774" s="14" t="s">
        <v>156</v>
      </c>
      <c r="F1774" s="15" t="s">
        <v>51</v>
      </c>
      <c r="G1774" s="14" t="s">
        <v>157</v>
      </c>
      <c r="H1774" s="14" t="s">
        <v>155</v>
      </c>
      <c r="I1774" s="14" t="s">
        <v>59</v>
      </c>
      <c r="J1774" s="14" t="s">
        <v>200</v>
      </c>
      <c r="K1774" s="14" t="s">
        <v>223</v>
      </c>
      <c r="L1774" s="14" t="s">
        <v>676</v>
      </c>
      <c r="M1774" s="14" t="s">
        <v>858</v>
      </c>
      <c r="N1774" s="14" t="s">
        <v>859</v>
      </c>
      <c r="O1774" s="14">
        <v>0.0</v>
      </c>
      <c r="P1774" s="23">
        <v>-1.0</v>
      </c>
      <c r="Q1774" s="22" t="str">
        <f t="shared" ref="Q1774:R1774" si="1049">"+0.00%"</f>
        <v>+0.00%</v>
      </c>
      <c r="R1774" s="18" t="str">
        <f t="shared" si="1049"/>
        <v>+0.00%</v>
      </c>
      <c r="S1774" s="14" t="s">
        <v>1587</v>
      </c>
    </row>
    <row r="1775">
      <c r="A1775" s="13">
        <v>45901.0</v>
      </c>
      <c r="B1775" s="14" t="s">
        <v>47</v>
      </c>
      <c r="C1775" s="14" t="s">
        <v>48</v>
      </c>
      <c r="D1775" s="14" t="s">
        <v>49</v>
      </c>
      <c r="E1775" s="14" t="s">
        <v>50</v>
      </c>
      <c r="F1775" s="15" t="s">
        <v>51</v>
      </c>
      <c r="G1775" s="14" t="s">
        <v>52</v>
      </c>
      <c r="H1775" s="14" t="s">
        <v>53</v>
      </c>
      <c r="I1775" s="14" t="s">
        <v>54</v>
      </c>
      <c r="J1775" s="14" t="s">
        <v>200</v>
      </c>
      <c r="K1775" s="14" t="s">
        <v>213</v>
      </c>
      <c r="L1775" s="14" t="s">
        <v>289</v>
      </c>
      <c r="M1775" s="14" t="s">
        <v>984</v>
      </c>
      <c r="N1775" s="14" t="s">
        <v>985</v>
      </c>
      <c r="O1775" s="14">
        <v>0.0</v>
      </c>
      <c r="P1775" s="23">
        <v>0.0</v>
      </c>
      <c r="Q1775" s="22" t="str">
        <f t="shared" ref="Q1775:R1775" si="1050">"+0.00%"</f>
        <v>+0.00%</v>
      </c>
      <c r="R1775" s="18" t="str">
        <f t="shared" si="1050"/>
        <v>+0.00%</v>
      </c>
      <c r="S1775" s="14" t="s">
        <v>285</v>
      </c>
    </row>
    <row r="1776">
      <c r="A1776" s="13">
        <v>45901.0</v>
      </c>
      <c r="B1776" s="14" t="s">
        <v>47</v>
      </c>
      <c r="C1776" s="14" t="s">
        <v>48</v>
      </c>
      <c r="D1776" s="14" t="s">
        <v>49</v>
      </c>
      <c r="E1776" s="14" t="s">
        <v>50</v>
      </c>
      <c r="F1776" s="15" t="s">
        <v>51</v>
      </c>
      <c r="G1776" s="14" t="s">
        <v>52</v>
      </c>
      <c r="H1776" s="14" t="s">
        <v>53</v>
      </c>
      <c r="I1776" s="14" t="s">
        <v>54</v>
      </c>
      <c r="J1776" s="14" t="s">
        <v>199</v>
      </c>
      <c r="K1776" s="14" t="s">
        <v>206</v>
      </c>
      <c r="L1776" s="14" t="s">
        <v>381</v>
      </c>
      <c r="M1776" s="14" t="s">
        <v>381</v>
      </c>
      <c r="N1776" s="14" t="s">
        <v>382</v>
      </c>
      <c r="O1776" s="14">
        <v>75.0</v>
      </c>
      <c r="P1776" s="21">
        <v>2.0</v>
      </c>
      <c r="Q1776" s="22" t="str">
        <f t="shared" ref="Q1776:R1776" si="1051">"+0"</f>
        <v>+0</v>
      </c>
      <c r="R1776" s="18" t="str">
        <f t="shared" si="1051"/>
        <v>+0</v>
      </c>
      <c r="S1776" s="14" t="s">
        <v>383</v>
      </c>
    </row>
    <row r="1777">
      <c r="A1777" s="13">
        <v>45901.0</v>
      </c>
      <c r="B1777" s="14" t="s">
        <v>47</v>
      </c>
      <c r="C1777" s="14" t="s">
        <v>48</v>
      </c>
      <c r="D1777" s="14" t="s">
        <v>49</v>
      </c>
      <c r="E1777" s="14" t="s">
        <v>50</v>
      </c>
      <c r="F1777" s="15" t="s">
        <v>51</v>
      </c>
      <c r="G1777" s="14" t="s">
        <v>52</v>
      </c>
      <c r="H1777" s="14" t="s">
        <v>53</v>
      </c>
      <c r="I1777" s="14" t="s">
        <v>54</v>
      </c>
      <c r="J1777" s="14" t="s">
        <v>198</v>
      </c>
      <c r="K1777" s="14" t="s">
        <v>210</v>
      </c>
      <c r="L1777" s="14" t="s">
        <v>264</v>
      </c>
      <c r="M1777" s="14" t="s">
        <v>641</v>
      </c>
      <c r="N1777" s="14" t="s">
        <v>642</v>
      </c>
      <c r="O1777" s="14">
        <v>0.0</v>
      </c>
      <c r="P1777" s="21">
        <v>0.0</v>
      </c>
      <c r="Q1777" s="22" t="str">
        <f t="shared" ref="Q1777:R1777" si="1052">"+0"</f>
        <v>+0</v>
      </c>
      <c r="R1777" s="18" t="str">
        <f t="shared" si="1052"/>
        <v>+0</v>
      </c>
      <c r="S1777" s="14" t="s">
        <v>277</v>
      </c>
    </row>
    <row r="1778">
      <c r="A1778" s="13">
        <v>45901.0</v>
      </c>
      <c r="B1778" s="14" t="s">
        <v>47</v>
      </c>
      <c r="C1778" s="14" t="s">
        <v>48</v>
      </c>
      <c r="D1778" s="14" t="s">
        <v>91</v>
      </c>
      <c r="E1778" s="14" t="s">
        <v>92</v>
      </c>
      <c r="F1778" s="15" t="s">
        <v>51</v>
      </c>
      <c r="G1778" s="14" t="s">
        <v>163</v>
      </c>
      <c r="H1778" s="14" t="s">
        <v>91</v>
      </c>
      <c r="I1778" s="14" t="s">
        <v>59</v>
      </c>
      <c r="J1778" s="14" t="s">
        <v>200</v>
      </c>
      <c r="K1778" s="14" t="s">
        <v>201</v>
      </c>
      <c r="L1778" s="14" t="s">
        <v>253</v>
      </c>
      <c r="M1778" s="14" t="s">
        <v>538</v>
      </c>
      <c r="N1778" s="14" t="s">
        <v>539</v>
      </c>
      <c r="O1778" s="14">
        <v>1.0</v>
      </c>
      <c r="P1778" s="23">
        <v>8.0E-4</v>
      </c>
      <c r="Q1778" s="22" t="str">
        <f t="shared" ref="Q1778:R1778" si="1053">"-0.00%"</f>
        <v>-0.00%</v>
      </c>
      <c r="R1778" s="18" t="str">
        <f t="shared" si="1053"/>
        <v>-0.00%</v>
      </c>
      <c r="S1778" s="14" t="s">
        <v>540</v>
      </c>
    </row>
    <row r="1779">
      <c r="A1779" s="13">
        <v>45901.0</v>
      </c>
      <c r="B1779" s="14" t="s">
        <v>47</v>
      </c>
      <c r="C1779" s="14" t="s">
        <v>48</v>
      </c>
      <c r="D1779" s="14" t="s">
        <v>91</v>
      </c>
      <c r="E1779" s="14" t="s">
        <v>92</v>
      </c>
      <c r="F1779" s="15" t="s">
        <v>51</v>
      </c>
      <c r="G1779" s="14" t="s">
        <v>163</v>
      </c>
      <c r="H1779" s="14" t="s">
        <v>91</v>
      </c>
      <c r="I1779" s="14" t="s">
        <v>59</v>
      </c>
      <c r="J1779" s="14" t="s">
        <v>200</v>
      </c>
      <c r="K1779" s="14" t="s">
        <v>223</v>
      </c>
      <c r="L1779" s="14" t="s">
        <v>261</v>
      </c>
      <c r="M1779" s="14" t="s">
        <v>414</v>
      </c>
      <c r="N1779" s="14" t="s">
        <v>415</v>
      </c>
      <c r="O1779" s="14">
        <v>0.0</v>
      </c>
      <c r="P1779" s="23">
        <v>-1.0</v>
      </c>
      <c r="Q1779" s="22" t="str">
        <f t="shared" ref="Q1779:R1779" si="1054">"-200.00%"</f>
        <v>-200.00%</v>
      </c>
      <c r="R1779" s="18" t="str">
        <f t="shared" si="1054"/>
        <v>-200.00%</v>
      </c>
      <c r="S1779" s="14" t="s">
        <v>1588</v>
      </c>
    </row>
    <row r="1780">
      <c r="A1780" s="13">
        <v>45901.0</v>
      </c>
      <c r="B1780" s="14" t="s">
        <v>47</v>
      </c>
      <c r="C1780" s="14" t="s">
        <v>48</v>
      </c>
      <c r="D1780" s="14" t="s">
        <v>63</v>
      </c>
      <c r="E1780" s="14" t="s">
        <v>64</v>
      </c>
      <c r="F1780" s="15" t="s">
        <v>51</v>
      </c>
      <c r="G1780" s="14" t="s">
        <v>65</v>
      </c>
      <c r="H1780" s="14" t="s">
        <v>63</v>
      </c>
      <c r="I1780" s="14" t="s">
        <v>54</v>
      </c>
      <c r="J1780" s="14" t="s">
        <v>200</v>
      </c>
      <c r="K1780" s="14" t="s">
        <v>235</v>
      </c>
      <c r="L1780" s="14" t="s">
        <v>253</v>
      </c>
      <c r="M1780" s="14" t="s">
        <v>389</v>
      </c>
      <c r="N1780" s="14" t="s">
        <v>390</v>
      </c>
      <c r="O1780" s="14">
        <v>100.0</v>
      </c>
      <c r="P1780" s="23">
        <v>1.0</v>
      </c>
      <c r="Q1780" s="22" t="str">
        <f t="shared" ref="Q1780:R1780" si="1055">"+0.00%"</f>
        <v>+0.00%</v>
      </c>
      <c r="R1780" s="18" t="str">
        <f t="shared" si="1055"/>
        <v>+0.00%</v>
      </c>
      <c r="S1780" s="14" t="s">
        <v>1589</v>
      </c>
    </row>
    <row r="1781">
      <c r="A1781" s="13">
        <v>45901.0</v>
      </c>
      <c r="B1781" s="14" t="s">
        <v>47</v>
      </c>
      <c r="C1781" s="14" t="s">
        <v>48</v>
      </c>
      <c r="D1781" s="14" t="s">
        <v>91</v>
      </c>
      <c r="E1781" s="14" t="s">
        <v>92</v>
      </c>
      <c r="F1781" s="15" t="s">
        <v>51</v>
      </c>
      <c r="G1781" s="14" t="s">
        <v>163</v>
      </c>
      <c r="H1781" s="14" t="s">
        <v>91</v>
      </c>
      <c r="I1781" s="14" t="s">
        <v>59</v>
      </c>
      <c r="J1781" s="14" t="s">
        <v>200</v>
      </c>
      <c r="K1781" s="14" t="s">
        <v>223</v>
      </c>
      <c r="L1781" s="14" t="s">
        <v>607</v>
      </c>
      <c r="M1781" s="14" t="s">
        <v>608</v>
      </c>
      <c r="N1781" s="14" t="s">
        <v>609</v>
      </c>
      <c r="O1781" s="14">
        <v>0.0</v>
      </c>
      <c r="P1781" s="23">
        <v>0.0</v>
      </c>
      <c r="Q1781" s="22" t="str">
        <f t="shared" ref="Q1781:R1781" si="1056">"+0.00%"</f>
        <v>+0.00%</v>
      </c>
      <c r="R1781" s="18" t="str">
        <f t="shared" si="1056"/>
        <v>+0.00%</v>
      </c>
      <c r="S1781" s="14" t="s">
        <v>1590</v>
      </c>
    </row>
    <row r="1782">
      <c r="A1782" s="13">
        <v>45901.0</v>
      </c>
      <c r="B1782" s="14" t="s">
        <v>47</v>
      </c>
      <c r="C1782" s="14" t="s">
        <v>48</v>
      </c>
      <c r="D1782" s="14" t="s">
        <v>91</v>
      </c>
      <c r="E1782" s="14" t="s">
        <v>92</v>
      </c>
      <c r="F1782" s="15" t="s">
        <v>51</v>
      </c>
      <c r="G1782" s="14" t="s">
        <v>163</v>
      </c>
      <c r="H1782" s="14" t="s">
        <v>91</v>
      </c>
      <c r="I1782" s="14" t="s">
        <v>59</v>
      </c>
      <c r="J1782" s="14" t="s">
        <v>200</v>
      </c>
      <c r="K1782" s="14" t="s">
        <v>211</v>
      </c>
      <c r="L1782" s="14" t="s">
        <v>253</v>
      </c>
      <c r="M1782" s="14" t="s">
        <v>1247</v>
      </c>
      <c r="N1782" s="14" t="s">
        <v>1248</v>
      </c>
      <c r="O1782" s="14">
        <v>0.0</v>
      </c>
      <c r="P1782" s="23">
        <v>0.0</v>
      </c>
      <c r="Q1782" s="22" t="str">
        <f t="shared" ref="Q1782:R1782" si="1057">"+0.00%"</f>
        <v>+0.00%</v>
      </c>
      <c r="R1782" s="18" t="str">
        <f t="shared" si="1057"/>
        <v>+0.00%</v>
      </c>
      <c r="S1782" s="14" t="s">
        <v>1503</v>
      </c>
    </row>
    <row r="1783">
      <c r="A1783" s="13">
        <v>45901.0</v>
      </c>
      <c r="B1783" s="14" t="s">
        <v>47</v>
      </c>
      <c r="C1783" s="14" t="s">
        <v>48</v>
      </c>
      <c r="D1783" s="14" t="s">
        <v>91</v>
      </c>
      <c r="E1783" s="14" t="s">
        <v>92</v>
      </c>
      <c r="F1783" s="15" t="s">
        <v>51</v>
      </c>
      <c r="G1783" s="14" t="s">
        <v>163</v>
      </c>
      <c r="H1783" s="14" t="s">
        <v>91</v>
      </c>
      <c r="I1783" s="14" t="s">
        <v>59</v>
      </c>
      <c r="J1783" s="14" t="s">
        <v>200</v>
      </c>
      <c r="K1783" s="14" t="s">
        <v>201</v>
      </c>
      <c r="L1783" s="14" t="s">
        <v>253</v>
      </c>
      <c r="M1783" s="14" t="s">
        <v>585</v>
      </c>
      <c r="N1783" s="14" t="s">
        <v>586</v>
      </c>
      <c r="O1783" s="14">
        <v>1.0</v>
      </c>
      <c r="P1783" s="23">
        <v>8.0E-4</v>
      </c>
      <c r="Q1783" s="22" t="str">
        <f>"-0.01%"</f>
        <v>-0.01%</v>
      </c>
      <c r="R1783" s="18" t="str">
        <f>"-0.05%"</f>
        <v>-0.05%</v>
      </c>
      <c r="S1783" s="14" t="s">
        <v>1454</v>
      </c>
    </row>
    <row r="1784">
      <c r="A1784" s="13">
        <v>45901.0</v>
      </c>
      <c r="B1784" s="14" t="s">
        <v>47</v>
      </c>
      <c r="C1784" s="14" t="s">
        <v>48</v>
      </c>
      <c r="D1784" s="14" t="s">
        <v>63</v>
      </c>
      <c r="E1784" s="14" t="s">
        <v>64</v>
      </c>
      <c r="F1784" s="15" t="s">
        <v>51</v>
      </c>
      <c r="G1784" s="14" t="s">
        <v>65</v>
      </c>
      <c r="H1784" s="14" t="s">
        <v>63</v>
      </c>
      <c r="I1784" s="14" t="s">
        <v>54</v>
      </c>
      <c r="J1784" s="14" t="s">
        <v>198</v>
      </c>
      <c r="K1784" s="14" t="s">
        <v>210</v>
      </c>
      <c r="L1784" s="14" t="s">
        <v>278</v>
      </c>
      <c r="M1784" s="14" t="s">
        <v>853</v>
      </c>
      <c r="N1784" s="14" t="s">
        <v>854</v>
      </c>
      <c r="O1784" s="14">
        <v>0.0</v>
      </c>
      <c r="P1784" s="21">
        <v>0.0</v>
      </c>
      <c r="Q1784" s="22" t="str">
        <f t="shared" ref="Q1784:R1784" si="1058">"+0"</f>
        <v>+0</v>
      </c>
      <c r="R1784" s="18" t="str">
        <f t="shared" si="1058"/>
        <v>+0</v>
      </c>
      <c r="S1784" s="14" t="s">
        <v>277</v>
      </c>
    </row>
    <row r="1785">
      <c r="A1785" s="13">
        <v>45901.0</v>
      </c>
      <c r="B1785" s="14" t="s">
        <v>47</v>
      </c>
      <c r="C1785" s="14" t="s">
        <v>48</v>
      </c>
      <c r="D1785" s="14" t="s">
        <v>91</v>
      </c>
      <c r="E1785" s="14" t="s">
        <v>92</v>
      </c>
      <c r="F1785" s="14" t="s">
        <v>79</v>
      </c>
      <c r="G1785" s="14" t="s">
        <v>164</v>
      </c>
      <c r="H1785" s="14" t="s">
        <v>91</v>
      </c>
      <c r="I1785" s="14" t="s">
        <v>154</v>
      </c>
      <c r="J1785" s="14" t="s">
        <v>200</v>
      </c>
      <c r="K1785" s="14" t="s">
        <v>238</v>
      </c>
      <c r="L1785" s="14" t="s">
        <v>253</v>
      </c>
      <c r="M1785" s="14" t="s">
        <v>1591</v>
      </c>
      <c r="N1785" s="14" t="s">
        <v>1592</v>
      </c>
      <c r="O1785" s="14">
        <v>0.0</v>
      </c>
      <c r="P1785" s="23">
        <v>0.0</v>
      </c>
      <c r="Q1785" s="22" t="str">
        <f t="shared" ref="Q1785:R1785" si="1059">"+0.00%"</f>
        <v>+0.00%</v>
      </c>
      <c r="R1785" s="18" t="str">
        <f t="shared" si="1059"/>
        <v>+0.00%</v>
      </c>
      <c r="S1785" s="14" t="s">
        <v>1552</v>
      </c>
    </row>
    <row r="1786">
      <c r="A1786" s="13">
        <v>45901.0</v>
      </c>
      <c r="B1786" s="14" t="s">
        <v>47</v>
      </c>
      <c r="C1786" s="14" t="s">
        <v>48</v>
      </c>
      <c r="D1786" s="14" t="s">
        <v>93</v>
      </c>
      <c r="E1786" s="14" t="s">
        <v>94</v>
      </c>
      <c r="F1786" s="15" t="s">
        <v>51</v>
      </c>
      <c r="G1786" s="14" t="s">
        <v>191</v>
      </c>
      <c r="H1786" s="14" t="s">
        <v>95</v>
      </c>
      <c r="I1786" s="14" t="s">
        <v>59</v>
      </c>
      <c r="J1786" s="14" t="s">
        <v>199</v>
      </c>
      <c r="K1786" s="14" t="s">
        <v>206</v>
      </c>
      <c r="L1786" s="14" t="s">
        <v>531</v>
      </c>
      <c r="M1786" s="14" t="s">
        <v>531</v>
      </c>
      <c r="N1786" s="14" t="s">
        <v>532</v>
      </c>
      <c r="O1786" s="14">
        <v>0.0</v>
      </c>
      <c r="P1786" s="21">
        <v>0.0</v>
      </c>
      <c r="Q1786" s="22" t="str">
        <f t="shared" ref="Q1786:R1786" si="1060">"+0"</f>
        <v>+0</v>
      </c>
      <c r="R1786" s="18" t="str">
        <f t="shared" si="1060"/>
        <v>+0</v>
      </c>
      <c r="S1786" s="14" t="s">
        <v>260</v>
      </c>
    </row>
    <row r="1787">
      <c r="A1787" s="13">
        <v>45901.0</v>
      </c>
      <c r="B1787" s="14" t="s">
        <v>47</v>
      </c>
      <c r="C1787" s="14" t="s">
        <v>48</v>
      </c>
      <c r="D1787" s="14" t="s">
        <v>192</v>
      </c>
      <c r="E1787" s="14" t="s">
        <v>193</v>
      </c>
      <c r="F1787" s="15" t="s">
        <v>51</v>
      </c>
      <c r="G1787" s="14" t="s">
        <v>194</v>
      </c>
      <c r="H1787" s="14" t="s">
        <v>192</v>
      </c>
      <c r="I1787" s="14" t="s">
        <v>54</v>
      </c>
      <c r="J1787" s="14" t="s">
        <v>198</v>
      </c>
      <c r="K1787" s="14" t="s">
        <v>210</v>
      </c>
      <c r="L1787" s="14" t="s">
        <v>264</v>
      </c>
      <c r="M1787" s="14" t="s">
        <v>867</v>
      </c>
      <c r="N1787" s="14" t="s">
        <v>868</v>
      </c>
      <c r="O1787" s="14">
        <v>0.0</v>
      </c>
      <c r="P1787" s="21">
        <v>0.0</v>
      </c>
      <c r="Q1787" s="22" t="str">
        <f t="shared" ref="Q1787:R1787" si="1061">"+0"</f>
        <v>+0</v>
      </c>
      <c r="R1787" s="18" t="str">
        <f t="shared" si="1061"/>
        <v>+0</v>
      </c>
      <c r="S1787" s="14" t="s">
        <v>277</v>
      </c>
    </row>
    <row r="1788">
      <c r="A1788" s="13">
        <v>45901.0</v>
      </c>
      <c r="B1788" s="14" t="s">
        <v>47</v>
      </c>
      <c r="C1788" s="14" t="s">
        <v>48</v>
      </c>
      <c r="D1788" s="14" t="s">
        <v>103</v>
      </c>
      <c r="E1788" s="14" t="s">
        <v>104</v>
      </c>
      <c r="F1788" s="15" t="s">
        <v>51</v>
      </c>
      <c r="G1788" s="14" t="s">
        <v>105</v>
      </c>
      <c r="H1788" s="14" t="s">
        <v>106</v>
      </c>
      <c r="I1788" s="14" t="s">
        <v>59</v>
      </c>
      <c r="J1788" s="14" t="s">
        <v>200</v>
      </c>
      <c r="K1788" s="14" t="s">
        <v>232</v>
      </c>
      <c r="L1788" s="14" t="s">
        <v>363</v>
      </c>
      <c r="M1788" s="14" t="s">
        <v>364</v>
      </c>
      <c r="N1788" s="14" t="s">
        <v>365</v>
      </c>
      <c r="O1788" s="14">
        <v>0.0</v>
      </c>
      <c r="P1788" s="23">
        <v>0.0</v>
      </c>
      <c r="Q1788" s="22" t="str">
        <f t="shared" ref="Q1788:R1788" si="1062">"+0.00%"</f>
        <v>+0.00%</v>
      </c>
      <c r="R1788" s="18" t="str">
        <f t="shared" si="1062"/>
        <v>+0.00%</v>
      </c>
      <c r="S1788" s="14" t="s">
        <v>285</v>
      </c>
    </row>
    <row r="1789">
      <c r="A1789" s="13">
        <v>45901.0</v>
      </c>
      <c r="B1789" s="14" t="s">
        <v>47</v>
      </c>
      <c r="C1789" s="14" t="s">
        <v>48</v>
      </c>
      <c r="D1789" s="14" t="s">
        <v>129</v>
      </c>
      <c r="E1789" s="14" t="s">
        <v>130</v>
      </c>
      <c r="F1789" s="15" t="s">
        <v>51</v>
      </c>
      <c r="G1789" s="14" t="s">
        <v>131</v>
      </c>
      <c r="H1789" s="14" t="s">
        <v>129</v>
      </c>
      <c r="I1789" s="14" t="s">
        <v>59</v>
      </c>
      <c r="J1789" s="14" t="s">
        <v>198</v>
      </c>
      <c r="K1789" s="14" t="s">
        <v>205</v>
      </c>
      <c r="L1789" s="14" t="s">
        <v>274</v>
      </c>
      <c r="M1789" s="14" t="s">
        <v>448</v>
      </c>
      <c r="N1789" s="14" t="s">
        <v>449</v>
      </c>
      <c r="O1789" s="14">
        <v>100.0</v>
      </c>
      <c r="P1789" s="21">
        <v>3.0</v>
      </c>
      <c r="Q1789" s="22" t="str">
        <f>"+0"</f>
        <v>+0</v>
      </c>
      <c r="S1789" s="14" t="s">
        <v>450</v>
      </c>
    </row>
    <row r="1790">
      <c r="A1790" s="13">
        <v>45901.0</v>
      </c>
      <c r="B1790" s="14" t="s">
        <v>47</v>
      </c>
      <c r="C1790" s="14" t="s">
        <v>48</v>
      </c>
      <c r="D1790" s="14" t="s">
        <v>149</v>
      </c>
      <c r="E1790" s="14" t="s">
        <v>150</v>
      </c>
      <c r="F1790" s="15" t="s">
        <v>51</v>
      </c>
      <c r="G1790" s="14" t="s">
        <v>151</v>
      </c>
      <c r="H1790" s="14" t="s">
        <v>152</v>
      </c>
      <c r="I1790" s="14" t="s">
        <v>54</v>
      </c>
      <c r="J1790" s="14" t="s">
        <v>199</v>
      </c>
      <c r="K1790" s="14" t="s">
        <v>206</v>
      </c>
      <c r="L1790" s="14" t="s">
        <v>268</v>
      </c>
      <c r="M1790" s="14" t="s">
        <v>268</v>
      </c>
      <c r="N1790" s="14" t="s">
        <v>269</v>
      </c>
      <c r="O1790" s="14">
        <v>80.0</v>
      </c>
      <c r="P1790" s="21">
        <v>2.0</v>
      </c>
      <c r="Q1790" s="22" t="str">
        <f t="shared" ref="Q1790:R1790" si="1063">"+1"</f>
        <v>+1</v>
      </c>
      <c r="R1790" s="18" t="str">
        <f t="shared" si="1063"/>
        <v>+1</v>
      </c>
      <c r="S1790" s="14" t="s">
        <v>260</v>
      </c>
    </row>
    <row r="1791">
      <c r="A1791" s="13">
        <v>45901.0</v>
      </c>
      <c r="B1791" s="14" t="s">
        <v>47</v>
      </c>
      <c r="C1791" s="14" t="s">
        <v>48</v>
      </c>
      <c r="D1791" s="14" t="s">
        <v>85</v>
      </c>
      <c r="E1791" s="14" t="s">
        <v>86</v>
      </c>
      <c r="F1791" s="15" t="s">
        <v>51</v>
      </c>
      <c r="G1791" s="14" t="s">
        <v>148</v>
      </c>
      <c r="H1791" s="14" t="s">
        <v>85</v>
      </c>
      <c r="I1791" s="14" t="s">
        <v>59</v>
      </c>
      <c r="J1791" s="14" t="s">
        <v>200</v>
      </c>
      <c r="K1791" s="14" t="s">
        <v>225</v>
      </c>
      <c r="L1791" s="14" t="s">
        <v>253</v>
      </c>
      <c r="M1791" s="14" t="s">
        <v>1593</v>
      </c>
      <c r="N1791" s="14" t="s">
        <v>367</v>
      </c>
      <c r="O1791" s="14">
        <v>100.0</v>
      </c>
      <c r="P1791" s="21">
        <v>18.0</v>
      </c>
      <c r="Q1791" s="22" t="str">
        <f>"-2"</f>
        <v>-2</v>
      </c>
      <c r="R1791" s="18" t="str">
        <f>"-3"</f>
        <v>-3</v>
      </c>
      <c r="S1791" s="14" t="s">
        <v>260</v>
      </c>
    </row>
    <row r="1792">
      <c r="A1792" s="13">
        <v>45901.0</v>
      </c>
      <c r="B1792" s="14" t="s">
        <v>47</v>
      </c>
      <c r="C1792" s="14" t="s">
        <v>48</v>
      </c>
      <c r="D1792" s="14" t="s">
        <v>85</v>
      </c>
      <c r="E1792" s="14" t="s">
        <v>86</v>
      </c>
      <c r="F1792" s="15" t="s">
        <v>51</v>
      </c>
      <c r="G1792" s="14" t="s">
        <v>148</v>
      </c>
      <c r="H1792" s="14" t="s">
        <v>85</v>
      </c>
      <c r="I1792" s="14" t="s">
        <v>59</v>
      </c>
      <c r="J1792" s="14" t="s">
        <v>200</v>
      </c>
      <c r="K1792" s="14" t="s">
        <v>228</v>
      </c>
      <c r="L1792" s="14" t="s">
        <v>253</v>
      </c>
      <c r="M1792" s="14" t="s">
        <v>1165</v>
      </c>
      <c r="N1792" s="14" t="s">
        <v>1166</v>
      </c>
      <c r="O1792" s="14">
        <v>28.0</v>
      </c>
      <c r="P1792" s="23">
        <v>0.2848</v>
      </c>
      <c r="Q1792" s="22" t="str">
        <f>"-0.37%"</f>
        <v>-0.37%</v>
      </c>
      <c r="R1792" s="18" t="str">
        <f>"+0.69%"</f>
        <v>+0.69%</v>
      </c>
      <c r="S1792" s="14" t="s">
        <v>1594</v>
      </c>
    </row>
    <row r="1793">
      <c r="A1793" s="13">
        <v>45901.0</v>
      </c>
      <c r="B1793" s="14" t="s">
        <v>47</v>
      </c>
      <c r="C1793" s="14" t="s">
        <v>48</v>
      </c>
      <c r="D1793" s="14" t="s">
        <v>69</v>
      </c>
      <c r="E1793" s="14" t="s">
        <v>70</v>
      </c>
      <c r="F1793" s="15" t="s">
        <v>51</v>
      </c>
      <c r="G1793" s="14" t="s">
        <v>115</v>
      </c>
      <c r="H1793" s="14" t="s">
        <v>72</v>
      </c>
      <c r="I1793" s="14" t="s">
        <v>54</v>
      </c>
      <c r="J1793" s="14" t="s">
        <v>200</v>
      </c>
      <c r="K1793" s="14" t="s">
        <v>201</v>
      </c>
      <c r="L1793" s="14" t="s">
        <v>253</v>
      </c>
      <c r="M1793" s="14" t="s">
        <v>538</v>
      </c>
      <c r="N1793" s="14" t="s">
        <v>539</v>
      </c>
      <c r="O1793" s="14">
        <v>42.0</v>
      </c>
      <c r="P1793" s="23">
        <v>0.4229</v>
      </c>
      <c r="Q1793" s="22" t="str">
        <f>"-0.54%"</f>
        <v>-0.54%</v>
      </c>
      <c r="R1793" s="18" t="str">
        <f>"-1.28%"</f>
        <v>-1.28%</v>
      </c>
      <c r="S1793" s="14" t="s">
        <v>1595</v>
      </c>
    </row>
    <row r="1794">
      <c r="A1794" s="13">
        <v>45901.0</v>
      </c>
      <c r="B1794" s="14" t="s">
        <v>47</v>
      </c>
      <c r="C1794" s="14" t="s">
        <v>48</v>
      </c>
      <c r="D1794" s="14" t="s">
        <v>69</v>
      </c>
      <c r="E1794" s="14" t="s">
        <v>70</v>
      </c>
      <c r="F1794" s="15" t="s">
        <v>51</v>
      </c>
      <c r="G1794" s="14" t="s">
        <v>115</v>
      </c>
      <c r="H1794" s="14" t="s">
        <v>72</v>
      </c>
      <c r="I1794" s="14" t="s">
        <v>54</v>
      </c>
      <c r="J1794" s="14" t="s">
        <v>200</v>
      </c>
      <c r="K1794" s="14" t="s">
        <v>213</v>
      </c>
      <c r="L1794" s="14" t="s">
        <v>440</v>
      </c>
      <c r="M1794" s="14" t="s">
        <v>441</v>
      </c>
      <c r="N1794" s="14" t="s">
        <v>442</v>
      </c>
      <c r="O1794" s="14">
        <v>100.0</v>
      </c>
      <c r="P1794" s="23">
        <v>0.0116</v>
      </c>
      <c r="Q1794" s="22" t="str">
        <f>"-0.05%"</f>
        <v>-0.05%</v>
      </c>
      <c r="R1794" s="18" t="str">
        <f>"-0.30%"</f>
        <v>-0.30%</v>
      </c>
      <c r="S1794" s="14" t="s">
        <v>285</v>
      </c>
    </row>
    <row r="1795">
      <c r="A1795" s="13">
        <v>45901.0</v>
      </c>
      <c r="B1795" s="14" t="s">
        <v>47</v>
      </c>
      <c r="C1795" s="14" t="s">
        <v>48</v>
      </c>
      <c r="D1795" s="14" t="s">
        <v>158</v>
      </c>
      <c r="E1795" s="14" t="s">
        <v>159</v>
      </c>
      <c r="F1795" s="15" t="s">
        <v>51</v>
      </c>
      <c r="G1795" s="14" t="s">
        <v>160</v>
      </c>
      <c r="H1795" s="14" t="s">
        <v>158</v>
      </c>
      <c r="I1795" s="14" t="s">
        <v>54</v>
      </c>
      <c r="J1795" s="14" t="s">
        <v>198</v>
      </c>
      <c r="K1795" s="14" t="s">
        <v>212</v>
      </c>
      <c r="L1795" s="14" t="s">
        <v>249</v>
      </c>
      <c r="M1795" s="14" t="s">
        <v>598</v>
      </c>
      <c r="N1795" s="14" t="s">
        <v>599</v>
      </c>
      <c r="O1795" s="14">
        <v>58.0</v>
      </c>
      <c r="P1795" s="21">
        <v>90.0</v>
      </c>
      <c r="Q1795" s="22" t="str">
        <f>"-3"</f>
        <v>-3</v>
      </c>
      <c r="R1795" s="18" t="str">
        <f>"+0"</f>
        <v>+0</v>
      </c>
      <c r="S1795" s="14" t="s">
        <v>267</v>
      </c>
    </row>
    <row r="1796">
      <c r="A1796" s="13">
        <v>45901.0</v>
      </c>
      <c r="B1796" s="14" t="s">
        <v>47</v>
      </c>
      <c r="C1796" s="14" t="s">
        <v>48</v>
      </c>
      <c r="D1796" s="14" t="s">
        <v>116</v>
      </c>
      <c r="E1796" s="14" t="s">
        <v>117</v>
      </c>
      <c r="F1796" s="15" t="s">
        <v>51</v>
      </c>
      <c r="G1796" s="14" t="s">
        <v>161</v>
      </c>
      <c r="H1796" s="14" t="s">
        <v>116</v>
      </c>
      <c r="I1796" s="14" t="s">
        <v>54</v>
      </c>
      <c r="J1796" s="14" t="s">
        <v>198</v>
      </c>
      <c r="K1796" s="14" t="s">
        <v>210</v>
      </c>
      <c r="L1796" s="14" t="s">
        <v>264</v>
      </c>
      <c r="M1796" s="14" t="s">
        <v>1596</v>
      </c>
      <c r="N1796" s="14" t="s">
        <v>1597</v>
      </c>
      <c r="O1796" s="14">
        <v>0.0</v>
      </c>
      <c r="P1796" s="21">
        <v>0.0</v>
      </c>
      <c r="Q1796" s="22" t="str">
        <f t="shared" ref="Q1796:R1796" si="1064">"+0"</f>
        <v>+0</v>
      </c>
      <c r="R1796" s="18" t="str">
        <f t="shared" si="1064"/>
        <v>+0</v>
      </c>
      <c r="S1796" s="14" t="s">
        <v>277</v>
      </c>
    </row>
    <row r="1797">
      <c r="A1797" s="13">
        <v>45901.0</v>
      </c>
      <c r="B1797" s="14" t="s">
        <v>47</v>
      </c>
      <c r="C1797" s="14" t="s">
        <v>48</v>
      </c>
      <c r="D1797" s="14" t="s">
        <v>116</v>
      </c>
      <c r="E1797" s="14" t="s">
        <v>117</v>
      </c>
      <c r="F1797" s="15" t="s">
        <v>51</v>
      </c>
      <c r="G1797" s="14" t="s">
        <v>161</v>
      </c>
      <c r="H1797" s="14" t="s">
        <v>116</v>
      </c>
      <c r="I1797" s="14" t="s">
        <v>54</v>
      </c>
      <c r="J1797" s="14" t="s">
        <v>198</v>
      </c>
      <c r="K1797" s="14" t="s">
        <v>210</v>
      </c>
      <c r="L1797" s="14" t="s">
        <v>264</v>
      </c>
      <c r="M1797" s="14" t="s">
        <v>1068</v>
      </c>
      <c r="N1797" s="14" t="s">
        <v>1069</v>
      </c>
      <c r="O1797" s="14">
        <v>0.0</v>
      </c>
      <c r="P1797" s="21">
        <v>0.0</v>
      </c>
      <c r="Q1797" s="22" t="str">
        <f t="shared" ref="Q1797:R1797" si="1065">"+0"</f>
        <v>+0</v>
      </c>
      <c r="R1797" s="18" t="str">
        <f t="shared" si="1065"/>
        <v>+0</v>
      </c>
      <c r="S1797" s="14" t="s">
        <v>277</v>
      </c>
    </row>
    <row r="1798">
      <c r="A1798" s="13">
        <v>45901.0</v>
      </c>
      <c r="B1798" s="14" t="s">
        <v>47</v>
      </c>
      <c r="C1798" s="14" t="s">
        <v>48</v>
      </c>
      <c r="D1798" s="14" t="s">
        <v>77</v>
      </c>
      <c r="E1798" s="14" t="s">
        <v>78</v>
      </c>
      <c r="F1798" s="15" t="s">
        <v>51</v>
      </c>
      <c r="G1798" s="14" t="s">
        <v>128</v>
      </c>
      <c r="H1798" s="14" t="s">
        <v>81</v>
      </c>
      <c r="I1798" s="14" t="s">
        <v>59</v>
      </c>
      <c r="J1798" s="14" t="s">
        <v>200</v>
      </c>
      <c r="K1798" s="14" t="s">
        <v>211</v>
      </c>
      <c r="L1798" s="14" t="s">
        <v>253</v>
      </c>
      <c r="M1798" s="14" t="s">
        <v>1024</v>
      </c>
      <c r="N1798" s="14" t="s">
        <v>1025</v>
      </c>
      <c r="O1798" s="14">
        <v>0.0</v>
      </c>
      <c r="P1798" s="23">
        <v>0.0</v>
      </c>
      <c r="Q1798" s="22" t="str">
        <f t="shared" ref="Q1798:R1798" si="1066">"+0.00%"</f>
        <v>+0.00%</v>
      </c>
      <c r="R1798" s="18" t="str">
        <f t="shared" si="1066"/>
        <v>+0.00%</v>
      </c>
      <c r="S1798" s="14" t="s">
        <v>1598</v>
      </c>
    </row>
    <row r="1799">
      <c r="A1799" s="13">
        <v>45901.0</v>
      </c>
      <c r="B1799" s="14" t="s">
        <v>47</v>
      </c>
      <c r="C1799" s="14" t="s">
        <v>48</v>
      </c>
      <c r="D1799" s="14" t="s">
        <v>77</v>
      </c>
      <c r="E1799" s="14" t="s">
        <v>78</v>
      </c>
      <c r="F1799" s="15" t="s">
        <v>51</v>
      </c>
      <c r="G1799" s="14" t="s">
        <v>128</v>
      </c>
      <c r="H1799" s="14" t="s">
        <v>81</v>
      </c>
      <c r="I1799" s="14" t="s">
        <v>59</v>
      </c>
      <c r="J1799" s="14" t="s">
        <v>200</v>
      </c>
      <c r="K1799" s="14" t="s">
        <v>201</v>
      </c>
      <c r="L1799" s="14" t="s">
        <v>253</v>
      </c>
      <c r="M1799" s="14" t="s">
        <v>585</v>
      </c>
      <c r="N1799" s="14" t="s">
        <v>586</v>
      </c>
      <c r="O1799" s="14">
        <v>1.0</v>
      </c>
      <c r="P1799" s="23">
        <v>0.0</v>
      </c>
      <c r="Q1799" s="22" t="str">
        <f>"-0.00%"</f>
        <v>-0.00%</v>
      </c>
      <c r="R1799" s="18" t="str">
        <f>"-0.01%"</f>
        <v>-0.01%</v>
      </c>
      <c r="S1799" s="14" t="s">
        <v>587</v>
      </c>
    </row>
    <row r="1800">
      <c r="A1800" s="13">
        <v>45901.0</v>
      </c>
      <c r="B1800" s="14" t="s">
        <v>47</v>
      </c>
      <c r="C1800" s="14" t="s">
        <v>48</v>
      </c>
      <c r="D1800" s="14" t="s">
        <v>60</v>
      </c>
      <c r="E1800" s="14" t="s">
        <v>61</v>
      </c>
      <c r="F1800" s="15" t="s">
        <v>51</v>
      </c>
      <c r="G1800" s="14" t="s">
        <v>62</v>
      </c>
      <c r="H1800" s="14" t="s">
        <v>60</v>
      </c>
      <c r="I1800" s="14" t="s">
        <v>59</v>
      </c>
      <c r="J1800" s="14" t="s">
        <v>199</v>
      </c>
      <c r="K1800" s="14" t="s">
        <v>206</v>
      </c>
      <c r="L1800" s="14" t="s">
        <v>531</v>
      </c>
      <c r="M1800" s="14" t="s">
        <v>531</v>
      </c>
      <c r="N1800" s="14" t="s">
        <v>532</v>
      </c>
      <c r="O1800" s="14">
        <v>0.0</v>
      </c>
      <c r="P1800" s="21">
        <v>0.0</v>
      </c>
      <c r="Q1800" s="22" t="str">
        <f t="shared" ref="Q1800:R1800" si="1067">"+0"</f>
        <v>+0</v>
      </c>
      <c r="R1800" s="18" t="str">
        <f t="shared" si="1067"/>
        <v>+0</v>
      </c>
      <c r="S1800" s="14" t="s">
        <v>260</v>
      </c>
    </row>
    <row r="1801">
      <c r="A1801" s="13">
        <v>45901.0</v>
      </c>
      <c r="B1801" s="14" t="s">
        <v>47</v>
      </c>
      <c r="C1801" s="14" t="s">
        <v>48</v>
      </c>
      <c r="D1801" s="14" t="s">
        <v>155</v>
      </c>
      <c r="E1801" s="14" t="s">
        <v>156</v>
      </c>
      <c r="F1801" s="15" t="s">
        <v>51</v>
      </c>
      <c r="G1801" s="14" t="s">
        <v>157</v>
      </c>
      <c r="H1801" s="14" t="s">
        <v>155</v>
      </c>
      <c r="I1801" s="14" t="s">
        <v>59</v>
      </c>
      <c r="J1801" s="14" t="s">
        <v>198</v>
      </c>
      <c r="K1801" s="14" t="s">
        <v>205</v>
      </c>
      <c r="L1801" s="14" t="s">
        <v>274</v>
      </c>
      <c r="M1801" s="14" t="s">
        <v>575</v>
      </c>
      <c r="N1801" s="14" t="s">
        <v>576</v>
      </c>
      <c r="O1801" s="14">
        <v>100.0</v>
      </c>
      <c r="P1801" s="21">
        <v>90.0</v>
      </c>
      <c r="Q1801" s="22" t="str">
        <f t="shared" ref="Q1801:Q1803" si="1068">"+0"</f>
        <v>+0</v>
      </c>
      <c r="S1801" s="14" t="s">
        <v>577</v>
      </c>
    </row>
    <row r="1802">
      <c r="A1802" s="13">
        <v>45901.0</v>
      </c>
      <c r="B1802" s="14" t="s">
        <v>47</v>
      </c>
      <c r="C1802" s="14" t="s">
        <v>48</v>
      </c>
      <c r="D1802" s="14" t="s">
        <v>60</v>
      </c>
      <c r="E1802" s="14" t="s">
        <v>61</v>
      </c>
      <c r="F1802" s="15" t="s">
        <v>51</v>
      </c>
      <c r="G1802" s="14" t="s">
        <v>62</v>
      </c>
      <c r="H1802" s="14" t="s">
        <v>60</v>
      </c>
      <c r="I1802" s="14" t="s">
        <v>59</v>
      </c>
      <c r="J1802" s="14" t="s">
        <v>198</v>
      </c>
      <c r="K1802" s="14" t="s">
        <v>205</v>
      </c>
      <c r="L1802" s="14" t="s">
        <v>274</v>
      </c>
      <c r="M1802" s="14" t="s">
        <v>482</v>
      </c>
      <c r="N1802" s="14" t="s">
        <v>483</v>
      </c>
      <c r="O1802" s="14">
        <v>100.0</v>
      </c>
      <c r="P1802" s="21">
        <v>10.0</v>
      </c>
      <c r="Q1802" s="22" t="str">
        <f t="shared" si="1068"/>
        <v>+0</v>
      </c>
      <c r="S1802" s="14" t="s">
        <v>484</v>
      </c>
    </row>
    <row r="1803">
      <c r="A1803" s="13">
        <v>45901.0</v>
      </c>
      <c r="B1803" s="14" t="s">
        <v>47</v>
      </c>
      <c r="C1803" s="14" t="s">
        <v>48</v>
      </c>
      <c r="D1803" s="14" t="s">
        <v>49</v>
      </c>
      <c r="E1803" s="14" t="s">
        <v>50</v>
      </c>
      <c r="F1803" s="15" t="s">
        <v>51</v>
      </c>
      <c r="G1803" s="14" t="s">
        <v>52</v>
      </c>
      <c r="H1803" s="14" t="s">
        <v>53</v>
      </c>
      <c r="I1803" s="14" t="s">
        <v>54</v>
      </c>
      <c r="J1803" s="14" t="s">
        <v>198</v>
      </c>
      <c r="K1803" s="14" t="s">
        <v>210</v>
      </c>
      <c r="L1803" s="14" t="s">
        <v>264</v>
      </c>
      <c r="M1803" s="14" t="s">
        <v>559</v>
      </c>
      <c r="N1803" s="14" t="s">
        <v>560</v>
      </c>
      <c r="O1803" s="14">
        <v>0.0</v>
      </c>
      <c r="P1803" s="21">
        <v>0.0</v>
      </c>
      <c r="Q1803" s="22" t="str">
        <f t="shared" si="1068"/>
        <v>+0</v>
      </c>
      <c r="R1803" s="18" t="str">
        <f>"+0"</f>
        <v>+0</v>
      </c>
      <c r="S1803" s="14" t="s">
        <v>277</v>
      </c>
    </row>
    <row r="1804">
      <c r="A1804" s="13">
        <v>45901.0</v>
      </c>
      <c r="B1804" s="14" t="s">
        <v>47</v>
      </c>
      <c r="C1804" s="14" t="s">
        <v>48</v>
      </c>
      <c r="D1804" s="14" t="s">
        <v>165</v>
      </c>
      <c r="E1804" s="14" t="s">
        <v>166</v>
      </c>
      <c r="F1804" s="14" t="s">
        <v>111</v>
      </c>
      <c r="G1804" s="14">
        <v>7116371.0</v>
      </c>
      <c r="H1804" s="14" t="s">
        <v>165</v>
      </c>
      <c r="I1804" s="14" t="s">
        <v>59</v>
      </c>
      <c r="J1804" s="14" t="s">
        <v>200</v>
      </c>
      <c r="K1804" s="14" t="s">
        <v>221</v>
      </c>
      <c r="L1804" s="14" t="s">
        <v>253</v>
      </c>
      <c r="M1804" s="14" t="s">
        <v>727</v>
      </c>
      <c r="N1804" s="14" t="s">
        <v>728</v>
      </c>
      <c r="O1804" s="14">
        <v>48.0</v>
      </c>
      <c r="P1804" s="23">
        <v>0.4877</v>
      </c>
      <c r="Q1804" s="22" t="str">
        <f>"+3.24%"</f>
        <v>+3.24%</v>
      </c>
      <c r="R1804" s="18" t="str">
        <f>"+3.29%"</f>
        <v>+3.29%</v>
      </c>
      <c r="S1804" s="14" t="s">
        <v>1599</v>
      </c>
    </row>
    <row r="1805">
      <c r="A1805" s="13">
        <v>45901.0</v>
      </c>
      <c r="B1805" s="14" t="s">
        <v>47</v>
      </c>
      <c r="C1805" s="14" t="s">
        <v>48</v>
      </c>
      <c r="D1805" s="14" t="s">
        <v>49</v>
      </c>
      <c r="E1805" s="14" t="s">
        <v>50</v>
      </c>
      <c r="F1805" s="15" t="s">
        <v>51</v>
      </c>
      <c r="G1805" s="14" t="s">
        <v>52</v>
      </c>
      <c r="H1805" s="14" t="s">
        <v>53</v>
      </c>
      <c r="I1805" s="14" t="s">
        <v>54</v>
      </c>
      <c r="J1805" s="14" t="s">
        <v>200</v>
      </c>
      <c r="K1805" s="14" t="s">
        <v>224</v>
      </c>
      <c r="L1805" s="14" t="s">
        <v>436</v>
      </c>
      <c r="M1805" s="14" t="s">
        <v>437</v>
      </c>
      <c r="N1805" s="14" t="s">
        <v>438</v>
      </c>
      <c r="O1805" s="14">
        <v>0.0</v>
      </c>
      <c r="P1805" s="23">
        <v>0.0</v>
      </c>
      <c r="Q1805" s="22" t="str">
        <f t="shared" ref="Q1805:R1805" si="1069">"+0.00%"</f>
        <v>+0.00%</v>
      </c>
      <c r="R1805" s="18" t="str">
        <f t="shared" si="1069"/>
        <v>+0.00%</v>
      </c>
      <c r="S1805" s="14" t="s">
        <v>1600</v>
      </c>
    </row>
    <row r="1806">
      <c r="A1806" s="13">
        <v>45901.0</v>
      </c>
      <c r="B1806" s="14" t="s">
        <v>47</v>
      </c>
      <c r="C1806" s="14" t="s">
        <v>48</v>
      </c>
      <c r="D1806" s="14" t="s">
        <v>118</v>
      </c>
      <c r="E1806" s="14" t="s">
        <v>119</v>
      </c>
      <c r="F1806" s="15" t="s">
        <v>51</v>
      </c>
      <c r="G1806" s="14" t="s">
        <v>120</v>
      </c>
      <c r="H1806" s="14" t="s">
        <v>118</v>
      </c>
      <c r="I1806" s="14" t="s">
        <v>59</v>
      </c>
      <c r="J1806" s="14" t="s">
        <v>200</v>
      </c>
      <c r="K1806" s="14" t="s">
        <v>227</v>
      </c>
      <c r="L1806" s="14" t="s">
        <v>253</v>
      </c>
      <c r="M1806" s="14" t="s">
        <v>811</v>
      </c>
      <c r="N1806" s="14" t="s">
        <v>812</v>
      </c>
      <c r="O1806" s="14">
        <v>0.0</v>
      </c>
      <c r="P1806" s="23">
        <v>0.0</v>
      </c>
      <c r="Q1806" s="22" t="str">
        <f t="shared" ref="Q1806:R1806" si="1070">"+0.00%"</f>
        <v>+0.00%</v>
      </c>
      <c r="R1806" s="18" t="str">
        <f t="shared" si="1070"/>
        <v>+0.00%</v>
      </c>
      <c r="S1806" s="14" t="s">
        <v>813</v>
      </c>
    </row>
    <row r="1807">
      <c r="A1807" s="13">
        <v>45901.0</v>
      </c>
      <c r="B1807" s="14" t="s">
        <v>47</v>
      </c>
      <c r="C1807" s="14" t="s">
        <v>48</v>
      </c>
      <c r="D1807" s="14" t="s">
        <v>63</v>
      </c>
      <c r="E1807" s="14" t="s">
        <v>64</v>
      </c>
      <c r="F1807" s="15" t="s">
        <v>51</v>
      </c>
      <c r="G1807" s="14" t="s">
        <v>65</v>
      </c>
      <c r="H1807" s="14" t="s">
        <v>63</v>
      </c>
      <c r="I1807" s="14" t="s">
        <v>54</v>
      </c>
      <c r="J1807" s="14" t="s">
        <v>198</v>
      </c>
      <c r="K1807" s="14" t="s">
        <v>205</v>
      </c>
      <c r="L1807" s="14" t="s">
        <v>274</v>
      </c>
      <c r="M1807" s="14" t="s">
        <v>275</v>
      </c>
      <c r="N1807" s="14" t="s">
        <v>276</v>
      </c>
      <c r="O1807" s="14">
        <v>0.0</v>
      </c>
      <c r="P1807" s="21">
        <v>1.0</v>
      </c>
      <c r="Q1807" s="22" t="str">
        <f>"+0"</f>
        <v>+0</v>
      </c>
      <c r="S1807" s="14" t="s">
        <v>277</v>
      </c>
    </row>
    <row r="1808">
      <c r="A1808" s="13">
        <v>45901.0</v>
      </c>
      <c r="B1808" s="14" t="s">
        <v>47</v>
      </c>
      <c r="C1808" s="14" t="s">
        <v>48</v>
      </c>
      <c r="D1808" s="14" t="s">
        <v>192</v>
      </c>
      <c r="E1808" s="14" t="s">
        <v>193</v>
      </c>
      <c r="F1808" s="15" t="s">
        <v>51</v>
      </c>
      <c r="G1808" s="14" t="s">
        <v>194</v>
      </c>
      <c r="H1808" s="14" t="s">
        <v>192</v>
      </c>
      <c r="I1808" s="14" t="s">
        <v>54</v>
      </c>
      <c r="J1808" s="14" t="s">
        <v>200</v>
      </c>
      <c r="K1808" s="14" t="s">
        <v>223</v>
      </c>
      <c r="L1808" s="14" t="s">
        <v>257</v>
      </c>
      <c r="M1808" s="14" t="s">
        <v>315</v>
      </c>
      <c r="N1808" s="14" t="s">
        <v>316</v>
      </c>
      <c r="O1808" s="14">
        <v>77.0</v>
      </c>
      <c r="P1808" s="23">
        <v>0.7733</v>
      </c>
      <c r="Q1808" s="22" t="str">
        <f>"+1.30%"</f>
        <v>+1.30%</v>
      </c>
      <c r="R1808" s="18" t="str">
        <f>"-1.24%"</f>
        <v>-1.24%</v>
      </c>
      <c r="S1808" s="14" t="s">
        <v>1601</v>
      </c>
    </row>
    <row r="1809">
      <c r="A1809" s="13">
        <v>45901.0</v>
      </c>
      <c r="B1809" s="14" t="s">
        <v>47</v>
      </c>
      <c r="C1809" s="14" t="s">
        <v>48</v>
      </c>
      <c r="D1809" s="14" t="s">
        <v>66</v>
      </c>
      <c r="E1809" s="14" t="s">
        <v>67</v>
      </c>
      <c r="F1809" s="15" t="s">
        <v>51</v>
      </c>
      <c r="G1809" s="14" t="s">
        <v>68</v>
      </c>
      <c r="H1809" s="14" t="s">
        <v>66</v>
      </c>
      <c r="I1809" s="14" t="s">
        <v>59</v>
      </c>
      <c r="J1809" s="14" t="s">
        <v>200</v>
      </c>
      <c r="K1809" s="14" t="s">
        <v>223</v>
      </c>
      <c r="L1809" s="14" t="s">
        <v>422</v>
      </c>
      <c r="M1809" s="14" t="s">
        <v>1197</v>
      </c>
      <c r="N1809" s="14" t="s">
        <v>1198</v>
      </c>
      <c r="O1809" s="14">
        <v>0.0</v>
      </c>
      <c r="P1809" s="23">
        <v>0.0</v>
      </c>
      <c r="Q1809" s="22" t="str">
        <f t="shared" ref="Q1809:R1809" si="1071">"+0.00%"</f>
        <v>+0.00%</v>
      </c>
      <c r="R1809" s="18" t="str">
        <f t="shared" si="1071"/>
        <v>+0.00%</v>
      </c>
      <c r="S1809" s="14" t="s">
        <v>285</v>
      </c>
    </row>
    <row r="1810">
      <c r="A1810" s="13">
        <v>45901.0</v>
      </c>
      <c r="B1810" s="14" t="s">
        <v>47</v>
      </c>
      <c r="C1810" s="14" t="s">
        <v>48</v>
      </c>
      <c r="D1810" s="14" t="s">
        <v>192</v>
      </c>
      <c r="E1810" s="14" t="s">
        <v>193</v>
      </c>
      <c r="F1810" s="15" t="s">
        <v>51</v>
      </c>
      <c r="G1810" s="14" t="s">
        <v>194</v>
      </c>
      <c r="H1810" s="14" t="s">
        <v>192</v>
      </c>
      <c r="I1810" s="14" t="s">
        <v>54</v>
      </c>
      <c r="J1810" s="14" t="s">
        <v>200</v>
      </c>
      <c r="K1810" s="14" t="s">
        <v>211</v>
      </c>
      <c r="L1810" s="14" t="s">
        <v>253</v>
      </c>
      <c r="M1810" s="14" t="s">
        <v>1260</v>
      </c>
      <c r="N1810" s="14" t="s">
        <v>1261</v>
      </c>
      <c r="O1810" s="14">
        <v>0.0</v>
      </c>
      <c r="P1810" s="23">
        <v>0.0</v>
      </c>
      <c r="Q1810" s="22" t="str">
        <f t="shared" ref="Q1810:R1810" si="1072">"+0.00%"</f>
        <v>+0.00%</v>
      </c>
      <c r="R1810" s="18" t="str">
        <f t="shared" si="1072"/>
        <v>+0.00%</v>
      </c>
      <c r="S1810" s="14" t="s">
        <v>371</v>
      </c>
    </row>
    <row r="1811">
      <c r="A1811" s="13">
        <v>45901.0</v>
      </c>
      <c r="B1811" s="14" t="s">
        <v>47</v>
      </c>
      <c r="C1811" s="14" t="s">
        <v>48</v>
      </c>
      <c r="D1811" s="14" t="s">
        <v>132</v>
      </c>
      <c r="E1811" s="14" t="s">
        <v>133</v>
      </c>
      <c r="F1811" s="15" t="s">
        <v>51</v>
      </c>
      <c r="G1811" s="14" t="s">
        <v>134</v>
      </c>
      <c r="H1811" s="14" t="s">
        <v>135</v>
      </c>
      <c r="I1811" s="14" t="s">
        <v>59</v>
      </c>
      <c r="J1811" s="14" t="s">
        <v>200</v>
      </c>
      <c r="K1811" s="14" t="s">
        <v>213</v>
      </c>
      <c r="L1811" s="14" t="s">
        <v>307</v>
      </c>
      <c r="M1811" s="14" t="s">
        <v>856</v>
      </c>
      <c r="N1811" s="14" t="s">
        <v>857</v>
      </c>
      <c r="O1811" s="14">
        <v>0.0</v>
      </c>
      <c r="P1811" s="23">
        <v>0.0</v>
      </c>
      <c r="Q1811" s="22" t="str">
        <f t="shared" ref="Q1811:R1811" si="1073">"+0.00%"</f>
        <v>+0.00%</v>
      </c>
      <c r="R1811" s="18" t="str">
        <f t="shared" si="1073"/>
        <v>+0.00%</v>
      </c>
      <c r="S1811" s="14" t="s">
        <v>285</v>
      </c>
    </row>
    <row r="1812">
      <c r="A1812" s="13">
        <v>45901.0</v>
      </c>
      <c r="B1812" s="14" t="s">
        <v>47</v>
      </c>
      <c r="C1812" s="14" t="s">
        <v>48</v>
      </c>
      <c r="D1812" s="14" t="s">
        <v>136</v>
      </c>
      <c r="E1812" s="14" t="s">
        <v>137</v>
      </c>
      <c r="F1812" s="15" t="s">
        <v>51</v>
      </c>
      <c r="G1812" s="14" t="s">
        <v>138</v>
      </c>
      <c r="H1812" s="14" t="s">
        <v>139</v>
      </c>
      <c r="I1812" s="14" t="s">
        <v>59</v>
      </c>
      <c r="J1812" s="14" t="s">
        <v>198</v>
      </c>
      <c r="K1812" s="14" t="s">
        <v>205</v>
      </c>
      <c r="L1812" s="14" t="s">
        <v>274</v>
      </c>
      <c r="M1812" s="14" t="s">
        <v>575</v>
      </c>
      <c r="N1812" s="14" t="s">
        <v>576</v>
      </c>
      <c r="O1812" s="14">
        <v>100.0</v>
      </c>
      <c r="P1812" s="21">
        <v>90.0</v>
      </c>
      <c r="Q1812" s="22" t="str">
        <f t="shared" ref="Q1812:Q1813" si="1074">"+0"</f>
        <v>+0</v>
      </c>
      <c r="S1812" s="14" t="s">
        <v>577</v>
      </c>
    </row>
    <row r="1813">
      <c r="A1813" s="13">
        <v>45901.0</v>
      </c>
      <c r="B1813" s="14" t="s">
        <v>47</v>
      </c>
      <c r="C1813" s="14" t="s">
        <v>48</v>
      </c>
      <c r="D1813" s="14" t="s">
        <v>149</v>
      </c>
      <c r="E1813" s="14" t="s">
        <v>150</v>
      </c>
      <c r="F1813" s="15" t="s">
        <v>51</v>
      </c>
      <c r="G1813" s="14" t="s">
        <v>151</v>
      </c>
      <c r="H1813" s="14" t="s">
        <v>152</v>
      </c>
      <c r="I1813" s="14" t="s">
        <v>54</v>
      </c>
      <c r="J1813" s="14" t="s">
        <v>198</v>
      </c>
      <c r="K1813" s="14" t="s">
        <v>210</v>
      </c>
      <c r="L1813" s="14" t="s">
        <v>458</v>
      </c>
      <c r="M1813" s="14" t="s">
        <v>945</v>
      </c>
      <c r="N1813" s="14" t="s">
        <v>946</v>
      </c>
      <c r="O1813" s="14">
        <v>0.0</v>
      </c>
      <c r="P1813" s="21">
        <v>0.0</v>
      </c>
      <c r="Q1813" s="22" t="str">
        <f t="shared" si="1074"/>
        <v>+0</v>
      </c>
      <c r="R1813" s="18" t="str">
        <f>"+0"</f>
        <v>+0</v>
      </c>
      <c r="S1813" s="14" t="s">
        <v>277</v>
      </c>
    </row>
    <row r="1814">
      <c r="A1814" s="13">
        <v>45901.0</v>
      </c>
      <c r="B1814" s="14" t="s">
        <v>47</v>
      </c>
      <c r="C1814" s="14" t="s">
        <v>48</v>
      </c>
      <c r="D1814" s="14" t="s">
        <v>171</v>
      </c>
      <c r="E1814" s="14" t="s">
        <v>172</v>
      </c>
      <c r="F1814" s="15" t="s">
        <v>51</v>
      </c>
      <c r="G1814" s="14" t="s">
        <v>173</v>
      </c>
      <c r="H1814" s="14" t="s">
        <v>171</v>
      </c>
      <c r="I1814" s="14" t="s">
        <v>59</v>
      </c>
      <c r="J1814" s="14" t="s">
        <v>200</v>
      </c>
      <c r="K1814" s="14" t="s">
        <v>213</v>
      </c>
      <c r="L1814" s="14" t="s">
        <v>257</v>
      </c>
      <c r="M1814" s="14" t="s">
        <v>622</v>
      </c>
      <c r="N1814" s="14" t="s">
        <v>623</v>
      </c>
      <c r="O1814" s="14">
        <v>0.0</v>
      </c>
      <c r="P1814" s="23">
        <v>-1.0</v>
      </c>
      <c r="Q1814" s="22" t="str">
        <f t="shared" ref="Q1814:R1814" si="1075">"+0.00%"</f>
        <v>+0.00%</v>
      </c>
      <c r="R1814" s="18" t="str">
        <f t="shared" si="1075"/>
        <v>+0.00%</v>
      </c>
      <c r="S1814" s="14" t="s">
        <v>1602</v>
      </c>
    </row>
    <row r="1815">
      <c r="A1815" s="13">
        <v>45901.0</v>
      </c>
      <c r="B1815" s="14" t="s">
        <v>47</v>
      </c>
      <c r="C1815" s="14" t="s">
        <v>48</v>
      </c>
      <c r="D1815" s="14" t="s">
        <v>87</v>
      </c>
      <c r="E1815" s="14" t="s">
        <v>88</v>
      </c>
      <c r="F1815" s="15" t="s">
        <v>51</v>
      </c>
      <c r="G1815" s="14" t="s">
        <v>89</v>
      </c>
      <c r="H1815" s="14" t="s">
        <v>90</v>
      </c>
      <c r="I1815" s="14" t="s">
        <v>59</v>
      </c>
      <c r="J1815" s="14" t="s">
        <v>198</v>
      </c>
      <c r="K1815" s="14" t="s">
        <v>205</v>
      </c>
      <c r="L1815" s="14" t="s">
        <v>274</v>
      </c>
      <c r="M1815" s="14" t="s">
        <v>767</v>
      </c>
      <c r="N1815" s="14" t="s">
        <v>768</v>
      </c>
      <c r="O1815" s="14">
        <v>100.0</v>
      </c>
      <c r="P1815" s="21">
        <v>1.0</v>
      </c>
      <c r="Q1815" s="22" t="str">
        <f>"+0"</f>
        <v>+0</v>
      </c>
      <c r="S1815" s="14" t="s">
        <v>281</v>
      </c>
    </row>
    <row r="1816">
      <c r="A1816" s="13">
        <v>45901.0</v>
      </c>
      <c r="B1816" s="14" t="s">
        <v>47</v>
      </c>
      <c r="C1816" s="14" t="s">
        <v>48</v>
      </c>
      <c r="D1816" s="14" t="s">
        <v>87</v>
      </c>
      <c r="E1816" s="14" t="s">
        <v>88</v>
      </c>
      <c r="F1816" s="15" t="s">
        <v>51</v>
      </c>
      <c r="G1816" s="14" t="s">
        <v>89</v>
      </c>
      <c r="H1816" s="14" t="s">
        <v>90</v>
      </c>
      <c r="I1816" s="14" t="s">
        <v>59</v>
      </c>
      <c r="J1816" s="14" t="s">
        <v>200</v>
      </c>
      <c r="K1816" s="14" t="s">
        <v>227</v>
      </c>
      <c r="L1816" s="14" t="s">
        <v>721</v>
      </c>
      <c r="M1816" s="14" t="s">
        <v>1060</v>
      </c>
      <c r="N1816" s="14" t="s">
        <v>1061</v>
      </c>
      <c r="O1816" s="14">
        <v>50.0</v>
      </c>
      <c r="P1816" s="23">
        <v>0.011</v>
      </c>
      <c r="Q1816" s="22" t="str">
        <f>"-0.64%"</f>
        <v>-0.64%</v>
      </c>
      <c r="R1816" s="18" t="str">
        <f>"+9.65%"</f>
        <v>+9.65%</v>
      </c>
      <c r="S1816" s="14" t="s">
        <v>1062</v>
      </c>
    </row>
    <row r="1817">
      <c r="A1817" s="13">
        <v>45901.0</v>
      </c>
      <c r="B1817" s="14" t="s">
        <v>47</v>
      </c>
      <c r="C1817" s="14" t="s">
        <v>48</v>
      </c>
      <c r="D1817" s="14" t="s">
        <v>87</v>
      </c>
      <c r="E1817" s="14" t="s">
        <v>88</v>
      </c>
      <c r="F1817" s="15" t="s">
        <v>51</v>
      </c>
      <c r="G1817" s="14" t="s">
        <v>89</v>
      </c>
      <c r="H1817" s="14" t="s">
        <v>90</v>
      </c>
      <c r="I1817" s="14" t="s">
        <v>59</v>
      </c>
      <c r="J1817" s="14" t="s">
        <v>200</v>
      </c>
      <c r="K1817" s="14" t="s">
        <v>223</v>
      </c>
      <c r="L1817" s="14" t="s">
        <v>304</v>
      </c>
      <c r="M1817" s="14" t="s">
        <v>877</v>
      </c>
      <c r="N1817" s="14" t="s">
        <v>878</v>
      </c>
      <c r="O1817" s="14">
        <v>20.0</v>
      </c>
      <c r="P1817" s="23">
        <v>0.2033</v>
      </c>
      <c r="Q1817" s="22" t="str">
        <f>"-1.83%"</f>
        <v>-1.83%</v>
      </c>
      <c r="R1817" s="18" t="str">
        <f>"-1.31%"</f>
        <v>-1.31%</v>
      </c>
      <c r="S1817" s="14" t="s">
        <v>1603</v>
      </c>
    </row>
    <row r="1818">
      <c r="A1818" s="13">
        <v>45901.0</v>
      </c>
      <c r="B1818" s="14" t="s">
        <v>47</v>
      </c>
      <c r="C1818" s="14" t="s">
        <v>48</v>
      </c>
      <c r="D1818" s="14" t="s">
        <v>149</v>
      </c>
      <c r="E1818" s="14" t="s">
        <v>150</v>
      </c>
      <c r="F1818" s="15" t="s">
        <v>51</v>
      </c>
      <c r="G1818" s="14" t="s">
        <v>151</v>
      </c>
      <c r="H1818" s="14" t="s">
        <v>152</v>
      </c>
      <c r="I1818" s="14" t="s">
        <v>54</v>
      </c>
      <c r="J1818" s="14" t="s">
        <v>198</v>
      </c>
      <c r="K1818" s="14" t="s">
        <v>210</v>
      </c>
      <c r="L1818" s="14" t="s">
        <v>505</v>
      </c>
      <c r="M1818" s="14" t="s">
        <v>1111</v>
      </c>
      <c r="N1818" s="14" t="s">
        <v>1112</v>
      </c>
      <c r="O1818" s="14">
        <v>0.0</v>
      </c>
      <c r="P1818" s="21">
        <v>0.0</v>
      </c>
      <c r="Q1818" s="22" t="str">
        <f t="shared" ref="Q1818:R1818" si="1076">"+0"</f>
        <v>+0</v>
      </c>
      <c r="R1818" s="18" t="str">
        <f t="shared" si="1076"/>
        <v>+0</v>
      </c>
      <c r="S1818" s="14" t="s">
        <v>277</v>
      </c>
    </row>
    <row r="1819">
      <c r="A1819" s="13">
        <v>45901.0</v>
      </c>
      <c r="B1819" s="14" t="s">
        <v>47</v>
      </c>
      <c r="C1819" s="14" t="s">
        <v>48</v>
      </c>
      <c r="D1819" s="14" t="s">
        <v>87</v>
      </c>
      <c r="E1819" s="14" t="s">
        <v>88</v>
      </c>
      <c r="F1819" s="15" t="s">
        <v>51</v>
      </c>
      <c r="G1819" s="14" t="s">
        <v>89</v>
      </c>
      <c r="H1819" s="14" t="s">
        <v>90</v>
      </c>
      <c r="I1819" s="14" t="s">
        <v>59</v>
      </c>
      <c r="J1819" s="14" t="s">
        <v>200</v>
      </c>
      <c r="K1819" s="14" t="s">
        <v>227</v>
      </c>
      <c r="L1819" s="14" t="s">
        <v>721</v>
      </c>
      <c r="M1819" s="14" t="s">
        <v>722</v>
      </c>
      <c r="N1819" s="14" t="s">
        <v>723</v>
      </c>
      <c r="O1819" s="14">
        <v>51.0</v>
      </c>
      <c r="P1819" s="23">
        <v>0.0301</v>
      </c>
      <c r="Q1819" s="22" t="str">
        <f>"+1.95%"</f>
        <v>+1.95%</v>
      </c>
      <c r="R1819" s="18" t="str">
        <f>"+10.48%"</f>
        <v>+10.48%</v>
      </c>
      <c r="S1819" s="14" t="s">
        <v>724</v>
      </c>
    </row>
    <row r="1820">
      <c r="A1820" s="13">
        <v>45901.0</v>
      </c>
      <c r="B1820" s="14" t="s">
        <v>47</v>
      </c>
      <c r="C1820" s="14" t="s">
        <v>48</v>
      </c>
      <c r="D1820" s="14" t="s">
        <v>149</v>
      </c>
      <c r="E1820" s="14" t="s">
        <v>150</v>
      </c>
      <c r="F1820" s="15" t="s">
        <v>51</v>
      </c>
      <c r="G1820" s="14" t="s">
        <v>151</v>
      </c>
      <c r="H1820" s="14" t="s">
        <v>152</v>
      </c>
      <c r="I1820" s="14" t="s">
        <v>54</v>
      </c>
      <c r="J1820" s="14" t="s">
        <v>200</v>
      </c>
      <c r="K1820" s="14" t="s">
        <v>223</v>
      </c>
      <c r="L1820" s="14" t="s">
        <v>883</v>
      </c>
      <c r="M1820" s="14" t="s">
        <v>884</v>
      </c>
      <c r="N1820" s="14" t="s">
        <v>885</v>
      </c>
      <c r="O1820" s="14">
        <v>100.0</v>
      </c>
      <c r="P1820" s="23">
        <v>0.4283</v>
      </c>
      <c r="Q1820" s="22" t="str">
        <f>"-0.35%"</f>
        <v>-0.35%</v>
      </c>
      <c r="R1820" s="18" t="str">
        <f>"+1.62%"</f>
        <v>+1.62%</v>
      </c>
      <c r="S1820" s="14" t="s">
        <v>285</v>
      </c>
    </row>
    <row r="1821">
      <c r="A1821" s="13">
        <v>45901.0</v>
      </c>
      <c r="B1821" s="14" t="s">
        <v>47</v>
      </c>
      <c r="C1821" s="14" t="s">
        <v>48</v>
      </c>
      <c r="D1821" s="14" t="s">
        <v>149</v>
      </c>
      <c r="E1821" s="14" t="s">
        <v>150</v>
      </c>
      <c r="F1821" s="15" t="s">
        <v>51</v>
      </c>
      <c r="G1821" s="14" t="s">
        <v>151</v>
      </c>
      <c r="H1821" s="14" t="s">
        <v>152</v>
      </c>
      <c r="I1821" s="14" t="s">
        <v>54</v>
      </c>
      <c r="J1821" s="14" t="s">
        <v>200</v>
      </c>
      <c r="K1821" s="14" t="s">
        <v>223</v>
      </c>
      <c r="L1821" s="14" t="s">
        <v>261</v>
      </c>
      <c r="M1821" s="14" t="s">
        <v>262</v>
      </c>
      <c r="N1821" s="14" t="s">
        <v>263</v>
      </c>
      <c r="O1821" s="14">
        <v>0.0</v>
      </c>
      <c r="P1821" s="21">
        <v>0.0</v>
      </c>
      <c r="Q1821" s="22" t="str">
        <f t="shared" ref="Q1821:R1821" si="1077">"+0"</f>
        <v>+0</v>
      </c>
      <c r="R1821" s="18" t="str">
        <f t="shared" si="1077"/>
        <v>+0</v>
      </c>
      <c r="S1821" s="14" t="s">
        <v>260</v>
      </c>
    </row>
    <row r="1822">
      <c r="A1822" s="13">
        <v>45901.0</v>
      </c>
      <c r="B1822" s="14" t="s">
        <v>47</v>
      </c>
      <c r="C1822" s="14" t="s">
        <v>48</v>
      </c>
      <c r="D1822" s="14" t="s">
        <v>96</v>
      </c>
      <c r="E1822" s="14" t="s">
        <v>97</v>
      </c>
      <c r="F1822" s="15" t="s">
        <v>51</v>
      </c>
      <c r="G1822" s="14" t="s">
        <v>98</v>
      </c>
      <c r="H1822" s="14" t="s">
        <v>96</v>
      </c>
      <c r="I1822" s="14" t="s">
        <v>59</v>
      </c>
      <c r="J1822" s="14" t="s">
        <v>200</v>
      </c>
      <c r="K1822" s="14" t="s">
        <v>223</v>
      </c>
      <c r="L1822" s="14" t="s">
        <v>607</v>
      </c>
      <c r="M1822" s="14" t="s">
        <v>932</v>
      </c>
      <c r="N1822" s="14" t="s">
        <v>933</v>
      </c>
      <c r="O1822" s="14">
        <v>0.0</v>
      </c>
      <c r="P1822" s="23">
        <v>0.0</v>
      </c>
      <c r="Q1822" s="22" t="str">
        <f t="shared" ref="Q1822:R1822" si="1078">"+0.00%"</f>
        <v>+0.00%</v>
      </c>
      <c r="R1822" s="18" t="str">
        <f t="shared" si="1078"/>
        <v>+0.00%</v>
      </c>
      <c r="S1822" s="14" t="s">
        <v>285</v>
      </c>
    </row>
    <row r="1823">
      <c r="A1823" s="13">
        <v>45901.0</v>
      </c>
      <c r="B1823" s="14" t="s">
        <v>47</v>
      </c>
      <c r="C1823" s="14" t="s">
        <v>48</v>
      </c>
      <c r="D1823" s="14" t="s">
        <v>69</v>
      </c>
      <c r="E1823" s="14" t="s">
        <v>70</v>
      </c>
      <c r="F1823" s="15" t="s">
        <v>51</v>
      </c>
      <c r="G1823" s="14" t="s">
        <v>115</v>
      </c>
      <c r="H1823" s="14" t="s">
        <v>72</v>
      </c>
      <c r="I1823" s="14" t="s">
        <v>54</v>
      </c>
      <c r="J1823" s="14" t="s">
        <v>198</v>
      </c>
      <c r="K1823" s="14" t="s">
        <v>210</v>
      </c>
      <c r="L1823" s="14" t="s">
        <v>264</v>
      </c>
      <c r="M1823" s="14" t="s">
        <v>1369</v>
      </c>
      <c r="N1823" s="14" t="s">
        <v>1370</v>
      </c>
      <c r="O1823" s="14">
        <v>0.0</v>
      </c>
      <c r="P1823" s="21">
        <v>0.0</v>
      </c>
      <c r="Q1823" s="22" t="str">
        <f>"+0"</f>
        <v>+0</v>
      </c>
      <c r="R1823" s="18" t="str">
        <f>"-2"</f>
        <v>-2</v>
      </c>
      <c r="S1823" s="14" t="s">
        <v>277</v>
      </c>
    </row>
    <row r="1824">
      <c r="A1824" s="13">
        <v>45901.0</v>
      </c>
      <c r="B1824" s="14" t="s">
        <v>47</v>
      </c>
      <c r="C1824" s="14" t="s">
        <v>48</v>
      </c>
      <c r="D1824" s="14" t="s">
        <v>69</v>
      </c>
      <c r="E1824" s="14" t="s">
        <v>70</v>
      </c>
      <c r="F1824" s="15" t="s">
        <v>51</v>
      </c>
      <c r="G1824" s="14" t="s">
        <v>115</v>
      </c>
      <c r="H1824" s="14" t="s">
        <v>72</v>
      </c>
      <c r="I1824" s="14" t="s">
        <v>54</v>
      </c>
      <c r="J1824" s="14" t="s">
        <v>200</v>
      </c>
      <c r="K1824" s="14" t="s">
        <v>215</v>
      </c>
      <c r="L1824" s="14" t="s">
        <v>1341</v>
      </c>
      <c r="M1824" s="14" t="s">
        <v>1342</v>
      </c>
      <c r="N1824" s="14" t="s">
        <v>1343</v>
      </c>
      <c r="O1824" s="14">
        <v>33.0</v>
      </c>
      <c r="P1824" s="23">
        <v>-0.3317</v>
      </c>
      <c r="Q1824" s="22" t="str">
        <f>"-21.38%"</f>
        <v>-21.38%</v>
      </c>
      <c r="R1824" s="18" t="str">
        <f>"-10.84%"</f>
        <v>-10.84%</v>
      </c>
      <c r="S1824" s="14" t="s">
        <v>1604</v>
      </c>
    </row>
    <row r="1825">
      <c r="A1825" s="13">
        <v>45901.0</v>
      </c>
      <c r="B1825" s="14" t="s">
        <v>47</v>
      </c>
      <c r="C1825" s="14" t="s">
        <v>48</v>
      </c>
      <c r="D1825" s="14" t="s">
        <v>125</v>
      </c>
      <c r="E1825" s="14" t="s">
        <v>126</v>
      </c>
      <c r="F1825" s="15" t="s">
        <v>51</v>
      </c>
      <c r="G1825" s="14" t="s">
        <v>127</v>
      </c>
      <c r="H1825" s="14" t="s">
        <v>125</v>
      </c>
      <c r="I1825" s="14" t="s">
        <v>59</v>
      </c>
      <c r="J1825" s="14" t="s">
        <v>198</v>
      </c>
      <c r="K1825" s="14" t="s">
        <v>210</v>
      </c>
      <c r="L1825" s="14" t="s">
        <v>505</v>
      </c>
      <c r="M1825" s="14" t="s">
        <v>506</v>
      </c>
      <c r="N1825" s="14" t="s">
        <v>507</v>
      </c>
      <c r="O1825" s="14">
        <v>100.0</v>
      </c>
      <c r="P1825" s="21">
        <v>0.0</v>
      </c>
      <c r="Q1825" s="22" t="str">
        <f t="shared" ref="Q1825:R1825" si="1079">"+0"</f>
        <v>+0</v>
      </c>
      <c r="R1825" s="18" t="str">
        <f t="shared" si="1079"/>
        <v>+0</v>
      </c>
      <c r="S1825" s="14" t="s">
        <v>281</v>
      </c>
    </row>
    <row r="1826">
      <c r="A1826" s="13">
        <v>45901.0</v>
      </c>
      <c r="B1826" s="14" t="s">
        <v>47</v>
      </c>
      <c r="C1826" s="14" t="s">
        <v>48</v>
      </c>
      <c r="D1826" s="14" t="s">
        <v>69</v>
      </c>
      <c r="E1826" s="14" t="s">
        <v>70</v>
      </c>
      <c r="F1826" s="15" t="s">
        <v>51</v>
      </c>
      <c r="G1826" s="14" t="s">
        <v>115</v>
      </c>
      <c r="H1826" s="14" t="s">
        <v>72</v>
      </c>
      <c r="I1826" s="14" t="s">
        <v>54</v>
      </c>
      <c r="J1826" s="14" t="s">
        <v>198</v>
      </c>
      <c r="K1826" s="14" t="s">
        <v>210</v>
      </c>
      <c r="L1826" s="14" t="s">
        <v>264</v>
      </c>
      <c r="M1826" s="14" t="s">
        <v>802</v>
      </c>
      <c r="N1826" s="14" t="s">
        <v>803</v>
      </c>
      <c r="O1826" s="14">
        <v>0.0</v>
      </c>
      <c r="P1826" s="21">
        <v>0.0</v>
      </c>
      <c r="Q1826" s="22" t="str">
        <f t="shared" ref="Q1826:R1826" si="1080">"+0"</f>
        <v>+0</v>
      </c>
      <c r="R1826" s="18" t="str">
        <f t="shared" si="1080"/>
        <v>+0</v>
      </c>
      <c r="S1826" s="14" t="s">
        <v>277</v>
      </c>
    </row>
    <row r="1827">
      <c r="A1827" s="13">
        <v>45901.0</v>
      </c>
      <c r="B1827" s="14" t="s">
        <v>47</v>
      </c>
      <c r="C1827" s="14" t="s">
        <v>48</v>
      </c>
      <c r="D1827" s="14" t="s">
        <v>69</v>
      </c>
      <c r="E1827" s="14" t="s">
        <v>70</v>
      </c>
      <c r="F1827" s="15" t="s">
        <v>51</v>
      </c>
      <c r="G1827" s="14" t="s">
        <v>115</v>
      </c>
      <c r="H1827" s="14" t="s">
        <v>72</v>
      </c>
      <c r="I1827" s="14" t="s">
        <v>54</v>
      </c>
      <c r="J1827" s="14" t="s">
        <v>198</v>
      </c>
      <c r="K1827" s="14" t="s">
        <v>210</v>
      </c>
      <c r="L1827" s="14" t="s">
        <v>458</v>
      </c>
      <c r="M1827" s="14" t="s">
        <v>945</v>
      </c>
      <c r="N1827" s="14" t="s">
        <v>946</v>
      </c>
      <c r="O1827" s="14">
        <v>0.0</v>
      </c>
      <c r="P1827" s="21">
        <v>0.0</v>
      </c>
      <c r="Q1827" s="22" t="str">
        <f t="shared" ref="Q1827:R1827" si="1081">"+0"</f>
        <v>+0</v>
      </c>
      <c r="R1827" s="18" t="str">
        <f t="shared" si="1081"/>
        <v>+0</v>
      </c>
      <c r="S1827" s="14" t="s">
        <v>277</v>
      </c>
    </row>
    <row r="1828">
      <c r="A1828" s="13">
        <v>45901.0</v>
      </c>
      <c r="B1828" s="14" t="s">
        <v>47</v>
      </c>
      <c r="C1828" s="14" t="s">
        <v>48</v>
      </c>
      <c r="D1828" s="14" t="s">
        <v>85</v>
      </c>
      <c r="E1828" s="14" t="s">
        <v>86</v>
      </c>
      <c r="F1828" s="15" t="s">
        <v>51</v>
      </c>
      <c r="G1828" s="14" t="s">
        <v>148</v>
      </c>
      <c r="H1828" s="14" t="s">
        <v>85</v>
      </c>
      <c r="I1828" s="14" t="s">
        <v>59</v>
      </c>
      <c r="J1828" s="14" t="s">
        <v>198</v>
      </c>
      <c r="K1828" s="14" t="s">
        <v>212</v>
      </c>
      <c r="L1828" s="14" t="s">
        <v>249</v>
      </c>
      <c r="M1828" s="14" t="s">
        <v>598</v>
      </c>
      <c r="N1828" s="14" t="s">
        <v>599</v>
      </c>
      <c r="O1828" s="14">
        <v>89.0</v>
      </c>
      <c r="P1828" s="21">
        <v>11460.0</v>
      </c>
      <c r="Q1828" s="22" t="str">
        <f>"-382"</f>
        <v>-382</v>
      </c>
      <c r="R1828" s="18" t="str">
        <f>"-30"</f>
        <v>-30</v>
      </c>
      <c r="S1828" s="14" t="s">
        <v>1605</v>
      </c>
    </row>
    <row r="1829">
      <c r="A1829" s="13">
        <v>45901.0</v>
      </c>
      <c r="B1829" s="14" t="s">
        <v>47</v>
      </c>
      <c r="C1829" s="14" t="s">
        <v>48</v>
      </c>
      <c r="D1829" s="14" t="s">
        <v>96</v>
      </c>
      <c r="E1829" s="14" t="s">
        <v>97</v>
      </c>
      <c r="F1829" s="15" t="s">
        <v>51</v>
      </c>
      <c r="G1829" s="14" t="s">
        <v>98</v>
      </c>
      <c r="H1829" s="14" t="s">
        <v>96</v>
      </c>
      <c r="I1829" s="14" t="s">
        <v>59</v>
      </c>
      <c r="J1829" s="14" t="s">
        <v>200</v>
      </c>
      <c r="K1829" s="14" t="s">
        <v>227</v>
      </c>
      <c r="L1829" s="14" t="s">
        <v>270</v>
      </c>
      <c r="M1829" s="14" t="s">
        <v>271</v>
      </c>
      <c r="N1829" s="14" t="s">
        <v>272</v>
      </c>
      <c r="O1829" s="14">
        <v>0.0</v>
      </c>
      <c r="P1829" s="23">
        <v>-1.0</v>
      </c>
      <c r="Q1829" s="22" t="str">
        <f t="shared" ref="Q1829:R1829" si="1082">"+0.00%"</f>
        <v>+0.00%</v>
      </c>
      <c r="R1829" s="18" t="str">
        <f t="shared" si="1082"/>
        <v>+0.00%</v>
      </c>
      <c r="S1829" s="14" t="s">
        <v>273</v>
      </c>
    </row>
    <row r="1830">
      <c r="A1830" s="13">
        <v>45901.0</v>
      </c>
      <c r="B1830" s="14" t="s">
        <v>47</v>
      </c>
      <c r="C1830" s="14" t="s">
        <v>48</v>
      </c>
      <c r="D1830" s="14" t="s">
        <v>77</v>
      </c>
      <c r="E1830" s="14" t="s">
        <v>78</v>
      </c>
      <c r="F1830" s="14" t="s">
        <v>79</v>
      </c>
      <c r="G1830" s="14" t="s">
        <v>80</v>
      </c>
      <c r="H1830" s="14" t="s">
        <v>81</v>
      </c>
      <c r="J1830" s="14" t="s">
        <v>200</v>
      </c>
      <c r="K1830" s="14" t="s">
        <v>238</v>
      </c>
      <c r="L1830" s="14" t="s">
        <v>333</v>
      </c>
      <c r="M1830" s="14" t="s">
        <v>1606</v>
      </c>
      <c r="N1830" s="14" t="s">
        <v>1607</v>
      </c>
      <c r="O1830" s="14">
        <v>50.0</v>
      </c>
      <c r="P1830" s="23">
        <v>0.0</v>
      </c>
      <c r="Q1830" s="22" t="str">
        <f t="shared" ref="Q1830:Q1831" si="1083">"+0.00%"</f>
        <v>+0.00%</v>
      </c>
      <c r="R1830" s="18" t="str">
        <f>"+100.00%"</f>
        <v>+100.00%</v>
      </c>
      <c r="S1830" s="14" t="s">
        <v>336</v>
      </c>
    </row>
    <row r="1831">
      <c r="A1831" s="13">
        <v>45901.0</v>
      </c>
      <c r="B1831" s="14" t="s">
        <v>47</v>
      </c>
      <c r="C1831" s="14" t="s">
        <v>48</v>
      </c>
      <c r="D1831" s="14" t="s">
        <v>108</v>
      </c>
      <c r="E1831" s="14" t="s">
        <v>109</v>
      </c>
      <c r="F1831" s="15" t="s">
        <v>51</v>
      </c>
      <c r="G1831" s="14" t="s">
        <v>110</v>
      </c>
      <c r="H1831" s="14" t="s">
        <v>108</v>
      </c>
      <c r="I1831" s="14" t="s">
        <v>59</v>
      </c>
      <c r="J1831" s="14" t="s">
        <v>200</v>
      </c>
      <c r="K1831" s="14" t="s">
        <v>213</v>
      </c>
      <c r="L1831" s="14" t="s">
        <v>676</v>
      </c>
      <c r="M1831" s="14" t="s">
        <v>677</v>
      </c>
      <c r="N1831" s="14" t="s">
        <v>678</v>
      </c>
      <c r="O1831" s="14">
        <v>0.0</v>
      </c>
      <c r="P1831" s="23">
        <v>0.0</v>
      </c>
      <c r="Q1831" s="22" t="str">
        <f t="shared" si="1083"/>
        <v>+0.00%</v>
      </c>
      <c r="S1831" s="14" t="s">
        <v>285</v>
      </c>
    </row>
    <row r="1832">
      <c r="A1832" s="13">
        <v>45901.0</v>
      </c>
      <c r="B1832" s="14" t="s">
        <v>47</v>
      </c>
      <c r="C1832" s="14" t="s">
        <v>48</v>
      </c>
      <c r="D1832" s="14" t="s">
        <v>116</v>
      </c>
      <c r="E1832" s="14" t="s">
        <v>117</v>
      </c>
      <c r="F1832" s="15" t="s">
        <v>51</v>
      </c>
      <c r="G1832" s="14" t="s">
        <v>161</v>
      </c>
      <c r="H1832" s="14" t="s">
        <v>116</v>
      </c>
      <c r="I1832" s="14" t="s">
        <v>54</v>
      </c>
      <c r="J1832" s="14" t="s">
        <v>198</v>
      </c>
      <c r="K1832" s="14" t="s">
        <v>210</v>
      </c>
      <c r="L1832" s="14" t="s">
        <v>505</v>
      </c>
      <c r="M1832" s="14" t="s">
        <v>1222</v>
      </c>
      <c r="N1832" s="14" t="s">
        <v>1223</v>
      </c>
      <c r="O1832" s="14">
        <v>0.0</v>
      </c>
      <c r="P1832" s="21">
        <v>0.0</v>
      </c>
      <c r="Q1832" s="22" t="str">
        <f t="shared" ref="Q1832:R1832" si="1084">"+0"</f>
        <v>+0</v>
      </c>
      <c r="R1832" s="18" t="str">
        <f t="shared" si="1084"/>
        <v>+0</v>
      </c>
      <c r="S1832" s="14" t="s">
        <v>277</v>
      </c>
    </row>
    <row r="1833">
      <c r="A1833" s="13">
        <v>45901.0</v>
      </c>
      <c r="B1833" s="14" t="s">
        <v>47</v>
      </c>
      <c r="C1833" s="14" t="s">
        <v>48</v>
      </c>
      <c r="D1833" s="14" t="s">
        <v>112</v>
      </c>
      <c r="E1833" s="14" t="s">
        <v>113</v>
      </c>
      <c r="F1833" s="15" t="s">
        <v>51</v>
      </c>
      <c r="G1833" s="14" t="s">
        <v>114</v>
      </c>
      <c r="H1833" s="14" t="s">
        <v>112</v>
      </c>
      <c r="I1833" s="14" t="s">
        <v>59</v>
      </c>
      <c r="J1833" s="14" t="s">
        <v>200</v>
      </c>
      <c r="K1833" s="14" t="s">
        <v>202</v>
      </c>
      <c r="L1833" s="14" t="s">
        <v>253</v>
      </c>
      <c r="M1833" s="14" t="s">
        <v>347</v>
      </c>
      <c r="N1833" s="14" t="s">
        <v>348</v>
      </c>
      <c r="O1833" s="14">
        <v>0.0</v>
      </c>
      <c r="P1833" s="23">
        <v>0.0</v>
      </c>
      <c r="Q1833" s="22" t="str">
        <f t="shared" ref="Q1833:R1833" si="1085">"+0.00%"</f>
        <v>+0.00%</v>
      </c>
      <c r="R1833" s="18" t="str">
        <f t="shared" si="1085"/>
        <v>+0.00%</v>
      </c>
      <c r="S1833" s="14" t="s">
        <v>1608</v>
      </c>
    </row>
    <row r="1834">
      <c r="A1834" s="13">
        <v>45901.0</v>
      </c>
      <c r="B1834" s="14" t="s">
        <v>47</v>
      </c>
      <c r="C1834" s="14" t="s">
        <v>48</v>
      </c>
      <c r="D1834" s="14" t="s">
        <v>181</v>
      </c>
      <c r="E1834" s="14" t="s">
        <v>182</v>
      </c>
      <c r="F1834" s="15" t="s">
        <v>51</v>
      </c>
      <c r="G1834" s="14" t="s">
        <v>183</v>
      </c>
      <c r="H1834" s="14" t="s">
        <v>181</v>
      </c>
      <c r="I1834" s="14" t="s">
        <v>59</v>
      </c>
      <c r="J1834" s="14" t="s">
        <v>200</v>
      </c>
      <c r="K1834" s="14" t="s">
        <v>232</v>
      </c>
      <c r="L1834" s="14" t="s">
        <v>253</v>
      </c>
      <c r="M1834" s="14" t="s">
        <v>366</v>
      </c>
      <c r="N1834" s="14" t="s">
        <v>367</v>
      </c>
      <c r="O1834" s="14">
        <v>57.0</v>
      </c>
      <c r="P1834" s="23">
        <v>0.576</v>
      </c>
      <c r="Q1834" s="22" t="str">
        <f t="shared" ref="Q1834:R1834" si="1086">"+0.00%"</f>
        <v>+0.00%</v>
      </c>
      <c r="R1834" s="18" t="str">
        <f t="shared" si="1086"/>
        <v>+0.00%</v>
      </c>
      <c r="S1834" s="14" t="s">
        <v>1609</v>
      </c>
    </row>
    <row r="1835">
      <c r="A1835" s="13">
        <v>45901.0</v>
      </c>
      <c r="B1835" s="14" t="s">
        <v>47</v>
      </c>
      <c r="C1835" s="14" t="s">
        <v>48</v>
      </c>
      <c r="D1835" s="14" t="s">
        <v>155</v>
      </c>
      <c r="E1835" s="14" t="s">
        <v>156</v>
      </c>
      <c r="F1835" s="15" t="s">
        <v>51</v>
      </c>
      <c r="G1835" s="14" t="s">
        <v>157</v>
      </c>
      <c r="H1835" s="14" t="s">
        <v>155</v>
      </c>
      <c r="I1835" s="14" t="s">
        <v>59</v>
      </c>
      <c r="J1835" s="14" t="s">
        <v>200</v>
      </c>
      <c r="K1835" s="14" t="s">
        <v>223</v>
      </c>
      <c r="L1835" s="14" t="s">
        <v>286</v>
      </c>
      <c r="M1835" s="14" t="s">
        <v>730</v>
      </c>
      <c r="N1835" s="14" t="s">
        <v>731</v>
      </c>
      <c r="O1835" s="14">
        <v>0.0</v>
      </c>
      <c r="P1835" s="17"/>
      <c r="Q1835" s="22"/>
      <c r="S1835" s="14" t="s">
        <v>285</v>
      </c>
    </row>
    <row r="1836">
      <c r="A1836" s="13">
        <v>45901.0</v>
      </c>
      <c r="B1836" s="14" t="s">
        <v>47</v>
      </c>
      <c r="C1836" s="14" t="s">
        <v>48</v>
      </c>
      <c r="D1836" s="14" t="s">
        <v>60</v>
      </c>
      <c r="E1836" s="14" t="s">
        <v>61</v>
      </c>
      <c r="F1836" s="15" t="s">
        <v>51</v>
      </c>
      <c r="G1836" s="14" t="s">
        <v>62</v>
      </c>
      <c r="H1836" s="14" t="s">
        <v>60</v>
      </c>
      <c r="I1836" s="14" t="s">
        <v>59</v>
      </c>
      <c r="J1836" s="14" t="s">
        <v>200</v>
      </c>
      <c r="K1836" s="14" t="s">
        <v>223</v>
      </c>
      <c r="L1836" s="14" t="s">
        <v>257</v>
      </c>
      <c r="M1836" s="14" t="s">
        <v>298</v>
      </c>
      <c r="N1836" s="14" t="s">
        <v>299</v>
      </c>
      <c r="O1836" s="14">
        <v>0.0</v>
      </c>
      <c r="P1836" s="23">
        <v>0.0</v>
      </c>
      <c r="Q1836" s="22" t="str">
        <f t="shared" ref="Q1836:R1836" si="1087">"+0.00%"</f>
        <v>+0.00%</v>
      </c>
      <c r="R1836" s="18" t="str">
        <f t="shared" si="1087"/>
        <v>+0.00%</v>
      </c>
      <c r="S1836" s="14" t="s">
        <v>1610</v>
      </c>
    </row>
    <row r="1837">
      <c r="A1837" s="13">
        <v>45901.0</v>
      </c>
      <c r="B1837" s="14" t="s">
        <v>47</v>
      </c>
      <c r="C1837" s="14" t="s">
        <v>48</v>
      </c>
      <c r="D1837" s="14" t="s">
        <v>181</v>
      </c>
      <c r="E1837" s="14" t="s">
        <v>182</v>
      </c>
      <c r="F1837" s="15" t="s">
        <v>51</v>
      </c>
      <c r="G1837" s="14" t="s">
        <v>183</v>
      </c>
      <c r="H1837" s="14" t="s">
        <v>181</v>
      </c>
      <c r="I1837" s="14" t="s">
        <v>59</v>
      </c>
      <c r="J1837" s="14" t="s">
        <v>200</v>
      </c>
      <c r="K1837" s="14" t="s">
        <v>232</v>
      </c>
      <c r="L1837" s="14" t="s">
        <v>282</v>
      </c>
      <c r="M1837" s="14" t="s">
        <v>914</v>
      </c>
      <c r="N1837" s="14" t="s">
        <v>915</v>
      </c>
      <c r="O1837" s="14">
        <v>0.0</v>
      </c>
      <c r="P1837" s="21">
        <v>0.0</v>
      </c>
      <c r="Q1837" s="22" t="str">
        <f t="shared" ref="Q1837:R1837" si="1088">"+0"</f>
        <v>+0</v>
      </c>
      <c r="R1837" s="18" t="str">
        <f t="shared" si="1088"/>
        <v>+0</v>
      </c>
      <c r="S1837" s="14" t="s">
        <v>260</v>
      </c>
    </row>
    <row r="1838">
      <c r="A1838" s="13">
        <v>45901.0</v>
      </c>
      <c r="B1838" s="14" t="s">
        <v>47</v>
      </c>
      <c r="C1838" s="14" t="s">
        <v>48</v>
      </c>
      <c r="D1838" s="14" t="s">
        <v>56</v>
      </c>
      <c r="E1838" s="14" t="s">
        <v>57</v>
      </c>
      <c r="F1838" s="14" t="s">
        <v>71</v>
      </c>
      <c r="G1838" s="14">
        <v>5.36003976E8</v>
      </c>
      <c r="H1838" s="14" t="s">
        <v>56</v>
      </c>
      <c r="I1838" s="14" t="s">
        <v>59</v>
      </c>
      <c r="J1838" s="14" t="s">
        <v>200</v>
      </c>
      <c r="K1838" s="14" t="s">
        <v>218</v>
      </c>
      <c r="L1838" s="14" t="s">
        <v>253</v>
      </c>
      <c r="M1838" s="14" t="s">
        <v>784</v>
      </c>
      <c r="N1838" s="14" t="s">
        <v>785</v>
      </c>
      <c r="O1838" s="14">
        <v>1.0</v>
      </c>
      <c r="P1838" s="23">
        <v>9.0E-4</v>
      </c>
      <c r="Q1838" s="22" t="str">
        <f>"+0.02%"</f>
        <v>+0.02%</v>
      </c>
      <c r="R1838" s="18" t="str">
        <f>"+0.03%"</f>
        <v>+0.03%</v>
      </c>
      <c r="S1838" s="14" t="s">
        <v>1462</v>
      </c>
    </row>
    <row r="1839">
      <c r="A1839" s="13">
        <v>45901.0</v>
      </c>
      <c r="B1839" s="14" t="s">
        <v>47</v>
      </c>
      <c r="C1839" s="14" t="s">
        <v>48</v>
      </c>
      <c r="D1839" s="14" t="s">
        <v>168</v>
      </c>
      <c r="E1839" s="14" t="s">
        <v>169</v>
      </c>
      <c r="F1839" s="15" t="s">
        <v>51</v>
      </c>
      <c r="G1839" s="14" t="s">
        <v>170</v>
      </c>
      <c r="H1839" s="14" t="s">
        <v>168</v>
      </c>
      <c r="I1839" s="14" t="s">
        <v>59</v>
      </c>
      <c r="J1839" s="14" t="s">
        <v>200</v>
      </c>
      <c r="K1839" s="14" t="s">
        <v>213</v>
      </c>
      <c r="L1839" s="14" t="s">
        <v>289</v>
      </c>
      <c r="M1839" s="14" t="s">
        <v>290</v>
      </c>
      <c r="N1839" s="14" t="s">
        <v>291</v>
      </c>
      <c r="O1839" s="14">
        <v>0.0</v>
      </c>
      <c r="P1839" s="23">
        <v>0.0</v>
      </c>
      <c r="Q1839" s="22" t="str">
        <f t="shared" ref="Q1839:R1839" si="1089">"+0.00%"</f>
        <v>+0.00%</v>
      </c>
      <c r="R1839" s="18" t="str">
        <f t="shared" si="1089"/>
        <v>+0.00%</v>
      </c>
      <c r="S1839" s="14" t="s">
        <v>285</v>
      </c>
    </row>
    <row r="1840">
      <c r="A1840" s="13">
        <v>45901.0</v>
      </c>
      <c r="B1840" s="14" t="s">
        <v>47</v>
      </c>
      <c r="C1840" s="14" t="s">
        <v>48</v>
      </c>
      <c r="D1840" s="14" t="s">
        <v>121</v>
      </c>
      <c r="E1840" s="14" t="s">
        <v>122</v>
      </c>
      <c r="F1840" s="15" t="s">
        <v>51</v>
      </c>
      <c r="G1840" s="14" t="s">
        <v>123</v>
      </c>
      <c r="H1840" s="14" t="s">
        <v>124</v>
      </c>
      <c r="I1840" s="14" t="s">
        <v>59</v>
      </c>
      <c r="J1840" s="14" t="s">
        <v>200</v>
      </c>
      <c r="K1840" s="14" t="s">
        <v>232</v>
      </c>
      <c r="L1840" s="14" t="s">
        <v>286</v>
      </c>
      <c r="M1840" s="14" t="s">
        <v>369</v>
      </c>
      <c r="N1840" s="14" t="s">
        <v>370</v>
      </c>
      <c r="O1840" s="14">
        <v>0.0</v>
      </c>
      <c r="P1840" s="23">
        <v>0.0</v>
      </c>
      <c r="Q1840" s="22" t="str">
        <f t="shared" ref="Q1840:R1840" si="1090">"+0.00%"</f>
        <v>+0.00%</v>
      </c>
      <c r="R1840" s="18" t="str">
        <f t="shared" si="1090"/>
        <v>+0.00%</v>
      </c>
      <c r="S1840" s="14" t="s">
        <v>1611</v>
      </c>
    </row>
    <row r="1841">
      <c r="A1841" s="13">
        <v>45901.0</v>
      </c>
      <c r="B1841" s="14" t="s">
        <v>47</v>
      </c>
      <c r="C1841" s="14" t="s">
        <v>48</v>
      </c>
      <c r="D1841" s="14" t="s">
        <v>49</v>
      </c>
      <c r="E1841" s="14" t="s">
        <v>50</v>
      </c>
      <c r="F1841" s="15" t="s">
        <v>51</v>
      </c>
      <c r="G1841" s="14" t="s">
        <v>52</v>
      </c>
      <c r="H1841" s="14" t="s">
        <v>53</v>
      </c>
      <c r="I1841" s="14" t="s">
        <v>54</v>
      </c>
      <c r="J1841" s="14" t="s">
        <v>200</v>
      </c>
      <c r="K1841" s="14" t="s">
        <v>224</v>
      </c>
      <c r="L1841" s="14" t="s">
        <v>427</v>
      </c>
      <c r="M1841" s="14" t="s">
        <v>1575</v>
      </c>
      <c r="N1841" s="14" t="s">
        <v>1576</v>
      </c>
      <c r="O1841" s="14">
        <v>0.0</v>
      </c>
      <c r="P1841" s="23">
        <v>0.0</v>
      </c>
      <c r="Q1841" s="22" t="str">
        <f>"+0.00%"</f>
        <v>+0.00%</v>
      </c>
      <c r="R1841" s="18" t="str">
        <f>"-14.29%"</f>
        <v>-14.29%</v>
      </c>
      <c r="S1841" s="14" t="s">
        <v>1612</v>
      </c>
    </row>
    <row r="1842">
      <c r="A1842" s="13">
        <v>45901.0</v>
      </c>
      <c r="B1842" s="14" t="s">
        <v>47</v>
      </c>
      <c r="C1842" s="14" t="s">
        <v>48</v>
      </c>
      <c r="D1842" s="14" t="s">
        <v>49</v>
      </c>
      <c r="E1842" s="14" t="s">
        <v>50</v>
      </c>
      <c r="F1842" s="15" t="s">
        <v>51</v>
      </c>
      <c r="G1842" s="14" t="s">
        <v>52</v>
      </c>
      <c r="H1842" s="14" t="s">
        <v>53</v>
      </c>
      <c r="I1842" s="14" t="s">
        <v>54</v>
      </c>
      <c r="J1842" s="14" t="s">
        <v>199</v>
      </c>
      <c r="K1842" s="14" t="s">
        <v>203</v>
      </c>
      <c r="L1842" s="14" t="s">
        <v>536</v>
      </c>
      <c r="M1842" s="14" t="s">
        <v>536</v>
      </c>
      <c r="N1842" s="14" t="s">
        <v>537</v>
      </c>
      <c r="O1842" s="14">
        <v>100.0</v>
      </c>
      <c r="P1842" s="21">
        <v>1.0</v>
      </c>
      <c r="Q1842" s="22" t="str">
        <f t="shared" ref="Q1842:R1842" si="1091">"+0"</f>
        <v>+0</v>
      </c>
      <c r="R1842" s="18" t="str">
        <f t="shared" si="1091"/>
        <v>+0</v>
      </c>
      <c r="S1842" s="14" t="s">
        <v>260</v>
      </c>
    </row>
    <row r="1843">
      <c r="A1843" s="13">
        <v>45901.0</v>
      </c>
      <c r="B1843" s="14" t="s">
        <v>47</v>
      </c>
      <c r="C1843" s="14" t="s">
        <v>48</v>
      </c>
      <c r="D1843" s="14" t="s">
        <v>49</v>
      </c>
      <c r="E1843" s="14" t="s">
        <v>50</v>
      </c>
      <c r="F1843" s="15" t="s">
        <v>51</v>
      </c>
      <c r="G1843" s="14" t="s">
        <v>52</v>
      </c>
      <c r="H1843" s="14" t="s">
        <v>53</v>
      </c>
      <c r="I1843" s="14" t="s">
        <v>54</v>
      </c>
      <c r="J1843" s="14" t="s">
        <v>198</v>
      </c>
      <c r="K1843" s="14" t="s">
        <v>210</v>
      </c>
      <c r="L1843" s="14" t="s">
        <v>264</v>
      </c>
      <c r="M1843" s="14" t="s">
        <v>1033</v>
      </c>
      <c r="N1843" s="14" t="s">
        <v>1034</v>
      </c>
      <c r="O1843" s="14">
        <v>0.0</v>
      </c>
      <c r="P1843" s="21">
        <v>0.0</v>
      </c>
      <c r="Q1843" s="22" t="str">
        <f t="shared" ref="Q1843:R1843" si="1092">"+0"</f>
        <v>+0</v>
      </c>
      <c r="R1843" s="18" t="str">
        <f t="shared" si="1092"/>
        <v>+0</v>
      </c>
      <c r="S1843" s="14" t="s">
        <v>277</v>
      </c>
    </row>
    <row r="1844">
      <c r="A1844" s="13">
        <v>45901.0</v>
      </c>
      <c r="B1844" s="14" t="s">
        <v>47</v>
      </c>
      <c r="C1844" s="14" t="s">
        <v>48</v>
      </c>
      <c r="D1844" s="14" t="s">
        <v>165</v>
      </c>
      <c r="E1844" s="14" t="s">
        <v>166</v>
      </c>
      <c r="F1844" s="15" t="s">
        <v>51</v>
      </c>
      <c r="G1844" s="14" t="s">
        <v>167</v>
      </c>
      <c r="H1844" s="14" t="s">
        <v>165</v>
      </c>
      <c r="I1844" s="14" t="s">
        <v>54</v>
      </c>
      <c r="J1844" s="14" t="s">
        <v>198</v>
      </c>
      <c r="K1844" s="14" t="s">
        <v>210</v>
      </c>
      <c r="L1844" s="14" t="s">
        <v>264</v>
      </c>
      <c r="M1844" s="14" t="s">
        <v>834</v>
      </c>
      <c r="N1844" s="14" t="s">
        <v>835</v>
      </c>
      <c r="O1844" s="14">
        <v>0.0</v>
      </c>
      <c r="P1844" s="21">
        <v>0.0</v>
      </c>
      <c r="Q1844" s="22" t="str">
        <f t="shared" ref="Q1844:R1844" si="1093">"+0"</f>
        <v>+0</v>
      </c>
      <c r="R1844" s="18" t="str">
        <f t="shared" si="1093"/>
        <v>+0</v>
      </c>
      <c r="S1844" s="14" t="s">
        <v>277</v>
      </c>
    </row>
    <row r="1845">
      <c r="A1845" s="13">
        <v>45901.0</v>
      </c>
      <c r="B1845" s="14" t="s">
        <v>47</v>
      </c>
      <c r="C1845" s="14" t="s">
        <v>48</v>
      </c>
      <c r="D1845" s="14" t="s">
        <v>49</v>
      </c>
      <c r="E1845" s="14" t="s">
        <v>50</v>
      </c>
      <c r="F1845" s="15" t="s">
        <v>51</v>
      </c>
      <c r="G1845" s="14" t="s">
        <v>52</v>
      </c>
      <c r="H1845" s="14" t="s">
        <v>53</v>
      </c>
      <c r="I1845" s="14" t="s">
        <v>54</v>
      </c>
      <c r="J1845" s="14" t="s">
        <v>200</v>
      </c>
      <c r="K1845" s="14" t="s">
        <v>224</v>
      </c>
      <c r="L1845" s="14" t="s">
        <v>453</v>
      </c>
      <c r="M1845" s="14" t="s">
        <v>665</v>
      </c>
      <c r="N1845" s="14" t="s">
        <v>666</v>
      </c>
      <c r="O1845" s="14">
        <v>100.0</v>
      </c>
      <c r="P1845" s="23">
        <v>1.0</v>
      </c>
      <c r="Q1845" s="22" t="str">
        <f t="shared" ref="Q1845:R1845" si="1094">"+0.00%"</f>
        <v>+0.00%</v>
      </c>
      <c r="R1845" s="18" t="str">
        <f t="shared" si="1094"/>
        <v>+0.00%</v>
      </c>
      <c r="S1845" s="14" t="s">
        <v>667</v>
      </c>
    </row>
    <row r="1846">
      <c r="A1846" s="13">
        <v>45901.0</v>
      </c>
      <c r="B1846" s="14" t="s">
        <v>47</v>
      </c>
      <c r="C1846" s="14" t="s">
        <v>48</v>
      </c>
      <c r="D1846" s="14" t="s">
        <v>91</v>
      </c>
      <c r="E1846" s="14" t="s">
        <v>92</v>
      </c>
      <c r="F1846" s="15" t="s">
        <v>51</v>
      </c>
      <c r="G1846" s="14" t="s">
        <v>163</v>
      </c>
      <c r="H1846" s="14" t="s">
        <v>91</v>
      </c>
      <c r="I1846" s="14" t="s">
        <v>59</v>
      </c>
      <c r="J1846" s="14" t="s">
        <v>199</v>
      </c>
      <c r="K1846" s="14" t="s">
        <v>206</v>
      </c>
      <c r="L1846" s="14" t="s">
        <v>531</v>
      </c>
      <c r="M1846" s="14" t="s">
        <v>531</v>
      </c>
      <c r="N1846" s="14" t="s">
        <v>532</v>
      </c>
      <c r="O1846" s="14">
        <v>100.0</v>
      </c>
      <c r="P1846" s="21">
        <v>24.0</v>
      </c>
      <c r="Q1846" s="22" t="str">
        <f t="shared" ref="Q1846:R1846" si="1095">"+0"</f>
        <v>+0</v>
      </c>
      <c r="R1846" s="18" t="str">
        <f t="shared" si="1095"/>
        <v>+0</v>
      </c>
      <c r="S1846" s="14" t="s">
        <v>260</v>
      </c>
    </row>
    <row r="1847">
      <c r="A1847" s="13">
        <v>45901.0</v>
      </c>
      <c r="B1847" s="14" t="s">
        <v>47</v>
      </c>
      <c r="C1847" s="14" t="s">
        <v>48</v>
      </c>
      <c r="D1847" s="14" t="s">
        <v>63</v>
      </c>
      <c r="E1847" s="14" t="s">
        <v>64</v>
      </c>
      <c r="F1847" s="14" t="s">
        <v>111</v>
      </c>
      <c r="G1847" s="14">
        <v>4916210.0</v>
      </c>
      <c r="H1847" s="14" t="s">
        <v>63</v>
      </c>
      <c r="I1847" s="14" t="s">
        <v>59</v>
      </c>
      <c r="J1847" s="14" t="s">
        <v>199</v>
      </c>
      <c r="K1847" s="14" t="s">
        <v>203</v>
      </c>
      <c r="L1847" s="14" t="s">
        <v>725</v>
      </c>
      <c r="M1847" s="14" t="s">
        <v>725</v>
      </c>
      <c r="N1847" s="14" t="s">
        <v>726</v>
      </c>
      <c r="O1847" s="14">
        <v>0.0</v>
      </c>
      <c r="P1847" s="21">
        <v>0.0</v>
      </c>
      <c r="Q1847" s="22" t="str">
        <f t="shared" ref="Q1847:R1847" si="1096">"+0"</f>
        <v>+0</v>
      </c>
      <c r="R1847" s="18" t="str">
        <f t="shared" si="1096"/>
        <v>+0</v>
      </c>
      <c r="S1847" s="14" t="s">
        <v>260</v>
      </c>
    </row>
    <row r="1848">
      <c r="A1848" s="13">
        <v>45901.0</v>
      </c>
      <c r="B1848" s="14" t="s">
        <v>47</v>
      </c>
      <c r="C1848" s="14" t="s">
        <v>48</v>
      </c>
      <c r="D1848" s="14" t="s">
        <v>93</v>
      </c>
      <c r="E1848" s="14" t="s">
        <v>94</v>
      </c>
      <c r="F1848" s="15" t="s">
        <v>51</v>
      </c>
      <c r="G1848" s="14" t="s">
        <v>191</v>
      </c>
      <c r="H1848" s="14" t="s">
        <v>95</v>
      </c>
      <c r="I1848" s="14" t="s">
        <v>59</v>
      </c>
      <c r="J1848" s="14" t="s">
        <v>198</v>
      </c>
      <c r="K1848" s="14" t="s">
        <v>210</v>
      </c>
      <c r="L1848" s="14" t="s">
        <v>278</v>
      </c>
      <c r="M1848" s="14" t="s">
        <v>443</v>
      </c>
      <c r="N1848" s="14" t="s">
        <v>444</v>
      </c>
      <c r="O1848" s="14">
        <v>61.0</v>
      </c>
      <c r="P1848" s="21">
        <v>80.0</v>
      </c>
      <c r="Q1848" s="22" t="str">
        <f>"-4"</f>
        <v>-4</v>
      </c>
      <c r="R1848" s="18" t="str">
        <f>"-7"</f>
        <v>-7</v>
      </c>
      <c r="S1848" s="14" t="s">
        <v>1613</v>
      </c>
    </row>
    <row r="1849">
      <c r="A1849" s="13">
        <v>45901.0</v>
      </c>
      <c r="B1849" s="14" t="s">
        <v>47</v>
      </c>
      <c r="C1849" s="14" t="s">
        <v>48</v>
      </c>
      <c r="D1849" s="14" t="s">
        <v>184</v>
      </c>
      <c r="E1849" s="14" t="s">
        <v>185</v>
      </c>
      <c r="F1849" s="15" t="s">
        <v>51</v>
      </c>
      <c r="G1849" s="14" t="s">
        <v>186</v>
      </c>
      <c r="H1849" s="14" t="s">
        <v>187</v>
      </c>
      <c r="I1849" s="14" t="s">
        <v>59</v>
      </c>
      <c r="J1849" s="14" t="s">
        <v>200</v>
      </c>
      <c r="K1849" s="14" t="s">
        <v>219</v>
      </c>
      <c r="L1849" s="14" t="s">
        <v>253</v>
      </c>
      <c r="M1849" s="14" t="s">
        <v>1614</v>
      </c>
      <c r="N1849" s="14" t="s">
        <v>1615</v>
      </c>
      <c r="O1849" s="14">
        <v>0.0</v>
      </c>
      <c r="P1849" s="17"/>
      <c r="Q1849" s="22"/>
      <c r="S1849" s="14" t="s">
        <v>285</v>
      </c>
    </row>
    <row r="1850">
      <c r="A1850" s="13">
        <v>45901.0</v>
      </c>
      <c r="B1850" s="14" t="s">
        <v>47</v>
      </c>
      <c r="C1850" s="14" t="s">
        <v>48</v>
      </c>
      <c r="D1850" s="14" t="s">
        <v>143</v>
      </c>
      <c r="E1850" s="14" t="s">
        <v>144</v>
      </c>
      <c r="F1850" s="15" t="s">
        <v>51</v>
      </c>
      <c r="G1850" s="14" t="s">
        <v>145</v>
      </c>
      <c r="H1850" s="14" t="s">
        <v>143</v>
      </c>
      <c r="I1850" s="14" t="s">
        <v>59</v>
      </c>
      <c r="J1850" s="14" t="s">
        <v>200</v>
      </c>
      <c r="K1850" s="14" t="s">
        <v>227</v>
      </c>
      <c r="L1850" s="14" t="s">
        <v>328</v>
      </c>
      <c r="M1850" s="14" t="s">
        <v>329</v>
      </c>
      <c r="N1850" s="14" t="s">
        <v>330</v>
      </c>
      <c r="O1850" s="14">
        <v>0.0</v>
      </c>
      <c r="P1850" s="21">
        <v>0.0</v>
      </c>
      <c r="Q1850" s="22" t="str">
        <f t="shared" ref="Q1850:R1850" si="1097">"+0"</f>
        <v>+0</v>
      </c>
      <c r="R1850" s="18" t="str">
        <f t="shared" si="1097"/>
        <v>+0</v>
      </c>
      <c r="S1850" s="14" t="s">
        <v>260</v>
      </c>
    </row>
    <row r="1851">
      <c r="A1851" s="13">
        <v>45901.0</v>
      </c>
      <c r="B1851" s="14" t="s">
        <v>47</v>
      </c>
      <c r="C1851" s="14" t="s">
        <v>48</v>
      </c>
      <c r="D1851" s="14" t="s">
        <v>149</v>
      </c>
      <c r="E1851" s="14" t="s">
        <v>150</v>
      </c>
      <c r="F1851" s="15" t="s">
        <v>51</v>
      </c>
      <c r="G1851" s="14" t="s">
        <v>151</v>
      </c>
      <c r="H1851" s="14" t="s">
        <v>152</v>
      </c>
      <c r="I1851" s="14" t="s">
        <v>54</v>
      </c>
      <c r="J1851" s="14" t="s">
        <v>198</v>
      </c>
      <c r="K1851" s="14" t="s">
        <v>212</v>
      </c>
      <c r="L1851" s="14" t="s">
        <v>344</v>
      </c>
      <c r="M1851" s="14" t="s">
        <v>580</v>
      </c>
      <c r="N1851" s="14" t="s">
        <v>581</v>
      </c>
      <c r="O1851" s="14">
        <v>100.0</v>
      </c>
      <c r="P1851" s="21">
        <v>1.0</v>
      </c>
      <c r="Q1851" s="22" t="str">
        <f>"+1"</f>
        <v>+1</v>
      </c>
      <c r="S1851" s="14" t="s">
        <v>281</v>
      </c>
    </row>
    <row r="1852">
      <c r="A1852" s="13">
        <v>45901.0</v>
      </c>
      <c r="B1852" s="14" t="s">
        <v>47</v>
      </c>
      <c r="C1852" s="14" t="s">
        <v>48</v>
      </c>
      <c r="D1852" s="14" t="s">
        <v>165</v>
      </c>
      <c r="E1852" s="14" t="s">
        <v>166</v>
      </c>
      <c r="F1852" s="15" t="s">
        <v>51</v>
      </c>
      <c r="G1852" s="14" t="s">
        <v>167</v>
      </c>
      <c r="H1852" s="14" t="s">
        <v>165</v>
      </c>
      <c r="I1852" s="14" t="s">
        <v>54</v>
      </c>
      <c r="J1852" s="14" t="s">
        <v>200</v>
      </c>
      <c r="K1852" s="14" t="s">
        <v>213</v>
      </c>
      <c r="L1852" s="14" t="s">
        <v>359</v>
      </c>
      <c r="M1852" s="14" t="s">
        <v>519</v>
      </c>
      <c r="N1852" s="14" t="s">
        <v>520</v>
      </c>
      <c r="O1852" s="14">
        <v>0.0</v>
      </c>
      <c r="P1852" s="21">
        <v>0.0</v>
      </c>
      <c r="Q1852" s="22" t="str">
        <f t="shared" ref="Q1852:R1852" si="1098">"+0"</f>
        <v>+0</v>
      </c>
      <c r="R1852" s="18" t="str">
        <f t="shared" si="1098"/>
        <v>+0</v>
      </c>
      <c r="S1852" s="14" t="s">
        <v>260</v>
      </c>
    </row>
    <row r="1853">
      <c r="A1853" s="13">
        <v>45901.0</v>
      </c>
      <c r="B1853" s="14" t="s">
        <v>47</v>
      </c>
      <c r="C1853" s="14" t="s">
        <v>48</v>
      </c>
      <c r="D1853" s="14" t="s">
        <v>91</v>
      </c>
      <c r="E1853" s="14" t="s">
        <v>92</v>
      </c>
      <c r="F1853" s="14" t="s">
        <v>79</v>
      </c>
      <c r="G1853" s="14" t="s">
        <v>164</v>
      </c>
      <c r="H1853" s="14" t="s">
        <v>91</v>
      </c>
      <c r="I1853" s="14" t="s">
        <v>154</v>
      </c>
      <c r="J1853" s="14" t="s">
        <v>200</v>
      </c>
      <c r="K1853" s="14" t="s">
        <v>238</v>
      </c>
      <c r="L1853" s="14" t="s">
        <v>253</v>
      </c>
      <c r="M1853" s="14" t="s">
        <v>1306</v>
      </c>
      <c r="N1853" s="14" t="s">
        <v>1307</v>
      </c>
      <c r="O1853" s="14">
        <v>29.0</v>
      </c>
      <c r="P1853" s="23">
        <v>0.2979</v>
      </c>
      <c r="Q1853" s="22" t="str">
        <f>"+0.01%"</f>
        <v>+0.01%</v>
      </c>
      <c r="R1853" s="18" t="str">
        <f>"+0.11%"</f>
        <v>+0.11%</v>
      </c>
      <c r="S1853" s="14" t="s">
        <v>1616</v>
      </c>
    </row>
    <row r="1854">
      <c r="A1854" s="13">
        <v>45901.0</v>
      </c>
      <c r="B1854" s="14" t="s">
        <v>47</v>
      </c>
      <c r="C1854" s="14" t="s">
        <v>48</v>
      </c>
      <c r="D1854" s="14" t="s">
        <v>91</v>
      </c>
      <c r="E1854" s="14" t="s">
        <v>92</v>
      </c>
      <c r="F1854" s="14" t="s">
        <v>71</v>
      </c>
      <c r="G1854" s="14">
        <v>5.10000484E8</v>
      </c>
      <c r="H1854" s="14" t="s">
        <v>91</v>
      </c>
      <c r="I1854" s="14" t="s">
        <v>54</v>
      </c>
      <c r="J1854" s="14" t="s">
        <v>199</v>
      </c>
      <c r="K1854" s="14" t="s">
        <v>206</v>
      </c>
      <c r="L1854" s="14" t="s">
        <v>295</v>
      </c>
      <c r="M1854" s="14" t="s">
        <v>461</v>
      </c>
      <c r="N1854" s="14" t="s">
        <v>462</v>
      </c>
      <c r="O1854" s="14">
        <v>0.0</v>
      </c>
      <c r="P1854" s="21">
        <v>0.0</v>
      </c>
      <c r="Q1854" s="22" t="str">
        <f t="shared" ref="Q1854:R1854" si="1099">"+0"</f>
        <v>+0</v>
      </c>
      <c r="R1854" s="18" t="str">
        <f t="shared" si="1099"/>
        <v>+0</v>
      </c>
      <c r="S1854" s="14" t="s">
        <v>260</v>
      </c>
    </row>
    <row r="1855">
      <c r="A1855" s="13">
        <v>45901.0</v>
      </c>
      <c r="B1855" s="14" t="s">
        <v>47</v>
      </c>
      <c r="C1855" s="14" t="s">
        <v>48</v>
      </c>
      <c r="D1855" s="14" t="s">
        <v>66</v>
      </c>
      <c r="E1855" s="14" t="s">
        <v>67</v>
      </c>
      <c r="F1855" s="15" t="s">
        <v>51</v>
      </c>
      <c r="G1855" s="14" t="s">
        <v>68</v>
      </c>
      <c r="H1855" s="14" t="s">
        <v>66</v>
      </c>
      <c r="I1855" s="14" t="s">
        <v>59</v>
      </c>
      <c r="J1855" s="14" t="s">
        <v>200</v>
      </c>
      <c r="K1855" s="14" t="s">
        <v>223</v>
      </c>
      <c r="L1855" s="14" t="s">
        <v>307</v>
      </c>
      <c r="M1855" s="14" t="s">
        <v>502</v>
      </c>
      <c r="N1855" s="14" t="s">
        <v>503</v>
      </c>
      <c r="O1855" s="14">
        <v>0.0</v>
      </c>
      <c r="P1855" s="23">
        <v>0.0</v>
      </c>
      <c r="Q1855" s="22" t="str">
        <f t="shared" ref="Q1855:R1855" si="1100">"+0.00%"</f>
        <v>+0.00%</v>
      </c>
      <c r="R1855" s="18" t="str">
        <f t="shared" si="1100"/>
        <v>+0.00%</v>
      </c>
      <c r="S1855" s="14" t="s">
        <v>1617</v>
      </c>
    </row>
    <row r="1856">
      <c r="A1856" s="13">
        <v>45901.0</v>
      </c>
      <c r="B1856" s="14" t="s">
        <v>47</v>
      </c>
      <c r="C1856" s="14" t="s">
        <v>48</v>
      </c>
      <c r="D1856" s="14" t="s">
        <v>192</v>
      </c>
      <c r="E1856" s="14" t="s">
        <v>193</v>
      </c>
      <c r="F1856" s="15" t="s">
        <v>51</v>
      </c>
      <c r="G1856" s="14" t="s">
        <v>194</v>
      </c>
      <c r="H1856" s="14" t="s">
        <v>192</v>
      </c>
      <c r="I1856" s="14" t="s">
        <v>54</v>
      </c>
      <c r="J1856" s="14" t="s">
        <v>198</v>
      </c>
      <c r="K1856" s="14" t="s">
        <v>210</v>
      </c>
      <c r="L1856" s="14" t="s">
        <v>458</v>
      </c>
      <c r="M1856" s="14" t="s">
        <v>620</v>
      </c>
      <c r="N1856" s="14" t="s">
        <v>621</v>
      </c>
      <c r="O1856" s="14">
        <v>0.0</v>
      </c>
      <c r="P1856" s="21">
        <v>0.0</v>
      </c>
      <c r="Q1856" s="22" t="str">
        <f t="shared" ref="Q1856:R1856" si="1101">"+0"</f>
        <v>+0</v>
      </c>
      <c r="R1856" s="18" t="str">
        <f t="shared" si="1101"/>
        <v>+0</v>
      </c>
      <c r="S1856" s="14" t="s">
        <v>277</v>
      </c>
    </row>
    <row r="1857">
      <c r="A1857" s="13">
        <v>45901.0</v>
      </c>
      <c r="B1857" s="14" t="s">
        <v>47</v>
      </c>
      <c r="C1857" s="14" t="s">
        <v>48</v>
      </c>
      <c r="D1857" s="14" t="s">
        <v>66</v>
      </c>
      <c r="E1857" s="14" t="s">
        <v>67</v>
      </c>
      <c r="F1857" s="15" t="s">
        <v>51</v>
      </c>
      <c r="G1857" s="14" t="s">
        <v>68</v>
      </c>
      <c r="H1857" s="14" t="s">
        <v>66</v>
      </c>
      <c r="I1857" s="14" t="s">
        <v>59</v>
      </c>
      <c r="J1857" s="14" t="s">
        <v>198</v>
      </c>
      <c r="K1857" s="14" t="s">
        <v>205</v>
      </c>
      <c r="L1857" s="14" t="s">
        <v>274</v>
      </c>
      <c r="M1857" s="14" t="s">
        <v>738</v>
      </c>
      <c r="N1857" s="14" t="s">
        <v>739</v>
      </c>
      <c r="O1857" s="14">
        <v>0.0</v>
      </c>
      <c r="P1857" s="21">
        <v>0.0</v>
      </c>
      <c r="Q1857" s="22" t="str">
        <f t="shared" ref="Q1857:Q1859" si="1102">"+0"</f>
        <v>+0</v>
      </c>
      <c r="S1857" s="14" t="s">
        <v>281</v>
      </c>
    </row>
    <row r="1858">
      <c r="A1858" s="13">
        <v>45901.0</v>
      </c>
      <c r="B1858" s="14" t="s">
        <v>47</v>
      </c>
      <c r="C1858" s="14" t="s">
        <v>48</v>
      </c>
      <c r="D1858" s="14" t="s">
        <v>66</v>
      </c>
      <c r="E1858" s="14" t="s">
        <v>67</v>
      </c>
      <c r="F1858" s="15" t="s">
        <v>51</v>
      </c>
      <c r="G1858" s="14" t="s">
        <v>68</v>
      </c>
      <c r="H1858" s="14" t="s">
        <v>66</v>
      </c>
      <c r="I1858" s="14" t="s">
        <v>59</v>
      </c>
      <c r="J1858" s="14" t="s">
        <v>198</v>
      </c>
      <c r="K1858" s="14" t="s">
        <v>207</v>
      </c>
      <c r="L1858" s="14" t="s">
        <v>318</v>
      </c>
      <c r="M1858" s="14" t="s">
        <v>508</v>
      </c>
      <c r="N1858" s="14" t="s">
        <v>509</v>
      </c>
      <c r="O1858" s="14">
        <v>0.0</v>
      </c>
      <c r="P1858" s="21">
        <v>0.0</v>
      </c>
      <c r="Q1858" s="22" t="str">
        <f t="shared" si="1102"/>
        <v>+0</v>
      </c>
      <c r="S1858" s="14" t="s">
        <v>281</v>
      </c>
    </row>
    <row r="1859">
      <c r="A1859" s="13">
        <v>45901.0</v>
      </c>
      <c r="B1859" s="14" t="s">
        <v>47</v>
      </c>
      <c r="C1859" s="14" t="s">
        <v>48</v>
      </c>
      <c r="D1859" s="14" t="s">
        <v>73</v>
      </c>
      <c r="E1859" s="14" t="s">
        <v>74</v>
      </c>
      <c r="F1859" s="15" t="s">
        <v>51</v>
      </c>
      <c r="G1859" s="14" t="s">
        <v>75</v>
      </c>
      <c r="H1859" s="14" t="s">
        <v>76</v>
      </c>
      <c r="I1859" s="14" t="s">
        <v>59</v>
      </c>
      <c r="J1859" s="14" t="s">
        <v>200</v>
      </c>
      <c r="K1859" s="14" t="s">
        <v>232</v>
      </c>
      <c r="L1859" s="14" t="s">
        <v>261</v>
      </c>
      <c r="M1859" s="14" t="s">
        <v>262</v>
      </c>
      <c r="N1859" s="14" t="s">
        <v>263</v>
      </c>
      <c r="O1859" s="14">
        <v>0.0</v>
      </c>
      <c r="P1859" s="21">
        <v>0.0</v>
      </c>
      <c r="Q1859" s="22" t="str">
        <f t="shared" si="1102"/>
        <v>+0</v>
      </c>
      <c r="R1859" s="18" t="str">
        <f>"+0"</f>
        <v>+0</v>
      </c>
      <c r="S1859" s="14" t="s">
        <v>260</v>
      </c>
    </row>
    <row r="1860">
      <c r="A1860" s="13">
        <v>45901.0</v>
      </c>
      <c r="B1860" s="14" t="s">
        <v>47</v>
      </c>
      <c r="C1860" s="14" t="s">
        <v>48</v>
      </c>
      <c r="D1860" s="14" t="s">
        <v>132</v>
      </c>
      <c r="E1860" s="14" t="s">
        <v>133</v>
      </c>
      <c r="F1860" s="15" t="s">
        <v>51</v>
      </c>
      <c r="G1860" s="14" t="s">
        <v>134</v>
      </c>
      <c r="H1860" s="14" t="s">
        <v>135</v>
      </c>
      <c r="I1860" s="14" t="s">
        <v>59</v>
      </c>
      <c r="J1860" s="14" t="s">
        <v>200</v>
      </c>
      <c r="K1860" s="14" t="s">
        <v>219</v>
      </c>
      <c r="L1860" s="14" t="s">
        <v>253</v>
      </c>
      <c r="M1860" s="14" t="s">
        <v>1614</v>
      </c>
      <c r="N1860" s="14" t="s">
        <v>1615</v>
      </c>
      <c r="O1860" s="14">
        <v>0.0</v>
      </c>
      <c r="P1860" s="17"/>
      <c r="Q1860" s="22"/>
      <c r="S1860" s="14" t="s">
        <v>285</v>
      </c>
    </row>
    <row r="1861">
      <c r="A1861" s="13">
        <v>45901.0</v>
      </c>
      <c r="B1861" s="14" t="s">
        <v>47</v>
      </c>
      <c r="C1861" s="14" t="s">
        <v>48</v>
      </c>
      <c r="D1861" s="14" t="s">
        <v>129</v>
      </c>
      <c r="E1861" s="14" t="s">
        <v>130</v>
      </c>
      <c r="F1861" s="15" t="s">
        <v>51</v>
      </c>
      <c r="G1861" s="14" t="s">
        <v>131</v>
      </c>
      <c r="H1861" s="14" t="s">
        <v>129</v>
      </c>
      <c r="I1861" s="14" t="s">
        <v>59</v>
      </c>
      <c r="J1861" s="14" t="s">
        <v>200</v>
      </c>
      <c r="K1861" s="14" t="s">
        <v>231</v>
      </c>
      <c r="L1861" s="14" t="s">
        <v>253</v>
      </c>
      <c r="M1861" s="14" t="s">
        <v>389</v>
      </c>
      <c r="N1861" s="14" t="s">
        <v>390</v>
      </c>
      <c r="O1861" s="14">
        <v>100.0</v>
      </c>
      <c r="P1861" s="23">
        <v>1.0</v>
      </c>
      <c r="Q1861" s="22" t="str">
        <f t="shared" ref="Q1861:R1861" si="1103">"+0.00%"</f>
        <v>+0.00%</v>
      </c>
      <c r="R1861" s="18" t="str">
        <f t="shared" si="1103"/>
        <v>+0.00%</v>
      </c>
      <c r="S1861" s="14" t="s">
        <v>1618</v>
      </c>
    </row>
    <row r="1862">
      <c r="A1862" s="13">
        <v>45901.0</v>
      </c>
      <c r="B1862" s="14" t="s">
        <v>47</v>
      </c>
      <c r="C1862" s="14" t="s">
        <v>48</v>
      </c>
      <c r="D1862" s="14" t="s">
        <v>69</v>
      </c>
      <c r="E1862" s="14" t="s">
        <v>70</v>
      </c>
      <c r="F1862" s="15" t="s">
        <v>51</v>
      </c>
      <c r="G1862" s="14" t="s">
        <v>115</v>
      </c>
      <c r="H1862" s="14" t="s">
        <v>72</v>
      </c>
      <c r="I1862" s="14" t="s">
        <v>54</v>
      </c>
      <c r="J1862" s="14" t="s">
        <v>200</v>
      </c>
      <c r="K1862" s="14" t="s">
        <v>215</v>
      </c>
      <c r="L1862" s="14" t="s">
        <v>253</v>
      </c>
      <c r="M1862" s="14" t="s">
        <v>630</v>
      </c>
      <c r="N1862" s="14" t="s">
        <v>631</v>
      </c>
      <c r="O1862" s="14">
        <v>10.0</v>
      </c>
      <c r="P1862" s="23">
        <v>0.1026</v>
      </c>
      <c r="Q1862" s="22" t="str">
        <f>"+0.81%"</f>
        <v>+0.81%</v>
      </c>
      <c r="R1862" s="18" t="str">
        <f>"+1.08%"</f>
        <v>+1.08%</v>
      </c>
      <c r="S1862" s="14" t="s">
        <v>1619</v>
      </c>
    </row>
    <row r="1863">
      <c r="A1863" s="13">
        <v>45901.0</v>
      </c>
      <c r="B1863" s="14" t="s">
        <v>47</v>
      </c>
      <c r="C1863" s="14" t="s">
        <v>48</v>
      </c>
      <c r="D1863" s="14" t="s">
        <v>69</v>
      </c>
      <c r="E1863" s="14" t="s">
        <v>70</v>
      </c>
      <c r="F1863" s="15" t="s">
        <v>51</v>
      </c>
      <c r="G1863" s="14" t="s">
        <v>115</v>
      </c>
      <c r="H1863" s="14" t="s">
        <v>72</v>
      </c>
      <c r="I1863" s="14" t="s">
        <v>54</v>
      </c>
      <c r="J1863" s="14" t="s">
        <v>198</v>
      </c>
      <c r="K1863" s="14" t="s">
        <v>205</v>
      </c>
      <c r="L1863" s="14" t="s">
        <v>274</v>
      </c>
      <c r="M1863" s="14" t="s">
        <v>738</v>
      </c>
      <c r="N1863" s="14" t="s">
        <v>739</v>
      </c>
      <c r="O1863" s="14">
        <v>0.0</v>
      </c>
      <c r="P1863" s="21">
        <v>0.0</v>
      </c>
      <c r="Q1863" s="22" t="str">
        <f>"+0"</f>
        <v>+0</v>
      </c>
      <c r="S1863" s="14" t="s">
        <v>281</v>
      </c>
    </row>
    <row r="1864">
      <c r="A1864" s="13">
        <v>45901.0</v>
      </c>
      <c r="B1864" s="14" t="s">
        <v>47</v>
      </c>
      <c r="C1864" s="14" t="s">
        <v>48</v>
      </c>
      <c r="D1864" s="14" t="s">
        <v>116</v>
      </c>
      <c r="E1864" s="14" t="s">
        <v>117</v>
      </c>
      <c r="F1864" s="15" t="s">
        <v>51</v>
      </c>
      <c r="G1864" s="14" t="s">
        <v>161</v>
      </c>
      <c r="H1864" s="14" t="s">
        <v>116</v>
      </c>
      <c r="I1864" s="14" t="s">
        <v>54</v>
      </c>
      <c r="J1864" s="14" t="s">
        <v>200</v>
      </c>
      <c r="K1864" s="14" t="s">
        <v>224</v>
      </c>
      <c r="L1864" s="14" t="s">
        <v>453</v>
      </c>
      <c r="M1864" s="14" t="s">
        <v>716</v>
      </c>
      <c r="N1864" s="14" t="s">
        <v>717</v>
      </c>
      <c r="O1864" s="14">
        <v>0.0</v>
      </c>
      <c r="P1864" s="23">
        <v>0.0</v>
      </c>
      <c r="Q1864" s="22"/>
      <c r="S1864" s="14" t="s">
        <v>718</v>
      </c>
    </row>
    <row r="1865">
      <c r="A1865" s="13">
        <v>45901.0</v>
      </c>
      <c r="B1865" s="14" t="s">
        <v>47</v>
      </c>
      <c r="C1865" s="14" t="s">
        <v>48</v>
      </c>
      <c r="D1865" s="14" t="s">
        <v>77</v>
      </c>
      <c r="E1865" s="14" t="s">
        <v>78</v>
      </c>
      <c r="F1865" s="14" t="s">
        <v>71</v>
      </c>
      <c r="G1865" s="14">
        <v>5.36009043E8</v>
      </c>
      <c r="H1865" s="14" t="s">
        <v>81</v>
      </c>
      <c r="J1865" s="14" t="s">
        <v>199</v>
      </c>
      <c r="K1865" s="14" t="s">
        <v>206</v>
      </c>
      <c r="L1865" s="14" t="s">
        <v>295</v>
      </c>
      <c r="M1865" s="14" t="s">
        <v>651</v>
      </c>
      <c r="N1865" s="14" t="s">
        <v>652</v>
      </c>
      <c r="O1865" s="14">
        <v>0.0</v>
      </c>
      <c r="P1865" s="21">
        <v>0.0</v>
      </c>
      <c r="Q1865" s="22" t="str">
        <f>"+0"</f>
        <v>+0</v>
      </c>
      <c r="S1865" s="14" t="s">
        <v>260</v>
      </c>
    </row>
    <row r="1866">
      <c r="A1866" s="13">
        <v>45901.0</v>
      </c>
      <c r="B1866" s="14" t="s">
        <v>47</v>
      </c>
      <c r="C1866" s="14" t="s">
        <v>48</v>
      </c>
      <c r="D1866" s="14" t="s">
        <v>116</v>
      </c>
      <c r="E1866" s="14" t="s">
        <v>117</v>
      </c>
      <c r="F1866" s="15" t="s">
        <v>51</v>
      </c>
      <c r="G1866" s="14" t="s">
        <v>161</v>
      </c>
      <c r="H1866" s="14" t="s">
        <v>116</v>
      </c>
      <c r="I1866" s="14" t="s">
        <v>54</v>
      </c>
      <c r="J1866" s="14" t="s">
        <v>200</v>
      </c>
      <c r="K1866" s="14" t="s">
        <v>227</v>
      </c>
      <c r="L1866" s="14" t="s">
        <v>270</v>
      </c>
      <c r="M1866" s="14" t="s">
        <v>271</v>
      </c>
      <c r="N1866" s="14" t="s">
        <v>272</v>
      </c>
      <c r="O1866" s="14">
        <v>4.0</v>
      </c>
      <c r="P1866" s="23">
        <v>-0.9073</v>
      </c>
      <c r="Q1866" s="22" t="str">
        <f>"-23.94%"</f>
        <v>-23.94%</v>
      </c>
      <c r="R1866" s="18" t="str">
        <f>"-81.19%"</f>
        <v>-81.19%</v>
      </c>
      <c r="S1866" s="14" t="s">
        <v>273</v>
      </c>
    </row>
    <row r="1867">
      <c r="A1867" s="13">
        <v>45901.0</v>
      </c>
      <c r="B1867" s="14" t="s">
        <v>47</v>
      </c>
      <c r="C1867" s="14" t="s">
        <v>48</v>
      </c>
      <c r="D1867" s="14" t="s">
        <v>116</v>
      </c>
      <c r="E1867" s="14" t="s">
        <v>117</v>
      </c>
      <c r="F1867" s="15" t="s">
        <v>51</v>
      </c>
      <c r="G1867" s="14" t="s">
        <v>161</v>
      </c>
      <c r="H1867" s="14" t="s">
        <v>116</v>
      </c>
      <c r="I1867" s="14" t="s">
        <v>54</v>
      </c>
      <c r="J1867" s="14" t="s">
        <v>199</v>
      </c>
      <c r="K1867" s="14" t="s">
        <v>208</v>
      </c>
      <c r="L1867" s="14" t="s">
        <v>352</v>
      </c>
      <c r="M1867" s="14" t="s">
        <v>352</v>
      </c>
      <c r="N1867" s="14" t="s">
        <v>353</v>
      </c>
      <c r="O1867" s="14">
        <v>100.0</v>
      </c>
      <c r="P1867" s="21">
        <v>21.0</v>
      </c>
      <c r="Q1867" s="22" t="str">
        <f>"+0"</f>
        <v>+0</v>
      </c>
      <c r="R1867" s="18" t="str">
        <f>"+1"</f>
        <v>+1</v>
      </c>
      <c r="S1867" s="14" t="s">
        <v>260</v>
      </c>
    </row>
    <row r="1868">
      <c r="A1868" s="13">
        <v>45901.0</v>
      </c>
      <c r="B1868" s="14" t="s">
        <v>47</v>
      </c>
      <c r="C1868" s="14" t="s">
        <v>48</v>
      </c>
      <c r="D1868" s="14" t="s">
        <v>77</v>
      </c>
      <c r="E1868" s="14" t="s">
        <v>78</v>
      </c>
      <c r="F1868" s="15" t="s">
        <v>51</v>
      </c>
      <c r="G1868" s="14" t="s">
        <v>128</v>
      </c>
      <c r="H1868" s="14" t="s">
        <v>81</v>
      </c>
      <c r="I1868" s="14" t="s">
        <v>59</v>
      </c>
      <c r="J1868" s="14" t="s">
        <v>200</v>
      </c>
      <c r="K1868" s="14" t="s">
        <v>223</v>
      </c>
      <c r="L1868" s="14" t="s">
        <v>571</v>
      </c>
      <c r="M1868" s="14" t="s">
        <v>572</v>
      </c>
      <c r="N1868" s="14" t="s">
        <v>573</v>
      </c>
      <c r="O1868" s="14">
        <v>0.0</v>
      </c>
      <c r="P1868" s="23">
        <v>0.0</v>
      </c>
      <c r="Q1868" s="22" t="str">
        <f t="shared" ref="Q1868:R1868" si="1104">"+0.00%"</f>
        <v>+0.00%</v>
      </c>
      <c r="R1868" s="18" t="str">
        <f t="shared" si="1104"/>
        <v>+0.00%</v>
      </c>
      <c r="S1868" s="14" t="s">
        <v>285</v>
      </c>
    </row>
    <row r="1869">
      <c r="A1869" s="13">
        <v>45901.0</v>
      </c>
      <c r="B1869" s="14" t="s">
        <v>47</v>
      </c>
      <c r="C1869" s="14" t="s">
        <v>48</v>
      </c>
      <c r="D1869" s="14" t="s">
        <v>116</v>
      </c>
      <c r="E1869" s="14" t="s">
        <v>117</v>
      </c>
      <c r="F1869" s="15" t="s">
        <v>51</v>
      </c>
      <c r="G1869" s="14" t="s">
        <v>161</v>
      </c>
      <c r="H1869" s="14" t="s">
        <v>116</v>
      </c>
      <c r="I1869" s="14" t="s">
        <v>54</v>
      </c>
      <c r="J1869" s="14" t="s">
        <v>200</v>
      </c>
      <c r="K1869" s="14" t="s">
        <v>211</v>
      </c>
      <c r="L1869" s="14" t="s">
        <v>253</v>
      </c>
      <c r="M1869" s="14" t="s">
        <v>1247</v>
      </c>
      <c r="N1869" s="14" t="s">
        <v>1248</v>
      </c>
      <c r="O1869" s="14">
        <v>1.0</v>
      </c>
      <c r="P1869" s="23">
        <v>0.0</v>
      </c>
      <c r="Q1869" s="22" t="str">
        <f t="shared" ref="Q1869:R1869" si="1105">"+0.00%"</f>
        <v>+0.00%</v>
      </c>
      <c r="R1869" s="18" t="str">
        <f t="shared" si="1105"/>
        <v>+0.00%</v>
      </c>
      <c r="S1869" s="14" t="s">
        <v>1620</v>
      </c>
    </row>
    <row r="1870">
      <c r="A1870" s="13">
        <v>45901.0</v>
      </c>
      <c r="B1870" s="14" t="s">
        <v>47</v>
      </c>
      <c r="C1870" s="14" t="s">
        <v>48</v>
      </c>
      <c r="D1870" s="14" t="s">
        <v>77</v>
      </c>
      <c r="E1870" s="14" t="s">
        <v>78</v>
      </c>
      <c r="F1870" s="14" t="s">
        <v>79</v>
      </c>
      <c r="G1870" s="14" t="s">
        <v>80</v>
      </c>
      <c r="H1870" s="14" t="s">
        <v>81</v>
      </c>
      <c r="J1870" s="14" t="s">
        <v>199</v>
      </c>
      <c r="K1870" s="14" t="s">
        <v>208</v>
      </c>
      <c r="L1870" s="14" t="s">
        <v>352</v>
      </c>
      <c r="M1870" s="14" t="s">
        <v>352</v>
      </c>
      <c r="N1870" s="14" t="s">
        <v>353</v>
      </c>
      <c r="O1870" s="14">
        <v>75.0</v>
      </c>
      <c r="P1870" s="21">
        <v>1.0</v>
      </c>
      <c r="Q1870" s="22" t="str">
        <f t="shared" ref="Q1870:Q1871" si="1106">"+0"</f>
        <v>+0</v>
      </c>
      <c r="R1870" s="18" t="str">
        <f>"+1"</f>
        <v>+1</v>
      </c>
      <c r="S1870" s="14" t="s">
        <v>260</v>
      </c>
    </row>
    <row r="1871">
      <c r="A1871" s="13">
        <v>45901.0</v>
      </c>
      <c r="B1871" s="14" t="s">
        <v>47</v>
      </c>
      <c r="C1871" s="14" t="s">
        <v>48</v>
      </c>
      <c r="D1871" s="14" t="s">
        <v>108</v>
      </c>
      <c r="E1871" s="14" t="s">
        <v>109</v>
      </c>
      <c r="F1871" s="14" t="s">
        <v>79</v>
      </c>
      <c r="G1871" s="14" t="s">
        <v>153</v>
      </c>
      <c r="H1871" s="14" t="s">
        <v>108</v>
      </c>
      <c r="I1871" s="14" t="s">
        <v>154</v>
      </c>
      <c r="J1871" s="14" t="s">
        <v>199</v>
      </c>
      <c r="K1871" s="14" t="s">
        <v>203</v>
      </c>
      <c r="L1871" s="14" t="s">
        <v>725</v>
      </c>
      <c r="M1871" s="14" t="s">
        <v>725</v>
      </c>
      <c r="N1871" s="14" t="s">
        <v>726</v>
      </c>
      <c r="O1871" s="14">
        <v>0.0</v>
      </c>
      <c r="P1871" s="21">
        <v>0.0</v>
      </c>
      <c r="Q1871" s="22" t="str">
        <f t="shared" si="1106"/>
        <v>+0</v>
      </c>
      <c r="S1871" s="14" t="s">
        <v>260</v>
      </c>
    </row>
    <row r="1872">
      <c r="A1872" s="13">
        <v>45901.0</v>
      </c>
      <c r="B1872" s="14" t="s">
        <v>47</v>
      </c>
      <c r="C1872" s="14" t="s">
        <v>48</v>
      </c>
      <c r="D1872" s="14" t="s">
        <v>56</v>
      </c>
      <c r="E1872" s="14" t="s">
        <v>57</v>
      </c>
      <c r="F1872" s="15" t="s">
        <v>51</v>
      </c>
      <c r="G1872" s="14" t="s">
        <v>58</v>
      </c>
      <c r="H1872" s="14" t="s">
        <v>56</v>
      </c>
      <c r="I1872" s="14" t="s">
        <v>59</v>
      </c>
      <c r="J1872" s="14" t="s">
        <v>200</v>
      </c>
      <c r="K1872" s="14" t="s">
        <v>223</v>
      </c>
      <c r="L1872" s="14" t="s">
        <v>257</v>
      </c>
      <c r="M1872" s="14" t="s">
        <v>499</v>
      </c>
      <c r="N1872" s="14" t="s">
        <v>500</v>
      </c>
      <c r="O1872" s="14">
        <v>0.0</v>
      </c>
      <c r="P1872" s="23">
        <v>0.0</v>
      </c>
      <c r="Q1872" s="22" t="str">
        <f t="shared" ref="Q1872:R1872" si="1107">"+0.00%"</f>
        <v>+0.00%</v>
      </c>
      <c r="R1872" s="18" t="str">
        <f t="shared" si="1107"/>
        <v>+0.00%</v>
      </c>
      <c r="S1872" s="14" t="s">
        <v>1621</v>
      </c>
    </row>
    <row r="1873">
      <c r="A1873" s="13">
        <v>45901.0</v>
      </c>
      <c r="B1873" s="14" t="s">
        <v>47</v>
      </c>
      <c r="C1873" s="14" t="s">
        <v>48</v>
      </c>
      <c r="D1873" s="14" t="s">
        <v>121</v>
      </c>
      <c r="E1873" s="14" t="s">
        <v>122</v>
      </c>
      <c r="F1873" s="15" t="s">
        <v>51</v>
      </c>
      <c r="G1873" s="14" t="s">
        <v>123</v>
      </c>
      <c r="H1873" s="14" t="s">
        <v>124</v>
      </c>
      <c r="I1873" s="14" t="s">
        <v>59</v>
      </c>
      <c r="J1873" s="14" t="s">
        <v>200</v>
      </c>
      <c r="K1873" s="14" t="s">
        <v>232</v>
      </c>
      <c r="L1873" s="14" t="s">
        <v>286</v>
      </c>
      <c r="M1873" s="14" t="s">
        <v>419</v>
      </c>
      <c r="N1873" s="14" t="s">
        <v>420</v>
      </c>
      <c r="O1873" s="14">
        <v>0.0</v>
      </c>
      <c r="P1873" s="23">
        <v>0.0</v>
      </c>
      <c r="Q1873" s="22" t="str">
        <f t="shared" ref="Q1873:R1873" si="1108">"+0.00%"</f>
        <v>+0.00%</v>
      </c>
      <c r="R1873" s="18" t="str">
        <f t="shared" si="1108"/>
        <v>+0.00%</v>
      </c>
      <c r="S1873" s="14" t="s">
        <v>1622</v>
      </c>
    </row>
    <row r="1874">
      <c r="A1874" s="13">
        <v>45901.0</v>
      </c>
      <c r="B1874" s="14" t="s">
        <v>47</v>
      </c>
      <c r="C1874" s="14" t="s">
        <v>48</v>
      </c>
      <c r="D1874" s="14" t="s">
        <v>155</v>
      </c>
      <c r="E1874" s="14" t="s">
        <v>156</v>
      </c>
      <c r="F1874" s="15" t="s">
        <v>51</v>
      </c>
      <c r="G1874" s="14" t="s">
        <v>157</v>
      </c>
      <c r="H1874" s="14" t="s">
        <v>155</v>
      </c>
      <c r="I1874" s="14" t="s">
        <v>59</v>
      </c>
      <c r="J1874" s="14" t="s">
        <v>200</v>
      </c>
      <c r="K1874" s="14" t="s">
        <v>223</v>
      </c>
      <c r="L1874" s="14" t="s">
        <v>883</v>
      </c>
      <c r="M1874" s="14" t="s">
        <v>884</v>
      </c>
      <c r="N1874" s="14" t="s">
        <v>885</v>
      </c>
      <c r="O1874" s="14">
        <v>0.0</v>
      </c>
      <c r="P1874" s="17"/>
      <c r="Q1874" s="22"/>
      <c r="S1874" s="14" t="s">
        <v>285</v>
      </c>
    </row>
    <row r="1875">
      <c r="A1875" s="13">
        <v>45901.0</v>
      </c>
      <c r="B1875" s="14" t="s">
        <v>47</v>
      </c>
      <c r="C1875" s="14" t="s">
        <v>48</v>
      </c>
      <c r="D1875" s="14" t="s">
        <v>60</v>
      </c>
      <c r="E1875" s="14" t="s">
        <v>61</v>
      </c>
      <c r="F1875" s="15" t="s">
        <v>51</v>
      </c>
      <c r="G1875" s="14" t="s">
        <v>62</v>
      </c>
      <c r="H1875" s="14" t="s">
        <v>60</v>
      </c>
      <c r="I1875" s="14" t="s">
        <v>59</v>
      </c>
      <c r="J1875" s="14" t="s">
        <v>200</v>
      </c>
      <c r="K1875" s="14" t="s">
        <v>223</v>
      </c>
      <c r="L1875" s="14" t="s">
        <v>363</v>
      </c>
      <c r="M1875" s="14" t="s">
        <v>708</v>
      </c>
      <c r="N1875" s="14" t="s">
        <v>709</v>
      </c>
      <c r="O1875" s="14">
        <v>0.0</v>
      </c>
      <c r="P1875" s="23">
        <v>0.0</v>
      </c>
      <c r="Q1875" s="22" t="str">
        <f t="shared" ref="Q1875:R1875" si="1109">"+0.00%"</f>
        <v>+0.00%</v>
      </c>
      <c r="R1875" s="18" t="str">
        <f t="shared" si="1109"/>
        <v>+0.00%</v>
      </c>
      <c r="S1875" s="14" t="s">
        <v>285</v>
      </c>
    </row>
    <row r="1876">
      <c r="A1876" s="13">
        <v>45901.0</v>
      </c>
      <c r="B1876" s="14" t="s">
        <v>47</v>
      </c>
      <c r="C1876" s="14" t="s">
        <v>48</v>
      </c>
      <c r="D1876" s="14" t="s">
        <v>56</v>
      </c>
      <c r="E1876" s="14" t="s">
        <v>57</v>
      </c>
      <c r="F1876" s="15" t="s">
        <v>51</v>
      </c>
      <c r="G1876" s="14" t="s">
        <v>58</v>
      </c>
      <c r="H1876" s="14" t="s">
        <v>56</v>
      </c>
      <c r="I1876" s="14" t="s">
        <v>59</v>
      </c>
      <c r="J1876" s="14" t="s">
        <v>199</v>
      </c>
      <c r="K1876" s="14" t="s">
        <v>203</v>
      </c>
      <c r="L1876" s="14" t="s">
        <v>431</v>
      </c>
      <c r="M1876" s="14" t="s">
        <v>431</v>
      </c>
      <c r="N1876" s="14" t="s">
        <v>432</v>
      </c>
      <c r="O1876" s="14">
        <v>0.0</v>
      </c>
      <c r="P1876" s="21">
        <v>0.0</v>
      </c>
      <c r="Q1876" s="22" t="str">
        <f t="shared" ref="Q1876:R1876" si="1110">"+0"</f>
        <v>+0</v>
      </c>
      <c r="R1876" s="18" t="str">
        <f t="shared" si="1110"/>
        <v>+0</v>
      </c>
      <c r="S1876" s="14" t="s">
        <v>260</v>
      </c>
    </row>
    <row r="1877">
      <c r="A1877" s="13">
        <v>45901.0</v>
      </c>
      <c r="B1877" s="14" t="s">
        <v>47</v>
      </c>
      <c r="C1877" s="14" t="s">
        <v>48</v>
      </c>
      <c r="D1877" s="14" t="s">
        <v>165</v>
      </c>
      <c r="E1877" s="14" t="s">
        <v>166</v>
      </c>
      <c r="F1877" s="15" t="s">
        <v>51</v>
      </c>
      <c r="G1877" s="14" t="s">
        <v>167</v>
      </c>
      <c r="H1877" s="14" t="s">
        <v>165</v>
      </c>
      <c r="I1877" s="14" t="s">
        <v>54</v>
      </c>
      <c r="J1877" s="14" t="s">
        <v>200</v>
      </c>
      <c r="K1877" s="14" t="s">
        <v>213</v>
      </c>
      <c r="L1877" s="14" t="s">
        <v>307</v>
      </c>
      <c r="M1877" s="14" t="s">
        <v>856</v>
      </c>
      <c r="N1877" s="14" t="s">
        <v>857</v>
      </c>
      <c r="O1877" s="14">
        <v>0.0</v>
      </c>
      <c r="P1877" s="23">
        <v>0.0</v>
      </c>
      <c r="Q1877" s="22" t="str">
        <f t="shared" ref="Q1877:R1877" si="1111">"+0.00%"</f>
        <v>+0.00%</v>
      </c>
      <c r="R1877" s="18" t="str">
        <f t="shared" si="1111"/>
        <v>+0.00%</v>
      </c>
      <c r="S1877" s="14" t="s">
        <v>285</v>
      </c>
    </row>
    <row r="1878">
      <c r="A1878" s="13">
        <v>45901.0</v>
      </c>
      <c r="B1878" s="14" t="s">
        <v>47</v>
      </c>
      <c r="C1878" s="14" t="s">
        <v>48</v>
      </c>
      <c r="D1878" s="14" t="s">
        <v>49</v>
      </c>
      <c r="E1878" s="14" t="s">
        <v>50</v>
      </c>
      <c r="F1878" s="15" t="s">
        <v>51</v>
      </c>
      <c r="G1878" s="14" t="s">
        <v>52</v>
      </c>
      <c r="H1878" s="14" t="s">
        <v>53</v>
      </c>
      <c r="I1878" s="14" t="s">
        <v>54</v>
      </c>
      <c r="J1878" s="14" t="s">
        <v>200</v>
      </c>
      <c r="K1878" s="14" t="s">
        <v>213</v>
      </c>
      <c r="L1878" s="14" t="s">
        <v>289</v>
      </c>
      <c r="M1878" s="14" t="s">
        <v>331</v>
      </c>
      <c r="N1878" s="14" t="s">
        <v>332</v>
      </c>
      <c r="O1878" s="14">
        <v>0.0</v>
      </c>
      <c r="P1878" s="23">
        <v>0.0</v>
      </c>
      <c r="Q1878" s="22" t="str">
        <f t="shared" ref="Q1878:R1878" si="1112">"+0.00%"</f>
        <v>+0.00%</v>
      </c>
      <c r="R1878" s="18" t="str">
        <f t="shared" si="1112"/>
        <v>+0.00%</v>
      </c>
      <c r="S1878" s="14" t="s">
        <v>285</v>
      </c>
    </row>
    <row r="1879">
      <c r="A1879" s="13">
        <v>45901.0</v>
      </c>
      <c r="B1879" s="14" t="s">
        <v>47</v>
      </c>
      <c r="C1879" s="14" t="s">
        <v>48</v>
      </c>
      <c r="D1879" s="14" t="s">
        <v>91</v>
      </c>
      <c r="E1879" s="14" t="s">
        <v>92</v>
      </c>
      <c r="F1879" s="14" t="s">
        <v>71</v>
      </c>
      <c r="G1879" s="14">
        <v>1.00005882E8</v>
      </c>
      <c r="H1879" s="14" t="s">
        <v>91</v>
      </c>
      <c r="I1879" s="14" t="s">
        <v>59</v>
      </c>
      <c r="J1879" s="14" t="s">
        <v>199</v>
      </c>
      <c r="K1879" s="14" t="s">
        <v>206</v>
      </c>
      <c r="L1879" s="14" t="s">
        <v>295</v>
      </c>
      <c r="M1879" s="14" t="s">
        <v>529</v>
      </c>
      <c r="N1879" s="14" t="s">
        <v>530</v>
      </c>
      <c r="O1879" s="14">
        <v>100.0</v>
      </c>
      <c r="P1879" s="21">
        <v>20.0</v>
      </c>
      <c r="Q1879" s="22" t="str">
        <f t="shared" ref="Q1879:R1879" si="1113">"+0"</f>
        <v>+0</v>
      </c>
      <c r="R1879" s="18" t="str">
        <f t="shared" si="1113"/>
        <v>+0</v>
      </c>
      <c r="S1879" s="14" t="s">
        <v>260</v>
      </c>
    </row>
    <row r="1880">
      <c r="A1880" s="13">
        <v>45901.0</v>
      </c>
      <c r="B1880" s="14" t="s">
        <v>47</v>
      </c>
      <c r="C1880" s="14" t="s">
        <v>48</v>
      </c>
      <c r="D1880" s="14" t="s">
        <v>99</v>
      </c>
      <c r="E1880" s="14" t="s">
        <v>100</v>
      </c>
      <c r="F1880" s="15" t="s">
        <v>51</v>
      </c>
      <c r="G1880" s="14" t="s">
        <v>101</v>
      </c>
      <c r="H1880" s="14" t="s">
        <v>102</v>
      </c>
      <c r="I1880" s="14" t="s">
        <v>54</v>
      </c>
      <c r="J1880" s="14" t="s">
        <v>199</v>
      </c>
      <c r="K1880" s="14" t="s">
        <v>206</v>
      </c>
      <c r="L1880" s="14" t="s">
        <v>268</v>
      </c>
      <c r="M1880" s="14" t="s">
        <v>268</v>
      </c>
      <c r="N1880" s="14" t="s">
        <v>269</v>
      </c>
      <c r="O1880" s="14">
        <v>0.0</v>
      </c>
      <c r="P1880" s="21">
        <v>0.0</v>
      </c>
      <c r="Q1880" s="22" t="str">
        <f t="shared" ref="Q1880:R1880" si="1114">"+0"</f>
        <v>+0</v>
      </c>
      <c r="R1880" s="18" t="str">
        <f t="shared" si="1114"/>
        <v>+0</v>
      </c>
      <c r="S1880" s="14" t="s">
        <v>260</v>
      </c>
    </row>
    <row r="1881">
      <c r="A1881" s="13">
        <v>45901.0</v>
      </c>
      <c r="B1881" s="14" t="s">
        <v>47</v>
      </c>
      <c r="C1881" s="14" t="s">
        <v>48</v>
      </c>
      <c r="D1881" s="14" t="s">
        <v>91</v>
      </c>
      <c r="E1881" s="14" t="s">
        <v>92</v>
      </c>
      <c r="F1881" s="14" t="s">
        <v>71</v>
      </c>
      <c r="G1881" s="14">
        <v>7295600.0</v>
      </c>
      <c r="H1881" s="14" t="s">
        <v>91</v>
      </c>
      <c r="I1881" s="14" t="s">
        <v>54</v>
      </c>
      <c r="J1881" s="14" t="s">
        <v>199</v>
      </c>
      <c r="K1881" s="14" t="s">
        <v>208</v>
      </c>
      <c r="L1881" s="14" t="s">
        <v>412</v>
      </c>
      <c r="M1881" s="14" t="s">
        <v>412</v>
      </c>
      <c r="N1881" s="14" t="s">
        <v>413</v>
      </c>
      <c r="O1881" s="14">
        <v>100.0</v>
      </c>
      <c r="P1881" s="21">
        <v>12.0</v>
      </c>
      <c r="Q1881" s="22" t="str">
        <f t="shared" ref="Q1881:R1881" si="1115">"+0"</f>
        <v>+0</v>
      </c>
      <c r="R1881" s="18" t="str">
        <f t="shared" si="1115"/>
        <v>+0</v>
      </c>
      <c r="S1881" s="14" t="s">
        <v>260</v>
      </c>
    </row>
    <row r="1882">
      <c r="A1882" s="13">
        <v>45901.0</v>
      </c>
      <c r="B1882" s="14" t="s">
        <v>47</v>
      </c>
      <c r="C1882" s="14" t="s">
        <v>48</v>
      </c>
      <c r="D1882" s="14" t="s">
        <v>91</v>
      </c>
      <c r="E1882" s="14" t="s">
        <v>92</v>
      </c>
      <c r="F1882" s="14" t="s">
        <v>71</v>
      </c>
      <c r="G1882" s="14">
        <v>1.00004432E8</v>
      </c>
      <c r="H1882" s="14" t="s">
        <v>91</v>
      </c>
      <c r="I1882" s="14" t="s">
        <v>59</v>
      </c>
      <c r="J1882" s="14" t="s">
        <v>200</v>
      </c>
      <c r="K1882" s="14" t="s">
        <v>218</v>
      </c>
      <c r="L1882" s="14" t="s">
        <v>253</v>
      </c>
      <c r="M1882" s="14" t="s">
        <v>463</v>
      </c>
      <c r="N1882" s="14" t="s">
        <v>464</v>
      </c>
      <c r="O1882" s="14">
        <v>100.0</v>
      </c>
      <c r="P1882" s="23">
        <v>1.0</v>
      </c>
      <c r="Q1882" s="22" t="str">
        <f t="shared" ref="Q1882:R1882" si="1116">"+0.00%"</f>
        <v>+0.00%</v>
      </c>
      <c r="R1882" s="18" t="str">
        <f t="shared" si="1116"/>
        <v>+0.00%</v>
      </c>
      <c r="S1882" s="14" t="s">
        <v>1556</v>
      </c>
    </row>
    <row r="1883">
      <c r="A1883" s="13">
        <v>45901.0</v>
      </c>
      <c r="B1883" s="14" t="s">
        <v>47</v>
      </c>
      <c r="C1883" s="14" t="s">
        <v>48</v>
      </c>
      <c r="D1883" s="14" t="s">
        <v>91</v>
      </c>
      <c r="E1883" s="14" t="s">
        <v>92</v>
      </c>
      <c r="F1883" s="14" t="s">
        <v>79</v>
      </c>
      <c r="G1883" s="14" t="s">
        <v>164</v>
      </c>
      <c r="H1883" s="14" t="s">
        <v>91</v>
      </c>
      <c r="I1883" s="14" t="s">
        <v>154</v>
      </c>
      <c r="J1883" s="14" t="s">
        <v>200</v>
      </c>
      <c r="K1883" s="14" t="s">
        <v>238</v>
      </c>
      <c r="L1883" s="14" t="s">
        <v>253</v>
      </c>
      <c r="M1883" s="14" t="s">
        <v>1623</v>
      </c>
      <c r="N1883" s="14" t="s">
        <v>1624</v>
      </c>
      <c r="O1883" s="14">
        <v>100.0</v>
      </c>
      <c r="P1883" s="23">
        <v>1.0</v>
      </c>
      <c r="Q1883" s="22" t="str">
        <f t="shared" ref="Q1883:R1883" si="1117">"+0.00%"</f>
        <v>+0.00%</v>
      </c>
      <c r="R1883" s="18" t="str">
        <f t="shared" si="1117"/>
        <v>+0.00%</v>
      </c>
      <c r="S1883" s="14" t="s">
        <v>1625</v>
      </c>
    </row>
    <row r="1884">
      <c r="A1884" s="13">
        <v>45901.0</v>
      </c>
      <c r="B1884" s="14" t="s">
        <v>47</v>
      </c>
      <c r="C1884" s="14" t="s">
        <v>48</v>
      </c>
      <c r="D1884" s="14" t="s">
        <v>63</v>
      </c>
      <c r="E1884" s="14" t="s">
        <v>64</v>
      </c>
      <c r="F1884" s="15" t="s">
        <v>51</v>
      </c>
      <c r="G1884" s="14" t="s">
        <v>65</v>
      </c>
      <c r="H1884" s="14" t="s">
        <v>63</v>
      </c>
      <c r="I1884" s="14" t="s">
        <v>54</v>
      </c>
      <c r="J1884" s="14" t="s">
        <v>198</v>
      </c>
      <c r="K1884" s="14" t="s">
        <v>205</v>
      </c>
      <c r="L1884" s="14" t="s">
        <v>274</v>
      </c>
      <c r="M1884" s="14" t="s">
        <v>448</v>
      </c>
      <c r="N1884" s="14" t="s">
        <v>449</v>
      </c>
      <c r="O1884" s="14">
        <v>100.0</v>
      </c>
      <c r="P1884" s="21">
        <v>5.0</v>
      </c>
      <c r="Q1884" s="22" t="str">
        <f t="shared" ref="Q1884:Q1885" si="1118">"+0"</f>
        <v>+0</v>
      </c>
      <c r="S1884" s="14" t="s">
        <v>450</v>
      </c>
    </row>
    <row r="1885">
      <c r="A1885" s="13">
        <v>45901.0</v>
      </c>
      <c r="B1885" s="14" t="s">
        <v>47</v>
      </c>
      <c r="C1885" s="14" t="s">
        <v>48</v>
      </c>
      <c r="D1885" s="14" t="s">
        <v>93</v>
      </c>
      <c r="E1885" s="14" t="s">
        <v>94</v>
      </c>
      <c r="F1885" s="14" t="s">
        <v>71</v>
      </c>
      <c r="G1885" s="14">
        <v>5.36001438E8</v>
      </c>
      <c r="H1885" s="14" t="s">
        <v>95</v>
      </c>
      <c r="I1885" s="14" t="s">
        <v>59</v>
      </c>
      <c r="J1885" s="14" t="s">
        <v>199</v>
      </c>
      <c r="K1885" s="14" t="s">
        <v>206</v>
      </c>
      <c r="L1885" s="14" t="s">
        <v>531</v>
      </c>
      <c r="M1885" s="14" t="s">
        <v>531</v>
      </c>
      <c r="N1885" s="14" t="s">
        <v>532</v>
      </c>
      <c r="O1885" s="14">
        <v>0.0</v>
      </c>
      <c r="P1885" s="21">
        <v>0.0</v>
      </c>
      <c r="Q1885" s="22" t="str">
        <f t="shared" si="1118"/>
        <v>+0</v>
      </c>
      <c r="R1885" s="18" t="str">
        <f>"+0"</f>
        <v>+0</v>
      </c>
      <c r="S1885" s="14" t="s">
        <v>260</v>
      </c>
    </row>
    <row r="1886">
      <c r="A1886" s="13">
        <v>45901.0</v>
      </c>
      <c r="B1886" s="14" t="s">
        <v>47</v>
      </c>
      <c r="C1886" s="14" t="s">
        <v>48</v>
      </c>
      <c r="D1886" s="14" t="s">
        <v>184</v>
      </c>
      <c r="E1886" s="14" t="s">
        <v>185</v>
      </c>
      <c r="F1886" s="15" t="s">
        <v>51</v>
      </c>
      <c r="G1886" s="14" t="s">
        <v>186</v>
      </c>
      <c r="H1886" s="14" t="s">
        <v>187</v>
      </c>
      <c r="I1886" s="14" t="s">
        <v>59</v>
      </c>
      <c r="J1886" s="14" t="s">
        <v>200</v>
      </c>
      <c r="K1886" s="14" t="s">
        <v>224</v>
      </c>
      <c r="L1886" s="14" t="s">
        <v>427</v>
      </c>
      <c r="M1886" s="14" t="s">
        <v>921</v>
      </c>
      <c r="N1886" s="14" t="s">
        <v>922</v>
      </c>
      <c r="O1886" s="14">
        <v>0.0</v>
      </c>
      <c r="P1886" s="17"/>
      <c r="Q1886" s="22"/>
      <c r="S1886" s="14" t="s">
        <v>923</v>
      </c>
    </row>
    <row r="1887">
      <c r="A1887" s="13">
        <v>45901.0</v>
      </c>
      <c r="B1887" s="14" t="s">
        <v>47</v>
      </c>
      <c r="C1887" s="14" t="s">
        <v>48</v>
      </c>
      <c r="D1887" s="14" t="s">
        <v>103</v>
      </c>
      <c r="E1887" s="14" t="s">
        <v>104</v>
      </c>
      <c r="F1887" s="15" t="s">
        <v>51</v>
      </c>
      <c r="G1887" s="14" t="s">
        <v>105</v>
      </c>
      <c r="H1887" s="14" t="s">
        <v>106</v>
      </c>
      <c r="I1887" s="14" t="s">
        <v>59</v>
      </c>
      <c r="J1887" s="14" t="s">
        <v>198</v>
      </c>
      <c r="K1887" s="14" t="s">
        <v>205</v>
      </c>
      <c r="L1887" s="14" t="s">
        <v>274</v>
      </c>
      <c r="M1887" s="14" t="s">
        <v>482</v>
      </c>
      <c r="N1887" s="14" t="s">
        <v>483</v>
      </c>
      <c r="O1887" s="14">
        <v>100.0</v>
      </c>
      <c r="P1887" s="21">
        <v>8.0</v>
      </c>
      <c r="Q1887" s="22" t="str">
        <f>"+0"</f>
        <v>+0</v>
      </c>
      <c r="S1887" s="14" t="s">
        <v>484</v>
      </c>
    </row>
    <row r="1888">
      <c r="A1888" s="13">
        <v>45901.0</v>
      </c>
      <c r="B1888" s="14" t="s">
        <v>47</v>
      </c>
      <c r="C1888" s="14" t="s">
        <v>48</v>
      </c>
      <c r="D1888" s="14" t="s">
        <v>87</v>
      </c>
      <c r="E1888" s="14" t="s">
        <v>88</v>
      </c>
      <c r="F1888" s="15" t="s">
        <v>51</v>
      </c>
      <c r="G1888" s="14" t="s">
        <v>89</v>
      </c>
      <c r="H1888" s="14" t="s">
        <v>90</v>
      </c>
      <c r="I1888" s="14" t="s">
        <v>59</v>
      </c>
      <c r="J1888" s="14" t="s">
        <v>200</v>
      </c>
      <c r="K1888" s="14" t="s">
        <v>223</v>
      </c>
      <c r="L1888" s="14" t="s">
        <v>440</v>
      </c>
      <c r="M1888" s="14" t="s">
        <v>510</v>
      </c>
      <c r="N1888" s="14" t="s">
        <v>511</v>
      </c>
      <c r="O1888" s="14">
        <v>0.0</v>
      </c>
      <c r="P1888" s="23">
        <v>0.0</v>
      </c>
      <c r="Q1888" s="22" t="str">
        <f t="shared" ref="Q1888:R1888" si="1119">"+0.00%"</f>
        <v>+0.00%</v>
      </c>
      <c r="R1888" s="18" t="str">
        <f t="shared" si="1119"/>
        <v>+0.00%</v>
      </c>
      <c r="S1888" s="14" t="s">
        <v>285</v>
      </c>
    </row>
    <row r="1889">
      <c r="A1889" s="13">
        <v>45901.0</v>
      </c>
      <c r="B1889" s="14" t="s">
        <v>47</v>
      </c>
      <c r="C1889" s="14" t="s">
        <v>48</v>
      </c>
      <c r="D1889" s="14" t="s">
        <v>149</v>
      </c>
      <c r="E1889" s="14" t="s">
        <v>150</v>
      </c>
      <c r="F1889" s="15" t="s">
        <v>51</v>
      </c>
      <c r="G1889" s="14" t="s">
        <v>151</v>
      </c>
      <c r="H1889" s="14" t="s">
        <v>152</v>
      </c>
      <c r="I1889" s="14" t="s">
        <v>54</v>
      </c>
      <c r="J1889" s="14" t="s">
        <v>200</v>
      </c>
      <c r="K1889" s="14" t="s">
        <v>231</v>
      </c>
      <c r="L1889" s="14" t="s">
        <v>762</v>
      </c>
      <c r="M1889" s="14" t="s">
        <v>763</v>
      </c>
      <c r="N1889" s="14" t="s">
        <v>764</v>
      </c>
      <c r="O1889" s="14">
        <v>0.0</v>
      </c>
      <c r="P1889" s="21">
        <v>0.0</v>
      </c>
      <c r="Q1889" s="22" t="str">
        <f t="shared" ref="Q1889:R1889" si="1120">"+0"</f>
        <v>+0</v>
      </c>
      <c r="R1889" s="18" t="str">
        <f t="shared" si="1120"/>
        <v>+0</v>
      </c>
      <c r="S1889" s="14" t="s">
        <v>260</v>
      </c>
    </row>
    <row r="1890">
      <c r="A1890" s="13">
        <v>45901.0</v>
      </c>
      <c r="B1890" s="14" t="s">
        <v>47</v>
      </c>
      <c r="C1890" s="14" t="s">
        <v>48</v>
      </c>
      <c r="D1890" s="14" t="s">
        <v>149</v>
      </c>
      <c r="E1890" s="14" t="s">
        <v>150</v>
      </c>
      <c r="F1890" s="15" t="s">
        <v>51</v>
      </c>
      <c r="G1890" s="14" t="s">
        <v>151</v>
      </c>
      <c r="H1890" s="14" t="s">
        <v>152</v>
      </c>
      <c r="I1890" s="14" t="s">
        <v>54</v>
      </c>
      <c r="J1890" s="14" t="s">
        <v>198</v>
      </c>
      <c r="K1890" s="14" t="s">
        <v>210</v>
      </c>
      <c r="L1890" s="14" t="s">
        <v>278</v>
      </c>
      <c r="M1890" s="14" t="s">
        <v>1227</v>
      </c>
      <c r="N1890" s="14" t="s">
        <v>1228</v>
      </c>
      <c r="O1890" s="14">
        <v>100.0</v>
      </c>
      <c r="P1890" s="21">
        <v>4.0</v>
      </c>
      <c r="Q1890" s="22" t="str">
        <f t="shared" ref="Q1890:R1890" si="1121">"+2"</f>
        <v>+2</v>
      </c>
      <c r="R1890" s="18" t="str">
        <f t="shared" si="1121"/>
        <v>+2</v>
      </c>
      <c r="S1890" s="14" t="s">
        <v>277</v>
      </c>
    </row>
    <row r="1891">
      <c r="A1891" s="13">
        <v>45901.0</v>
      </c>
      <c r="B1891" s="14" t="s">
        <v>47</v>
      </c>
      <c r="C1891" s="14" t="s">
        <v>48</v>
      </c>
      <c r="D1891" s="14" t="s">
        <v>149</v>
      </c>
      <c r="E1891" s="14" t="s">
        <v>150</v>
      </c>
      <c r="F1891" s="15" t="s">
        <v>51</v>
      </c>
      <c r="G1891" s="14" t="s">
        <v>151</v>
      </c>
      <c r="H1891" s="14" t="s">
        <v>152</v>
      </c>
      <c r="I1891" s="14" t="s">
        <v>54</v>
      </c>
      <c r="J1891" s="14" t="s">
        <v>200</v>
      </c>
      <c r="K1891" s="14" t="s">
        <v>223</v>
      </c>
      <c r="L1891" s="14" t="s">
        <v>307</v>
      </c>
      <c r="M1891" s="14" t="s">
        <v>308</v>
      </c>
      <c r="N1891" s="14" t="s">
        <v>309</v>
      </c>
      <c r="O1891" s="14">
        <v>0.0</v>
      </c>
      <c r="P1891" s="23">
        <v>0.0</v>
      </c>
      <c r="Q1891" s="22" t="str">
        <f t="shared" ref="Q1891:R1891" si="1122">"+0.00%"</f>
        <v>+0.00%</v>
      </c>
      <c r="R1891" s="18" t="str">
        <f t="shared" si="1122"/>
        <v>+0.00%</v>
      </c>
      <c r="S1891" s="14" t="s">
        <v>285</v>
      </c>
    </row>
    <row r="1892">
      <c r="A1892" s="13">
        <v>45901.0</v>
      </c>
      <c r="B1892" s="14" t="s">
        <v>47</v>
      </c>
      <c r="C1892" s="14" t="s">
        <v>48</v>
      </c>
      <c r="D1892" s="14" t="s">
        <v>149</v>
      </c>
      <c r="E1892" s="14" t="s">
        <v>150</v>
      </c>
      <c r="F1892" s="15" t="s">
        <v>51</v>
      </c>
      <c r="G1892" s="14" t="s">
        <v>151</v>
      </c>
      <c r="H1892" s="14" t="s">
        <v>152</v>
      </c>
      <c r="I1892" s="14" t="s">
        <v>54</v>
      </c>
      <c r="J1892" s="14" t="s">
        <v>200</v>
      </c>
      <c r="K1892" s="14" t="s">
        <v>223</v>
      </c>
      <c r="L1892" s="14" t="s">
        <v>304</v>
      </c>
      <c r="M1892" s="14" t="s">
        <v>662</v>
      </c>
      <c r="N1892" s="14" t="s">
        <v>663</v>
      </c>
      <c r="O1892" s="14">
        <v>24.0</v>
      </c>
      <c r="P1892" s="23">
        <v>-0.5052</v>
      </c>
      <c r="Q1892" s="22" t="str">
        <f>"+38.48%"</f>
        <v>+38.48%</v>
      </c>
      <c r="R1892" s="18" t="str">
        <f>"+3.91%"</f>
        <v>+3.91%</v>
      </c>
      <c r="S1892" s="14" t="s">
        <v>1626</v>
      </c>
    </row>
    <row r="1893">
      <c r="A1893" s="13">
        <v>45901.0</v>
      </c>
      <c r="B1893" s="14" t="s">
        <v>47</v>
      </c>
      <c r="C1893" s="14" t="s">
        <v>48</v>
      </c>
      <c r="D1893" s="14" t="s">
        <v>87</v>
      </c>
      <c r="E1893" s="14" t="s">
        <v>88</v>
      </c>
      <c r="F1893" s="15" t="s">
        <v>51</v>
      </c>
      <c r="G1893" s="14" t="s">
        <v>89</v>
      </c>
      <c r="H1893" s="14" t="s">
        <v>90</v>
      </c>
      <c r="I1893" s="14" t="s">
        <v>59</v>
      </c>
      <c r="J1893" s="14" t="s">
        <v>200</v>
      </c>
      <c r="K1893" s="14" t="s">
        <v>223</v>
      </c>
      <c r="L1893" s="14" t="s">
        <v>261</v>
      </c>
      <c r="M1893" s="14" t="s">
        <v>864</v>
      </c>
      <c r="N1893" s="14" t="s">
        <v>865</v>
      </c>
      <c r="O1893" s="14">
        <v>0.0</v>
      </c>
      <c r="P1893" s="23">
        <v>0.0</v>
      </c>
      <c r="Q1893" s="22" t="str">
        <f t="shared" ref="Q1893:R1893" si="1123">"+0.00%"</f>
        <v>+0.00%</v>
      </c>
      <c r="R1893" s="18" t="str">
        <f t="shared" si="1123"/>
        <v>+0.00%</v>
      </c>
      <c r="S1893" s="14" t="s">
        <v>285</v>
      </c>
    </row>
    <row r="1894">
      <c r="A1894" s="13">
        <v>45901.0</v>
      </c>
      <c r="B1894" s="14" t="s">
        <v>47</v>
      </c>
      <c r="C1894" s="14" t="s">
        <v>48</v>
      </c>
      <c r="D1894" s="14" t="s">
        <v>125</v>
      </c>
      <c r="E1894" s="14" t="s">
        <v>126</v>
      </c>
      <c r="F1894" s="15" t="s">
        <v>51</v>
      </c>
      <c r="G1894" s="14" t="s">
        <v>127</v>
      </c>
      <c r="H1894" s="14" t="s">
        <v>125</v>
      </c>
      <c r="I1894" s="14" t="s">
        <v>59</v>
      </c>
      <c r="J1894" s="14" t="s">
        <v>199</v>
      </c>
      <c r="K1894" s="14" t="s">
        <v>203</v>
      </c>
      <c r="L1894" s="14" t="s">
        <v>340</v>
      </c>
      <c r="M1894" s="14" t="s">
        <v>340</v>
      </c>
      <c r="N1894" s="14" t="s">
        <v>341</v>
      </c>
      <c r="O1894" s="14">
        <v>0.0</v>
      </c>
      <c r="P1894" s="21">
        <v>0.0</v>
      </c>
      <c r="Q1894" s="22" t="str">
        <f t="shared" ref="Q1894:R1894" si="1124">"+0"</f>
        <v>+0</v>
      </c>
      <c r="R1894" s="18" t="str">
        <f t="shared" si="1124"/>
        <v>+0</v>
      </c>
      <c r="S1894" s="14" t="s">
        <v>260</v>
      </c>
    </row>
    <row r="1895">
      <c r="A1895" s="13">
        <v>45901.0</v>
      </c>
      <c r="B1895" s="14" t="s">
        <v>47</v>
      </c>
      <c r="C1895" s="14" t="s">
        <v>48</v>
      </c>
      <c r="D1895" s="14" t="s">
        <v>96</v>
      </c>
      <c r="E1895" s="14" t="s">
        <v>97</v>
      </c>
      <c r="F1895" s="15" t="s">
        <v>51</v>
      </c>
      <c r="G1895" s="14" t="s">
        <v>98</v>
      </c>
      <c r="H1895" s="14" t="s">
        <v>96</v>
      </c>
      <c r="I1895" s="14" t="s">
        <v>59</v>
      </c>
      <c r="J1895" s="14" t="s">
        <v>198</v>
      </c>
      <c r="K1895" s="14" t="s">
        <v>205</v>
      </c>
      <c r="L1895" s="14" t="s">
        <v>274</v>
      </c>
      <c r="M1895" s="14" t="s">
        <v>451</v>
      </c>
      <c r="N1895" s="14" t="s">
        <v>452</v>
      </c>
      <c r="O1895" s="14">
        <v>0.0</v>
      </c>
      <c r="P1895" s="21">
        <v>0.0</v>
      </c>
      <c r="Q1895" s="22" t="str">
        <f t="shared" ref="Q1895:Q1897" si="1125">"+0"</f>
        <v>+0</v>
      </c>
      <c r="S1895" s="14" t="s">
        <v>281</v>
      </c>
    </row>
    <row r="1896">
      <c r="A1896" s="13">
        <v>45901.0</v>
      </c>
      <c r="B1896" s="14" t="s">
        <v>47</v>
      </c>
      <c r="C1896" s="14" t="s">
        <v>48</v>
      </c>
      <c r="D1896" s="14" t="s">
        <v>158</v>
      </c>
      <c r="E1896" s="14" t="s">
        <v>159</v>
      </c>
      <c r="F1896" s="15" t="s">
        <v>51</v>
      </c>
      <c r="G1896" s="14" t="s">
        <v>160</v>
      </c>
      <c r="H1896" s="14" t="s">
        <v>158</v>
      </c>
      <c r="I1896" s="14" t="s">
        <v>54</v>
      </c>
      <c r="J1896" s="14" t="s">
        <v>198</v>
      </c>
      <c r="K1896" s="14" t="s">
        <v>210</v>
      </c>
      <c r="L1896" s="14" t="s">
        <v>264</v>
      </c>
      <c r="M1896" s="14" t="s">
        <v>1214</v>
      </c>
      <c r="N1896" s="14" t="s">
        <v>1215</v>
      </c>
      <c r="O1896" s="14">
        <v>0.0</v>
      </c>
      <c r="P1896" s="21">
        <v>0.0</v>
      </c>
      <c r="Q1896" s="22" t="str">
        <f t="shared" si="1125"/>
        <v>+0</v>
      </c>
      <c r="R1896" s="18" t="str">
        <f t="shared" ref="R1896:R1897" si="1126">"+0"</f>
        <v>+0</v>
      </c>
      <c r="S1896" s="14" t="s">
        <v>277</v>
      </c>
    </row>
    <row r="1897">
      <c r="A1897" s="13">
        <v>45901.0</v>
      </c>
      <c r="B1897" s="14" t="s">
        <v>47</v>
      </c>
      <c r="C1897" s="14" t="s">
        <v>48</v>
      </c>
      <c r="D1897" s="14" t="s">
        <v>112</v>
      </c>
      <c r="E1897" s="14" t="s">
        <v>113</v>
      </c>
      <c r="F1897" s="15" t="s">
        <v>51</v>
      </c>
      <c r="G1897" s="14" t="s">
        <v>114</v>
      </c>
      <c r="H1897" s="14" t="s">
        <v>112</v>
      </c>
      <c r="I1897" s="14" t="s">
        <v>59</v>
      </c>
      <c r="J1897" s="14" t="s">
        <v>198</v>
      </c>
      <c r="K1897" s="14" t="s">
        <v>210</v>
      </c>
      <c r="L1897" s="14" t="s">
        <v>278</v>
      </c>
      <c r="M1897" s="14" t="s">
        <v>279</v>
      </c>
      <c r="N1897" s="14" t="s">
        <v>280</v>
      </c>
      <c r="O1897" s="14">
        <v>100.0</v>
      </c>
      <c r="P1897" s="21">
        <v>0.0</v>
      </c>
      <c r="Q1897" s="22" t="str">
        <f t="shared" si="1125"/>
        <v>+0</v>
      </c>
      <c r="R1897" s="18" t="str">
        <f t="shared" si="1126"/>
        <v>+0</v>
      </c>
      <c r="S1897" s="14" t="s">
        <v>281</v>
      </c>
    </row>
    <row r="1898">
      <c r="A1898" s="13">
        <v>45901.0</v>
      </c>
      <c r="B1898" s="14" t="s">
        <v>47</v>
      </c>
      <c r="C1898" s="14" t="s">
        <v>48</v>
      </c>
      <c r="D1898" s="14" t="s">
        <v>155</v>
      </c>
      <c r="E1898" s="14" t="s">
        <v>156</v>
      </c>
      <c r="F1898" s="15" t="s">
        <v>51</v>
      </c>
      <c r="G1898" s="14" t="s">
        <v>157</v>
      </c>
      <c r="H1898" s="14" t="s">
        <v>155</v>
      </c>
      <c r="I1898" s="14" t="s">
        <v>59</v>
      </c>
      <c r="J1898" s="14" t="s">
        <v>200</v>
      </c>
      <c r="K1898" s="14" t="s">
        <v>223</v>
      </c>
      <c r="L1898" s="14" t="s">
        <v>304</v>
      </c>
      <c r="M1898" s="14" t="s">
        <v>688</v>
      </c>
      <c r="N1898" s="14" t="s">
        <v>689</v>
      </c>
      <c r="O1898" s="14">
        <v>0.0</v>
      </c>
      <c r="P1898" s="17"/>
      <c r="Q1898" s="22"/>
      <c r="S1898" s="14" t="s">
        <v>1627</v>
      </c>
    </row>
    <row r="1899">
      <c r="A1899" s="13">
        <v>45901.0</v>
      </c>
      <c r="B1899" s="14" t="s">
        <v>47</v>
      </c>
      <c r="C1899" s="14" t="s">
        <v>48</v>
      </c>
      <c r="D1899" s="14" t="s">
        <v>56</v>
      </c>
      <c r="E1899" s="14" t="s">
        <v>57</v>
      </c>
      <c r="F1899" s="14" t="s">
        <v>71</v>
      </c>
      <c r="G1899" s="14">
        <v>5.36003976E8</v>
      </c>
      <c r="H1899" s="14" t="s">
        <v>56</v>
      </c>
      <c r="I1899" s="14" t="s">
        <v>59</v>
      </c>
      <c r="J1899" s="14" t="s">
        <v>199</v>
      </c>
      <c r="K1899" s="14" t="s">
        <v>206</v>
      </c>
      <c r="L1899" s="14" t="s">
        <v>569</v>
      </c>
      <c r="M1899" s="14" t="s">
        <v>569</v>
      </c>
      <c r="N1899" s="14" t="s">
        <v>570</v>
      </c>
      <c r="O1899" s="14">
        <v>0.0</v>
      </c>
      <c r="P1899" s="21">
        <v>0.0</v>
      </c>
      <c r="Q1899" s="22" t="str">
        <f t="shared" ref="Q1899:R1899" si="1127">"+0"</f>
        <v>+0</v>
      </c>
      <c r="R1899" s="18" t="str">
        <f t="shared" si="1127"/>
        <v>+0</v>
      </c>
      <c r="S1899" s="14" t="s">
        <v>383</v>
      </c>
    </row>
    <row r="1900">
      <c r="A1900" s="13">
        <v>45901.0</v>
      </c>
      <c r="B1900" s="14" t="s">
        <v>47</v>
      </c>
      <c r="C1900" s="14" t="s">
        <v>48</v>
      </c>
      <c r="D1900" s="14" t="s">
        <v>49</v>
      </c>
      <c r="E1900" s="14" t="s">
        <v>50</v>
      </c>
      <c r="F1900" s="15" t="s">
        <v>51</v>
      </c>
      <c r="G1900" s="14" t="s">
        <v>52</v>
      </c>
      <c r="H1900" s="14" t="s">
        <v>53</v>
      </c>
      <c r="I1900" s="14" t="s">
        <v>54</v>
      </c>
      <c r="J1900" s="14" t="s">
        <v>200</v>
      </c>
      <c r="K1900" s="14" t="s">
        <v>213</v>
      </c>
      <c r="L1900" s="14" t="s">
        <v>307</v>
      </c>
      <c r="M1900" s="14" t="s">
        <v>1176</v>
      </c>
      <c r="N1900" s="14" t="s">
        <v>1177</v>
      </c>
      <c r="O1900" s="14">
        <v>0.0</v>
      </c>
      <c r="P1900" s="23">
        <v>0.0</v>
      </c>
      <c r="Q1900" s="22" t="str">
        <f t="shared" ref="Q1900:R1900" si="1128">"+0.00%"</f>
        <v>+0.00%</v>
      </c>
      <c r="R1900" s="18" t="str">
        <f t="shared" si="1128"/>
        <v>+0.00%</v>
      </c>
      <c r="S1900" s="14" t="s">
        <v>285</v>
      </c>
    </row>
    <row r="1901">
      <c r="A1901" s="13">
        <v>45901.0</v>
      </c>
      <c r="B1901" s="14" t="s">
        <v>47</v>
      </c>
      <c r="C1901" s="14" t="s">
        <v>48</v>
      </c>
      <c r="D1901" s="14" t="s">
        <v>165</v>
      </c>
      <c r="E1901" s="14" t="s">
        <v>166</v>
      </c>
      <c r="F1901" s="15" t="s">
        <v>51</v>
      </c>
      <c r="G1901" s="14" t="s">
        <v>167</v>
      </c>
      <c r="H1901" s="14" t="s">
        <v>165</v>
      </c>
      <c r="I1901" s="14" t="s">
        <v>54</v>
      </c>
      <c r="J1901" s="14" t="s">
        <v>198</v>
      </c>
      <c r="K1901" s="14" t="s">
        <v>210</v>
      </c>
      <c r="L1901" s="14" t="s">
        <v>278</v>
      </c>
      <c r="M1901" s="14" t="s">
        <v>1485</v>
      </c>
      <c r="N1901" s="14" t="s">
        <v>1486</v>
      </c>
      <c r="O1901" s="14">
        <v>0.0</v>
      </c>
      <c r="P1901" s="21">
        <v>0.0</v>
      </c>
      <c r="Q1901" s="22" t="str">
        <f t="shared" ref="Q1901:R1901" si="1129">"+0"</f>
        <v>+0</v>
      </c>
      <c r="R1901" s="18" t="str">
        <f t="shared" si="1129"/>
        <v>+0</v>
      </c>
      <c r="S1901" s="14" t="s">
        <v>277</v>
      </c>
    </row>
    <row r="1902">
      <c r="A1902" s="13">
        <v>45901.0</v>
      </c>
      <c r="B1902" s="14" t="s">
        <v>47</v>
      </c>
      <c r="C1902" s="14" t="s">
        <v>48</v>
      </c>
      <c r="D1902" s="14" t="s">
        <v>91</v>
      </c>
      <c r="E1902" s="14" t="s">
        <v>92</v>
      </c>
      <c r="F1902" s="14" t="s">
        <v>71</v>
      </c>
      <c r="G1902" s="14">
        <v>7295600.0</v>
      </c>
      <c r="H1902" s="14" t="s">
        <v>91</v>
      </c>
      <c r="I1902" s="14" t="s">
        <v>54</v>
      </c>
      <c r="J1902" s="14" t="s">
        <v>199</v>
      </c>
      <c r="K1902" s="14" t="s">
        <v>203</v>
      </c>
      <c r="L1902" s="14" t="s">
        <v>736</v>
      </c>
      <c r="M1902" s="14" t="s">
        <v>736</v>
      </c>
      <c r="N1902" s="14" t="s">
        <v>737</v>
      </c>
      <c r="O1902" s="14">
        <v>100.0</v>
      </c>
      <c r="P1902" s="21">
        <v>5.0</v>
      </c>
      <c r="Q1902" s="22" t="str">
        <f t="shared" ref="Q1902:R1902" si="1130">"+0"</f>
        <v>+0</v>
      </c>
      <c r="R1902" s="18" t="str">
        <f t="shared" si="1130"/>
        <v>+0</v>
      </c>
      <c r="S1902" s="14" t="s">
        <v>260</v>
      </c>
    </row>
    <row r="1903">
      <c r="A1903" s="13">
        <v>45901.0</v>
      </c>
      <c r="B1903" s="14" t="s">
        <v>47</v>
      </c>
      <c r="C1903" s="14" t="s">
        <v>48</v>
      </c>
      <c r="D1903" s="14" t="s">
        <v>91</v>
      </c>
      <c r="E1903" s="14" t="s">
        <v>92</v>
      </c>
      <c r="F1903" s="14" t="s">
        <v>79</v>
      </c>
      <c r="G1903" s="14" t="s">
        <v>164</v>
      </c>
      <c r="H1903" s="14" t="s">
        <v>91</v>
      </c>
      <c r="I1903" s="14" t="s">
        <v>154</v>
      </c>
      <c r="J1903" s="14" t="s">
        <v>199</v>
      </c>
      <c r="K1903" s="14" t="s">
        <v>203</v>
      </c>
      <c r="L1903" s="14" t="s">
        <v>340</v>
      </c>
      <c r="M1903" s="14" t="s">
        <v>340</v>
      </c>
      <c r="N1903" s="14" t="s">
        <v>341</v>
      </c>
      <c r="O1903" s="14">
        <v>0.0</v>
      </c>
      <c r="P1903" s="21">
        <v>0.0</v>
      </c>
      <c r="Q1903" s="22" t="str">
        <f>"-1"</f>
        <v>-1</v>
      </c>
      <c r="R1903" s="18" t="str">
        <f>"-3"</f>
        <v>-3</v>
      </c>
      <c r="S1903" s="14" t="s">
        <v>260</v>
      </c>
    </row>
    <row r="1904">
      <c r="A1904" s="13">
        <v>45901.0</v>
      </c>
      <c r="B1904" s="14" t="s">
        <v>47</v>
      </c>
      <c r="C1904" s="14" t="s">
        <v>48</v>
      </c>
      <c r="D1904" s="14" t="s">
        <v>91</v>
      </c>
      <c r="E1904" s="14" t="s">
        <v>92</v>
      </c>
      <c r="F1904" s="14" t="s">
        <v>71</v>
      </c>
      <c r="G1904" s="14">
        <v>5.10001669E8</v>
      </c>
      <c r="H1904" s="14" t="s">
        <v>91</v>
      </c>
      <c r="I1904" s="14" t="s">
        <v>107</v>
      </c>
      <c r="J1904" s="14" t="s">
        <v>200</v>
      </c>
      <c r="K1904" s="14" t="s">
        <v>218</v>
      </c>
      <c r="L1904" s="14" t="s">
        <v>253</v>
      </c>
      <c r="M1904" s="14" t="s">
        <v>1628</v>
      </c>
      <c r="N1904" s="14" t="s">
        <v>1629</v>
      </c>
      <c r="O1904" s="14">
        <v>1.0</v>
      </c>
      <c r="P1904" s="23">
        <v>0.0034</v>
      </c>
      <c r="Q1904" s="22" t="str">
        <f>"+0.01%"</f>
        <v>+0.01%</v>
      </c>
      <c r="R1904" s="18" t="str">
        <f>"+0.02%"</f>
        <v>+0.02%</v>
      </c>
      <c r="S1904" s="14" t="s">
        <v>1630</v>
      </c>
    </row>
    <row r="1905">
      <c r="A1905" s="13">
        <v>45901.0</v>
      </c>
      <c r="B1905" s="14" t="s">
        <v>47</v>
      </c>
      <c r="C1905" s="14" t="s">
        <v>48</v>
      </c>
      <c r="D1905" s="14" t="s">
        <v>91</v>
      </c>
      <c r="E1905" s="14" t="s">
        <v>92</v>
      </c>
      <c r="F1905" s="14" t="s">
        <v>71</v>
      </c>
      <c r="G1905" s="14">
        <v>5.10001669E8</v>
      </c>
      <c r="H1905" s="14" t="s">
        <v>91</v>
      </c>
      <c r="I1905" s="14" t="s">
        <v>107</v>
      </c>
      <c r="J1905" s="14" t="s">
        <v>199</v>
      </c>
      <c r="K1905" s="14" t="s">
        <v>206</v>
      </c>
      <c r="L1905" s="14" t="s">
        <v>569</v>
      </c>
      <c r="M1905" s="14" t="s">
        <v>569</v>
      </c>
      <c r="N1905" s="14" t="s">
        <v>570</v>
      </c>
      <c r="O1905" s="14">
        <v>100.0</v>
      </c>
      <c r="P1905" s="21">
        <v>10.0</v>
      </c>
      <c r="Q1905" s="22" t="str">
        <f>"-2"</f>
        <v>-2</v>
      </c>
      <c r="R1905" s="18" t="str">
        <f>"-7"</f>
        <v>-7</v>
      </c>
      <c r="S1905" s="14" t="s">
        <v>383</v>
      </c>
    </row>
    <row r="1906">
      <c r="A1906" s="13">
        <v>45901.0</v>
      </c>
      <c r="B1906" s="14" t="s">
        <v>47</v>
      </c>
      <c r="C1906" s="14" t="s">
        <v>48</v>
      </c>
      <c r="D1906" s="14" t="s">
        <v>63</v>
      </c>
      <c r="E1906" s="14" t="s">
        <v>64</v>
      </c>
      <c r="F1906" s="15" t="s">
        <v>51</v>
      </c>
      <c r="G1906" s="14" t="s">
        <v>65</v>
      </c>
      <c r="H1906" s="14" t="s">
        <v>63</v>
      </c>
      <c r="I1906" s="14" t="s">
        <v>54</v>
      </c>
      <c r="J1906" s="14" t="s">
        <v>198</v>
      </c>
      <c r="K1906" s="14" t="s">
        <v>210</v>
      </c>
      <c r="L1906" s="14" t="s">
        <v>264</v>
      </c>
      <c r="M1906" s="14" t="s">
        <v>867</v>
      </c>
      <c r="N1906" s="14" t="s">
        <v>868</v>
      </c>
      <c r="O1906" s="14">
        <v>0.0</v>
      </c>
      <c r="P1906" s="21">
        <v>0.0</v>
      </c>
      <c r="Q1906" s="22" t="str">
        <f t="shared" ref="Q1906:R1906" si="1131">"+0"</f>
        <v>+0</v>
      </c>
      <c r="R1906" s="18" t="str">
        <f t="shared" si="1131"/>
        <v>+0</v>
      </c>
      <c r="S1906" s="14" t="s">
        <v>277</v>
      </c>
    </row>
    <row r="1907">
      <c r="A1907" s="13">
        <v>45901.0</v>
      </c>
      <c r="B1907" s="14" t="s">
        <v>47</v>
      </c>
      <c r="C1907" s="14" t="s">
        <v>48</v>
      </c>
      <c r="D1907" s="14" t="s">
        <v>118</v>
      </c>
      <c r="E1907" s="14" t="s">
        <v>119</v>
      </c>
      <c r="F1907" s="15" t="s">
        <v>51</v>
      </c>
      <c r="G1907" s="14" t="s">
        <v>120</v>
      </c>
      <c r="H1907" s="14" t="s">
        <v>118</v>
      </c>
      <c r="I1907" s="14" t="s">
        <v>59</v>
      </c>
      <c r="J1907" s="14" t="s">
        <v>198</v>
      </c>
      <c r="K1907" s="14" t="s">
        <v>205</v>
      </c>
      <c r="L1907" s="14" t="s">
        <v>274</v>
      </c>
      <c r="M1907" s="14" t="s">
        <v>448</v>
      </c>
      <c r="N1907" s="14" t="s">
        <v>449</v>
      </c>
      <c r="O1907" s="14">
        <v>100.0</v>
      </c>
      <c r="P1907" s="21">
        <v>3.0</v>
      </c>
      <c r="Q1907" s="22" t="str">
        <f t="shared" ref="Q1907:Q1909" si="1132">"+0"</f>
        <v>+0</v>
      </c>
      <c r="S1907" s="14" t="s">
        <v>450</v>
      </c>
    </row>
    <row r="1908">
      <c r="A1908" s="13">
        <v>45901.0</v>
      </c>
      <c r="B1908" s="14" t="s">
        <v>47</v>
      </c>
      <c r="C1908" s="14" t="s">
        <v>48</v>
      </c>
      <c r="D1908" s="14" t="s">
        <v>192</v>
      </c>
      <c r="E1908" s="14" t="s">
        <v>193</v>
      </c>
      <c r="F1908" s="15" t="s">
        <v>51</v>
      </c>
      <c r="G1908" s="14" t="s">
        <v>194</v>
      </c>
      <c r="H1908" s="14" t="s">
        <v>192</v>
      </c>
      <c r="I1908" s="14" t="s">
        <v>54</v>
      </c>
      <c r="J1908" s="14" t="s">
        <v>199</v>
      </c>
      <c r="K1908" s="14" t="s">
        <v>203</v>
      </c>
      <c r="L1908" s="14" t="s">
        <v>1631</v>
      </c>
      <c r="M1908" s="14" t="s">
        <v>1632</v>
      </c>
      <c r="N1908" s="14" t="s">
        <v>1633</v>
      </c>
      <c r="O1908" s="14">
        <v>0.0</v>
      </c>
      <c r="P1908" s="21">
        <v>0.0</v>
      </c>
      <c r="Q1908" s="22" t="str">
        <f t="shared" si="1132"/>
        <v>+0</v>
      </c>
      <c r="R1908" s="18" t="str">
        <f>"+0"</f>
        <v>+0</v>
      </c>
      <c r="S1908" s="14" t="s">
        <v>260</v>
      </c>
    </row>
    <row r="1909">
      <c r="A1909" s="13">
        <v>45901.0</v>
      </c>
      <c r="B1909" s="14" t="s">
        <v>47</v>
      </c>
      <c r="C1909" s="14" t="s">
        <v>48</v>
      </c>
      <c r="D1909" s="14" t="s">
        <v>93</v>
      </c>
      <c r="E1909" s="14" t="s">
        <v>94</v>
      </c>
      <c r="F1909" s="15" t="s">
        <v>51</v>
      </c>
      <c r="G1909" s="14" t="s">
        <v>191</v>
      </c>
      <c r="H1909" s="14" t="s">
        <v>95</v>
      </c>
      <c r="I1909" s="14" t="s">
        <v>59</v>
      </c>
      <c r="J1909" s="14" t="s">
        <v>198</v>
      </c>
      <c r="K1909" s="14" t="s">
        <v>205</v>
      </c>
      <c r="L1909" s="14" t="s">
        <v>274</v>
      </c>
      <c r="M1909" s="14" t="s">
        <v>448</v>
      </c>
      <c r="N1909" s="14" t="s">
        <v>449</v>
      </c>
      <c r="O1909" s="14">
        <v>100.0</v>
      </c>
      <c r="P1909" s="21">
        <v>3.0</v>
      </c>
      <c r="Q1909" s="22" t="str">
        <f t="shared" si="1132"/>
        <v>+0</v>
      </c>
      <c r="S1909" s="14" t="s">
        <v>450</v>
      </c>
    </row>
    <row r="1910">
      <c r="A1910" s="13">
        <v>45901.0</v>
      </c>
      <c r="B1910" s="14" t="s">
        <v>47</v>
      </c>
      <c r="C1910" s="14" t="s">
        <v>48</v>
      </c>
      <c r="D1910" s="14" t="s">
        <v>143</v>
      </c>
      <c r="E1910" s="14" t="s">
        <v>144</v>
      </c>
      <c r="F1910" s="15" t="s">
        <v>51</v>
      </c>
      <c r="G1910" s="14" t="s">
        <v>145</v>
      </c>
      <c r="H1910" s="14" t="s">
        <v>143</v>
      </c>
      <c r="I1910" s="14" t="s">
        <v>59</v>
      </c>
      <c r="J1910" s="14" t="s">
        <v>200</v>
      </c>
      <c r="K1910" s="14" t="s">
        <v>232</v>
      </c>
      <c r="L1910" s="14" t="s">
        <v>363</v>
      </c>
      <c r="M1910" s="14" t="s">
        <v>1634</v>
      </c>
      <c r="N1910" s="14" t="s">
        <v>1635</v>
      </c>
      <c r="O1910" s="14">
        <v>0.0</v>
      </c>
      <c r="P1910" s="23">
        <v>0.0</v>
      </c>
      <c r="Q1910" s="22" t="str">
        <f t="shared" ref="Q1910:R1910" si="1133">"+0.00%"</f>
        <v>+0.00%</v>
      </c>
      <c r="R1910" s="18" t="str">
        <f t="shared" si="1133"/>
        <v>+0.00%</v>
      </c>
      <c r="S1910" s="14" t="s">
        <v>285</v>
      </c>
    </row>
    <row r="1911">
      <c r="A1911" s="13">
        <v>45901.0</v>
      </c>
      <c r="B1911" s="14" t="s">
        <v>47</v>
      </c>
      <c r="C1911" s="14" t="s">
        <v>48</v>
      </c>
      <c r="D1911" s="14" t="s">
        <v>103</v>
      </c>
      <c r="E1911" s="14" t="s">
        <v>104</v>
      </c>
      <c r="F1911" s="15" t="s">
        <v>51</v>
      </c>
      <c r="G1911" s="14" t="s">
        <v>105</v>
      </c>
      <c r="H1911" s="14" t="s">
        <v>106</v>
      </c>
      <c r="I1911" s="14" t="s">
        <v>59</v>
      </c>
      <c r="J1911" s="14" t="s">
        <v>200</v>
      </c>
      <c r="K1911" s="14" t="s">
        <v>232</v>
      </c>
      <c r="L1911" s="14" t="s">
        <v>487</v>
      </c>
      <c r="M1911" s="14" t="s">
        <v>904</v>
      </c>
      <c r="N1911" s="14" t="s">
        <v>905</v>
      </c>
      <c r="O1911" s="14">
        <v>100.0</v>
      </c>
      <c r="P1911" s="21">
        <v>9.0</v>
      </c>
      <c r="Q1911" s="22" t="str">
        <f t="shared" ref="Q1911:R1911" si="1134">"+0"</f>
        <v>+0</v>
      </c>
      <c r="R1911" s="18" t="str">
        <f t="shared" si="1134"/>
        <v>+0</v>
      </c>
      <c r="S1911" s="14" t="s">
        <v>260</v>
      </c>
    </row>
    <row r="1912">
      <c r="A1912" s="13">
        <v>45901.0</v>
      </c>
      <c r="B1912" s="14" t="s">
        <v>47</v>
      </c>
      <c r="C1912" s="14" t="s">
        <v>48</v>
      </c>
      <c r="D1912" s="14" t="s">
        <v>149</v>
      </c>
      <c r="E1912" s="14" t="s">
        <v>150</v>
      </c>
      <c r="F1912" s="15" t="s">
        <v>51</v>
      </c>
      <c r="G1912" s="14" t="s">
        <v>151</v>
      </c>
      <c r="H1912" s="14" t="s">
        <v>152</v>
      </c>
      <c r="I1912" s="14" t="s">
        <v>54</v>
      </c>
      <c r="J1912" s="14" t="s">
        <v>200</v>
      </c>
      <c r="K1912" s="14" t="s">
        <v>224</v>
      </c>
      <c r="L1912" s="14" t="s">
        <v>453</v>
      </c>
      <c r="M1912" s="14" t="s">
        <v>454</v>
      </c>
      <c r="N1912" s="14" t="s">
        <v>455</v>
      </c>
      <c r="O1912" s="14">
        <v>100.0</v>
      </c>
      <c r="P1912" s="23">
        <v>1.0</v>
      </c>
      <c r="Q1912" s="22" t="str">
        <f t="shared" ref="Q1912:R1912" si="1135">"+0.00%"</f>
        <v>+0.00%</v>
      </c>
      <c r="R1912" s="18" t="str">
        <f t="shared" si="1135"/>
        <v>+0.00%</v>
      </c>
      <c r="S1912" s="14" t="s">
        <v>371</v>
      </c>
    </row>
    <row r="1913">
      <c r="A1913" s="13">
        <v>45901.0</v>
      </c>
      <c r="B1913" s="14" t="s">
        <v>47</v>
      </c>
      <c r="C1913" s="14" t="s">
        <v>48</v>
      </c>
      <c r="D1913" s="14" t="s">
        <v>87</v>
      </c>
      <c r="E1913" s="14" t="s">
        <v>88</v>
      </c>
      <c r="F1913" s="15" t="s">
        <v>51</v>
      </c>
      <c r="G1913" s="14" t="s">
        <v>89</v>
      </c>
      <c r="H1913" s="14" t="s">
        <v>90</v>
      </c>
      <c r="I1913" s="14" t="s">
        <v>59</v>
      </c>
      <c r="J1913" s="14" t="s">
        <v>198</v>
      </c>
      <c r="K1913" s="14" t="s">
        <v>205</v>
      </c>
      <c r="L1913" s="14" t="s">
        <v>274</v>
      </c>
      <c r="M1913" s="14" t="s">
        <v>387</v>
      </c>
      <c r="N1913" s="14" t="s">
        <v>388</v>
      </c>
      <c r="O1913" s="14">
        <v>100.0</v>
      </c>
      <c r="P1913" s="21">
        <v>1.0</v>
      </c>
      <c r="Q1913" s="22" t="str">
        <f>"+0"</f>
        <v>+0</v>
      </c>
      <c r="S1913" s="14" t="s">
        <v>281</v>
      </c>
    </row>
    <row r="1914">
      <c r="A1914" s="13">
        <v>45901.0</v>
      </c>
      <c r="B1914" s="14" t="s">
        <v>47</v>
      </c>
      <c r="C1914" s="14" t="s">
        <v>48</v>
      </c>
      <c r="D1914" s="14" t="s">
        <v>149</v>
      </c>
      <c r="E1914" s="14" t="s">
        <v>150</v>
      </c>
      <c r="F1914" s="15" t="s">
        <v>51</v>
      </c>
      <c r="G1914" s="14" t="s">
        <v>151</v>
      </c>
      <c r="H1914" s="14" t="s">
        <v>152</v>
      </c>
      <c r="I1914" s="14" t="s">
        <v>54</v>
      </c>
      <c r="J1914" s="14" t="s">
        <v>200</v>
      </c>
      <c r="K1914" s="14" t="s">
        <v>223</v>
      </c>
      <c r="L1914" s="14" t="s">
        <v>607</v>
      </c>
      <c r="M1914" s="14" t="s">
        <v>1312</v>
      </c>
      <c r="N1914" s="14" t="s">
        <v>1313</v>
      </c>
      <c r="O1914" s="14">
        <v>0.0</v>
      </c>
      <c r="P1914" s="23">
        <v>0.0</v>
      </c>
      <c r="Q1914" s="22" t="str">
        <f t="shared" ref="Q1914:R1914" si="1136">"+0.00%"</f>
        <v>+0.00%</v>
      </c>
      <c r="R1914" s="18" t="str">
        <f t="shared" si="1136"/>
        <v>+0.00%</v>
      </c>
      <c r="S1914" s="14" t="s">
        <v>285</v>
      </c>
    </row>
    <row r="1915">
      <c r="A1915" s="13">
        <v>45901.0</v>
      </c>
      <c r="B1915" s="14" t="s">
        <v>47</v>
      </c>
      <c r="C1915" s="14" t="s">
        <v>48</v>
      </c>
      <c r="D1915" s="14" t="s">
        <v>149</v>
      </c>
      <c r="E1915" s="14" t="s">
        <v>150</v>
      </c>
      <c r="F1915" s="15" t="s">
        <v>51</v>
      </c>
      <c r="G1915" s="14" t="s">
        <v>151</v>
      </c>
      <c r="H1915" s="14" t="s">
        <v>152</v>
      </c>
      <c r="I1915" s="14" t="s">
        <v>54</v>
      </c>
      <c r="J1915" s="14" t="s">
        <v>200</v>
      </c>
      <c r="K1915" s="14" t="s">
        <v>223</v>
      </c>
      <c r="L1915" s="14" t="s">
        <v>705</v>
      </c>
      <c r="M1915" s="14" t="s">
        <v>706</v>
      </c>
      <c r="N1915" s="14" t="s">
        <v>707</v>
      </c>
      <c r="O1915" s="14">
        <v>0.0</v>
      </c>
      <c r="P1915" s="21">
        <v>0.0</v>
      </c>
      <c r="Q1915" s="22" t="str">
        <f t="shared" ref="Q1915:R1915" si="1137">"+0"</f>
        <v>+0</v>
      </c>
      <c r="R1915" s="18" t="str">
        <f t="shared" si="1137"/>
        <v>+0</v>
      </c>
      <c r="S1915" s="14" t="s">
        <v>260</v>
      </c>
    </row>
    <row r="1916">
      <c r="A1916" s="13">
        <v>45901.0</v>
      </c>
      <c r="B1916" s="14" t="s">
        <v>47</v>
      </c>
      <c r="C1916" s="14" t="s">
        <v>48</v>
      </c>
      <c r="D1916" s="14" t="s">
        <v>85</v>
      </c>
      <c r="E1916" s="14" t="s">
        <v>86</v>
      </c>
      <c r="F1916" s="15" t="s">
        <v>51</v>
      </c>
      <c r="G1916" s="14" t="s">
        <v>148</v>
      </c>
      <c r="H1916" s="14" t="s">
        <v>85</v>
      </c>
      <c r="I1916" s="14" t="s">
        <v>59</v>
      </c>
      <c r="J1916" s="14" t="s">
        <v>200</v>
      </c>
      <c r="K1916" s="14" t="s">
        <v>227</v>
      </c>
      <c r="L1916" s="14" t="s">
        <v>253</v>
      </c>
      <c r="M1916" s="14" t="s">
        <v>254</v>
      </c>
      <c r="N1916" s="14" t="s">
        <v>255</v>
      </c>
      <c r="O1916" s="14">
        <v>0.0</v>
      </c>
      <c r="P1916" s="23">
        <v>0.0</v>
      </c>
      <c r="Q1916" s="22" t="str">
        <f t="shared" ref="Q1916:R1916" si="1138">"+0.00%"</f>
        <v>+0.00%</v>
      </c>
      <c r="R1916" s="18" t="str">
        <f t="shared" si="1138"/>
        <v>+0.00%</v>
      </c>
      <c r="S1916" s="14" t="s">
        <v>256</v>
      </c>
    </row>
    <row r="1917">
      <c r="A1917" s="13">
        <v>45901.0</v>
      </c>
      <c r="B1917" s="14" t="s">
        <v>47</v>
      </c>
      <c r="C1917" s="14" t="s">
        <v>48</v>
      </c>
      <c r="D1917" s="14" t="s">
        <v>125</v>
      </c>
      <c r="E1917" s="14" t="s">
        <v>126</v>
      </c>
      <c r="F1917" s="15" t="s">
        <v>51</v>
      </c>
      <c r="G1917" s="14" t="s">
        <v>127</v>
      </c>
      <c r="H1917" s="14" t="s">
        <v>125</v>
      </c>
      <c r="I1917" s="14" t="s">
        <v>59</v>
      </c>
      <c r="J1917" s="14" t="s">
        <v>199</v>
      </c>
      <c r="K1917" s="14" t="s">
        <v>203</v>
      </c>
      <c r="L1917" s="14" t="s">
        <v>601</v>
      </c>
      <c r="M1917" s="14" t="s">
        <v>601</v>
      </c>
      <c r="N1917" s="14" t="s">
        <v>602</v>
      </c>
      <c r="O1917" s="14">
        <v>0.0</v>
      </c>
      <c r="P1917" s="21">
        <v>0.0</v>
      </c>
      <c r="Q1917" s="22" t="str">
        <f t="shared" ref="Q1917:R1917" si="1139">"+0"</f>
        <v>+0</v>
      </c>
      <c r="R1917" s="18" t="str">
        <f t="shared" si="1139"/>
        <v>+0</v>
      </c>
      <c r="S1917" s="14" t="s">
        <v>260</v>
      </c>
    </row>
    <row r="1918">
      <c r="A1918" s="13">
        <v>45901.0</v>
      </c>
      <c r="B1918" s="14" t="s">
        <v>47</v>
      </c>
      <c r="C1918" s="14" t="s">
        <v>48</v>
      </c>
      <c r="D1918" s="14" t="s">
        <v>125</v>
      </c>
      <c r="E1918" s="14" t="s">
        <v>126</v>
      </c>
      <c r="F1918" s="15" t="s">
        <v>51</v>
      </c>
      <c r="G1918" s="14" t="s">
        <v>127</v>
      </c>
      <c r="H1918" s="14" t="s">
        <v>125</v>
      </c>
      <c r="I1918" s="14" t="s">
        <v>59</v>
      </c>
      <c r="J1918" s="14" t="s">
        <v>200</v>
      </c>
      <c r="K1918" s="14" t="s">
        <v>232</v>
      </c>
      <c r="L1918" s="14" t="s">
        <v>304</v>
      </c>
      <c r="M1918" s="14" t="s">
        <v>662</v>
      </c>
      <c r="N1918" s="14" t="s">
        <v>663</v>
      </c>
      <c r="O1918" s="14">
        <v>0.0</v>
      </c>
      <c r="P1918" s="23">
        <v>-1.0</v>
      </c>
      <c r="Q1918" s="22" t="str">
        <f t="shared" ref="Q1918:R1918" si="1140">"+0.00%"</f>
        <v>+0.00%</v>
      </c>
      <c r="R1918" s="18" t="str">
        <f t="shared" si="1140"/>
        <v>+0.00%</v>
      </c>
      <c r="S1918" s="14" t="s">
        <v>1636</v>
      </c>
    </row>
    <row r="1919">
      <c r="A1919" s="13">
        <v>45901.0</v>
      </c>
      <c r="B1919" s="14" t="s">
        <v>47</v>
      </c>
      <c r="C1919" s="14" t="s">
        <v>48</v>
      </c>
      <c r="D1919" s="14" t="s">
        <v>69</v>
      </c>
      <c r="E1919" s="14" t="s">
        <v>70</v>
      </c>
      <c r="F1919" s="15" t="s">
        <v>51</v>
      </c>
      <c r="G1919" s="14" t="s">
        <v>115</v>
      </c>
      <c r="H1919" s="14" t="s">
        <v>72</v>
      </c>
      <c r="I1919" s="14" t="s">
        <v>54</v>
      </c>
      <c r="J1919" s="14" t="s">
        <v>200</v>
      </c>
      <c r="K1919" s="14" t="s">
        <v>214</v>
      </c>
      <c r="L1919" s="14" t="s">
        <v>253</v>
      </c>
      <c r="M1919" s="14" t="s">
        <v>366</v>
      </c>
      <c r="N1919" s="14" t="s">
        <v>367</v>
      </c>
      <c r="O1919" s="14">
        <v>84.0</v>
      </c>
      <c r="P1919" s="23">
        <v>0.8495</v>
      </c>
      <c r="Q1919" s="22" t="str">
        <f>"+5.86%"</f>
        <v>+5.86%</v>
      </c>
      <c r="R1919" s="18" t="str">
        <f>"+2.17%"</f>
        <v>+2.17%</v>
      </c>
      <c r="S1919" s="14" t="s">
        <v>1637</v>
      </c>
    </row>
    <row r="1920">
      <c r="A1920" s="13">
        <v>45901.0</v>
      </c>
      <c r="B1920" s="14" t="s">
        <v>47</v>
      </c>
      <c r="C1920" s="14" t="s">
        <v>48</v>
      </c>
      <c r="D1920" s="14" t="s">
        <v>69</v>
      </c>
      <c r="E1920" s="14" t="s">
        <v>70</v>
      </c>
      <c r="F1920" s="15" t="s">
        <v>51</v>
      </c>
      <c r="G1920" s="14" t="s">
        <v>115</v>
      </c>
      <c r="H1920" s="14" t="s">
        <v>72</v>
      </c>
      <c r="I1920" s="14" t="s">
        <v>54</v>
      </c>
      <c r="J1920" s="14" t="s">
        <v>200</v>
      </c>
      <c r="K1920" s="14" t="s">
        <v>224</v>
      </c>
      <c r="L1920" s="14" t="s">
        <v>392</v>
      </c>
      <c r="M1920" s="14" t="s">
        <v>1638</v>
      </c>
      <c r="N1920" s="14" t="s">
        <v>1639</v>
      </c>
      <c r="O1920" s="14">
        <v>8.0</v>
      </c>
      <c r="P1920" s="23">
        <v>0.0833</v>
      </c>
      <c r="Q1920" s="22" t="str">
        <f>"-25.00%"</f>
        <v>-25.00%</v>
      </c>
      <c r="R1920" s="18" t="str">
        <f>"-11.67%"</f>
        <v>-11.67%</v>
      </c>
      <c r="S1920" s="14" t="s">
        <v>1640</v>
      </c>
    </row>
    <row r="1921">
      <c r="A1921" s="13">
        <v>45901.0</v>
      </c>
      <c r="B1921" s="14" t="s">
        <v>47</v>
      </c>
      <c r="C1921" s="14" t="s">
        <v>48</v>
      </c>
      <c r="D1921" s="14" t="s">
        <v>116</v>
      </c>
      <c r="E1921" s="14" t="s">
        <v>117</v>
      </c>
      <c r="F1921" s="15" t="s">
        <v>51</v>
      </c>
      <c r="G1921" s="14" t="s">
        <v>161</v>
      </c>
      <c r="H1921" s="14" t="s">
        <v>116</v>
      </c>
      <c r="I1921" s="14" t="s">
        <v>54</v>
      </c>
      <c r="J1921" s="14" t="s">
        <v>198</v>
      </c>
      <c r="K1921" s="14" t="s">
        <v>212</v>
      </c>
      <c r="L1921" s="14" t="s">
        <v>249</v>
      </c>
      <c r="M1921" s="14" t="s">
        <v>604</v>
      </c>
      <c r="N1921" s="14" t="s">
        <v>605</v>
      </c>
      <c r="O1921" s="14">
        <v>0.0</v>
      </c>
      <c r="P1921" s="21">
        <v>0.0</v>
      </c>
      <c r="Q1921" s="22" t="str">
        <f t="shared" ref="Q1921:R1921" si="1141">"+0"</f>
        <v>+0</v>
      </c>
      <c r="R1921" s="18" t="str">
        <f t="shared" si="1141"/>
        <v>+0</v>
      </c>
      <c r="S1921" s="14" t="s">
        <v>277</v>
      </c>
    </row>
    <row r="1922">
      <c r="A1922" s="13">
        <v>45901.0</v>
      </c>
      <c r="B1922" s="14" t="s">
        <v>47</v>
      </c>
      <c r="C1922" s="14" t="s">
        <v>48</v>
      </c>
      <c r="D1922" s="14" t="s">
        <v>158</v>
      </c>
      <c r="E1922" s="14" t="s">
        <v>159</v>
      </c>
      <c r="F1922" s="15" t="s">
        <v>51</v>
      </c>
      <c r="G1922" s="14" t="s">
        <v>160</v>
      </c>
      <c r="H1922" s="14" t="s">
        <v>158</v>
      </c>
      <c r="I1922" s="14" t="s">
        <v>54</v>
      </c>
      <c r="J1922" s="14" t="s">
        <v>200</v>
      </c>
      <c r="K1922" s="14" t="s">
        <v>227</v>
      </c>
      <c r="L1922" s="14" t="s">
        <v>328</v>
      </c>
      <c r="M1922" s="14" t="s">
        <v>329</v>
      </c>
      <c r="N1922" s="14" t="s">
        <v>330</v>
      </c>
      <c r="O1922" s="14">
        <v>0.0</v>
      </c>
      <c r="P1922" s="21">
        <v>0.0</v>
      </c>
      <c r="Q1922" s="22" t="str">
        <f t="shared" ref="Q1922:R1922" si="1142">"+0"</f>
        <v>+0</v>
      </c>
      <c r="R1922" s="18" t="str">
        <f t="shared" si="1142"/>
        <v>+0</v>
      </c>
      <c r="S1922" s="14" t="s">
        <v>260</v>
      </c>
    </row>
    <row r="1923">
      <c r="A1923" s="13">
        <v>45901.0</v>
      </c>
      <c r="B1923" s="14" t="s">
        <v>47</v>
      </c>
      <c r="C1923" s="14" t="s">
        <v>48</v>
      </c>
      <c r="D1923" s="14" t="s">
        <v>108</v>
      </c>
      <c r="E1923" s="14" t="s">
        <v>109</v>
      </c>
      <c r="F1923" s="14" t="s">
        <v>79</v>
      </c>
      <c r="G1923" s="14" t="s">
        <v>153</v>
      </c>
      <c r="H1923" s="14" t="s">
        <v>108</v>
      </c>
      <c r="I1923" s="14" t="s">
        <v>154</v>
      </c>
      <c r="J1923" s="14" t="s">
        <v>198</v>
      </c>
      <c r="K1923" s="14" t="s">
        <v>205</v>
      </c>
      <c r="L1923" s="14" t="s">
        <v>1641</v>
      </c>
      <c r="M1923" s="14" t="s">
        <v>1642</v>
      </c>
      <c r="N1923" s="14" t="s">
        <v>1643</v>
      </c>
      <c r="O1923" s="14">
        <v>0.0</v>
      </c>
      <c r="P1923" s="21">
        <v>1.0</v>
      </c>
      <c r="Q1923" s="22" t="str">
        <f>"+0"</f>
        <v>+0</v>
      </c>
      <c r="S1923" s="14" t="s">
        <v>277</v>
      </c>
    </row>
    <row r="1924">
      <c r="A1924" s="13">
        <v>45901.0</v>
      </c>
      <c r="B1924" s="14" t="s">
        <v>47</v>
      </c>
      <c r="C1924" s="14" t="s">
        <v>48</v>
      </c>
      <c r="D1924" s="14" t="s">
        <v>116</v>
      </c>
      <c r="E1924" s="14" t="s">
        <v>117</v>
      </c>
      <c r="F1924" s="15" t="s">
        <v>51</v>
      </c>
      <c r="G1924" s="14" t="s">
        <v>161</v>
      </c>
      <c r="H1924" s="14" t="s">
        <v>116</v>
      </c>
      <c r="I1924" s="14" t="s">
        <v>54</v>
      </c>
      <c r="J1924" s="14" t="s">
        <v>198</v>
      </c>
      <c r="K1924" s="14" t="s">
        <v>212</v>
      </c>
      <c r="L1924" s="14" t="s">
        <v>249</v>
      </c>
      <c r="M1924" s="14" t="s">
        <v>598</v>
      </c>
      <c r="N1924" s="14" t="s">
        <v>599</v>
      </c>
      <c r="O1924" s="14">
        <v>89.0</v>
      </c>
      <c r="P1924" s="21">
        <v>15540.0</v>
      </c>
      <c r="Q1924" s="22" t="str">
        <f>"-518"</f>
        <v>-518</v>
      </c>
      <c r="R1924" s="18" t="str">
        <f>"+0"</f>
        <v>+0</v>
      </c>
      <c r="S1924" s="14" t="s">
        <v>1644</v>
      </c>
    </row>
    <row r="1925">
      <c r="A1925" s="13">
        <v>45901.0</v>
      </c>
      <c r="B1925" s="14" t="s">
        <v>47</v>
      </c>
      <c r="C1925" s="14" t="s">
        <v>48</v>
      </c>
      <c r="D1925" s="14" t="s">
        <v>108</v>
      </c>
      <c r="E1925" s="14" t="s">
        <v>109</v>
      </c>
      <c r="F1925" s="14" t="s">
        <v>146</v>
      </c>
      <c r="G1925" s="14" t="s">
        <v>180</v>
      </c>
      <c r="H1925" s="14" t="s">
        <v>108</v>
      </c>
      <c r="I1925" s="14" t="s">
        <v>59</v>
      </c>
      <c r="J1925" s="14" t="s">
        <v>200</v>
      </c>
      <c r="K1925" s="14" t="s">
        <v>226</v>
      </c>
      <c r="L1925" s="14" t="s">
        <v>253</v>
      </c>
      <c r="M1925" s="14" t="s">
        <v>1130</v>
      </c>
      <c r="N1925" s="14" t="s">
        <v>1473</v>
      </c>
      <c r="O1925" s="14">
        <v>7.0</v>
      </c>
      <c r="P1925" s="23">
        <v>0.2</v>
      </c>
      <c r="Q1925" s="22" t="str">
        <f>"-80.00%"</f>
        <v>-80.00%</v>
      </c>
      <c r="S1925" s="14" t="s">
        <v>1645</v>
      </c>
    </row>
    <row r="1926">
      <c r="A1926" s="13">
        <v>45901.0</v>
      </c>
      <c r="B1926" s="14" t="s">
        <v>47</v>
      </c>
      <c r="C1926" s="14" t="s">
        <v>48</v>
      </c>
      <c r="D1926" s="14" t="s">
        <v>77</v>
      </c>
      <c r="E1926" s="14" t="s">
        <v>78</v>
      </c>
      <c r="F1926" s="15" t="s">
        <v>51</v>
      </c>
      <c r="G1926" s="14" t="s">
        <v>128</v>
      </c>
      <c r="H1926" s="14" t="s">
        <v>81</v>
      </c>
      <c r="I1926" s="14" t="s">
        <v>59</v>
      </c>
      <c r="J1926" s="14" t="s">
        <v>200</v>
      </c>
      <c r="K1926" s="14" t="s">
        <v>223</v>
      </c>
      <c r="L1926" s="14" t="s">
        <v>307</v>
      </c>
      <c r="M1926" s="14" t="s">
        <v>856</v>
      </c>
      <c r="N1926" s="14" t="s">
        <v>857</v>
      </c>
      <c r="O1926" s="14">
        <v>0.0</v>
      </c>
      <c r="P1926" s="23">
        <v>0.0</v>
      </c>
      <c r="Q1926" s="22" t="str">
        <f t="shared" ref="Q1926:R1926" si="1143">"+0.00%"</f>
        <v>+0.00%</v>
      </c>
      <c r="R1926" s="18" t="str">
        <f t="shared" si="1143"/>
        <v>+0.00%</v>
      </c>
      <c r="S1926" s="14" t="s">
        <v>285</v>
      </c>
    </row>
    <row r="1927">
      <c r="A1927" s="13">
        <v>45901.0</v>
      </c>
      <c r="B1927" s="14" t="s">
        <v>47</v>
      </c>
      <c r="C1927" s="14" t="s">
        <v>48</v>
      </c>
      <c r="D1927" s="14" t="s">
        <v>181</v>
      </c>
      <c r="E1927" s="14" t="s">
        <v>182</v>
      </c>
      <c r="F1927" s="15" t="s">
        <v>51</v>
      </c>
      <c r="G1927" s="14" t="s">
        <v>183</v>
      </c>
      <c r="H1927" s="14" t="s">
        <v>181</v>
      </c>
      <c r="I1927" s="14" t="s">
        <v>59</v>
      </c>
      <c r="J1927" s="14" t="s">
        <v>198</v>
      </c>
      <c r="K1927" s="14" t="s">
        <v>210</v>
      </c>
      <c r="L1927" s="14" t="s">
        <v>264</v>
      </c>
      <c r="M1927" s="14" t="s">
        <v>407</v>
      </c>
      <c r="N1927" s="14" t="s">
        <v>408</v>
      </c>
      <c r="O1927" s="14">
        <v>100.0</v>
      </c>
      <c r="P1927" s="21">
        <v>0.0</v>
      </c>
      <c r="Q1927" s="22" t="str">
        <f t="shared" ref="Q1927:R1927" si="1144">"+0"</f>
        <v>+0</v>
      </c>
      <c r="R1927" s="18" t="str">
        <f t="shared" si="1144"/>
        <v>+0</v>
      </c>
      <c r="S1927" s="14" t="s">
        <v>281</v>
      </c>
    </row>
    <row r="1928">
      <c r="A1928" s="13">
        <v>45901.0</v>
      </c>
      <c r="B1928" s="14" t="s">
        <v>47</v>
      </c>
      <c r="C1928" s="14" t="s">
        <v>48</v>
      </c>
      <c r="D1928" s="14" t="s">
        <v>181</v>
      </c>
      <c r="E1928" s="14" t="s">
        <v>182</v>
      </c>
      <c r="F1928" s="15" t="s">
        <v>51</v>
      </c>
      <c r="G1928" s="14" t="s">
        <v>183</v>
      </c>
      <c r="H1928" s="14" t="s">
        <v>181</v>
      </c>
      <c r="I1928" s="14" t="s">
        <v>59</v>
      </c>
      <c r="J1928" s="14" t="s">
        <v>200</v>
      </c>
      <c r="K1928" s="14" t="s">
        <v>232</v>
      </c>
      <c r="L1928" s="14" t="s">
        <v>487</v>
      </c>
      <c r="M1928" s="14" t="s">
        <v>488</v>
      </c>
      <c r="N1928" s="14" t="s">
        <v>489</v>
      </c>
      <c r="O1928" s="14">
        <v>0.0</v>
      </c>
      <c r="P1928" s="21">
        <v>0.0</v>
      </c>
      <c r="Q1928" s="22" t="str">
        <f t="shared" ref="Q1928:R1928" si="1145">"+0"</f>
        <v>+0</v>
      </c>
      <c r="R1928" s="18" t="str">
        <f t="shared" si="1145"/>
        <v>+0</v>
      </c>
      <c r="S1928" s="14" t="s">
        <v>260</v>
      </c>
    </row>
    <row r="1929">
      <c r="A1929" s="13">
        <v>45901.0</v>
      </c>
      <c r="B1929" s="14" t="s">
        <v>47</v>
      </c>
      <c r="C1929" s="14" t="s">
        <v>48</v>
      </c>
      <c r="D1929" s="14" t="s">
        <v>140</v>
      </c>
      <c r="E1929" s="14" t="s">
        <v>141</v>
      </c>
      <c r="F1929" s="15" t="s">
        <v>51</v>
      </c>
      <c r="G1929" s="14" t="s">
        <v>142</v>
      </c>
      <c r="H1929" s="14" t="s">
        <v>140</v>
      </c>
      <c r="I1929" s="14" t="s">
        <v>59</v>
      </c>
      <c r="J1929" s="14" t="s">
        <v>200</v>
      </c>
      <c r="K1929" s="14" t="s">
        <v>213</v>
      </c>
      <c r="L1929" s="14" t="s">
        <v>289</v>
      </c>
      <c r="M1929" s="14" t="s">
        <v>984</v>
      </c>
      <c r="N1929" s="14" t="s">
        <v>985</v>
      </c>
      <c r="O1929" s="14">
        <v>0.0</v>
      </c>
      <c r="P1929" s="23">
        <v>0.0</v>
      </c>
      <c r="Q1929" s="22" t="str">
        <f t="shared" ref="Q1929:R1929" si="1146">"+0.00%"</f>
        <v>+0.00%</v>
      </c>
      <c r="R1929" s="18" t="str">
        <f t="shared" si="1146"/>
        <v>+0.00%</v>
      </c>
      <c r="S1929" s="14" t="s">
        <v>285</v>
      </c>
    </row>
    <row r="1930">
      <c r="A1930" s="13">
        <v>45901.0</v>
      </c>
      <c r="B1930" s="14" t="s">
        <v>47</v>
      </c>
      <c r="C1930" s="14" t="s">
        <v>48</v>
      </c>
      <c r="D1930" s="14" t="s">
        <v>121</v>
      </c>
      <c r="E1930" s="14" t="s">
        <v>122</v>
      </c>
      <c r="F1930" s="15" t="s">
        <v>51</v>
      </c>
      <c r="G1930" s="14" t="s">
        <v>123</v>
      </c>
      <c r="H1930" s="14" t="s">
        <v>124</v>
      </c>
      <c r="I1930" s="14" t="s">
        <v>59</v>
      </c>
      <c r="J1930" s="14" t="s">
        <v>198</v>
      </c>
      <c r="K1930" s="14" t="s">
        <v>205</v>
      </c>
      <c r="L1930" s="14" t="s">
        <v>274</v>
      </c>
      <c r="M1930" s="14" t="s">
        <v>275</v>
      </c>
      <c r="N1930" s="14" t="s">
        <v>276</v>
      </c>
      <c r="O1930" s="14">
        <v>0.0</v>
      </c>
      <c r="P1930" s="21">
        <v>1.0</v>
      </c>
      <c r="Q1930" s="22" t="str">
        <f>"+0"</f>
        <v>+0</v>
      </c>
      <c r="S1930" s="14" t="s">
        <v>277</v>
      </c>
    </row>
    <row r="1931">
      <c r="A1931" s="13">
        <v>45901.0</v>
      </c>
      <c r="B1931" s="14" t="s">
        <v>47</v>
      </c>
      <c r="C1931" s="14" t="s">
        <v>48</v>
      </c>
      <c r="D1931" s="14" t="s">
        <v>155</v>
      </c>
      <c r="E1931" s="14" t="s">
        <v>156</v>
      </c>
      <c r="F1931" s="15" t="s">
        <v>51</v>
      </c>
      <c r="G1931" s="14" t="s">
        <v>157</v>
      </c>
      <c r="H1931" s="14" t="s">
        <v>155</v>
      </c>
      <c r="I1931" s="14" t="s">
        <v>59</v>
      </c>
      <c r="J1931" s="14" t="s">
        <v>200</v>
      </c>
      <c r="K1931" s="14" t="s">
        <v>223</v>
      </c>
      <c r="L1931" s="14" t="s">
        <v>363</v>
      </c>
      <c r="M1931" s="14" t="s">
        <v>1634</v>
      </c>
      <c r="N1931" s="14" t="s">
        <v>1635</v>
      </c>
      <c r="O1931" s="14">
        <v>0.0</v>
      </c>
      <c r="P1931" s="17"/>
      <c r="Q1931" s="22"/>
      <c r="S1931" s="14" t="s">
        <v>285</v>
      </c>
    </row>
    <row r="1932">
      <c r="A1932" s="13">
        <v>45901.0</v>
      </c>
      <c r="B1932" s="14" t="s">
        <v>47</v>
      </c>
      <c r="C1932" s="14" t="s">
        <v>48</v>
      </c>
      <c r="D1932" s="14" t="s">
        <v>60</v>
      </c>
      <c r="E1932" s="14" t="s">
        <v>61</v>
      </c>
      <c r="F1932" s="15" t="s">
        <v>51</v>
      </c>
      <c r="G1932" s="14" t="s">
        <v>62</v>
      </c>
      <c r="H1932" s="14" t="s">
        <v>60</v>
      </c>
      <c r="I1932" s="14" t="s">
        <v>59</v>
      </c>
      <c r="J1932" s="14" t="s">
        <v>198</v>
      </c>
      <c r="K1932" s="14" t="s">
        <v>205</v>
      </c>
      <c r="L1932" s="14" t="s">
        <v>274</v>
      </c>
      <c r="M1932" s="14" t="s">
        <v>575</v>
      </c>
      <c r="N1932" s="14" t="s">
        <v>576</v>
      </c>
      <c r="O1932" s="14">
        <v>100.0</v>
      </c>
      <c r="P1932" s="21">
        <v>90.0</v>
      </c>
      <c r="Q1932" s="22" t="str">
        <f t="shared" ref="Q1932:Q1935" si="1147">"+0"</f>
        <v>+0</v>
      </c>
      <c r="S1932" s="14" t="s">
        <v>577</v>
      </c>
    </row>
    <row r="1933">
      <c r="A1933" s="13">
        <v>45901.0</v>
      </c>
      <c r="B1933" s="14" t="s">
        <v>47</v>
      </c>
      <c r="C1933" s="14" t="s">
        <v>48</v>
      </c>
      <c r="D1933" s="14" t="s">
        <v>140</v>
      </c>
      <c r="E1933" s="14" t="s">
        <v>141</v>
      </c>
      <c r="F1933" s="15" t="s">
        <v>51</v>
      </c>
      <c r="G1933" s="14" t="s">
        <v>142</v>
      </c>
      <c r="H1933" s="14" t="s">
        <v>140</v>
      </c>
      <c r="I1933" s="14" t="s">
        <v>59</v>
      </c>
      <c r="J1933" s="14" t="s">
        <v>198</v>
      </c>
      <c r="K1933" s="14" t="s">
        <v>205</v>
      </c>
      <c r="L1933" s="14" t="s">
        <v>274</v>
      </c>
      <c r="M1933" s="14" t="s">
        <v>354</v>
      </c>
      <c r="N1933" s="14" t="s">
        <v>355</v>
      </c>
      <c r="O1933" s="14">
        <v>28.0</v>
      </c>
      <c r="P1933" s="21">
        <v>10.0</v>
      </c>
      <c r="Q1933" s="22" t="str">
        <f t="shared" si="1147"/>
        <v>+0</v>
      </c>
      <c r="S1933" s="14" t="s">
        <v>356</v>
      </c>
    </row>
    <row r="1934">
      <c r="A1934" s="13">
        <v>45901.0</v>
      </c>
      <c r="B1934" s="14" t="s">
        <v>47</v>
      </c>
      <c r="C1934" s="14" t="s">
        <v>48</v>
      </c>
      <c r="D1934" s="14" t="s">
        <v>168</v>
      </c>
      <c r="E1934" s="14" t="s">
        <v>169</v>
      </c>
      <c r="F1934" s="15" t="s">
        <v>51</v>
      </c>
      <c r="G1934" s="14" t="s">
        <v>170</v>
      </c>
      <c r="H1934" s="14" t="s">
        <v>168</v>
      </c>
      <c r="I1934" s="14" t="s">
        <v>59</v>
      </c>
      <c r="J1934" s="14" t="s">
        <v>199</v>
      </c>
      <c r="K1934" s="14" t="s">
        <v>203</v>
      </c>
      <c r="L1934" s="14" t="s">
        <v>725</v>
      </c>
      <c r="M1934" s="14" t="s">
        <v>725</v>
      </c>
      <c r="N1934" s="14" t="s">
        <v>726</v>
      </c>
      <c r="O1934" s="14">
        <v>0.0</v>
      </c>
      <c r="P1934" s="21">
        <v>0.0</v>
      </c>
      <c r="Q1934" s="22" t="str">
        <f t="shared" si="1147"/>
        <v>+0</v>
      </c>
      <c r="R1934" s="18" t="str">
        <f t="shared" ref="R1934:R1935" si="1148">"+0"</f>
        <v>+0</v>
      </c>
      <c r="S1934" s="14" t="s">
        <v>260</v>
      </c>
    </row>
    <row r="1935">
      <c r="A1935" s="13">
        <v>45901.0</v>
      </c>
      <c r="B1935" s="14" t="s">
        <v>47</v>
      </c>
      <c r="C1935" s="14" t="s">
        <v>48</v>
      </c>
      <c r="D1935" s="14" t="s">
        <v>56</v>
      </c>
      <c r="E1935" s="14" t="s">
        <v>57</v>
      </c>
      <c r="F1935" s="15" t="s">
        <v>51</v>
      </c>
      <c r="G1935" s="14" t="s">
        <v>58</v>
      </c>
      <c r="H1935" s="14" t="s">
        <v>56</v>
      </c>
      <c r="I1935" s="14" t="s">
        <v>59</v>
      </c>
      <c r="J1935" s="14" t="s">
        <v>200</v>
      </c>
      <c r="K1935" s="14" t="s">
        <v>223</v>
      </c>
      <c r="L1935" s="14" t="s">
        <v>261</v>
      </c>
      <c r="M1935" s="14" t="s">
        <v>262</v>
      </c>
      <c r="N1935" s="14" t="s">
        <v>263</v>
      </c>
      <c r="O1935" s="14">
        <v>0.0</v>
      </c>
      <c r="P1935" s="21">
        <v>0.0</v>
      </c>
      <c r="Q1935" s="22" t="str">
        <f t="shared" si="1147"/>
        <v>+0</v>
      </c>
      <c r="R1935" s="18" t="str">
        <f t="shared" si="1148"/>
        <v>+0</v>
      </c>
      <c r="S1935" s="14" t="s">
        <v>260</v>
      </c>
    </row>
    <row r="1936">
      <c r="A1936" s="13">
        <v>45901.0</v>
      </c>
      <c r="B1936" s="14" t="s">
        <v>47</v>
      </c>
      <c r="C1936" s="14" t="s">
        <v>48</v>
      </c>
      <c r="D1936" s="14" t="s">
        <v>49</v>
      </c>
      <c r="E1936" s="14" t="s">
        <v>50</v>
      </c>
      <c r="F1936" s="15" t="s">
        <v>51</v>
      </c>
      <c r="G1936" s="14" t="s">
        <v>52</v>
      </c>
      <c r="H1936" s="14" t="s">
        <v>53</v>
      </c>
      <c r="I1936" s="14" t="s">
        <v>54</v>
      </c>
      <c r="J1936" s="14" t="s">
        <v>200</v>
      </c>
      <c r="K1936" s="14" t="s">
        <v>224</v>
      </c>
      <c r="L1936" s="14" t="s">
        <v>594</v>
      </c>
      <c r="M1936" s="14" t="s">
        <v>595</v>
      </c>
      <c r="N1936" s="14" t="s">
        <v>596</v>
      </c>
      <c r="O1936" s="14">
        <v>33.0</v>
      </c>
      <c r="P1936" s="23">
        <v>0.3333</v>
      </c>
      <c r="Q1936" s="22" t="str">
        <f>"-16.67%"</f>
        <v>-16.67%</v>
      </c>
      <c r="R1936" s="18" t="str">
        <f>"+19.05%"</f>
        <v>+19.05%</v>
      </c>
      <c r="S1936" s="14" t="s">
        <v>1646</v>
      </c>
    </row>
    <row r="1937">
      <c r="A1937" s="13">
        <v>45901.0</v>
      </c>
      <c r="B1937" s="14" t="s">
        <v>47</v>
      </c>
      <c r="C1937" s="14" t="s">
        <v>48</v>
      </c>
      <c r="D1937" s="14" t="s">
        <v>49</v>
      </c>
      <c r="E1937" s="14" t="s">
        <v>50</v>
      </c>
      <c r="F1937" s="15" t="s">
        <v>51</v>
      </c>
      <c r="G1937" s="14" t="s">
        <v>52</v>
      </c>
      <c r="H1937" s="14" t="s">
        <v>53</v>
      </c>
      <c r="I1937" s="14" t="s">
        <v>54</v>
      </c>
      <c r="J1937" s="14" t="s">
        <v>200</v>
      </c>
      <c r="K1937" s="14" t="s">
        <v>201</v>
      </c>
      <c r="L1937" s="14" t="s">
        <v>253</v>
      </c>
      <c r="M1937" s="14" t="s">
        <v>1411</v>
      </c>
      <c r="N1937" s="14" t="s">
        <v>1412</v>
      </c>
      <c r="O1937" s="14">
        <v>39.0</v>
      </c>
      <c r="P1937" s="23">
        <v>0.3908</v>
      </c>
      <c r="Q1937" s="22" t="str">
        <f>"+3.58%"</f>
        <v>+3.58%</v>
      </c>
      <c r="R1937" s="18" t="str">
        <f>"-2.72%"</f>
        <v>-2.72%</v>
      </c>
      <c r="S1937" s="14" t="s">
        <v>1647</v>
      </c>
    </row>
    <row r="1938">
      <c r="A1938" s="13">
        <v>45901.0</v>
      </c>
      <c r="B1938" s="14" t="s">
        <v>47</v>
      </c>
      <c r="C1938" s="14" t="s">
        <v>48</v>
      </c>
      <c r="D1938" s="14" t="s">
        <v>63</v>
      </c>
      <c r="E1938" s="14" t="s">
        <v>64</v>
      </c>
      <c r="F1938" s="15" t="s">
        <v>51</v>
      </c>
      <c r="G1938" s="14" t="s">
        <v>65</v>
      </c>
      <c r="H1938" s="14" t="s">
        <v>63</v>
      </c>
      <c r="I1938" s="14" t="s">
        <v>54</v>
      </c>
      <c r="J1938" s="14" t="s">
        <v>200</v>
      </c>
      <c r="K1938" s="14" t="s">
        <v>224</v>
      </c>
      <c r="L1938" s="14" t="s">
        <v>392</v>
      </c>
      <c r="M1938" s="14" t="s">
        <v>1424</v>
      </c>
      <c r="N1938" s="14" t="s">
        <v>1425</v>
      </c>
      <c r="O1938" s="14">
        <v>0.0</v>
      </c>
      <c r="P1938" s="23">
        <v>0.0</v>
      </c>
      <c r="Q1938" s="22" t="str">
        <f t="shared" ref="Q1938:R1938" si="1149">"+0.00%"</f>
        <v>+0.00%</v>
      </c>
      <c r="R1938" s="18" t="str">
        <f t="shared" si="1149"/>
        <v>+0.00%</v>
      </c>
      <c r="S1938" s="14" t="s">
        <v>1648</v>
      </c>
    </row>
    <row r="1939">
      <c r="A1939" s="13">
        <v>45901.0</v>
      </c>
      <c r="B1939" s="14" t="s">
        <v>47</v>
      </c>
      <c r="C1939" s="14" t="s">
        <v>48</v>
      </c>
      <c r="D1939" s="14" t="s">
        <v>91</v>
      </c>
      <c r="E1939" s="14" t="s">
        <v>92</v>
      </c>
      <c r="F1939" s="14" t="s">
        <v>71</v>
      </c>
      <c r="G1939" s="14">
        <v>5.10001669E8</v>
      </c>
      <c r="H1939" s="14" t="s">
        <v>91</v>
      </c>
      <c r="I1939" s="14" t="s">
        <v>107</v>
      </c>
      <c r="J1939" s="14" t="s">
        <v>199</v>
      </c>
      <c r="K1939" s="14" t="s">
        <v>206</v>
      </c>
      <c r="L1939" s="14" t="s">
        <v>433</v>
      </c>
      <c r="M1939" s="14" t="s">
        <v>433</v>
      </c>
      <c r="N1939" s="14" t="s">
        <v>434</v>
      </c>
      <c r="O1939" s="14">
        <v>100.0</v>
      </c>
      <c r="P1939" s="21">
        <v>101.0</v>
      </c>
      <c r="Q1939" s="22" t="str">
        <f>"-32"</f>
        <v>-32</v>
      </c>
      <c r="R1939" s="18" t="str">
        <f>"+4"</f>
        <v>+4</v>
      </c>
      <c r="S1939" s="14" t="s">
        <v>383</v>
      </c>
    </row>
    <row r="1940">
      <c r="A1940" s="13">
        <v>45901.0</v>
      </c>
      <c r="B1940" s="14" t="s">
        <v>47</v>
      </c>
      <c r="C1940" s="14" t="s">
        <v>48</v>
      </c>
      <c r="D1940" s="14" t="s">
        <v>91</v>
      </c>
      <c r="E1940" s="14" t="s">
        <v>92</v>
      </c>
      <c r="F1940" s="14" t="s">
        <v>71</v>
      </c>
      <c r="G1940" s="14">
        <v>5.00008343E8</v>
      </c>
      <c r="H1940" s="14" t="s">
        <v>91</v>
      </c>
      <c r="I1940" s="14" t="s">
        <v>59</v>
      </c>
      <c r="J1940" s="14" t="s">
        <v>199</v>
      </c>
      <c r="K1940" s="14" t="s">
        <v>203</v>
      </c>
      <c r="L1940" s="14" t="s">
        <v>340</v>
      </c>
      <c r="M1940" s="14" t="s">
        <v>340</v>
      </c>
      <c r="N1940" s="14" t="s">
        <v>341</v>
      </c>
      <c r="O1940" s="14">
        <v>0.0</v>
      </c>
      <c r="P1940" s="21">
        <v>0.0</v>
      </c>
      <c r="Q1940" s="22" t="str">
        <f>"-1"</f>
        <v>-1</v>
      </c>
      <c r="R1940" s="18" t="str">
        <f>"-3"</f>
        <v>-3</v>
      </c>
      <c r="S1940" s="14" t="s">
        <v>260</v>
      </c>
    </row>
    <row r="1941">
      <c r="A1941" s="13">
        <v>45901.0</v>
      </c>
      <c r="B1941" s="14" t="s">
        <v>47</v>
      </c>
      <c r="C1941" s="14" t="s">
        <v>48</v>
      </c>
      <c r="D1941" s="14" t="s">
        <v>99</v>
      </c>
      <c r="E1941" s="14" t="s">
        <v>100</v>
      </c>
      <c r="F1941" s="15" t="s">
        <v>51</v>
      </c>
      <c r="G1941" s="14" t="s">
        <v>101</v>
      </c>
      <c r="H1941" s="14" t="s">
        <v>102</v>
      </c>
      <c r="I1941" s="14" t="s">
        <v>54</v>
      </c>
      <c r="J1941" s="14" t="s">
        <v>198</v>
      </c>
      <c r="K1941" s="14" t="s">
        <v>210</v>
      </c>
      <c r="L1941" s="14" t="s">
        <v>264</v>
      </c>
      <c r="M1941" s="14" t="s">
        <v>559</v>
      </c>
      <c r="N1941" s="14" t="s">
        <v>560</v>
      </c>
      <c r="O1941" s="14">
        <v>0.0</v>
      </c>
      <c r="P1941" s="21">
        <v>0.0</v>
      </c>
      <c r="Q1941" s="22" t="str">
        <f t="shared" ref="Q1941:R1941" si="1150">"+0"</f>
        <v>+0</v>
      </c>
      <c r="R1941" s="18" t="str">
        <f t="shared" si="1150"/>
        <v>+0</v>
      </c>
      <c r="S1941" s="14" t="s">
        <v>277</v>
      </c>
    </row>
    <row r="1942">
      <c r="A1942" s="13">
        <v>45901.0</v>
      </c>
      <c r="B1942" s="14" t="s">
        <v>47</v>
      </c>
      <c r="C1942" s="14" t="s">
        <v>48</v>
      </c>
      <c r="D1942" s="14" t="s">
        <v>91</v>
      </c>
      <c r="E1942" s="14" t="s">
        <v>92</v>
      </c>
      <c r="F1942" s="15" t="s">
        <v>51</v>
      </c>
      <c r="G1942" s="14" t="s">
        <v>163</v>
      </c>
      <c r="H1942" s="14" t="s">
        <v>91</v>
      </c>
      <c r="I1942" s="14" t="s">
        <v>59</v>
      </c>
      <c r="J1942" s="14" t="s">
        <v>200</v>
      </c>
      <c r="K1942" s="14" t="s">
        <v>223</v>
      </c>
      <c r="L1942" s="14" t="s">
        <v>289</v>
      </c>
      <c r="M1942" s="14" t="s">
        <v>684</v>
      </c>
      <c r="N1942" s="14" t="s">
        <v>685</v>
      </c>
      <c r="O1942" s="14">
        <v>0.0</v>
      </c>
      <c r="P1942" s="23">
        <v>0.0</v>
      </c>
      <c r="Q1942" s="22" t="str">
        <f t="shared" ref="Q1942:R1942" si="1151">"+0.00%"</f>
        <v>+0.00%</v>
      </c>
      <c r="R1942" s="18" t="str">
        <f t="shared" si="1151"/>
        <v>+0.00%</v>
      </c>
      <c r="S1942" s="14" t="s">
        <v>285</v>
      </c>
    </row>
    <row r="1943">
      <c r="A1943" s="13">
        <v>45901.0</v>
      </c>
      <c r="B1943" s="14" t="s">
        <v>47</v>
      </c>
      <c r="C1943" s="14" t="s">
        <v>48</v>
      </c>
      <c r="D1943" s="14" t="s">
        <v>63</v>
      </c>
      <c r="E1943" s="14" t="s">
        <v>64</v>
      </c>
      <c r="F1943" s="15" t="s">
        <v>51</v>
      </c>
      <c r="G1943" s="14" t="s">
        <v>65</v>
      </c>
      <c r="H1943" s="14" t="s">
        <v>63</v>
      </c>
      <c r="I1943" s="14" t="s">
        <v>54</v>
      </c>
      <c r="J1943" s="14" t="s">
        <v>200</v>
      </c>
      <c r="K1943" s="14" t="s">
        <v>222</v>
      </c>
      <c r="L1943" s="14" t="s">
        <v>253</v>
      </c>
      <c r="M1943" s="14" t="s">
        <v>1108</v>
      </c>
      <c r="N1943" s="14" t="s">
        <v>1109</v>
      </c>
      <c r="O1943" s="14">
        <v>50.0</v>
      </c>
      <c r="P1943" s="21">
        <v>1.0</v>
      </c>
      <c r="Q1943" s="22" t="str">
        <f>"+0"</f>
        <v>+0</v>
      </c>
      <c r="R1943" s="18" t="str">
        <f>"-1"</f>
        <v>-1</v>
      </c>
      <c r="S1943" s="14" t="s">
        <v>450</v>
      </c>
    </row>
    <row r="1944">
      <c r="A1944" s="13">
        <v>45901.0</v>
      </c>
      <c r="B1944" s="14" t="s">
        <v>47</v>
      </c>
      <c r="C1944" s="14" t="s">
        <v>48</v>
      </c>
      <c r="D1944" s="14" t="s">
        <v>63</v>
      </c>
      <c r="E1944" s="14" t="s">
        <v>64</v>
      </c>
      <c r="F1944" s="15" t="s">
        <v>51</v>
      </c>
      <c r="G1944" s="14" t="s">
        <v>65</v>
      </c>
      <c r="H1944" s="14" t="s">
        <v>63</v>
      </c>
      <c r="I1944" s="14" t="s">
        <v>54</v>
      </c>
      <c r="J1944" s="14" t="s">
        <v>200</v>
      </c>
      <c r="K1944" s="14" t="s">
        <v>211</v>
      </c>
      <c r="L1944" s="14" t="s">
        <v>991</v>
      </c>
      <c r="M1944" s="14" t="s">
        <v>1649</v>
      </c>
      <c r="N1944" s="14" t="s">
        <v>1650</v>
      </c>
      <c r="O1944" s="14">
        <v>47.0</v>
      </c>
      <c r="P1944" s="23">
        <v>-0.052</v>
      </c>
      <c r="Q1944" s="22" t="str">
        <f>"+12.87%"</f>
        <v>+12.87%</v>
      </c>
      <c r="R1944" s="18" t="str">
        <f>"-55.14%"</f>
        <v>-55.14%</v>
      </c>
      <c r="S1944" s="14" t="s">
        <v>336</v>
      </c>
    </row>
    <row r="1945">
      <c r="A1945" s="13">
        <v>45901.0</v>
      </c>
      <c r="B1945" s="14" t="s">
        <v>47</v>
      </c>
      <c r="C1945" s="14" t="s">
        <v>48</v>
      </c>
      <c r="D1945" s="14" t="s">
        <v>192</v>
      </c>
      <c r="E1945" s="14" t="s">
        <v>193</v>
      </c>
      <c r="F1945" s="15" t="s">
        <v>51</v>
      </c>
      <c r="G1945" s="14" t="s">
        <v>194</v>
      </c>
      <c r="H1945" s="14" t="s">
        <v>192</v>
      </c>
      <c r="I1945" s="14" t="s">
        <v>54</v>
      </c>
      <c r="J1945" s="14" t="s">
        <v>200</v>
      </c>
      <c r="K1945" s="14" t="s">
        <v>231</v>
      </c>
      <c r="L1945" s="14" t="s">
        <v>512</v>
      </c>
      <c r="M1945" s="14" t="s">
        <v>1544</v>
      </c>
      <c r="N1945" s="14" t="s">
        <v>1545</v>
      </c>
      <c r="O1945" s="14">
        <v>0.0</v>
      </c>
      <c r="P1945" s="21">
        <v>0.0</v>
      </c>
      <c r="Q1945" s="22" t="str">
        <f t="shared" ref="Q1945:R1945" si="1152">"+0"</f>
        <v>+0</v>
      </c>
      <c r="R1945" s="18" t="str">
        <f t="shared" si="1152"/>
        <v>+0</v>
      </c>
      <c r="S1945" s="14" t="s">
        <v>260</v>
      </c>
    </row>
    <row r="1946">
      <c r="A1946" s="13">
        <v>45901.0</v>
      </c>
      <c r="B1946" s="14" t="s">
        <v>47</v>
      </c>
      <c r="C1946" s="14" t="s">
        <v>48</v>
      </c>
      <c r="D1946" s="14" t="s">
        <v>73</v>
      </c>
      <c r="E1946" s="14" t="s">
        <v>74</v>
      </c>
      <c r="F1946" s="15" t="s">
        <v>51</v>
      </c>
      <c r="G1946" s="14" t="s">
        <v>75</v>
      </c>
      <c r="H1946" s="14" t="s">
        <v>76</v>
      </c>
      <c r="I1946" s="14" t="s">
        <v>59</v>
      </c>
      <c r="J1946" s="14" t="s">
        <v>199</v>
      </c>
      <c r="K1946" s="14" t="s">
        <v>203</v>
      </c>
      <c r="L1946" s="14" t="s">
        <v>342</v>
      </c>
      <c r="M1946" s="14" t="s">
        <v>342</v>
      </c>
      <c r="N1946" s="14" t="s">
        <v>343</v>
      </c>
      <c r="O1946" s="14">
        <v>100.0</v>
      </c>
      <c r="P1946" s="21">
        <v>3.0</v>
      </c>
      <c r="Q1946" s="22" t="str">
        <f t="shared" ref="Q1946:R1946" si="1153">"+0"</f>
        <v>+0</v>
      </c>
      <c r="R1946" s="18" t="str">
        <f t="shared" si="1153"/>
        <v>+0</v>
      </c>
      <c r="S1946" s="14" t="s">
        <v>260</v>
      </c>
    </row>
    <row r="1947">
      <c r="A1947" s="13">
        <v>45901.0</v>
      </c>
      <c r="B1947" s="14" t="s">
        <v>47</v>
      </c>
      <c r="C1947" s="14" t="s">
        <v>48</v>
      </c>
      <c r="D1947" s="14" t="s">
        <v>73</v>
      </c>
      <c r="E1947" s="14" t="s">
        <v>74</v>
      </c>
      <c r="F1947" s="15" t="s">
        <v>51</v>
      </c>
      <c r="G1947" s="14" t="s">
        <v>75</v>
      </c>
      <c r="H1947" s="14" t="s">
        <v>76</v>
      </c>
      <c r="I1947" s="14" t="s">
        <v>59</v>
      </c>
      <c r="J1947" s="14" t="s">
        <v>200</v>
      </c>
      <c r="K1947" s="14" t="s">
        <v>227</v>
      </c>
      <c r="L1947" s="14" t="s">
        <v>721</v>
      </c>
      <c r="M1947" s="14" t="s">
        <v>1060</v>
      </c>
      <c r="N1947" s="14" t="s">
        <v>1061</v>
      </c>
      <c r="O1947" s="14">
        <v>32.0</v>
      </c>
      <c r="P1947" s="23">
        <v>-0.3455</v>
      </c>
      <c r="Q1947" s="22" t="str">
        <f>"+3.39%"</f>
        <v>+3.39%</v>
      </c>
      <c r="R1947" s="18" t="str">
        <f>"+11.72%"</f>
        <v>+11.72%</v>
      </c>
      <c r="S1947" s="14" t="s">
        <v>1062</v>
      </c>
    </row>
    <row r="1948">
      <c r="A1948" s="13">
        <v>45901.0</v>
      </c>
      <c r="B1948" s="14" t="s">
        <v>47</v>
      </c>
      <c r="C1948" s="14" t="s">
        <v>48</v>
      </c>
      <c r="D1948" s="14" t="s">
        <v>73</v>
      </c>
      <c r="E1948" s="14" t="s">
        <v>74</v>
      </c>
      <c r="F1948" s="15" t="s">
        <v>51</v>
      </c>
      <c r="G1948" s="14" t="s">
        <v>75</v>
      </c>
      <c r="H1948" s="14" t="s">
        <v>76</v>
      </c>
      <c r="I1948" s="14" t="s">
        <v>59</v>
      </c>
      <c r="J1948" s="14" t="s">
        <v>198</v>
      </c>
      <c r="K1948" s="14" t="s">
        <v>210</v>
      </c>
      <c r="L1948" s="14" t="s">
        <v>458</v>
      </c>
      <c r="M1948" s="14" t="s">
        <v>459</v>
      </c>
      <c r="N1948" s="14" t="s">
        <v>460</v>
      </c>
      <c r="O1948" s="14">
        <v>100.0</v>
      </c>
      <c r="P1948" s="21">
        <v>0.0</v>
      </c>
      <c r="Q1948" s="22" t="str">
        <f t="shared" ref="Q1948:R1948" si="1154">"+0"</f>
        <v>+0</v>
      </c>
      <c r="R1948" s="18" t="str">
        <f t="shared" si="1154"/>
        <v>+0</v>
      </c>
      <c r="S1948" s="14" t="s">
        <v>281</v>
      </c>
    </row>
    <row r="1949">
      <c r="A1949" s="13">
        <v>45901.0</v>
      </c>
      <c r="B1949" s="14" t="s">
        <v>47</v>
      </c>
      <c r="C1949" s="14" t="s">
        <v>48</v>
      </c>
      <c r="D1949" s="14" t="s">
        <v>149</v>
      </c>
      <c r="E1949" s="14" t="s">
        <v>150</v>
      </c>
      <c r="F1949" s="15" t="s">
        <v>51</v>
      </c>
      <c r="G1949" s="14" t="s">
        <v>151</v>
      </c>
      <c r="H1949" s="14" t="s">
        <v>152</v>
      </c>
      <c r="I1949" s="14" t="s">
        <v>54</v>
      </c>
      <c r="J1949" s="14" t="s">
        <v>200</v>
      </c>
      <c r="K1949" s="14" t="s">
        <v>231</v>
      </c>
      <c r="L1949" s="14" t="s">
        <v>512</v>
      </c>
      <c r="M1949" s="14" t="s">
        <v>1651</v>
      </c>
      <c r="N1949" s="14" t="s">
        <v>1652</v>
      </c>
      <c r="O1949" s="14">
        <v>0.0</v>
      </c>
      <c r="P1949" s="21">
        <v>0.0</v>
      </c>
      <c r="Q1949" s="22" t="str">
        <f t="shared" ref="Q1949:R1949" si="1155">"+0"</f>
        <v>+0</v>
      </c>
      <c r="R1949" s="18" t="str">
        <f t="shared" si="1155"/>
        <v>+0</v>
      </c>
      <c r="S1949" s="14" t="s">
        <v>260</v>
      </c>
    </row>
    <row r="1950">
      <c r="A1950" s="13">
        <v>45901.0</v>
      </c>
      <c r="B1950" s="14" t="s">
        <v>47</v>
      </c>
      <c r="C1950" s="14" t="s">
        <v>48</v>
      </c>
      <c r="D1950" s="14" t="s">
        <v>136</v>
      </c>
      <c r="E1950" s="14" t="s">
        <v>137</v>
      </c>
      <c r="F1950" s="15" t="s">
        <v>51</v>
      </c>
      <c r="G1950" s="14" t="s">
        <v>138</v>
      </c>
      <c r="H1950" s="14" t="s">
        <v>139</v>
      </c>
      <c r="I1950" s="14" t="s">
        <v>59</v>
      </c>
      <c r="J1950" s="14" t="s">
        <v>200</v>
      </c>
      <c r="K1950" s="14" t="s">
        <v>213</v>
      </c>
      <c r="L1950" s="14" t="s">
        <v>257</v>
      </c>
      <c r="M1950" s="14" t="s">
        <v>517</v>
      </c>
      <c r="N1950" s="14" t="s">
        <v>518</v>
      </c>
      <c r="O1950" s="14">
        <v>0.0</v>
      </c>
      <c r="P1950" s="21">
        <v>0.0</v>
      </c>
      <c r="Q1950" s="22" t="str">
        <f t="shared" ref="Q1950:R1950" si="1156">"+0"</f>
        <v>+0</v>
      </c>
      <c r="R1950" s="18" t="str">
        <f t="shared" si="1156"/>
        <v>+0</v>
      </c>
      <c r="S1950" s="14" t="s">
        <v>260</v>
      </c>
    </row>
    <row r="1951">
      <c r="A1951" s="13">
        <v>45901.0</v>
      </c>
      <c r="B1951" s="14" t="s">
        <v>47</v>
      </c>
      <c r="C1951" s="14" t="s">
        <v>48</v>
      </c>
      <c r="D1951" s="14" t="s">
        <v>149</v>
      </c>
      <c r="E1951" s="14" t="s">
        <v>150</v>
      </c>
      <c r="F1951" s="15" t="s">
        <v>51</v>
      </c>
      <c r="G1951" s="14" t="s">
        <v>151</v>
      </c>
      <c r="H1951" s="14" t="s">
        <v>152</v>
      </c>
      <c r="I1951" s="14" t="s">
        <v>54</v>
      </c>
      <c r="J1951" s="14" t="s">
        <v>200</v>
      </c>
      <c r="K1951" s="14" t="s">
        <v>223</v>
      </c>
      <c r="L1951" s="14" t="s">
        <v>487</v>
      </c>
      <c r="M1951" s="14" t="s">
        <v>488</v>
      </c>
      <c r="N1951" s="14" t="s">
        <v>489</v>
      </c>
      <c r="O1951" s="14">
        <v>0.0</v>
      </c>
      <c r="P1951" s="21">
        <v>0.0</v>
      </c>
      <c r="Q1951" s="22" t="str">
        <f t="shared" ref="Q1951:R1951" si="1157">"+0"</f>
        <v>+0</v>
      </c>
      <c r="R1951" s="18" t="str">
        <f t="shared" si="1157"/>
        <v>+0</v>
      </c>
      <c r="S1951" s="14" t="s">
        <v>260</v>
      </c>
    </row>
    <row r="1952">
      <c r="A1952" s="13">
        <v>45901.0</v>
      </c>
      <c r="B1952" s="14" t="s">
        <v>47</v>
      </c>
      <c r="C1952" s="14" t="s">
        <v>48</v>
      </c>
      <c r="D1952" s="14" t="s">
        <v>87</v>
      </c>
      <c r="E1952" s="14" t="s">
        <v>88</v>
      </c>
      <c r="F1952" s="14" t="s">
        <v>71</v>
      </c>
      <c r="G1952" s="14">
        <v>5.46000941E8</v>
      </c>
      <c r="H1952" s="14" t="s">
        <v>90</v>
      </c>
      <c r="I1952" s="14" t="s">
        <v>107</v>
      </c>
      <c r="J1952" s="14" t="s">
        <v>199</v>
      </c>
      <c r="K1952" s="14" t="s">
        <v>206</v>
      </c>
      <c r="L1952" s="14" t="s">
        <v>295</v>
      </c>
      <c r="M1952" s="14" t="s">
        <v>529</v>
      </c>
      <c r="N1952" s="14" t="s">
        <v>530</v>
      </c>
      <c r="O1952" s="14">
        <v>100.0</v>
      </c>
      <c r="P1952" s="21">
        <v>4.0</v>
      </c>
      <c r="Q1952" s="22" t="str">
        <f t="shared" ref="Q1952:R1952" si="1158">"+0"</f>
        <v>+0</v>
      </c>
      <c r="R1952" s="18" t="str">
        <f t="shared" si="1158"/>
        <v>+0</v>
      </c>
      <c r="S1952" s="14" t="s">
        <v>260</v>
      </c>
    </row>
    <row r="1953">
      <c r="A1953" s="13">
        <v>45901.0</v>
      </c>
      <c r="B1953" s="14" t="s">
        <v>47</v>
      </c>
      <c r="C1953" s="14" t="s">
        <v>48</v>
      </c>
      <c r="D1953" s="14" t="s">
        <v>125</v>
      </c>
      <c r="E1953" s="14" t="s">
        <v>126</v>
      </c>
      <c r="F1953" s="15" t="s">
        <v>51</v>
      </c>
      <c r="G1953" s="14" t="s">
        <v>127</v>
      </c>
      <c r="H1953" s="14" t="s">
        <v>125</v>
      </c>
      <c r="I1953" s="14" t="s">
        <v>59</v>
      </c>
      <c r="J1953" s="14" t="s">
        <v>198</v>
      </c>
      <c r="K1953" s="14" t="s">
        <v>210</v>
      </c>
      <c r="L1953" s="14" t="s">
        <v>264</v>
      </c>
      <c r="M1953" s="14" t="s">
        <v>357</v>
      </c>
      <c r="N1953" s="14" t="s">
        <v>358</v>
      </c>
      <c r="O1953" s="14">
        <v>100.0</v>
      </c>
      <c r="P1953" s="21">
        <v>0.0</v>
      </c>
      <c r="Q1953" s="22" t="str">
        <f t="shared" ref="Q1953:R1953" si="1159">"+0"</f>
        <v>+0</v>
      </c>
      <c r="R1953" s="18" t="str">
        <f t="shared" si="1159"/>
        <v>+0</v>
      </c>
      <c r="S1953" s="14" t="s">
        <v>281</v>
      </c>
    </row>
    <row r="1954">
      <c r="A1954" s="13">
        <v>45901.0</v>
      </c>
      <c r="B1954" s="14" t="s">
        <v>47</v>
      </c>
      <c r="C1954" s="14" t="s">
        <v>48</v>
      </c>
      <c r="D1954" s="14" t="s">
        <v>96</v>
      </c>
      <c r="E1954" s="14" t="s">
        <v>97</v>
      </c>
      <c r="F1954" s="15" t="s">
        <v>51</v>
      </c>
      <c r="G1954" s="14" t="s">
        <v>98</v>
      </c>
      <c r="H1954" s="14" t="s">
        <v>96</v>
      </c>
      <c r="I1954" s="14" t="s">
        <v>59</v>
      </c>
      <c r="J1954" s="14" t="s">
        <v>200</v>
      </c>
      <c r="K1954" s="14" t="s">
        <v>223</v>
      </c>
      <c r="L1954" s="14" t="s">
        <v>676</v>
      </c>
      <c r="M1954" s="14" t="s">
        <v>677</v>
      </c>
      <c r="N1954" s="14" t="s">
        <v>678</v>
      </c>
      <c r="O1954" s="14">
        <v>0.0</v>
      </c>
      <c r="P1954" s="23">
        <v>0.0</v>
      </c>
      <c r="Q1954" s="22" t="str">
        <f t="shared" ref="Q1954:R1954" si="1160">"+0.00%"</f>
        <v>+0.00%</v>
      </c>
      <c r="R1954" s="18" t="str">
        <f t="shared" si="1160"/>
        <v>+0.00%</v>
      </c>
      <c r="S1954" s="14" t="s">
        <v>285</v>
      </c>
    </row>
    <row r="1955">
      <c r="A1955" s="13">
        <v>45901.0</v>
      </c>
      <c r="B1955" s="14" t="s">
        <v>47</v>
      </c>
      <c r="C1955" s="14" t="s">
        <v>48</v>
      </c>
      <c r="D1955" s="14" t="s">
        <v>125</v>
      </c>
      <c r="E1955" s="14" t="s">
        <v>126</v>
      </c>
      <c r="F1955" s="15" t="s">
        <v>51</v>
      </c>
      <c r="G1955" s="14" t="s">
        <v>127</v>
      </c>
      <c r="H1955" s="14" t="s">
        <v>125</v>
      </c>
      <c r="I1955" s="14" t="s">
        <v>59</v>
      </c>
      <c r="J1955" s="14" t="s">
        <v>200</v>
      </c>
      <c r="K1955" s="14" t="s">
        <v>224</v>
      </c>
      <c r="L1955" s="14" t="s">
        <v>427</v>
      </c>
      <c r="M1955" s="14" t="s">
        <v>428</v>
      </c>
      <c r="N1955" s="14" t="s">
        <v>429</v>
      </c>
      <c r="O1955" s="14">
        <v>0.0</v>
      </c>
      <c r="P1955" s="17"/>
      <c r="Q1955" s="22"/>
      <c r="S1955" s="14" t="s">
        <v>1653</v>
      </c>
    </row>
    <row r="1956">
      <c r="A1956" s="13">
        <v>45901.0</v>
      </c>
      <c r="B1956" s="14" t="s">
        <v>47</v>
      </c>
      <c r="C1956" s="14" t="s">
        <v>48</v>
      </c>
      <c r="D1956" s="14" t="s">
        <v>69</v>
      </c>
      <c r="E1956" s="14" t="s">
        <v>70</v>
      </c>
      <c r="F1956" s="15" t="s">
        <v>51</v>
      </c>
      <c r="G1956" s="14" t="s">
        <v>115</v>
      </c>
      <c r="H1956" s="14" t="s">
        <v>72</v>
      </c>
      <c r="I1956" s="14" t="s">
        <v>54</v>
      </c>
      <c r="J1956" s="14" t="s">
        <v>200</v>
      </c>
      <c r="K1956" s="14" t="s">
        <v>213</v>
      </c>
      <c r="L1956" s="14" t="s">
        <v>571</v>
      </c>
      <c r="M1956" s="14" t="s">
        <v>572</v>
      </c>
      <c r="N1956" s="14" t="s">
        <v>573</v>
      </c>
      <c r="O1956" s="14">
        <v>0.0</v>
      </c>
      <c r="P1956" s="23">
        <v>0.0</v>
      </c>
      <c r="Q1956" s="22" t="str">
        <f t="shared" ref="Q1956:R1956" si="1161">"+0.00%"</f>
        <v>+0.00%</v>
      </c>
      <c r="R1956" s="18" t="str">
        <f t="shared" si="1161"/>
        <v>+0.00%</v>
      </c>
      <c r="S1956" s="14" t="s">
        <v>285</v>
      </c>
    </row>
    <row r="1957">
      <c r="A1957" s="13">
        <v>45901.0</v>
      </c>
      <c r="B1957" s="14" t="s">
        <v>47</v>
      </c>
      <c r="C1957" s="14" t="s">
        <v>48</v>
      </c>
      <c r="D1957" s="14" t="s">
        <v>108</v>
      </c>
      <c r="E1957" s="14" t="s">
        <v>109</v>
      </c>
      <c r="F1957" s="14" t="s">
        <v>146</v>
      </c>
      <c r="G1957" s="14" t="s">
        <v>180</v>
      </c>
      <c r="H1957" s="14" t="s">
        <v>108</v>
      </c>
      <c r="I1957" s="14" t="s">
        <v>59</v>
      </c>
      <c r="J1957" s="14" t="s">
        <v>199</v>
      </c>
      <c r="K1957" s="14" t="s">
        <v>206</v>
      </c>
      <c r="L1957" s="14" t="s">
        <v>295</v>
      </c>
      <c r="M1957" s="14" t="s">
        <v>986</v>
      </c>
      <c r="N1957" s="14" t="s">
        <v>987</v>
      </c>
      <c r="O1957" s="14">
        <v>0.0</v>
      </c>
      <c r="P1957" s="21">
        <v>0.0</v>
      </c>
      <c r="Q1957" s="22" t="str">
        <f>"+0"</f>
        <v>+0</v>
      </c>
      <c r="S1957" s="14" t="s">
        <v>260</v>
      </c>
    </row>
    <row r="1958">
      <c r="A1958" s="13">
        <v>45901.0</v>
      </c>
      <c r="B1958" s="14" t="s">
        <v>47</v>
      </c>
      <c r="C1958" s="14" t="s">
        <v>48</v>
      </c>
      <c r="D1958" s="14" t="s">
        <v>158</v>
      </c>
      <c r="E1958" s="14" t="s">
        <v>159</v>
      </c>
      <c r="F1958" s="15" t="s">
        <v>51</v>
      </c>
      <c r="G1958" s="14" t="s">
        <v>160</v>
      </c>
      <c r="H1958" s="14" t="s">
        <v>158</v>
      </c>
      <c r="I1958" s="14" t="s">
        <v>54</v>
      </c>
      <c r="J1958" s="14" t="s">
        <v>200</v>
      </c>
      <c r="K1958" s="14" t="s">
        <v>227</v>
      </c>
      <c r="L1958" s="14" t="s">
        <v>270</v>
      </c>
      <c r="M1958" s="14" t="s">
        <v>271</v>
      </c>
      <c r="N1958" s="14" t="s">
        <v>272</v>
      </c>
      <c r="O1958" s="14">
        <v>50.0</v>
      </c>
      <c r="P1958" s="23">
        <v>0.0</v>
      </c>
      <c r="Q1958" s="22" t="str">
        <f t="shared" ref="Q1958:R1958" si="1162">"+100.00%"</f>
        <v>+100.00%</v>
      </c>
      <c r="R1958" s="18" t="str">
        <f t="shared" si="1162"/>
        <v>+100.00%</v>
      </c>
      <c r="S1958" s="14" t="s">
        <v>273</v>
      </c>
    </row>
    <row r="1959">
      <c r="A1959" s="13">
        <v>45901.0</v>
      </c>
      <c r="B1959" s="14" t="s">
        <v>47</v>
      </c>
      <c r="C1959" s="14" t="s">
        <v>48</v>
      </c>
      <c r="D1959" s="14" t="s">
        <v>108</v>
      </c>
      <c r="E1959" s="14" t="s">
        <v>109</v>
      </c>
      <c r="F1959" s="15" t="s">
        <v>51</v>
      </c>
      <c r="G1959" s="14" t="s">
        <v>110</v>
      </c>
      <c r="H1959" s="14" t="s">
        <v>108</v>
      </c>
      <c r="I1959" s="14" t="s">
        <v>59</v>
      </c>
      <c r="J1959" s="14" t="s">
        <v>198</v>
      </c>
      <c r="K1959" s="14" t="s">
        <v>212</v>
      </c>
      <c r="L1959" s="14" t="s">
        <v>344</v>
      </c>
      <c r="M1959" s="14" t="s">
        <v>580</v>
      </c>
      <c r="N1959" s="14" t="s">
        <v>581</v>
      </c>
      <c r="O1959" s="14">
        <v>100.0</v>
      </c>
      <c r="P1959" s="21">
        <v>1.0</v>
      </c>
      <c r="Q1959" s="22" t="str">
        <f t="shared" ref="Q1959:Q1962" si="1163">"+0"</f>
        <v>+0</v>
      </c>
      <c r="S1959" s="14" t="s">
        <v>281</v>
      </c>
    </row>
    <row r="1960">
      <c r="A1960" s="13">
        <v>45901.0</v>
      </c>
      <c r="B1960" s="14" t="s">
        <v>47</v>
      </c>
      <c r="C1960" s="14" t="s">
        <v>48</v>
      </c>
      <c r="D1960" s="14" t="s">
        <v>116</v>
      </c>
      <c r="E1960" s="14" t="s">
        <v>117</v>
      </c>
      <c r="F1960" s="15" t="s">
        <v>51</v>
      </c>
      <c r="G1960" s="14" t="s">
        <v>161</v>
      </c>
      <c r="H1960" s="14" t="s">
        <v>116</v>
      </c>
      <c r="I1960" s="14" t="s">
        <v>54</v>
      </c>
      <c r="J1960" s="14" t="s">
        <v>199</v>
      </c>
      <c r="K1960" s="14" t="s">
        <v>206</v>
      </c>
      <c r="L1960" s="14" t="s">
        <v>295</v>
      </c>
      <c r="M1960" s="14" t="s">
        <v>296</v>
      </c>
      <c r="N1960" s="14" t="s">
        <v>297</v>
      </c>
      <c r="O1960" s="14">
        <v>0.0</v>
      </c>
      <c r="P1960" s="21">
        <v>0.0</v>
      </c>
      <c r="Q1960" s="22" t="str">
        <f t="shared" si="1163"/>
        <v>+0</v>
      </c>
      <c r="R1960" s="18" t="str">
        <f>"+0"</f>
        <v>+0</v>
      </c>
      <c r="S1960" s="14" t="s">
        <v>260</v>
      </c>
    </row>
    <row r="1961">
      <c r="A1961" s="13">
        <v>45901.0</v>
      </c>
      <c r="B1961" s="14" t="s">
        <v>47</v>
      </c>
      <c r="C1961" s="14" t="s">
        <v>48</v>
      </c>
      <c r="D1961" s="14" t="s">
        <v>77</v>
      </c>
      <c r="E1961" s="14" t="s">
        <v>78</v>
      </c>
      <c r="F1961" s="14" t="s">
        <v>71</v>
      </c>
      <c r="G1961" s="14">
        <v>5.36009043E8</v>
      </c>
      <c r="H1961" s="14" t="s">
        <v>81</v>
      </c>
      <c r="J1961" s="14" t="s">
        <v>199</v>
      </c>
      <c r="K1961" s="14" t="s">
        <v>208</v>
      </c>
      <c r="L1961" s="14" t="s">
        <v>412</v>
      </c>
      <c r="M1961" s="14" t="s">
        <v>412</v>
      </c>
      <c r="N1961" s="14" t="s">
        <v>413</v>
      </c>
      <c r="O1961" s="14">
        <v>0.0</v>
      </c>
      <c r="P1961" s="21">
        <v>0.0</v>
      </c>
      <c r="Q1961" s="22" t="str">
        <f t="shared" si="1163"/>
        <v>+0</v>
      </c>
      <c r="S1961" s="14" t="s">
        <v>260</v>
      </c>
    </row>
    <row r="1962">
      <c r="A1962" s="13">
        <v>45901.0</v>
      </c>
      <c r="B1962" s="14" t="s">
        <v>47</v>
      </c>
      <c r="C1962" s="14" t="s">
        <v>48</v>
      </c>
      <c r="D1962" s="14" t="s">
        <v>155</v>
      </c>
      <c r="E1962" s="14" t="s">
        <v>156</v>
      </c>
      <c r="F1962" s="15" t="s">
        <v>51</v>
      </c>
      <c r="G1962" s="14" t="s">
        <v>157</v>
      </c>
      <c r="H1962" s="14" t="s">
        <v>155</v>
      </c>
      <c r="I1962" s="14" t="s">
        <v>59</v>
      </c>
      <c r="J1962" s="14" t="s">
        <v>200</v>
      </c>
      <c r="K1962" s="14" t="s">
        <v>223</v>
      </c>
      <c r="L1962" s="14" t="s">
        <v>487</v>
      </c>
      <c r="M1962" s="14" t="s">
        <v>488</v>
      </c>
      <c r="N1962" s="14" t="s">
        <v>489</v>
      </c>
      <c r="O1962" s="14">
        <v>0.0</v>
      </c>
      <c r="P1962" s="21">
        <v>0.0</v>
      </c>
      <c r="Q1962" s="22" t="str">
        <f t="shared" si="1163"/>
        <v>+0</v>
      </c>
      <c r="R1962" s="18" t="str">
        <f>"+0"</f>
        <v>+0</v>
      </c>
      <c r="S1962" s="14" t="s">
        <v>260</v>
      </c>
    </row>
    <row r="1963">
      <c r="A1963" s="13">
        <v>45901.0</v>
      </c>
      <c r="B1963" s="14" t="s">
        <v>47</v>
      </c>
      <c r="C1963" s="14" t="s">
        <v>48</v>
      </c>
      <c r="D1963" s="14" t="s">
        <v>121</v>
      </c>
      <c r="E1963" s="14" t="s">
        <v>122</v>
      </c>
      <c r="F1963" s="15" t="s">
        <v>51</v>
      </c>
      <c r="G1963" s="14" t="s">
        <v>123</v>
      </c>
      <c r="H1963" s="14" t="s">
        <v>124</v>
      </c>
      <c r="I1963" s="14" t="s">
        <v>59</v>
      </c>
      <c r="J1963" s="14" t="s">
        <v>200</v>
      </c>
      <c r="K1963" s="14" t="s">
        <v>232</v>
      </c>
      <c r="L1963" s="14" t="s">
        <v>261</v>
      </c>
      <c r="M1963" s="14" t="s">
        <v>566</v>
      </c>
      <c r="N1963" s="14" t="s">
        <v>567</v>
      </c>
      <c r="O1963" s="14">
        <v>30.0</v>
      </c>
      <c r="P1963" s="23">
        <v>0.3077</v>
      </c>
      <c r="Q1963" s="22" t="str">
        <f>"+8.55%"</f>
        <v>+8.55%</v>
      </c>
      <c r="R1963" s="18" t="str">
        <f>"-5.59%"</f>
        <v>-5.59%</v>
      </c>
      <c r="S1963" s="14" t="s">
        <v>1654</v>
      </c>
    </row>
    <row r="1964">
      <c r="A1964" s="13">
        <v>45901.0</v>
      </c>
      <c r="B1964" s="14" t="s">
        <v>47</v>
      </c>
      <c r="C1964" s="14" t="s">
        <v>48</v>
      </c>
      <c r="D1964" s="14" t="s">
        <v>140</v>
      </c>
      <c r="E1964" s="14" t="s">
        <v>141</v>
      </c>
      <c r="F1964" s="15" t="s">
        <v>51</v>
      </c>
      <c r="G1964" s="14" t="s">
        <v>142</v>
      </c>
      <c r="H1964" s="14" t="s">
        <v>140</v>
      </c>
      <c r="I1964" s="14" t="s">
        <v>59</v>
      </c>
      <c r="J1964" s="14" t="s">
        <v>198</v>
      </c>
      <c r="K1964" s="14" t="s">
        <v>205</v>
      </c>
      <c r="L1964" s="14" t="s">
        <v>274</v>
      </c>
      <c r="M1964" s="14" t="s">
        <v>482</v>
      </c>
      <c r="N1964" s="14" t="s">
        <v>483</v>
      </c>
      <c r="O1964" s="14">
        <v>100.0</v>
      </c>
      <c r="P1964" s="21">
        <v>8.0</v>
      </c>
      <c r="Q1964" s="22" t="str">
        <f t="shared" ref="Q1964:Q1973" si="1164">"+0"</f>
        <v>+0</v>
      </c>
      <c r="S1964" s="14" t="s">
        <v>484</v>
      </c>
    </row>
    <row r="1965">
      <c r="A1965" s="13">
        <v>45901.0</v>
      </c>
      <c r="B1965" s="14" t="s">
        <v>47</v>
      </c>
      <c r="C1965" s="14" t="s">
        <v>48</v>
      </c>
      <c r="D1965" s="14" t="s">
        <v>155</v>
      </c>
      <c r="E1965" s="14" t="s">
        <v>156</v>
      </c>
      <c r="F1965" s="15" t="s">
        <v>51</v>
      </c>
      <c r="G1965" s="14" t="s">
        <v>157</v>
      </c>
      <c r="H1965" s="14" t="s">
        <v>155</v>
      </c>
      <c r="I1965" s="14" t="s">
        <v>59</v>
      </c>
      <c r="J1965" s="14" t="s">
        <v>199</v>
      </c>
      <c r="K1965" s="14" t="s">
        <v>206</v>
      </c>
      <c r="L1965" s="14" t="s">
        <v>295</v>
      </c>
      <c r="M1965" s="14" t="s">
        <v>986</v>
      </c>
      <c r="N1965" s="14" t="s">
        <v>987</v>
      </c>
      <c r="O1965" s="14">
        <v>0.0</v>
      </c>
      <c r="P1965" s="21">
        <v>0.0</v>
      </c>
      <c r="Q1965" s="22" t="str">
        <f t="shared" si="1164"/>
        <v>+0</v>
      </c>
      <c r="R1965" s="18" t="str">
        <f t="shared" ref="R1965:R1972" si="1165">"+0"</f>
        <v>+0</v>
      </c>
      <c r="S1965" s="14" t="s">
        <v>260</v>
      </c>
    </row>
    <row r="1966">
      <c r="A1966" s="13">
        <v>45901.0</v>
      </c>
      <c r="B1966" s="14" t="s">
        <v>47</v>
      </c>
      <c r="C1966" s="14" t="s">
        <v>48</v>
      </c>
      <c r="D1966" s="14" t="s">
        <v>181</v>
      </c>
      <c r="E1966" s="14" t="s">
        <v>182</v>
      </c>
      <c r="F1966" s="15" t="s">
        <v>51</v>
      </c>
      <c r="G1966" s="14" t="s">
        <v>183</v>
      </c>
      <c r="H1966" s="14" t="s">
        <v>181</v>
      </c>
      <c r="I1966" s="14" t="s">
        <v>59</v>
      </c>
      <c r="J1966" s="14" t="s">
        <v>199</v>
      </c>
      <c r="K1966" s="14" t="s">
        <v>206</v>
      </c>
      <c r="L1966" s="14" t="s">
        <v>295</v>
      </c>
      <c r="M1966" s="14" t="s">
        <v>651</v>
      </c>
      <c r="N1966" s="14" t="s">
        <v>652</v>
      </c>
      <c r="O1966" s="14">
        <v>0.0</v>
      </c>
      <c r="P1966" s="21">
        <v>0.0</v>
      </c>
      <c r="Q1966" s="22" t="str">
        <f t="shared" si="1164"/>
        <v>+0</v>
      </c>
      <c r="R1966" s="18" t="str">
        <f t="shared" si="1165"/>
        <v>+0</v>
      </c>
      <c r="S1966" s="14" t="s">
        <v>260</v>
      </c>
    </row>
    <row r="1967">
      <c r="A1967" s="13">
        <v>45901.0</v>
      </c>
      <c r="B1967" s="14" t="s">
        <v>47</v>
      </c>
      <c r="C1967" s="14" t="s">
        <v>48</v>
      </c>
      <c r="D1967" s="14" t="s">
        <v>49</v>
      </c>
      <c r="E1967" s="14" t="s">
        <v>50</v>
      </c>
      <c r="F1967" s="15" t="s">
        <v>51</v>
      </c>
      <c r="G1967" s="14" t="s">
        <v>52</v>
      </c>
      <c r="H1967" s="14" t="s">
        <v>53</v>
      </c>
      <c r="I1967" s="14" t="s">
        <v>54</v>
      </c>
      <c r="J1967" s="14" t="s">
        <v>198</v>
      </c>
      <c r="K1967" s="14" t="s">
        <v>210</v>
      </c>
      <c r="L1967" s="14" t="s">
        <v>278</v>
      </c>
      <c r="M1967" s="14" t="s">
        <v>1227</v>
      </c>
      <c r="N1967" s="14" t="s">
        <v>1228</v>
      </c>
      <c r="O1967" s="14">
        <v>0.0</v>
      </c>
      <c r="P1967" s="21">
        <v>0.0</v>
      </c>
      <c r="Q1967" s="22" t="str">
        <f t="shared" si="1164"/>
        <v>+0</v>
      </c>
      <c r="R1967" s="18" t="str">
        <f t="shared" si="1165"/>
        <v>+0</v>
      </c>
      <c r="S1967" s="14" t="s">
        <v>277</v>
      </c>
    </row>
    <row r="1968">
      <c r="A1968" s="13">
        <v>45901.0</v>
      </c>
      <c r="B1968" s="14" t="s">
        <v>47</v>
      </c>
      <c r="C1968" s="14" t="s">
        <v>48</v>
      </c>
      <c r="D1968" s="14" t="s">
        <v>91</v>
      </c>
      <c r="E1968" s="14" t="s">
        <v>92</v>
      </c>
      <c r="F1968" s="14" t="s">
        <v>71</v>
      </c>
      <c r="G1968" s="14">
        <v>7295600.0</v>
      </c>
      <c r="H1968" s="14" t="s">
        <v>91</v>
      </c>
      <c r="I1968" s="14" t="s">
        <v>54</v>
      </c>
      <c r="J1968" s="14" t="s">
        <v>199</v>
      </c>
      <c r="K1968" s="14" t="s">
        <v>203</v>
      </c>
      <c r="L1968" s="14" t="s">
        <v>679</v>
      </c>
      <c r="M1968" s="14" t="s">
        <v>679</v>
      </c>
      <c r="N1968" s="14" t="s">
        <v>680</v>
      </c>
      <c r="O1968" s="14">
        <v>100.0</v>
      </c>
      <c r="P1968" s="21">
        <v>1.0</v>
      </c>
      <c r="Q1968" s="22" t="str">
        <f t="shared" si="1164"/>
        <v>+0</v>
      </c>
      <c r="R1968" s="18" t="str">
        <f t="shared" si="1165"/>
        <v>+0</v>
      </c>
      <c r="S1968" s="14" t="s">
        <v>260</v>
      </c>
    </row>
    <row r="1969">
      <c r="A1969" s="13">
        <v>45901.0</v>
      </c>
      <c r="B1969" s="14" t="s">
        <v>47</v>
      </c>
      <c r="C1969" s="14" t="s">
        <v>48</v>
      </c>
      <c r="D1969" s="14" t="s">
        <v>99</v>
      </c>
      <c r="E1969" s="14" t="s">
        <v>100</v>
      </c>
      <c r="F1969" s="15" t="s">
        <v>51</v>
      </c>
      <c r="G1969" s="14" t="s">
        <v>101</v>
      </c>
      <c r="H1969" s="14" t="s">
        <v>102</v>
      </c>
      <c r="I1969" s="14" t="s">
        <v>54</v>
      </c>
      <c r="J1969" s="14" t="s">
        <v>199</v>
      </c>
      <c r="K1969" s="14" t="s">
        <v>206</v>
      </c>
      <c r="L1969" s="14" t="s">
        <v>295</v>
      </c>
      <c r="M1969" s="14" t="s">
        <v>296</v>
      </c>
      <c r="N1969" s="14" t="s">
        <v>297</v>
      </c>
      <c r="O1969" s="14">
        <v>0.0</v>
      </c>
      <c r="P1969" s="21">
        <v>0.0</v>
      </c>
      <c r="Q1969" s="22" t="str">
        <f t="shared" si="1164"/>
        <v>+0</v>
      </c>
      <c r="R1969" s="18" t="str">
        <f t="shared" si="1165"/>
        <v>+0</v>
      </c>
      <c r="S1969" s="14" t="s">
        <v>260</v>
      </c>
    </row>
    <row r="1970">
      <c r="A1970" s="13">
        <v>45901.0</v>
      </c>
      <c r="B1970" s="14" t="s">
        <v>47</v>
      </c>
      <c r="C1970" s="14" t="s">
        <v>48</v>
      </c>
      <c r="D1970" s="14" t="s">
        <v>99</v>
      </c>
      <c r="E1970" s="14" t="s">
        <v>100</v>
      </c>
      <c r="F1970" s="15" t="s">
        <v>51</v>
      </c>
      <c r="G1970" s="14" t="s">
        <v>101</v>
      </c>
      <c r="H1970" s="14" t="s">
        <v>102</v>
      </c>
      <c r="I1970" s="14" t="s">
        <v>54</v>
      </c>
      <c r="J1970" s="14" t="s">
        <v>198</v>
      </c>
      <c r="K1970" s="14" t="s">
        <v>210</v>
      </c>
      <c r="L1970" s="14" t="s">
        <v>505</v>
      </c>
      <c r="M1970" s="14" t="s">
        <v>975</v>
      </c>
      <c r="N1970" s="14" t="s">
        <v>976</v>
      </c>
      <c r="O1970" s="14">
        <v>0.0</v>
      </c>
      <c r="P1970" s="21">
        <v>0.0</v>
      </c>
      <c r="Q1970" s="22" t="str">
        <f t="shared" si="1164"/>
        <v>+0</v>
      </c>
      <c r="R1970" s="18" t="str">
        <f t="shared" si="1165"/>
        <v>+0</v>
      </c>
      <c r="S1970" s="14" t="s">
        <v>277</v>
      </c>
    </row>
    <row r="1971">
      <c r="A1971" s="13">
        <v>45901.0</v>
      </c>
      <c r="B1971" s="14" t="s">
        <v>47</v>
      </c>
      <c r="C1971" s="14" t="s">
        <v>48</v>
      </c>
      <c r="D1971" s="14" t="s">
        <v>91</v>
      </c>
      <c r="E1971" s="14" t="s">
        <v>92</v>
      </c>
      <c r="F1971" s="14" t="s">
        <v>71</v>
      </c>
      <c r="G1971" s="14">
        <v>5.10000484E8</v>
      </c>
      <c r="H1971" s="14" t="s">
        <v>91</v>
      </c>
      <c r="I1971" s="14" t="s">
        <v>54</v>
      </c>
      <c r="J1971" s="14" t="s">
        <v>199</v>
      </c>
      <c r="K1971" s="14" t="s">
        <v>206</v>
      </c>
      <c r="L1971" s="14" t="s">
        <v>531</v>
      </c>
      <c r="M1971" s="14" t="s">
        <v>531</v>
      </c>
      <c r="N1971" s="14" t="s">
        <v>532</v>
      </c>
      <c r="O1971" s="14">
        <v>100.0</v>
      </c>
      <c r="P1971" s="21">
        <v>20.0</v>
      </c>
      <c r="Q1971" s="22" t="str">
        <f t="shared" si="1164"/>
        <v>+0</v>
      </c>
      <c r="R1971" s="18" t="str">
        <f t="shared" si="1165"/>
        <v>+0</v>
      </c>
      <c r="S1971" s="14" t="s">
        <v>260</v>
      </c>
    </row>
    <row r="1972">
      <c r="A1972" s="13">
        <v>45901.0</v>
      </c>
      <c r="B1972" s="14" t="s">
        <v>47</v>
      </c>
      <c r="C1972" s="14" t="s">
        <v>48</v>
      </c>
      <c r="D1972" s="14" t="s">
        <v>87</v>
      </c>
      <c r="E1972" s="14" t="s">
        <v>88</v>
      </c>
      <c r="F1972" s="15" t="s">
        <v>51</v>
      </c>
      <c r="G1972" s="14" t="s">
        <v>89</v>
      </c>
      <c r="H1972" s="14" t="s">
        <v>90</v>
      </c>
      <c r="I1972" s="14" t="s">
        <v>59</v>
      </c>
      <c r="J1972" s="14" t="s">
        <v>200</v>
      </c>
      <c r="K1972" s="14" t="s">
        <v>223</v>
      </c>
      <c r="L1972" s="14" t="s">
        <v>261</v>
      </c>
      <c r="M1972" s="14" t="s">
        <v>262</v>
      </c>
      <c r="N1972" s="14" t="s">
        <v>263</v>
      </c>
      <c r="O1972" s="14">
        <v>0.0</v>
      </c>
      <c r="P1972" s="21">
        <v>0.0</v>
      </c>
      <c r="Q1972" s="22" t="str">
        <f t="shared" si="1164"/>
        <v>+0</v>
      </c>
      <c r="R1972" s="18" t="str">
        <f t="shared" si="1165"/>
        <v>+0</v>
      </c>
      <c r="S1972" s="14" t="s">
        <v>260</v>
      </c>
    </row>
    <row r="1973">
      <c r="A1973" s="13">
        <v>45901.0</v>
      </c>
      <c r="B1973" s="14" t="s">
        <v>47</v>
      </c>
      <c r="C1973" s="14" t="s">
        <v>48</v>
      </c>
      <c r="D1973" s="14" t="s">
        <v>77</v>
      </c>
      <c r="E1973" s="14" t="s">
        <v>78</v>
      </c>
      <c r="F1973" s="14" t="s">
        <v>79</v>
      </c>
      <c r="G1973" s="14" t="s">
        <v>80</v>
      </c>
      <c r="H1973" s="14" t="s">
        <v>81</v>
      </c>
      <c r="J1973" s="14" t="s">
        <v>198</v>
      </c>
      <c r="K1973" s="14" t="s">
        <v>210</v>
      </c>
      <c r="L1973" s="14" t="s">
        <v>458</v>
      </c>
      <c r="M1973" s="14" t="s">
        <v>1655</v>
      </c>
      <c r="N1973" s="14" t="s">
        <v>1656</v>
      </c>
      <c r="O1973" s="14">
        <v>100.0</v>
      </c>
      <c r="P1973" s="21">
        <v>0.0</v>
      </c>
      <c r="Q1973" s="22" t="str">
        <f t="shared" si="1164"/>
        <v>+0</v>
      </c>
      <c r="S1973" s="14" t="s">
        <v>277</v>
      </c>
    </row>
    <row r="1974">
      <c r="A1974" s="13">
        <v>45901.0</v>
      </c>
      <c r="B1974" s="14" t="s">
        <v>47</v>
      </c>
      <c r="C1974" s="14" t="s">
        <v>48</v>
      </c>
      <c r="D1974" s="14" t="s">
        <v>60</v>
      </c>
      <c r="E1974" s="14" t="s">
        <v>61</v>
      </c>
      <c r="F1974" s="15" t="s">
        <v>51</v>
      </c>
      <c r="G1974" s="14" t="s">
        <v>62</v>
      </c>
      <c r="H1974" s="14" t="s">
        <v>60</v>
      </c>
      <c r="I1974" s="14" t="s">
        <v>59</v>
      </c>
      <c r="J1974" s="14" t="s">
        <v>200</v>
      </c>
      <c r="K1974" s="14" t="s">
        <v>223</v>
      </c>
      <c r="L1974" s="14" t="s">
        <v>607</v>
      </c>
      <c r="M1974" s="14" t="s">
        <v>758</v>
      </c>
      <c r="N1974" s="14" t="s">
        <v>759</v>
      </c>
      <c r="O1974" s="14">
        <v>66.0</v>
      </c>
      <c r="P1974" s="23">
        <v>0.3333</v>
      </c>
      <c r="Q1974" s="22" t="str">
        <f>"+133.33%"</f>
        <v>+133.33%</v>
      </c>
      <c r="R1974" s="18" t="str">
        <f>"+104.76%"</f>
        <v>+104.76%</v>
      </c>
      <c r="S1974" s="14" t="s">
        <v>1657</v>
      </c>
    </row>
    <row r="1975">
      <c r="A1975" s="13">
        <v>45901.0</v>
      </c>
      <c r="B1975" s="14" t="s">
        <v>47</v>
      </c>
      <c r="C1975" s="14" t="s">
        <v>48</v>
      </c>
      <c r="D1975" s="14" t="s">
        <v>99</v>
      </c>
      <c r="E1975" s="14" t="s">
        <v>100</v>
      </c>
      <c r="F1975" s="15" t="s">
        <v>51</v>
      </c>
      <c r="G1975" s="14" t="s">
        <v>101</v>
      </c>
      <c r="H1975" s="14" t="s">
        <v>102</v>
      </c>
      <c r="I1975" s="14" t="s">
        <v>54</v>
      </c>
      <c r="J1975" s="14" t="s">
        <v>200</v>
      </c>
      <c r="K1975" s="14" t="s">
        <v>213</v>
      </c>
      <c r="L1975" s="14" t="s">
        <v>440</v>
      </c>
      <c r="M1975" s="14" t="s">
        <v>441</v>
      </c>
      <c r="N1975" s="14" t="s">
        <v>442</v>
      </c>
      <c r="O1975" s="14">
        <v>0.0</v>
      </c>
      <c r="P1975" s="23">
        <v>0.0</v>
      </c>
      <c r="Q1975" s="22" t="str">
        <f t="shared" ref="Q1975:R1975" si="1166">"+0.00%"</f>
        <v>+0.00%</v>
      </c>
      <c r="R1975" s="18" t="str">
        <f t="shared" si="1166"/>
        <v>+0.00%</v>
      </c>
      <c r="S1975" s="14" t="s">
        <v>285</v>
      </c>
    </row>
    <row r="1976">
      <c r="A1976" s="13">
        <v>45901.0</v>
      </c>
      <c r="B1976" s="14" t="s">
        <v>47</v>
      </c>
      <c r="C1976" s="14" t="s">
        <v>48</v>
      </c>
      <c r="D1976" s="14" t="s">
        <v>116</v>
      </c>
      <c r="E1976" s="14" t="s">
        <v>117</v>
      </c>
      <c r="F1976" s="15" t="s">
        <v>51</v>
      </c>
      <c r="G1976" s="14" t="s">
        <v>161</v>
      </c>
      <c r="H1976" s="14" t="s">
        <v>116</v>
      </c>
      <c r="I1976" s="14" t="s">
        <v>54</v>
      </c>
      <c r="J1976" s="14" t="s">
        <v>198</v>
      </c>
      <c r="K1976" s="14" t="s">
        <v>210</v>
      </c>
      <c r="L1976" s="14" t="s">
        <v>505</v>
      </c>
      <c r="M1976" s="14" t="s">
        <v>1393</v>
      </c>
      <c r="N1976" s="14" t="s">
        <v>1394</v>
      </c>
      <c r="O1976" s="14">
        <v>0.0</v>
      </c>
      <c r="P1976" s="21">
        <v>0.0</v>
      </c>
      <c r="Q1976" s="22" t="str">
        <f t="shared" ref="Q1976:R1976" si="1167">"+0"</f>
        <v>+0</v>
      </c>
      <c r="R1976" s="18" t="str">
        <f t="shared" si="1167"/>
        <v>+0</v>
      </c>
      <c r="S1976" s="14" t="s">
        <v>277</v>
      </c>
    </row>
    <row r="1977">
      <c r="A1977" s="13">
        <v>45901.0</v>
      </c>
      <c r="B1977" s="14" t="s">
        <v>47</v>
      </c>
      <c r="C1977" s="14" t="s">
        <v>48</v>
      </c>
      <c r="D1977" s="14" t="s">
        <v>112</v>
      </c>
      <c r="E1977" s="14" t="s">
        <v>113</v>
      </c>
      <c r="F1977" s="15" t="s">
        <v>51</v>
      </c>
      <c r="G1977" s="14" t="s">
        <v>114</v>
      </c>
      <c r="H1977" s="14" t="s">
        <v>112</v>
      </c>
      <c r="I1977" s="14" t="s">
        <v>59</v>
      </c>
      <c r="J1977" s="14" t="s">
        <v>198</v>
      </c>
      <c r="K1977" s="14" t="s">
        <v>210</v>
      </c>
      <c r="L1977" s="14" t="s">
        <v>264</v>
      </c>
      <c r="M1977" s="14" t="s">
        <v>470</v>
      </c>
      <c r="N1977" s="14" t="s">
        <v>471</v>
      </c>
      <c r="O1977" s="14">
        <v>100.0</v>
      </c>
      <c r="P1977" s="21">
        <v>0.0</v>
      </c>
      <c r="Q1977" s="22" t="str">
        <f t="shared" ref="Q1977:R1977" si="1168">"+0"</f>
        <v>+0</v>
      </c>
      <c r="R1977" s="18" t="str">
        <f t="shared" si="1168"/>
        <v>+0</v>
      </c>
      <c r="S1977" s="14" t="s">
        <v>281</v>
      </c>
    </row>
    <row r="1978">
      <c r="A1978" s="13">
        <v>45901.0</v>
      </c>
      <c r="B1978" s="14" t="s">
        <v>47</v>
      </c>
      <c r="C1978" s="14" t="s">
        <v>48</v>
      </c>
      <c r="D1978" s="14" t="s">
        <v>140</v>
      </c>
      <c r="E1978" s="14" t="s">
        <v>141</v>
      </c>
      <c r="F1978" s="15" t="s">
        <v>51</v>
      </c>
      <c r="G1978" s="14" t="s">
        <v>142</v>
      </c>
      <c r="H1978" s="14" t="s">
        <v>140</v>
      </c>
      <c r="I1978" s="14" t="s">
        <v>59</v>
      </c>
      <c r="J1978" s="14" t="s">
        <v>198</v>
      </c>
      <c r="K1978" s="14" t="s">
        <v>210</v>
      </c>
      <c r="L1978" s="14" t="s">
        <v>264</v>
      </c>
      <c r="M1978" s="14" t="s">
        <v>407</v>
      </c>
      <c r="N1978" s="14" t="s">
        <v>408</v>
      </c>
      <c r="O1978" s="14">
        <v>100.0</v>
      </c>
      <c r="P1978" s="21">
        <v>0.0</v>
      </c>
      <c r="Q1978" s="22" t="str">
        <f t="shared" ref="Q1978:R1978" si="1169">"+0"</f>
        <v>+0</v>
      </c>
      <c r="R1978" s="18" t="str">
        <f t="shared" si="1169"/>
        <v>+0</v>
      </c>
      <c r="S1978" s="14" t="s">
        <v>281</v>
      </c>
    </row>
    <row r="1979">
      <c r="A1979" s="13">
        <v>45901.0</v>
      </c>
      <c r="B1979" s="14" t="s">
        <v>47</v>
      </c>
      <c r="C1979" s="14" t="s">
        <v>48</v>
      </c>
      <c r="D1979" s="14" t="s">
        <v>99</v>
      </c>
      <c r="E1979" s="14" t="s">
        <v>100</v>
      </c>
      <c r="F1979" s="15" t="s">
        <v>51</v>
      </c>
      <c r="G1979" s="14" t="s">
        <v>101</v>
      </c>
      <c r="H1979" s="14" t="s">
        <v>102</v>
      </c>
      <c r="I1979" s="14" t="s">
        <v>54</v>
      </c>
      <c r="J1979" s="14" t="s">
        <v>198</v>
      </c>
      <c r="K1979" s="14" t="s">
        <v>210</v>
      </c>
      <c r="L1979" s="14" t="s">
        <v>264</v>
      </c>
      <c r="M1979" s="14" t="s">
        <v>524</v>
      </c>
      <c r="N1979" s="14" t="s">
        <v>525</v>
      </c>
      <c r="O1979" s="14">
        <v>100.0</v>
      </c>
      <c r="P1979" s="21">
        <v>0.0</v>
      </c>
      <c r="Q1979" s="22" t="str">
        <f t="shared" ref="Q1979:R1979" si="1170">"+0"</f>
        <v>+0</v>
      </c>
      <c r="R1979" s="18" t="str">
        <f t="shared" si="1170"/>
        <v>+0</v>
      </c>
      <c r="S1979" s="14" t="s">
        <v>281</v>
      </c>
    </row>
    <row r="1980">
      <c r="A1980" s="13">
        <v>45901.0</v>
      </c>
      <c r="B1980" s="14" t="s">
        <v>47</v>
      </c>
      <c r="C1980" s="14" t="s">
        <v>48</v>
      </c>
      <c r="D1980" s="14" t="s">
        <v>93</v>
      </c>
      <c r="E1980" s="14" t="s">
        <v>94</v>
      </c>
      <c r="F1980" s="14" t="s">
        <v>71</v>
      </c>
      <c r="G1980" s="14">
        <v>5.36001438E8</v>
      </c>
      <c r="H1980" s="14" t="s">
        <v>95</v>
      </c>
      <c r="I1980" s="14" t="s">
        <v>59</v>
      </c>
      <c r="J1980" s="14" t="s">
        <v>200</v>
      </c>
      <c r="K1980" s="14" t="s">
        <v>218</v>
      </c>
      <c r="L1980" s="14" t="s">
        <v>253</v>
      </c>
      <c r="M1980" s="14" t="s">
        <v>1388</v>
      </c>
      <c r="N1980" s="14" t="s">
        <v>1389</v>
      </c>
      <c r="O1980" s="14">
        <v>1.0</v>
      </c>
      <c r="P1980" s="23">
        <v>0.0051</v>
      </c>
      <c r="Q1980" s="22" t="str">
        <f>"-0.01%"</f>
        <v>-0.01%</v>
      </c>
      <c r="R1980" s="18" t="str">
        <f>"-0.07%"</f>
        <v>-0.07%</v>
      </c>
      <c r="S1980" s="14" t="s">
        <v>1658</v>
      </c>
    </row>
    <row r="1981">
      <c r="A1981" s="13">
        <v>45901.0</v>
      </c>
      <c r="B1981" s="14" t="s">
        <v>47</v>
      </c>
      <c r="C1981" s="14" t="s">
        <v>48</v>
      </c>
      <c r="D1981" s="14" t="s">
        <v>66</v>
      </c>
      <c r="E1981" s="14" t="s">
        <v>67</v>
      </c>
      <c r="F1981" s="15" t="s">
        <v>51</v>
      </c>
      <c r="G1981" s="14" t="s">
        <v>68</v>
      </c>
      <c r="H1981" s="14" t="s">
        <v>66</v>
      </c>
      <c r="I1981" s="14" t="s">
        <v>59</v>
      </c>
      <c r="J1981" s="14" t="s">
        <v>200</v>
      </c>
      <c r="K1981" s="14" t="s">
        <v>223</v>
      </c>
      <c r="L1981" s="14" t="s">
        <v>705</v>
      </c>
      <c r="M1981" s="14" t="s">
        <v>706</v>
      </c>
      <c r="N1981" s="14" t="s">
        <v>707</v>
      </c>
      <c r="O1981" s="14">
        <v>0.0</v>
      </c>
      <c r="P1981" s="21">
        <v>0.0</v>
      </c>
      <c r="Q1981" s="22" t="str">
        <f t="shared" ref="Q1981:R1981" si="1171">"+0"</f>
        <v>+0</v>
      </c>
      <c r="R1981" s="18" t="str">
        <f t="shared" si="1171"/>
        <v>+0</v>
      </c>
      <c r="S1981" s="14" t="s">
        <v>260</v>
      </c>
    </row>
    <row r="1982">
      <c r="A1982" s="13">
        <v>45901.0</v>
      </c>
      <c r="B1982" s="14" t="s">
        <v>47</v>
      </c>
      <c r="C1982" s="14" t="s">
        <v>48</v>
      </c>
      <c r="D1982" s="14" t="s">
        <v>82</v>
      </c>
      <c r="E1982" s="14" t="s">
        <v>83</v>
      </c>
      <c r="F1982" s="15" t="s">
        <v>51</v>
      </c>
      <c r="G1982" s="14" t="s">
        <v>84</v>
      </c>
      <c r="H1982" s="14" t="s">
        <v>82</v>
      </c>
      <c r="I1982" s="14" t="s">
        <v>59</v>
      </c>
      <c r="J1982" s="14" t="s">
        <v>198</v>
      </c>
      <c r="K1982" s="14" t="s">
        <v>212</v>
      </c>
      <c r="L1982" s="14" t="s">
        <v>249</v>
      </c>
      <c r="M1982" s="14" t="s">
        <v>250</v>
      </c>
      <c r="N1982" s="14" t="s">
        <v>251</v>
      </c>
      <c r="O1982" s="14">
        <v>100.0</v>
      </c>
      <c r="P1982" s="21">
        <v>0.0</v>
      </c>
      <c r="Q1982" s="22" t="str">
        <f t="shared" ref="Q1982:R1982" si="1172">"+0"</f>
        <v>+0</v>
      </c>
      <c r="R1982" s="18" t="str">
        <f t="shared" si="1172"/>
        <v>+0</v>
      </c>
      <c r="S1982" s="14" t="s">
        <v>281</v>
      </c>
    </row>
    <row r="1983">
      <c r="A1983" s="13">
        <v>45901.0</v>
      </c>
      <c r="B1983" s="14" t="s">
        <v>47</v>
      </c>
      <c r="C1983" s="14" t="s">
        <v>48</v>
      </c>
      <c r="D1983" s="14" t="s">
        <v>143</v>
      </c>
      <c r="E1983" s="14" t="s">
        <v>144</v>
      </c>
      <c r="F1983" s="15" t="s">
        <v>51</v>
      </c>
      <c r="G1983" s="14" t="s">
        <v>145</v>
      </c>
      <c r="H1983" s="14" t="s">
        <v>143</v>
      </c>
      <c r="I1983" s="14" t="s">
        <v>59</v>
      </c>
      <c r="J1983" s="14" t="s">
        <v>198</v>
      </c>
      <c r="K1983" s="14" t="s">
        <v>210</v>
      </c>
      <c r="L1983" s="14" t="s">
        <v>264</v>
      </c>
      <c r="M1983" s="14" t="s">
        <v>524</v>
      </c>
      <c r="N1983" s="14" t="s">
        <v>525</v>
      </c>
      <c r="O1983" s="14">
        <v>100.0</v>
      </c>
      <c r="P1983" s="21">
        <v>0.0</v>
      </c>
      <c r="Q1983" s="22" t="str">
        <f>"-2"</f>
        <v>-2</v>
      </c>
      <c r="R1983" s="18" t="str">
        <f>"+0"</f>
        <v>+0</v>
      </c>
      <c r="S1983" s="14" t="s">
        <v>281</v>
      </c>
    </row>
    <row r="1984">
      <c r="A1984" s="13">
        <v>45901.0</v>
      </c>
      <c r="B1984" s="14" t="s">
        <v>47</v>
      </c>
      <c r="C1984" s="14" t="s">
        <v>48</v>
      </c>
      <c r="D1984" s="14" t="s">
        <v>132</v>
      </c>
      <c r="E1984" s="14" t="s">
        <v>133</v>
      </c>
      <c r="F1984" s="15" t="s">
        <v>51</v>
      </c>
      <c r="G1984" s="14" t="s">
        <v>134</v>
      </c>
      <c r="H1984" s="14" t="s">
        <v>135</v>
      </c>
      <c r="I1984" s="14" t="s">
        <v>59</v>
      </c>
      <c r="J1984" s="14" t="s">
        <v>200</v>
      </c>
      <c r="K1984" s="14" t="s">
        <v>227</v>
      </c>
      <c r="L1984" s="14" t="s">
        <v>270</v>
      </c>
      <c r="M1984" s="14" t="s">
        <v>321</v>
      </c>
      <c r="N1984" s="14" t="s">
        <v>322</v>
      </c>
      <c r="O1984" s="14">
        <v>0.0</v>
      </c>
      <c r="P1984" s="23">
        <v>-1.0</v>
      </c>
      <c r="Q1984" s="22" t="str">
        <f t="shared" ref="Q1984:R1984" si="1173">"+0.00%"</f>
        <v>+0.00%</v>
      </c>
      <c r="R1984" s="18" t="str">
        <f t="shared" si="1173"/>
        <v>+0.00%</v>
      </c>
      <c r="S1984" s="14" t="s">
        <v>323</v>
      </c>
    </row>
    <row r="1985">
      <c r="A1985" s="13">
        <v>45901.0</v>
      </c>
      <c r="B1985" s="14" t="s">
        <v>47</v>
      </c>
      <c r="C1985" s="14" t="s">
        <v>48</v>
      </c>
      <c r="D1985" s="14" t="s">
        <v>143</v>
      </c>
      <c r="E1985" s="14" t="s">
        <v>144</v>
      </c>
      <c r="F1985" s="15" t="s">
        <v>51</v>
      </c>
      <c r="G1985" s="14" t="s">
        <v>145</v>
      </c>
      <c r="H1985" s="14" t="s">
        <v>143</v>
      </c>
      <c r="I1985" s="14" t="s">
        <v>59</v>
      </c>
      <c r="J1985" s="14" t="s">
        <v>199</v>
      </c>
      <c r="K1985" s="14" t="s">
        <v>203</v>
      </c>
      <c r="L1985" s="14" t="s">
        <v>342</v>
      </c>
      <c r="M1985" s="14" t="s">
        <v>342</v>
      </c>
      <c r="N1985" s="14" t="s">
        <v>343</v>
      </c>
      <c r="O1985" s="14">
        <v>0.0</v>
      </c>
      <c r="P1985" s="21">
        <v>0.0</v>
      </c>
      <c r="Q1985" s="22" t="str">
        <f t="shared" ref="Q1985:R1985" si="1174">"+0"</f>
        <v>+0</v>
      </c>
      <c r="R1985" s="18" t="str">
        <f t="shared" si="1174"/>
        <v>+0</v>
      </c>
      <c r="S1985" s="14" t="s">
        <v>260</v>
      </c>
    </row>
    <row r="1986">
      <c r="A1986" s="13">
        <v>45901.0</v>
      </c>
      <c r="B1986" s="14" t="s">
        <v>47</v>
      </c>
      <c r="C1986" s="14" t="s">
        <v>48</v>
      </c>
      <c r="D1986" s="14" t="s">
        <v>129</v>
      </c>
      <c r="E1986" s="14" t="s">
        <v>130</v>
      </c>
      <c r="F1986" s="15" t="s">
        <v>51</v>
      </c>
      <c r="G1986" s="14" t="s">
        <v>131</v>
      </c>
      <c r="H1986" s="14" t="s">
        <v>129</v>
      </c>
      <c r="I1986" s="14" t="s">
        <v>59</v>
      </c>
      <c r="J1986" s="14" t="s">
        <v>200</v>
      </c>
      <c r="K1986" s="14" t="s">
        <v>231</v>
      </c>
      <c r="L1986" s="14" t="s">
        <v>751</v>
      </c>
      <c r="M1986" s="14" t="s">
        <v>1051</v>
      </c>
      <c r="N1986" s="14" t="s">
        <v>1052</v>
      </c>
      <c r="O1986" s="14">
        <v>0.0</v>
      </c>
      <c r="P1986" s="21">
        <v>0.0</v>
      </c>
      <c r="Q1986" s="22" t="str">
        <f t="shared" ref="Q1986:R1986" si="1175">"+0"</f>
        <v>+0</v>
      </c>
      <c r="R1986" s="18" t="str">
        <f t="shared" si="1175"/>
        <v>+0</v>
      </c>
      <c r="S1986" s="14" t="s">
        <v>260</v>
      </c>
    </row>
    <row r="1987">
      <c r="A1987" s="13">
        <v>45901.0</v>
      </c>
      <c r="B1987" s="14" t="s">
        <v>47</v>
      </c>
      <c r="C1987" s="14" t="s">
        <v>48</v>
      </c>
      <c r="D1987" s="14" t="s">
        <v>129</v>
      </c>
      <c r="E1987" s="14" t="s">
        <v>130</v>
      </c>
      <c r="F1987" s="15" t="s">
        <v>51</v>
      </c>
      <c r="G1987" s="14" t="s">
        <v>131</v>
      </c>
      <c r="H1987" s="14" t="s">
        <v>129</v>
      </c>
      <c r="I1987" s="14" t="s">
        <v>59</v>
      </c>
      <c r="J1987" s="14" t="s">
        <v>199</v>
      </c>
      <c r="K1987" s="14" t="s">
        <v>206</v>
      </c>
      <c r="L1987" s="14" t="s">
        <v>295</v>
      </c>
      <c r="M1987" s="14" t="s">
        <v>651</v>
      </c>
      <c r="N1987" s="14" t="s">
        <v>652</v>
      </c>
      <c r="O1987" s="14">
        <v>0.0</v>
      </c>
      <c r="P1987" s="21">
        <v>0.0</v>
      </c>
      <c r="Q1987" s="22" t="str">
        <f t="shared" ref="Q1987:R1987" si="1176">"+0"</f>
        <v>+0</v>
      </c>
      <c r="R1987" s="18" t="str">
        <f t="shared" si="1176"/>
        <v>+0</v>
      </c>
      <c r="S1987" s="14" t="s">
        <v>260</v>
      </c>
    </row>
    <row r="1988">
      <c r="A1988" s="13">
        <v>45901.0</v>
      </c>
      <c r="B1988" s="14" t="s">
        <v>47</v>
      </c>
      <c r="C1988" s="14" t="s">
        <v>48</v>
      </c>
      <c r="D1988" s="14" t="s">
        <v>87</v>
      </c>
      <c r="E1988" s="14" t="s">
        <v>88</v>
      </c>
      <c r="F1988" s="15" t="s">
        <v>51</v>
      </c>
      <c r="G1988" s="14" t="s">
        <v>89</v>
      </c>
      <c r="H1988" s="14" t="s">
        <v>90</v>
      </c>
      <c r="I1988" s="14" t="s">
        <v>59</v>
      </c>
      <c r="J1988" s="14" t="s">
        <v>200</v>
      </c>
      <c r="K1988" s="14" t="s">
        <v>246</v>
      </c>
      <c r="L1988" s="14" t="s">
        <v>614</v>
      </c>
      <c r="M1988" s="14" t="s">
        <v>1659</v>
      </c>
      <c r="N1988" s="14" t="s">
        <v>1660</v>
      </c>
      <c r="O1988" s="14">
        <v>0.0</v>
      </c>
      <c r="P1988" s="21">
        <v>0.0</v>
      </c>
      <c r="Q1988" s="22" t="str">
        <f t="shared" ref="Q1988:R1988" si="1177">"+0"</f>
        <v>+0</v>
      </c>
      <c r="R1988" s="18" t="str">
        <f t="shared" si="1177"/>
        <v>+0</v>
      </c>
      <c r="S1988" s="14" t="s">
        <v>260</v>
      </c>
    </row>
    <row r="1989">
      <c r="A1989" s="13">
        <v>45901.0</v>
      </c>
      <c r="B1989" s="14" t="s">
        <v>47</v>
      </c>
      <c r="C1989" s="14" t="s">
        <v>48</v>
      </c>
      <c r="D1989" s="14" t="s">
        <v>149</v>
      </c>
      <c r="E1989" s="14" t="s">
        <v>150</v>
      </c>
      <c r="F1989" s="15" t="s">
        <v>51</v>
      </c>
      <c r="G1989" s="14" t="s">
        <v>151</v>
      </c>
      <c r="H1989" s="14" t="s">
        <v>152</v>
      </c>
      <c r="I1989" s="14" t="s">
        <v>54</v>
      </c>
      <c r="J1989" s="14" t="s">
        <v>200</v>
      </c>
      <c r="K1989" s="14" t="s">
        <v>211</v>
      </c>
      <c r="L1989" s="14" t="s">
        <v>253</v>
      </c>
      <c r="M1989" s="14" t="s">
        <v>1260</v>
      </c>
      <c r="N1989" s="14" t="s">
        <v>1261</v>
      </c>
      <c r="O1989" s="14">
        <v>0.0</v>
      </c>
      <c r="P1989" s="23">
        <v>0.0</v>
      </c>
      <c r="Q1989" s="22" t="str">
        <f t="shared" ref="Q1989:R1989" si="1178">"+0.00%"</f>
        <v>+0.00%</v>
      </c>
      <c r="R1989" s="18" t="str">
        <f t="shared" si="1178"/>
        <v>+0.00%</v>
      </c>
      <c r="S1989" s="14" t="s">
        <v>371</v>
      </c>
    </row>
    <row r="1990">
      <c r="A1990" s="13">
        <v>45901.0</v>
      </c>
      <c r="B1990" s="14" t="s">
        <v>47</v>
      </c>
      <c r="C1990" s="14" t="s">
        <v>48</v>
      </c>
      <c r="D1990" s="14" t="s">
        <v>149</v>
      </c>
      <c r="E1990" s="14" t="s">
        <v>150</v>
      </c>
      <c r="F1990" s="15" t="s">
        <v>51</v>
      </c>
      <c r="G1990" s="14" t="s">
        <v>151</v>
      </c>
      <c r="H1990" s="14" t="s">
        <v>152</v>
      </c>
      <c r="I1990" s="14" t="s">
        <v>54</v>
      </c>
      <c r="J1990" s="14" t="s">
        <v>200</v>
      </c>
      <c r="K1990" s="14" t="s">
        <v>223</v>
      </c>
      <c r="L1990" s="14" t="s">
        <v>487</v>
      </c>
      <c r="M1990" s="14" t="s">
        <v>1415</v>
      </c>
      <c r="N1990" s="14" t="s">
        <v>1416</v>
      </c>
      <c r="O1990" s="14">
        <v>100.0</v>
      </c>
      <c r="P1990" s="21">
        <v>12.0</v>
      </c>
      <c r="Q1990" s="22" t="str">
        <f t="shared" ref="Q1990:R1990" si="1179">"+0"</f>
        <v>+0</v>
      </c>
      <c r="R1990" s="18" t="str">
        <f t="shared" si="1179"/>
        <v>+0</v>
      </c>
      <c r="S1990" s="14" t="s">
        <v>260</v>
      </c>
    </row>
    <row r="1991">
      <c r="A1991" s="13">
        <v>45901.0</v>
      </c>
      <c r="B1991" s="14" t="s">
        <v>47</v>
      </c>
      <c r="C1991" s="14" t="s">
        <v>48</v>
      </c>
      <c r="D1991" s="14" t="s">
        <v>136</v>
      </c>
      <c r="E1991" s="14" t="s">
        <v>137</v>
      </c>
      <c r="F1991" s="15" t="s">
        <v>51</v>
      </c>
      <c r="G1991" s="14" t="s">
        <v>138</v>
      </c>
      <c r="H1991" s="14" t="s">
        <v>139</v>
      </c>
      <c r="I1991" s="14" t="s">
        <v>59</v>
      </c>
      <c r="J1991" s="14" t="s">
        <v>200</v>
      </c>
      <c r="K1991" s="14" t="s">
        <v>213</v>
      </c>
      <c r="L1991" s="14" t="s">
        <v>253</v>
      </c>
      <c r="M1991" s="14" t="s">
        <v>552</v>
      </c>
      <c r="N1991" s="14" t="s">
        <v>553</v>
      </c>
      <c r="O1991" s="14">
        <v>57.0</v>
      </c>
      <c r="P1991" s="23">
        <v>0.572</v>
      </c>
      <c r="Q1991" s="22" t="str">
        <f>"+5.97%"</f>
        <v>+5.97%</v>
      </c>
      <c r="R1991" s="18" t="str">
        <f>"+10.88%"</f>
        <v>+10.88%</v>
      </c>
      <c r="S1991" s="14" t="s">
        <v>1661</v>
      </c>
    </row>
    <row r="1992">
      <c r="A1992" s="13">
        <v>45901.0</v>
      </c>
      <c r="B1992" s="14" t="s">
        <v>47</v>
      </c>
      <c r="C1992" s="14" t="s">
        <v>48</v>
      </c>
      <c r="D1992" s="14" t="s">
        <v>85</v>
      </c>
      <c r="E1992" s="14" t="s">
        <v>86</v>
      </c>
      <c r="F1992" s="15" t="s">
        <v>51</v>
      </c>
      <c r="G1992" s="14" t="s">
        <v>148</v>
      </c>
      <c r="H1992" s="14" t="s">
        <v>85</v>
      </c>
      <c r="I1992" s="14" t="s">
        <v>59</v>
      </c>
      <c r="J1992" s="14" t="s">
        <v>200</v>
      </c>
      <c r="K1992" s="14" t="s">
        <v>213</v>
      </c>
      <c r="L1992" s="14" t="s">
        <v>440</v>
      </c>
      <c r="M1992" s="14" t="s">
        <v>510</v>
      </c>
      <c r="N1992" s="14" t="s">
        <v>511</v>
      </c>
      <c r="O1992" s="14">
        <v>100.0</v>
      </c>
      <c r="P1992" s="23">
        <v>0.0174</v>
      </c>
      <c r="Q1992" s="22" t="str">
        <f>"-0.33%"</f>
        <v>-0.33%</v>
      </c>
      <c r="R1992" s="18" t="str">
        <f>"-0.77%"</f>
        <v>-0.77%</v>
      </c>
      <c r="S1992" s="14" t="s">
        <v>285</v>
      </c>
    </row>
    <row r="1993">
      <c r="A1993" s="13">
        <v>45901.0</v>
      </c>
      <c r="B1993" s="14" t="s">
        <v>47</v>
      </c>
      <c r="C1993" s="14" t="s">
        <v>48</v>
      </c>
      <c r="D1993" s="14" t="s">
        <v>195</v>
      </c>
      <c r="E1993" s="14" t="s">
        <v>196</v>
      </c>
      <c r="F1993" s="14" t="s">
        <v>111</v>
      </c>
      <c r="G1993" s="14">
        <v>5252823.0</v>
      </c>
      <c r="H1993" s="14" t="s">
        <v>197</v>
      </c>
      <c r="I1993" s="14" t="s">
        <v>59</v>
      </c>
      <c r="J1993" s="14" t="s">
        <v>199</v>
      </c>
      <c r="K1993" s="14" t="s">
        <v>206</v>
      </c>
      <c r="L1993" s="14" t="s">
        <v>295</v>
      </c>
      <c r="M1993" s="14" t="s">
        <v>461</v>
      </c>
      <c r="N1993" s="14" t="s">
        <v>462</v>
      </c>
      <c r="O1993" s="14">
        <v>0.0</v>
      </c>
      <c r="P1993" s="21">
        <v>0.0</v>
      </c>
      <c r="Q1993" s="22" t="str">
        <f t="shared" ref="Q1993:R1993" si="1180">"+0"</f>
        <v>+0</v>
      </c>
      <c r="R1993" s="18" t="str">
        <f t="shared" si="1180"/>
        <v>+0</v>
      </c>
      <c r="S1993" s="14" t="s">
        <v>260</v>
      </c>
    </row>
    <row r="1994">
      <c r="A1994" s="13">
        <v>45901.0</v>
      </c>
      <c r="B1994" s="14" t="s">
        <v>47</v>
      </c>
      <c r="C1994" s="14" t="s">
        <v>48</v>
      </c>
      <c r="D1994" s="14" t="s">
        <v>125</v>
      </c>
      <c r="E1994" s="14" t="s">
        <v>126</v>
      </c>
      <c r="F1994" s="15" t="s">
        <v>51</v>
      </c>
      <c r="G1994" s="14" t="s">
        <v>127</v>
      </c>
      <c r="H1994" s="14" t="s">
        <v>125</v>
      </c>
      <c r="I1994" s="14" t="s">
        <v>59</v>
      </c>
      <c r="J1994" s="14" t="s">
        <v>200</v>
      </c>
      <c r="K1994" s="14" t="s">
        <v>224</v>
      </c>
      <c r="L1994" s="14" t="s">
        <v>253</v>
      </c>
      <c r="M1994" s="14" t="s">
        <v>1224</v>
      </c>
      <c r="N1994" s="14" t="s">
        <v>1225</v>
      </c>
      <c r="O1994" s="14">
        <v>0.0</v>
      </c>
      <c r="P1994" s="17"/>
      <c r="Q1994" s="22"/>
      <c r="S1994" s="14" t="s">
        <v>1662</v>
      </c>
    </row>
    <row r="1995">
      <c r="A1995" s="13">
        <v>45901.0</v>
      </c>
      <c r="B1995" s="14" t="s">
        <v>47</v>
      </c>
      <c r="C1995" s="14" t="s">
        <v>48</v>
      </c>
      <c r="D1995" s="14" t="s">
        <v>77</v>
      </c>
      <c r="E1995" s="14" t="s">
        <v>78</v>
      </c>
      <c r="F1995" s="15" t="s">
        <v>51</v>
      </c>
      <c r="G1995" s="14" t="s">
        <v>128</v>
      </c>
      <c r="H1995" s="14" t="s">
        <v>81</v>
      </c>
      <c r="I1995" s="14" t="s">
        <v>59</v>
      </c>
      <c r="J1995" s="14" t="s">
        <v>200</v>
      </c>
      <c r="K1995" s="14" t="s">
        <v>223</v>
      </c>
      <c r="L1995" s="14" t="s">
        <v>286</v>
      </c>
      <c r="M1995" s="14" t="s">
        <v>979</v>
      </c>
      <c r="N1995" s="14" t="s">
        <v>980</v>
      </c>
      <c r="O1995" s="14">
        <v>0.0</v>
      </c>
      <c r="P1995" s="23">
        <v>0.0</v>
      </c>
      <c r="Q1995" s="22" t="str">
        <f t="shared" ref="Q1995:R1995" si="1181">"+0.00%"</f>
        <v>+0.00%</v>
      </c>
      <c r="R1995" s="18" t="str">
        <f t="shared" si="1181"/>
        <v>+0.00%</v>
      </c>
      <c r="S1995" s="14" t="s">
        <v>1663</v>
      </c>
    </row>
    <row r="1996">
      <c r="A1996" s="13">
        <v>45901.0</v>
      </c>
      <c r="B1996" s="14" t="s">
        <v>47</v>
      </c>
      <c r="C1996" s="14" t="s">
        <v>48</v>
      </c>
      <c r="D1996" s="14" t="s">
        <v>112</v>
      </c>
      <c r="E1996" s="14" t="s">
        <v>113</v>
      </c>
      <c r="F1996" s="15" t="s">
        <v>51</v>
      </c>
      <c r="G1996" s="14" t="s">
        <v>114</v>
      </c>
      <c r="H1996" s="14" t="s">
        <v>112</v>
      </c>
      <c r="I1996" s="14" t="s">
        <v>59</v>
      </c>
      <c r="J1996" s="14" t="s">
        <v>200</v>
      </c>
      <c r="K1996" s="14" t="s">
        <v>213</v>
      </c>
      <c r="L1996" s="14" t="s">
        <v>289</v>
      </c>
      <c r="M1996" s="14" t="s">
        <v>984</v>
      </c>
      <c r="N1996" s="14" t="s">
        <v>985</v>
      </c>
      <c r="O1996" s="14">
        <v>0.0</v>
      </c>
      <c r="P1996" s="23">
        <v>0.0</v>
      </c>
      <c r="Q1996" s="22" t="str">
        <f t="shared" ref="Q1996:R1996" si="1182">"+0.00%"</f>
        <v>+0.00%</v>
      </c>
      <c r="R1996" s="18" t="str">
        <f t="shared" si="1182"/>
        <v>+0.00%</v>
      </c>
      <c r="S1996" s="14" t="s">
        <v>285</v>
      </c>
    </row>
    <row r="1997">
      <c r="A1997" s="13">
        <v>45901.0</v>
      </c>
      <c r="B1997" s="14" t="s">
        <v>47</v>
      </c>
      <c r="C1997" s="14" t="s">
        <v>48</v>
      </c>
      <c r="D1997" s="14" t="s">
        <v>116</v>
      </c>
      <c r="E1997" s="14" t="s">
        <v>117</v>
      </c>
      <c r="F1997" s="15" t="s">
        <v>51</v>
      </c>
      <c r="G1997" s="14" t="s">
        <v>161</v>
      </c>
      <c r="H1997" s="14" t="s">
        <v>116</v>
      </c>
      <c r="I1997" s="14" t="s">
        <v>54</v>
      </c>
      <c r="J1997" s="14" t="s">
        <v>199</v>
      </c>
      <c r="K1997" s="14" t="s">
        <v>203</v>
      </c>
      <c r="L1997" s="14" t="s">
        <v>536</v>
      </c>
      <c r="M1997" s="14" t="s">
        <v>536</v>
      </c>
      <c r="N1997" s="14" t="s">
        <v>537</v>
      </c>
      <c r="O1997" s="14">
        <v>0.0</v>
      </c>
      <c r="P1997" s="21">
        <v>0.0</v>
      </c>
      <c r="Q1997" s="22" t="str">
        <f t="shared" ref="Q1997:R1997" si="1183">"+0"</f>
        <v>+0</v>
      </c>
      <c r="R1997" s="18" t="str">
        <f t="shared" si="1183"/>
        <v>+0</v>
      </c>
      <c r="S1997" s="14" t="s">
        <v>260</v>
      </c>
    </row>
    <row r="1998">
      <c r="A1998" s="13">
        <v>45901.0</v>
      </c>
      <c r="B1998" s="14" t="s">
        <v>47</v>
      </c>
      <c r="C1998" s="14" t="s">
        <v>48</v>
      </c>
      <c r="D1998" s="14" t="s">
        <v>140</v>
      </c>
      <c r="E1998" s="14" t="s">
        <v>141</v>
      </c>
      <c r="F1998" s="15" t="s">
        <v>51</v>
      </c>
      <c r="G1998" s="14" t="s">
        <v>142</v>
      </c>
      <c r="H1998" s="14" t="s">
        <v>140</v>
      </c>
      <c r="I1998" s="14" t="s">
        <v>59</v>
      </c>
      <c r="J1998" s="14" t="s">
        <v>198</v>
      </c>
      <c r="K1998" s="14" t="s">
        <v>205</v>
      </c>
      <c r="L1998" s="14" t="s">
        <v>274</v>
      </c>
      <c r="M1998" s="14" t="s">
        <v>466</v>
      </c>
      <c r="N1998" s="14" t="s">
        <v>467</v>
      </c>
      <c r="O1998" s="14">
        <v>100.0</v>
      </c>
      <c r="P1998" s="21">
        <v>1.0</v>
      </c>
      <c r="Q1998" s="22" t="str">
        <f>"+0"</f>
        <v>+0</v>
      </c>
      <c r="S1998" s="14" t="s">
        <v>281</v>
      </c>
    </row>
    <row r="1999">
      <c r="A1999" s="13">
        <v>45901.0</v>
      </c>
      <c r="B1999" s="14" t="s">
        <v>47</v>
      </c>
      <c r="C1999" s="14" t="s">
        <v>48</v>
      </c>
      <c r="D1999" s="14" t="s">
        <v>181</v>
      </c>
      <c r="E1999" s="14" t="s">
        <v>182</v>
      </c>
      <c r="F1999" s="15" t="s">
        <v>51</v>
      </c>
      <c r="G1999" s="14" t="s">
        <v>183</v>
      </c>
      <c r="H1999" s="14" t="s">
        <v>181</v>
      </c>
      <c r="I1999" s="14" t="s">
        <v>59</v>
      </c>
      <c r="J1999" s="14" t="s">
        <v>200</v>
      </c>
      <c r="K1999" s="14" t="s">
        <v>227</v>
      </c>
      <c r="L1999" s="14" t="s">
        <v>270</v>
      </c>
      <c r="M1999" s="14" t="s">
        <v>321</v>
      </c>
      <c r="N1999" s="14" t="s">
        <v>322</v>
      </c>
      <c r="O1999" s="14">
        <v>0.0</v>
      </c>
      <c r="P1999" s="23">
        <v>-1.0</v>
      </c>
      <c r="Q1999" s="22" t="str">
        <f t="shared" ref="Q1999:R1999" si="1184">"+0.00%"</f>
        <v>+0.00%</v>
      </c>
      <c r="R1999" s="18" t="str">
        <f t="shared" si="1184"/>
        <v>+0.00%</v>
      </c>
      <c r="S1999" s="14" t="s">
        <v>323</v>
      </c>
    </row>
    <row r="2000">
      <c r="A2000" s="13">
        <v>45901.0</v>
      </c>
      <c r="B2000" s="14" t="s">
        <v>47</v>
      </c>
      <c r="C2000" s="14" t="s">
        <v>48</v>
      </c>
      <c r="D2000" s="14" t="s">
        <v>56</v>
      </c>
      <c r="E2000" s="14" t="s">
        <v>57</v>
      </c>
      <c r="F2000" s="15" t="s">
        <v>51</v>
      </c>
      <c r="G2000" s="14" t="s">
        <v>58</v>
      </c>
      <c r="H2000" s="14" t="s">
        <v>56</v>
      </c>
      <c r="I2000" s="14" t="s">
        <v>59</v>
      </c>
      <c r="J2000" s="14" t="s">
        <v>200</v>
      </c>
      <c r="K2000" s="14" t="s">
        <v>223</v>
      </c>
      <c r="L2000" s="14" t="s">
        <v>363</v>
      </c>
      <c r="M2000" s="14" t="s">
        <v>1634</v>
      </c>
      <c r="N2000" s="14" t="s">
        <v>1635</v>
      </c>
      <c r="O2000" s="14">
        <v>0.0</v>
      </c>
      <c r="P2000" s="23">
        <v>0.0</v>
      </c>
      <c r="Q2000" s="22" t="str">
        <f t="shared" ref="Q2000:R2000" si="1185">"+0.00%"</f>
        <v>+0.00%</v>
      </c>
      <c r="R2000" s="18" t="str">
        <f t="shared" si="1185"/>
        <v>+0.00%</v>
      </c>
      <c r="S2000" s="14" t="s">
        <v>285</v>
      </c>
    </row>
    <row r="2001">
      <c r="A2001" s="13">
        <v>45901.0</v>
      </c>
      <c r="B2001" s="14" t="s">
        <v>47</v>
      </c>
      <c r="C2001" s="14" t="s">
        <v>48</v>
      </c>
      <c r="D2001" s="14" t="s">
        <v>168</v>
      </c>
      <c r="E2001" s="14" t="s">
        <v>169</v>
      </c>
      <c r="F2001" s="15" t="s">
        <v>51</v>
      </c>
      <c r="G2001" s="14" t="s">
        <v>170</v>
      </c>
      <c r="H2001" s="14" t="s">
        <v>168</v>
      </c>
      <c r="I2001" s="14" t="s">
        <v>59</v>
      </c>
      <c r="J2001" s="14" t="s">
        <v>198</v>
      </c>
      <c r="K2001" s="14" t="s">
        <v>207</v>
      </c>
      <c r="L2001" s="14" t="s">
        <v>318</v>
      </c>
      <c r="M2001" s="14" t="s">
        <v>508</v>
      </c>
      <c r="N2001" s="14" t="s">
        <v>509</v>
      </c>
      <c r="O2001" s="14">
        <v>0.0</v>
      </c>
      <c r="P2001" s="21">
        <v>0.0</v>
      </c>
      <c r="Q2001" s="22" t="str">
        <f>"+0"</f>
        <v>+0</v>
      </c>
      <c r="S2001" s="14" t="s">
        <v>281</v>
      </c>
    </row>
    <row r="2002">
      <c r="A2002" s="13">
        <v>45901.0</v>
      </c>
      <c r="B2002" s="14" t="s">
        <v>47</v>
      </c>
      <c r="C2002" s="14" t="s">
        <v>48</v>
      </c>
      <c r="D2002" s="14" t="s">
        <v>121</v>
      </c>
      <c r="E2002" s="14" t="s">
        <v>122</v>
      </c>
      <c r="F2002" s="15" t="s">
        <v>51</v>
      </c>
      <c r="G2002" s="14" t="s">
        <v>123</v>
      </c>
      <c r="H2002" s="14" t="s">
        <v>124</v>
      </c>
      <c r="I2002" s="14" t="s">
        <v>59</v>
      </c>
      <c r="J2002" s="14" t="s">
        <v>200</v>
      </c>
      <c r="K2002" s="14" t="s">
        <v>232</v>
      </c>
      <c r="L2002" s="14" t="s">
        <v>304</v>
      </c>
      <c r="M2002" s="14" t="s">
        <v>702</v>
      </c>
      <c r="N2002" s="14" t="s">
        <v>703</v>
      </c>
      <c r="O2002" s="14">
        <v>100.0</v>
      </c>
      <c r="P2002" s="23">
        <v>0.1538</v>
      </c>
      <c r="Q2002" s="22" t="str">
        <f>"+4.27%"</f>
        <v>+4.27%</v>
      </c>
      <c r="R2002" s="18" t="str">
        <f>"-2.80%"</f>
        <v>-2.80%</v>
      </c>
      <c r="S2002" s="14" t="s">
        <v>285</v>
      </c>
    </row>
    <row r="2003">
      <c r="A2003" s="13">
        <v>45901.0</v>
      </c>
      <c r="B2003" s="14" t="s">
        <v>47</v>
      </c>
      <c r="C2003" s="14" t="s">
        <v>48</v>
      </c>
      <c r="D2003" s="14" t="s">
        <v>140</v>
      </c>
      <c r="E2003" s="14" t="s">
        <v>141</v>
      </c>
      <c r="F2003" s="15" t="s">
        <v>51</v>
      </c>
      <c r="G2003" s="14" t="s">
        <v>142</v>
      </c>
      <c r="H2003" s="14" t="s">
        <v>140</v>
      </c>
      <c r="I2003" s="14" t="s">
        <v>59</v>
      </c>
      <c r="J2003" s="14" t="s">
        <v>199</v>
      </c>
      <c r="K2003" s="14" t="s">
        <v>206</v>
      </c>
      <c r="L2003" s="14" t="s">
        <v>295</v>
      </c>
      <c r="M2003" s="14" t="s">
        <v>461</v>
      </c>
      <c r="N2003" s="14" t="s">
        <v>462</v>
      </c>
      <c r="O2003" s="14">
        <v>0.0</v>
      </c>
      <c r="P2003" s="21">
        <v>0.0</v>
      </c>
      <c r="Q2003" s="22" t="str">
        <f t="shared" ref="Q2003:R2003" si="1186">"+0"</f>
        <v>+0</v>
      </c>
      <c r="R2003" s="18" t="str">
        <f t="shared" si="1186"/>
        <v>+0</v>
      </c>
      <c r="S2003" s="14" t="s">
        <v>260</v>
      </c>
    </row>
    <row r="2004">
      <c r="A2004" s="13">
        <v>45901.0</v>
      </c>
      <c r="B2004" s="14" t="s">
        <v>47</v>
      </c>
      <c r="C2004" s="14" t="s">
        <v>48</v>
      </c>
      <c r="D2004" s="14" t="s">
        <v>140</v>
      </c>
      <c r="E2004" s="14" t="s">
        <v>141</v>
      </c>
      <c r="F2004" s="15" t="s">
        <v>51</v>
      </c>
      <c r="G2004" s="14" t="s">
        <v>142</v>
      </c>
      <c r="H2004" s="14" t="s">
        <v>140</v>
      </c>
      <c r="I2004" s="14" t="s">
        <v>59</v>
      </c>
      <c r="J2004" s="14" t="s">
        <v>198</v>
      </c>
      <c r="K2004" s="14" t="s">
        <v>205</v>
      </c>
      <c r="L2004" s="14" t="s">
        <v>274</v>
      </c>
      <c r="M2004" s="14" t="s">
        <v>425</v>
      </c>
      <c r="N2004" s="14" t="s">
        <v>426</v>
      </c>
      <c r="O2004" s="14">
        <v>0.0</v>
      </c>
      <c r="P2004" s="21">
        <v>0.0</v>
      </c>
      <c r="Q2004" s="22" t="str">
        <f t="shared" ref="Q2004:Q2006" si="1187">"+0"</f>
        <v>+0</v>
      </c>
      <c r="S2004" s="14" t="s">
        <v>281</v>
      </c>
    </row>
    <row r="2005">
      <c r="A2005" s="13">
        <v>45901.0</v>
      </c>
      <c r="B2005" s="14" t="s">
        <v>47</v>
      </c>
      <c r="C2005" s="14" t="s">
        <v>48</v>
      </c>
      <c r="D2005" s="14" t="s">
        <v>60</v>
      </c>
      <c r="E2005" s="14" t="s">
        <v>61</v>
      </c>
      <c r="F2005" s="15" t="s">
        <v>51</v>
      </c>
      <c r="G2005" s="14" t="s">
        <v>62</v>
      </c>
      <c r="H2005" s="14" t="s">
        <v>60</v>
      </c>
      <c r="I2005" s="14" t="s">
        <v>59</v>
      </c>
      <c r="J2005" s="14" t="s">
        <v>200</v>
      </c>
      <c r="K2005" s="14" t="s">
        <v>216</v>
      </c>
      <c r="L2005" s="14" t="s">
        <v>1045</v>
      </c>
      <c r="M2005" s="14" t="s">
        <v>1078</v>
      </c>
      <c r="N2005" s="14" t="s">
        <v>1079</v>
      </c>
      <c r="O2005" s="14">
        <v>0.0</v>
      </c>
      <c r="P2005" s="21">
        <v>0.0</v>
      </c>
      <c r="Q2005" s="22" t="str">
        <f t="shared" si="1187"/>
        <v>+0</v>
      </c>
      <c r="R2005" s="18" t="str">
        <f t="shared" ref="R2005:R2006" si="1188">"+0"</f>
        <v>+0</v>
      </c>
      <c r="S2005" s="14" t="s">
        <v>260</v>
      </c>
    </row>
    <row r="2006">
      <c r="A2006" s="13">
        <v>45901.0</v>
      </c>
      <c r="B2006" s="14" t="s">
        <v>47</v>
      </c>
      <c r="C2006" s="14" t="s">
        <v>48</v>
      </c>
      <c r="D2006" s="14" t="s">
        <v>155</v>
      </c>
      <c r="E2006" s="14" t="s">
        <v>156</v>
      </c>
      <c r="F2006" s="15" t="s">
        <v>51</v>
      </c>
      <c r="G2006" s="14" t="s">
        <v>157</v>
      </c>
      <c r="H2006" s="14" t="s">
        <v>155</v>
      </c>
      <c r="I2006" s="14" t="s">
        <v>59</v>
      </c>
      <c r="J2006" s="14" t="s">
        <v>200</v>
      </c>
      <c r="K2006" s="14" t="s">
        <v>223</v>
      </c>
      <c r="L2006" s="14" t="s">
        <v>422</v>
      </c>
      <c r="M2006" s="14" t="s">
        <v>423</v>
      </c>
      <c r="N2006" s="14" t="s">
        <v>424</v>
      </c>
      <c r="O2006" s="14">
        <v>100.0</v>
      </c>
      <c r="P2006" s="21">
        <v>1.0</v>
      </c>
      <c r="Q2006" s="22" t="str">
        <f t="shared" si="1187"/>
        <v>+0</v>
      </c>
      <c r="R2006" s="18" t="str">
        <f t="shared" si="1188"/>
        <v>+0</v>
      </c>
      <c r="S2006" s="14" t="s">
        <v>260</v>
      </c>
    </row>
    <row r="2007">
      <c r="A2007" s="13">
        <v>45901.0</v>
      </c>
      <c r="B2007" s="14" t="s">
        <v>47</v>
      </c>
      <c r="C2007" s="14" t="s">
        <v>48</v>
      </c>
      <c r="D2007" s="14" t="s">
        <v>140</v>
      </c>
      <c r="E2007" s="14" t="s">
        <v>141</v>
      </c>
      <c r="F2007" s="15" t="s">
        <v>51</v>
      </c>
      <c r="G2007" s="14" t="s">
        <v>142</v>
      </c>
      <c r="H2007" s="14" t="s">
        <v>140</v>
      </c>
      <c r="I2007" s="14" t="s">
        <v>59</v>
      </c>
      <c r="J2007" s="14" t="s">
        <v>200</v>
      </c>
      <c r="K2007" s="14" t="s">
        <v>213</v>
      </c>
      <c r="L2007" s="14" t="s">
        <v>257</v>
      </c>
      <c r="M2007" s="14" t="s">
        <v>499</v>
      </c>
      <c r="N2007" s="14" t="s">
        <v>500</v>
      </c>
      <c r="O2007" s="14">
        <v>0.0</v>
      </c>
      <c r="P2007" s="23">
        <v>0.0</v>
      </c>
      <c r="Q2007" s="22" t="str">
        <f t="shared" ref="Q2007:R2007" si="1189">"+0.00%"</f>
        <v>+0.00%</v>
      </c>
      <c r="R2007" s="18" t="str">
        <f t="shared" si="1189"/>
        <v>+0.00%</v>
      </c>
      <c r="S2007" s="14" t="s">
        <v>1664</v>
      </c>
    </row>
    <row r="2008">
      <c r="A2008" s="13">
        <v>45901.0</v>
      </c>
      <c r="B2008" s="14" t="s">
        <v>47</v>
      </c>
      <c r="C2008" s="14" t="s">
        <v>48</v>
      </c>
      <c r="D2008" s="14" t="s">
        <v>140</v>
      </c>
      <c r="E2008" s="14" t="s">
        <v>141</v>
      </c>
      <c r="F2008" s="15" t="s">
        <v>51</v>
      </c>
      <c r="G2008" s="14" t="s">
        <v>142</v>
      </c>
      <c r="H2008" s="14" t="s">
        <v>140</v>
      </c>
      <c r="I2008" s="14" t="s">
        <v>59</v>
      </c>
      <c r="J2008" s="14" t="s">
        <v>198</v>
      </c>
      <c r="K2008" s="14" t="s">
        <v>212</v>
      </c>
      <c r="L2008" s="14" t="s">
        <v>249</v>
      </c>
      <c r="M2008" s="14" t="s">
        <v>598</v>
      </c>
      <c r="N2008" s="14" t="s">
        <v>599</v>
      </c>
      <c r="O2008" s="14">
        <v>85.0</v>
      </c>
      <c r="P2008" s="21">
        <v>1140.0</v>
      </c>
      <c r="Q2008" s="22" t="str">
        <f>"-38"</f>
        <v>-38</v>
      </c>
      <c r="R2008" s="18" t="str">
        <f>"+0"</f>
        <v>+0</v>
      </c>
      <c r="S2008" s="14" t="s">
        <v>1665</v>
      </c>
    </row>
    <row r="2009">
      <c r="A2009" s="13">
        <v>45901.0</v>
      </c>
      <c r="B2009" s="14" t="s">
        <v>47</v>
      </c>
      <c r="C2009" s="14" t="s">
        <v>48</v>
      </c>
      <c r="D2009" s="14" t="s">
        <v>49</v>
      </c>
      <c r="E2009" s="14" t="s">
        <v>50</v>
      </c>
      <c r="F2009" s="15" t="s">
        <v>51</v>
      </c>
      <c r="G2009" s="14" t="s">
        <v>52</v>
      </c>
      <c r="H2009" s="14" t="s">
        <v>53</v>
      </c>
      <c r="I2009" s="14" t="s">
        <v>54</v>
      </c>
      <c r="J2009" s="14" t="s">
        <v>198</v>
      </c>
      <c r="K2009" s="14" t="s">
        <v>210</v>
      </c>
      <c r="L2009" s="14" t="s">
        <v>278</v>
      </c>
      <c r="M2009" s="14" t="s">
        <v>668</v>
      </c>
      <c r="N2009" s="14" t="s">
        <v>669</v>
      </c>
      <c r="O2009" s="14">
        <v>0.0</v>
      </c>
      <c r="P2009" s="21">
        <v>0.0</v>
      </c>
      <c r="Q2009" s="22" t="str">
        <f>"+0"</f>
        <v>+0</v>
      </c>
      <c r="R2009" s="18" t="str">
        <f>"-1"</f>
        <v>-1</v>
      </c>
      <c r="S2009" s="14" t="s">
        <v>277</v>
      </c>
    </row>
    <row r="2010">
      <c r="A2010" s="13">
        <v>45901.0</v>
      </c>
      <c r="B2010" s="14" t="s">
        <v>47</v>
      </c>
      <c r="C2010" s="14" t="s">
        <v>48</v>
      </c>
      <c r="D2010" s="14" t="s">
        <v>49</v>
      </c>
      <c r="E2010" s="14" t="s">
        <v>50</v>
      </c>
      <c r="F2010" s="15" t="s">
        <v>51</v>
      </c>
      <c r="G2010" s="14" t="s">
        <v>52</v>
      </c>
      <c r="H2010" s="14" t="s">
        <v>53</v>
      </c>
      <c r="I2010" s="14" t="s">
        <v>54</v>
      </c>
      <c r="J2010" s="14" t="s">
        <v>200</v>
      </c>
      <c r="K2010" s="14" t="s">
        <v>213</v>
      </c>
      <c r="L2010" s="14" t="s">
        <v>307</v>
      </c>
      <c r="M2010" s="14" t="s">
        <v>533</v>
      </c>
      <c r="N2010" s="14" t="s">
        <v>534</v>
      </c>
      <c r="O2010" s="14">
        <v>0.0</v>
      </c>
      <c r="P2010" s="23">
        <v>0.0</v>
      </c>
      <c r="Q2010" s="22" t="str">
        <f t="shared" ref="Q2010:R2010" si="1190">"+0.00%"</f>
        <v>+0.00%</v>
      </c>
      <c r="R2010" s="18" t="str">
        <f t="shared" si="1190"/>
        <v>+0.00%</v>
      </c>
      <c r="S2010" s="14" t="s">
        <v>1666</v>
      </c>
    </row>
    <row r="2011">
      <c r="A2011" s="13">
        <v>45901.0</v>
      </c>
      <c r="B2011" s="14" t="s">
        <v>47</v>
      </c>
      <c r="C2011" s="14" t="s">
        <v>48</v>
      </c>
      <c r="D2011" s="14" t="s">
        <v>49</v>
      </c>
      <c r="E2011" s="14" t="s">
        <v>50</v>
      </c>
      <c r="F2011" s="15" t="s">
        <v>51</v>
      </c>
      <c r="G2011" s="14" t="s">
        <v>52</v>
      </c>
      <c r="H2011" s="14" t="s">
        <v>53</v>
      </c>
      <c r="I2011" s="14" t="s">
        <v>54</v>
      </c>
      <c r="J2011" s="14" t="s">
        <v>200</v>
      </c>
      <c r="K2011" s="14" t="s">
        <v>201</v>
      </c>
      <c r="L2011" s="14" t="s">
        <v>253</v>
      </c>
      <c r="M2011" s="14" t="s">
        <v>538</v>
      </c>
      <c r="N2011" s="14" t="s">
        <v>539</v>
      </c>
      <c r="O2011" s="14">
        <v>25.0</v>
      </c>
      <c r="P2011" s="23">
        <v>0.2518</v>
      </c>
      <c r="Q2011" s="22" t="str">
        <f>"+1.01%"</f>
        <v>+1.01%</v>
      </c>
      <c r="R2011" s="18" t="str">
        <f>"+2.13%"</f>
        <v>+2.13%</v>
      </c>
      <c r="S2011" s="14" t="s">
        <v>1667</v>
      </c>
    </row>
    <row r="2012">
      <c r="A2012" s="13">
        <v>45901.0</v>
      </c>
      <c r="B2012" s="14" t="s">
        <v>47</v>
      </c>
      <c r="C2012" s="14" t="s">
        <v>48</v>
      </c>
      <c r="D2012" s="14" t="s">
        <v>91</v>
      </c>
      <c r="E2012" s="14" t="s">
        <v>92</v>
      </c>
      <c r="F2012" s="15" t="s">
        <v>51</v>
      </c>
      <c r="G2012" s="14" t="s">
        <v>163</v>
      </c>
      <c r="H2012" s="14" t="s">
        <v>91</v>
      </c>
      <c r="I2012" s="14" t="s">
        <v>59</v>
      </c>
      <c r="J2012" s="14" t="s">
        <v>200</v>
      </c>
      <c r="K2012" s="14" t="s">
        <v>223</v>
      </c>
      <c r="L2012" s="14" t="s">
        <v>261</v>
      </c>
      <c r="M2012" s="14" t="s">
        <v>814</v>
      </c>
      <c r="N2012" s="14" t="s">
        <v>815</v>
      </c>
      <c r="O2012" s="14">
        <v>0.0</v>
      </c>
      <c r="P2012" s="23">
        <v>-1.0</v>
      </c>
      <c r="Q2012" s="22" t="str">
        <f t="shared" ref="Q2012:R2012" si="1191">"-200.00%"</f>
        <v>-200.00%</v>
      </c>
      <c r="R2012" s="18" t="str">
        <f t="shared" si="1191"/>
        <v>-200.00%</v>
      </c>
      <c r="S2012" s="14" t="s">
        <v>1668</v>
      </c>
    </row>
    <row r="2013">
      <c r="A2013" s="13">
        <v>45901.0</v>
      </c>
      <c r="B2013" s="14" t="s">
        <v>47</v>
      </c>
      <c r="C2013" s="14" t="s">
        <v>48</v>
      </c>
      <c r="D2013" s="14" t="s">
        <v>91</v>
      </c>
      <c r="E2013" s="14" t="s">
        <v>92</v>
      </c>
      <c r="F2013" s="14" t="s">
        <v>79</v>
      </c>
      <c r="G2013" s="14" t="s">
        <v>164</v>
      </c>
      <c r="H2013" s="14" t="s">
        <v>91</v>
      </c>
      <c r="I2013" s="14" t="s">
        <v>154</v>
      </c>
      <c r="J2013" s="14" t="s">
        <v>200</v>
      </c>
      <c r="K2013" s="14" t="s">
        <v>237</v>
      </c>
      <c r="L2013" s="14" t="s">
        <v>253</v>
      </c>
      <c r="M2013" s="14" t="s">
        <v>653</v>
      </c>
      <c r="N2013" s="14" t="s">
        <v>654</v>
      </c>
      <c r="O2013" s="14">
        <v>93.0</v>
      </c>
      <c r="P2013" s="23">
        <v>0.9367</v>
      </c>
      <c r="Q2013" s="22" t="str">
        <f>"+3.67%"</f>
        <v>+3.67%</v>
      </c>
      <c r="R2013" s="18" t="str">
        <f>"+2.78%"</f>
        <v>+2.78%</v>
      </c>
      <c r="S2013" s="14" t="s">
        <v>1168</v>
      </c>
    </row>
    <row r="2014">
      <c r="A2014" s="13">
        <v>45901.0</v>
      </c>
      <c r="B2014" s="14" t="s">
        <v>47</v>
      </c>
      <c r="C2014" s="14" t="s">
        <v>48</v>
      </c>
      <c r="D2014" s="14" t="s">
        <v>91</v>
      </c>
      <c r="E2014" s="14" t="s">
        <v>92</v>
      </c>
      <c r="F2014" s="15" t="s">
        <v>51</v>
      </c>
      <c r="G2014" s="14" t="s">
        <v>163</v>
      </c>
      <c r="H2014" s="14" t="s">
        <v>91</v>
      </c>
      <c r="I2014" s="14" t="s">
        <v>59</v>
      </c>
      <c r="J2014" s="14" t="s">
        <v>200</v>
      </c>
      <c r="K2014" s="14" t="s">
        <v>222</v>
      </c>
      <c r="L2014" s="14" t="s">
        <v>301</v>
      </c>
      <c r="M2014" s="14" t="s">
        <v>302</v>
      </c>
      <c r="N2014" s="14" t="s">
        <v>303</v>
      </c>
      <c r="O2014" s="14">
        <v>0.0</v>
      </c>
      <c r="P2014" s="21">
        <v>0.0</v>
      </c>
      <c r="Q2014" s="22" t="str">
        <f t="shared" ref="Q2014:R2014" si="1192">"+0"</f>
        <v>+0</v>
      </c>
      <c r="R2014" s="18" t="str">
        <f t="shared" si="1192"/>
        <v>+0</v>
      </c>
      <c r="S2014" s="14" t="s">
        <v>260</v>
      </c>
    </row>
    <row r="2015">
      <c r="A2015" s="13">
        <v>45901.0</v>
      </c>
      <c r="B2015" s="14" t="s">
        <v>47</v>
      </c>
      <c r="C2015" s="14" t="s">
        <v>48</v>
      </c>
      <c r="D2015" s="14" t="s">
        <v>63</v>
      </c>
      <c r="E2015" s="14" t="s">
        <v>64</v>
      </c>
      <c r="F2015" s="15" t="s">
        <v>51</v>
      </c>
      <c r="G2015" s="14" t="s">
        <v>65</v>
      </c>
      <c r="H2015" s="14" t="s">
        <v>63</v>
      </c>
      <c r="I2015" s="14" t="s">
        <v>54</v>
      </c>
      <c r="J2015" s="14" t="s">
        <v>199</v>
      </c>
      <c r="K2015" s="14" t="s">
        <v>203</v>
      </c>
      <c r="L2015" s="14" t="s">
        <v>1631</v>
      </c>
      <c r="M2015" s="14" t="s">
        <v>1632</v>
      </c>
      <c r="N2015" s="14" t="s">
        <v>1633</v>
      </c>
      <c r="O2015" s="14">
        <v>100.0</v>
      </c>
      <c r="P2015" s="21">
        <v>1.0</v>
      </c>
      <c r="Q2015" s="22" t="str">
        <f t="shared" ref="Q2015:R2015" si="1193">"+0"</f>
        <v>+0</v>
      </c>
      <c r="R2015" s="18" t="str">
        <f t="shared" si="1193"/>
        <v>+0</v>
      </c>
      <c r="S2015" s="14" t="s">
        <v>260</v>
      </c>
    </row>
    <row r="2016">
      <c r="A2016" s="13">
        <v>45901.0</v>
      </c>
      <c r="B2016" s="14" t="s">
        <v>47</v>
      </c>
      <c r="C2016" s="14" t="s">
        <v>48</v>
      </c>
      <c r="D2016" s="14" t="s">
        <v>91</v>
      </c>
      <c r="E2016" s="14" t="s">
        <v>92</v>
      </c>
      <c r="F2016" s="14" t="s">
        <v>71</v>
      </c>
      <c r="G2016" s="14">
        <v>1.00004432E8</v>
      </c>
      <c r="H2016" s="14" t="s">
        <v>91</v>
      </c>
      <c r="I2016" s="14" t="s">
        <v>59</v>
      </c>
      <c r="J2016" s="14" t="s">
        <v>199</v>
      </c>
      <c r="K2016" s="14" t="s">
        <v>203</v>
      </c>
      <c r="L2016" s="14" t="s">
        <v>431</v>
      </c>
      <c r="M2016" s="14" t="s">
        <v>431</v>
      </c>
      <c r="N2016" s="14" t="s">
        <v>432</v>
      </c>
      <c r="O2016" s="14">
        <v>0.0</v>
      </c>
      <c r="P2016" s="21">
        <v>0.0</v>
      </c>
      <c r="Q2016" s="22" t="str">
        <f t="shared" ref="Q2016:R2016" si="1194">"+0"</f>
        <v>+0</v>
      </c>
      <c r="R2016" s="18" t="str">
        <f t="shared" si="1194"/>
        <v>+0</v>
      </c>
      <c r="S2016" s="14" t="s">
        <v>260</v>
      </c>
    </row>
    <row r="2017">
      <c r="A2017" s="13">
        <v>45901.0</v>
      </c>
      <c r="B2017" s="14" t="s">
        <v>47</v>
      </c>
      <c r="C2017" s="14" t="s">
        <v>48</v>
      </c>
      <c r="D2017" s="14" t="s">
        <v>91</v>
      </c>
      <c r="E2017" s="14" t="s">
        <v>92</v>
      </c>
      <c r="F2017" s="15" t="s">
        <v>51</v>
      </c>
      <c r="G2017" s="14" t="s">
        <v>163</v>
      </c>
      <c r="H2017" s="14" t="s">
        <v>91</v>
      </c>
      <c r="I2017" s="14" t="s">
        <v>59</v>
      </c>
      <c r="J2017" s="14" t="s">
        <v>200</v>
      </c>
      <c r="K2017" s="14" t="s">
        <v>223</v>
      </c>
      <c r="L2017" s="14" t="s">
        <v>375</v>
      </c>
      <c r="M2017" s="14" t="s">
        <v>902</v>
      </c>
      <c r="N2017" s="14" t="s">
        <v>903</v>
      </c>
      <c r="O2017" s="14">
        <v>0.0</v>
      </c>
      <c r="P2017" s="23">
        <v>0.0</v>
      </c>
      <c r="Q2017" s="22" t="str">
        <f t="shared" ref="Q2017:R2017" si="1195">"+0.00%"</f>
        <v>+0.00%</v>
      </c>
      <c r="R2017" s="18" t="str">
        <f t="shared" si="1195"/>
        <v>+0.00%</v>
      </c>
      <c r="S2017" s="14" t="s">
        <v>285</v>
      </c>
    </row>
    <row r="2018">
      <c r="A2018" s="13">
        <v>45901.0</v>
      </c>
      <c r="B2018" s="14" t="s">
        <v>47</v>
      </c>
      <c r="C2018" s="14" t="s">
        <v>48</v>
      </c>
      <c r="D2018" s="14" t="s">
        <v>192</v>
      </c>
      <c r="E2018" s="14" t="s">
        <v>193</v>
      </c>
      <c r="F2018" s="15" t="s">
        <v>51</v>
      </c>
      <c r="G2018" s="14" t="s">
        <v>194</v>
      </c>
      <c r="H2018" s="14" t="s">
        <v>192</v>
      </c>
      <c r="I2018" s="14" t="s">
        <v>54</v>
      </c>
      <c r="J2018" s="14" t="s">
        <v>200</v>
      </c>
      <c r="K2018" s="14" t="s">
        <v>223</v>
      </c>
      <c r="L2018" s="14" t="s">
        <v>676</v>
      </c>
      <c r="M2018" s="14" t="s">
        <v>858</v>
      </c>
      <c r="N2018" s="14" t="s">
        <v>859</v>
      </c>
      <c r="O2018" s="14">
        <v>66.0</v>
      </c>
      <c r="P2018" s="23">
        <v>0.3333</v>
      </c>
      <c r="Q2018" s="22" t="str">
        <f t="shared" ref="Q2018:R2018" si="1196">"+133.33%"</f>
        <v>+133.33%</v>
      </c>
      <c r="R2018" s="18" t="str">
        <f t="shared" si="1196"/>
        <v>+133.33%</v>
      </c>
      <c r="S2018" s="14" t="s">
        <v>1669</v>
      </c>
    </row>
    <row r="2019">
      <c r="A2019" s="13">
        <v>45901.0</v>
      </c>
      <c r="B2019" s="14" t="s">
        <v>47</v>
      </c>
      <c r="C2019" s="14" t="s">
        <v>48</v>
      </c>
      <c r="D2019" s="14" t="s">
        <v>103</v>
      </c>
      <c r="E2019" s="14" t="s">
        <v>104</v>
      </c>
      <c r="F2019" s="15" t="s">
        <v>51</v>
      </c>
      <c r="G2019" s="14" t="s">
        <v>105</v>
      </c>
      <c r="H2019" s="14" t="s">
        <v>106</v>
      </c>
      <c r="I2019" s="14" t="s">
        <v>59</v>
      </c>
      <c r="J2019" s="14" t="s">
        <v>198</v>
      </c>
      <c r="K2019" s="14" t="s">
        <v>210</v>
      </c>
      <c r="L2019" s="14" t="s">
        <v>264</v>
      </c>
      <c r="M2019" s="14" t="s">
        <v>265</v>
      </c>
      <c r="N2019" s="14" t="s">
        <v>266</v>
      </c>
      <c r="O2019" s="14">
        <v>79.0</v>
      </c>
      <c r="P2019" s="21">
        <v>40.0</v>
      </c>
      <c r="Q2019" s="22" t="str">
        <f>"-10"</f>
        <v>-10</v>
      </c>
      <c r="R2019" s="18" t="str">
        <f>"-17"</f>
        <v>-17</v>
      </c>
      <c r="S2019" s="14" t="s">
        <v>1670</v>
      </c>
    </row>
    <row r="2020">
      <c r="A2020" s="13">
        <v>45901.0</v>
      </c>
      <c r="B2020" s="14" t="s">
        <v>47</v>
      </c>
      <c r="C2020" s="14" t="s">
        <v>48</v>
      </c>
      <c r="D2020" s="14" t="s">
        <v>103</v>
      </c>
      <c r="E2020" s="14" t="s">
        <v>104</v>
      </c>
      <c r="F2020" s="15" t="s">
        <v>51</v>
      </c>
      <c r="G2020" s="14" t="s">
        <v>105</v>
      </c>
      <c r="H2020" s="14" t="s">
        <v>106</v>
      </c>
      <c r="I2020" s="14" t="s">
        <v>59</v>
      </c>
      <c r="J2020" s="14" t="s">
        <v>200</v>
      </c>
      <c r="K2020" s="14" t="s">
        <v>232</v>
      </c>
      <c r="L2020" s="14" t="s">
        <v>253</v>
      </c>
      <c r="M2020" s="14" t="s">
        <v>389</v>
      </c>
      <c r="N2020" s="14" t="s">
        <v>390</v>
      </c>
      <c r="O2020" s="14">
        <v>91.0</v>
      </c>
      <c r="P2020" s="23">
        <v>0.9167</v>
      </c>
      <c r="Q2020" s="22" t="str">
        <f>"+33.33%"</f>
        <v>+33.33%</v>
      </c>
      <c r="R2020" s="18" t="str">
        <f>"+25.00%"</f>
        <v>+25.00%</v>
      </c>
      <c r="S2020" s="14" t="s">
        <v>1671</v>
      </c>
    </row>
    <row r="2021">
      <c r="A2021" s="13">
        <v>45901.0</v>
      </c>
      <c r="B2021" s="14" t="s">
        <v>47</v>
      </c>
      <c r="C2021" s="14" t="s">
        <v>48</v>
      </c>
      <c r="D2021" s="14" t="s">
        <v>149</v>
      </c>
      <c r="E2021" s="14" t="s">
        <v>150</v>
      </c>
      <c r="F2021" s="15" t="s">
        <v>51</v>
      </c>
      <c r="G2021" s="14" t="s">
        <v>151</v>
      </c>
      <c r="H2021" s="14" t="s">
        <v>152</v>
      </c>
      <c r="I2021" s="14" t="s">
        <v>54</v>
      </c>
      <c r="J2021" s="14" t="s">
        <v>200</v>
      </c>
      <c r="K2021" s="14" t="s">
        <v>231</v>
      </c>
      <c r="L2021" s="14" t="s">
        <v>512</v>
      </c>
      <c r="M2021" s="14" t="s">
        <v>1672</v>
      </c>
      <c r="N2021" s="14" t="s">
        <v>1673</v>
      </c>
      <c r="O2021" s="14">
        <v>0.0</v>
      </c>
      <c r="P2021" s="21">
        <v>0.0</v>
      </c>
      <c r="Q2021" s="22" t="str">
        <f t="shared" ref="Q2021:R2021" si="1197">"+0"</f>
        <v>+0</v>
      </c>
      <c r="R2021" s="18" t="str">
        <f t="shared" si="1197"/>
        <v>+0</v>
      </c>
      <c r="S2021" s="14" t="s">
        <v>260</v>
      </c>
    </row>
    <row r="2022">
      <c r="A2022" s="13">
        <v>45901.0</v>
      </c>
      <c r="B2022" s="14" t="s">
        <v>47</v>
      </c>
      <c r="C2022" s="14" t="s">
        <v>48</v>
      </c>
      <c r="D2022" s="14" t="s">
        <v>136</v>
      </c>
      <c r="E2022" s="14" t="s">
        <v>137</v>
      </c>
      <c r="F2022" s="15" t="s">
        <v>51</v>
      </c>
      <c r="G2022" s="14" t="s">
        <v>138</v>
      </c>
      <c r="H2022" s="14" t="s">
        <v>139</v>
      </c>
      <c r="I2022" s="14" t="s">
        <v>59</v>
      </c>
      <c r="J2022" s="14" t="s">
        <v>198</v>
      </c>
      <c r="K2022" s="14" t="s">
        <v>205</v>
      </c>
      <c r="L2022" s="14" t="s">
        <v>274</v>
      </c>
      <c r="M2022" s="14" t="s">
        <v>275</v>
      </c>
      <c r="N2022" s="14" t="s">
        <v>276</v>
      </c>
      <c r="O2022" s="14">
        <v>0.0</v>
      </c>
      <c r="P2022" s="21">
        <v>1.0</v>
      </c>
      <c r="Q2022" s="22" t="str">
        <f t="shared" ref="Q2022:Q2023" si="1198">"+0"</f>
        <v>+0</v>
      </c>
      <c r="S2022" s="14" t="s">
        <v>277</v>
      </c>
    </row>
    <row r="2023">
      <c r="A2023" s="13">
        <v>45901.0</v>
      </c>
      <c r="B2023" s="14" t="s">
        <v>47</v>
      </c>
      <c r="C2023" s="14" t="s">
        <v>48</v>
      </c>
      <c r="D2023" s="14" t="s">
        <v>149</v>
      </c>
      <c r="E2023" s="14" t="s">
        <v>150</v>
      </c>
      <c r="F2023" s="15" t="s">
        <v>51</v>
      </c>
      <c r="G2023" s="14" t="s">
        <v>151</v>
      </c>
      <c r="H2023" s="14" t="s">
        <v>152</v>
      </c>
      <c r="I2023" s="14" t="s">
        <v>54</v>
      </c>
      <c r="J2023" s="14" t="s">
        <v>198</v>
      </c>
      <c r="K2023" s="14" t="s">
        <v>205</v>
      </c>
      <c r="L2023" s="14" t="s">
        <v>274</v>
      </c>
      <c r="M2023" s="14" t="s">
        <v>354</v>
      </c>
      <c r="N2023" s="14" t="s">
        <v>355</v>
      </c>
      <c r="O2023" s="14">
        <v>100.0</v>
      </c>
      <c r="P2023" s="21">
        <v>3.0</v>
      </c>
      <c r="Q2023" s="22" t="str">
        <f t="shared" si="1198"/>
        <v>+0</v>
      </c>
      <c r="S2023" s="14" t="s">
        <v>356</v>
      </c>
    </row>
    <row r="2024">
      <c r="A2024" s="13">
        <v>45901.0</v>
      </c>
      <c r="B2024" s="14" t="s">
        <v>47</v>
      </c>
      <c r="C2024" s="14" t="s">
        <v>48</v>
      </c>
      <c r="D2024" s="14" t="s">
        <v>69</v>
      </c>
      <c r="E2024" s="14" t="s">
        <v>70</v>
      </c>
      <c r="F2024" s="15" t="s">
        <v>51</v>
      </c>
      <c r="G2024" s="14" t="s">
        <v>115</v>
      </c>
      <c r="H2024" s="14" t="s">
        <v>72</v>
      </c>
      <c r="I2024" s="14" t="s">
        <v>54</v>
      </c>
      <c r="J2024" s="14" t="s">
        <v>198</v>
      </c>
      <c r="K2024" s="14" t="s">
        <v>210</v>
      </c>
      <c r="L2024" s="14" t="s">
        <v>264</v>
      </c>
      <c r="M2024" s="14" t="s">
        <v>804</v>
      </c>
      <c r="N2024" s="14" t="s">
        <v>805</v>
      </c>
      <c r="O2024" s="14">
        <v>0.0</v>
      </c>
      <c r="P2024" s="21">
        <v>0.0</v>
      </c>
      <c r="Q2024" s="22" t="str">
        <f>"-1"</f>
        <v>-1</v>
      </c>
      <c r="R2024" s="18" t="str">
        <f>"+0"</f>
        <v>+0</v>
      </c>
      <c r="S2024" s="14" t="s">
        <v>277</v>
      </c>
    </row>
    <row r="2025">
      <c r="A2025" s="13">
        <v>45901.0</v>
      </c>
      <c r="B2025" s="14" t="s">
        <v>47</v>
      </c>
      <c r="C2025" s="14" t="s">
        <v>48</v>
      </c>
      <c r="D2025" s="14" t="s">
        <v>69</v>
      </c>
      <c r="E2025" s="14" t="s">
        <v>70</v>
      </c>
      <c r="F2025" s="15" t="s">
        <v>51</v>
      </c>
      <c r="G2025" s="14" t="s">
        <v>115</v>
      </c>
      <c r="H2025" s="14" t="s">
        <v>72</v>
      </c>
      <c r="I2025" s="14" t="s">
        <v>54</v>
      </c>
      <c r="J2025" s="14" t="s">
        <v>200</v>
      </c>
      <c r="K2025" s="14" t="s">
        <v>224</v>
      </c>
      <c r="L2025" s="14" t="s">
        <v>964</v>
      </c>
      <c r="M2025" s="14" t="s">
        <v>965</v>
      </c>
      <c r="N2025" s="14" t="s">
        <v>966</v>
      </c>
      <c r="O2025" s="14">
        <v>0.0</v>
      </c>
      <c r="P2025" s="23">
        <v>0.0</v>
      </c>
      <c r="Q2025" s="22" t="str">
        <f t="shared" ref="Q2025:R2025" si="1199">"+0.00%"</f>
        <v>+0.00%</v>
      </c>
      <c r="R2025" s="18" t="str">
        <f t="shared" si="1199"/>
        <v>+0.00%</v>
      </c>
      <c r="S2025" s="14" t="s">
        <v>1465</v>
      </c>
    </row>
    <row r="2026">
      <c r="A2026" s="13">
        <v>45901.0</v>
      </c>
      <c r="B2026" s="14" t="s">
        <v>47</v>
      </c>
      <c r="C2026" s="14" t="s">
        <v>48</v>
      </c>
      <c r="D2026" s="14" t="s">
        <v>158</v>
      </c>
      <c r="E2026" s="14" t="s">
        <v>159</v>
      </c>
      <c r="F2026" s="15" t="s">
        <v>51</v>
      </c>
      <c r="G2026" s="14" t="s">
        <v>160</v>
      </c>
      <c r="H2026" s="14" t="s">
        <v>158</v>
      </c>
      <c r="I2026" s="14" t="s">
        <v>54</v>
      </c>
      <c r="J2026" s="14" t="s">
        <v>198</v>
      </c>
      <c r="K2026" s="14" t="s">
        <v>205</v>
      </c>
      <c r="L2026" s="14" t="s">
        <v>274</v>
      </c>
      <c r="M2026" s="14" t="s">
        <v>636</v>
      </c>
      <c r="N2026" s="14" t="s">
        <v>637</v>
      </c>
      <c r="O2026" s="14">
        <v>0.0</v>
      </c>
      <c r="P2026" s="21">
        <v>0.0</v>
      </c>
      <c r="Q2026" s="22" t="str">
        <f>"+0"</f>
        <v>+0</v>
      </c>
      <c r="S2026" s="14" t="s">
        <v>281</v>
      </c>
    </row>
    <row r="2027">
      <c r="A2027" s="13">
        <v>45901.0</v>
      </c>
      <c r="B2027" s="14" t="s">
        <v>47</v>
      </c>
      <c r="C2027" s="14" t="s">
        <v>48</v>
      </c>
      <c r="D2027" s="14" t="s">
        <v>116</v>
      </c>
      <c r="E2027" s="14" t="s">
        <v>117</v>
      </c>
      <c r="F2027" s="15" t="s">
        <v>51</v>
      </c>
      <c r="G2027" s="14" t="s">
        <v>161</v>
      </c>
      <c r="H2027" s="14" t="s">
        <v>116</v>
      </c>
      <c r="I2027" s="14" t="s">
        <v>54</v>
      </c>
      <c r="J2027" s="14" t="s">
        <v>200</v>
      </c>
      <c r="K2027" s="14" t="s">
        <v>224</v>
      </c>
      <c r="L2027" s="14" t="s">
        <v>453</v>
      </c>
      <c r="M2027" s="14" t="s">
        <v>665</v>
      </c>
      <c r="N2027" s="14" t="s">
        <v>666</v>
      </c>
      <c r="O2027" s="14">
        <v>100.0</v>
      </c>
      <c r="P2027" s="23">
        <v>1.0</v>
      </c>
      <c r="Q2027" s="22"/>
      <c r="S2027" s="14" t="s">
        <v>667</v>
      </c>
    </row>
    <row r="2028">
      <c r="A2028" s="13">
        <v>45901.0</v>
      </c>
      <c r="B2028" s="14" t="s">
        <v>47</v>
      </c>
      <c r="C2028" s="14" t="s">
        <v>48</v>
      </c>
      <c r="D2028" s="14" t="s">
        <v>116</v>
      </c>
      <c r="E2028" s="14" t="s">
        <v>117</v>
      </c>
      <c r="F2028" s="15" t="s">
        <v>51</v>
      </c>
      <c r="G2028" s="14" t="s">
        <v>161</v>
      </c>
      <c r="H2028" s="14" t="s">
        <v>116</v>
      </c>
      <c r="I2028" s="14" t="s">
        <v>54</v>
      </c>
      <c r="J2028" s="14" t="s">
        <v>200</v>
      </c>
      <c r="K2028" s="14" t="s">
        <v>227</v>
      </c>
      <c r="L2028" s="14" t="s">
        <v>253</v>
      </c>
      <c r="M2028" s="14" t="s">
        <v>849</v>
      </c>
      <c r="N2028" s="14" t="s">
        <v>850</v>
      </c>
      <c r="O2028" s="14">
        <v>40.0</v>
      </c>
      <c r="P2028" s="23">
        <v>0.4</v>
      </c>
      <c r="Q2028" s="22" t="str">
        <f>"+0.00%"</f>
        <v>+0.00%</v>
      </c>
      <c r="R2028" s="18" t="str">
        <f>"+20.00%"</f>
        <v>+20.00%</v>
      </c>
      <c r="S2028" s="14" t="s">
        <v>851</v>
      </c>
    </row>
    <row r="2029">
      <c r="A2029" s="13">
        <v>45901.0</v>
      </c>
      <c r="B2029" s="14" t="s">
        <v>47</v>
      </c>
      <c r="C2029" s="14" t="s">
        <v>48</v>
      </c>
      <c r="D2029" s="14" t="s">
        <v>108</v>
      </c>
      <c r="E2029" s="14" t="s">
        <v>109</v>
      </c>
      <c r="F2029" s="15" t="s">
        <v>51</v>
      </c>
      <c r="G2029" s="14" t="s">
        <v>110</v>
      </c>
      <c r="H2029" s="14" t="s">
        <v>108</v>
      </c>
      <c r="I2029" s="14" t="s">
        <v>59</v>
      </c>
      <c r="J2029" s="14" t="s">
        <v>200</v>
      </c>
      <c r="K2029" s="14" t="s">
        <v>215</v>
      </c>
      <c r="L2029" s="14" t="s">
        <v>548</v>
      </c>
      <c r="M2029" s="14" t="s">
        <v>1674</v>
      </c>
      <c r="N2029" s="14" t="s">
        <v>1675</v>
      </c>
      <c r="O2029" s="14">
        <v>50.0</v>
      </c>
      <c r="P2029" s="23">
        <v>0.0</v>
      </c>
      <c r="Q2029" s="22" t="str">
        <f t="shared" ref="Q2029:R2029" si="1200">"+100.00%"</f>
        <v>+100.00%</v>
      </c>
      <c r="R2029" s="18" t="str">
        <f t="shared" si="1200"/>
        <v>+100.00%</v>
      </c>
      <c r="S2029" s="14" t="s">
        <v>336</v>
      </c>
    </row>
    <row r="2030">
      <c r="A2030" s="13">
        <v>45901.0</v>
      </c>
      <c r="B2030" s="14" t="s">
        <v>47</v>
      </c>
      <c r="C2030" s="14" t="s">
        <v>48</v>
      </c>
      <c r="D2030" s="14" t="s">
        <v>116</v>
      </c>
      <c r="E2030" s="14" t="s">
        <v>117</v>
      </c>
      <c r="F2030" s="15" t="s">
        <v>51</v>
      </c>
      <c r="G2030" s="14" t="s">
        <v>161</v>
      </c>
      <c r="H2030" s="14" t="s">
        <v>116</v>
      </c>
      <c r="I2030" s="14" t="s">
        <v>54</v>
      </c>
      <c r="J2030" s="14" t="s">
        <v>199</v>
      </c>
      <c r="K2030" s="14" t="s">
        <v>206</v>
      </c>
      <c r="L2030" s="14" t="s">
        <v>569</v>
      </c>
      <c r="M2030" s="14" t="s">
        <v>569</v>
      </c>
      <c r="N2030" s="14" t="s">
        <v>570</v>
      </c>
      <c r="O2030" s="14">
        <v>75.0</v>
      </c>
      <c r="P2030" s="21">
        <v>4.0</v>
      </c>
      <c r="Q2030" s="22" t="str">
        <f t="shared" ref="Q2030:R2030" si="1201">"+0"</f>
        <v>+0</v>
      </c>
      <c r="R2030" s="18" t="str">
        <f t="shared" si="1201"/>
        <v>+0</v>
      </c>
      <c r="S2030" s="14" t="s">
        <v>383</v>
      </c>
    </row>
    <row r="2031">
      <c r="A2031" s="13">
        <v>45901.0</v>
      </c>
      <c r="B2031" s="14" t="s">
        <v>47</v>
      </c>
      <c r="C2031" s="14" t="s">
        <v>48</v>
      </c>
      <c r="D2031" s="14" t="s">
        <v>181</v>
      </c>
      <c r="E2031" s="14" t="s">
        <v>182</v>
      </c>
      <c r="F2031" s="15" t="s">
        <v>51</v>
      </c>
      <c r="G2031" s="14" t="s">
        <v>183</v>
      </c>
      <c r="H2031" s="14" t="s">
        <v>181</v>
      </c>
      <c r="I2031" s="14" t="s">
        <v>59</v>
      </c>
      <c r="J2031" s="14" t="s">
        <v>200</v>
      </c>
      <c r="K2031" s="14" t="s">
        <v>232</v>
      </c>
      <c r="L2031" s="14" t="s">
        <v>304</v>
      </c>
      <c r="M2031" s="14" t="s">
        <v>662</v>
      </c>
      <c r="N2031" s="14" t="s">
        <v>663</v>
      </c>
      <c r="O2031" s="14">
        <v>0.0</v>
      </c>
      <c r="P2031" s="23">
        <v>-1.0</v>
      </c>
      <c r="Q2031" s="22" t="str">
        <f t="shared" ref="Q2031:R2031" si="1202">"+0.00%"</f>
        <v>+0.00%</v>
      </c>
      <c r="R2031" s="18" t="str">
        <f t="shared" si="1202"/>
        <v>+0.00%</v>
      </c>
      <c r="S2031" s="14" t="s">
        <v>1676</v>
      </c>
    </row>
    <row r="2032">
      <c r="A2032" s="13">
        <v>45901.0</v>
      </c>
      <c r="B2032" s="14" t="s">
        <v>47</v>
      </c>
      <c r="C2032" s="14" t="s">
        <v>48</v>
      </c>
      <c r="D2032" s="14" t="s">
        <v>181</v>
      </c>
      <c r="E2032" s="14" t="s">
        <v>182</v>
      </c>
      <c r="F2032" s="15" t="s">
        <v>51</v>
      </c>
      <c r="G2032" s="14" t="s">
        <v>183</v>
      </c>
      <c r="H2032" s="14" t="s">
        <v>181</v>
      </c>
      <c r="I2032" s="14" t="s">
        <v>59</v>
      </c>
      <c r="J2032" s="14" t="s">
        <v>200</v>
      </c>
      <c r="K2032" s="14" t="s">
        <v>232</v>
      </c>
      <c r="L2032" s="14" t="s">
        <v>363</v>
      </c>
      <c r="M2032" s="14" t="s">
        <v>708</v>
      </c>
      <c r="N2032" s="14" t="s">
        <v>709</v>
      </c>
      <c r="O2032" s="14">
        <v>0.0</v>
      </c>
      <c r="P2032" s="23">
        <v>0.0</v>
      </c>
      <c r="Q2032" s="22" t="str">
        <f t="shared" ref="Q2032:R2032" si="1203">"+0.00%"</f>
        <v>+0.00%</v>
      </c>
      <c r="R2032" s="18" t="str">
        <f t="shared" si="1203"/>
        <v>+0.00%</v>
      </c>
      <c r="S2032" s="14" t="s">
        <v>285</v>
      </c>
    </row>
    <row r="2033">
      <c r="A2033" s="13">
        <v>45901.0</v>
      </c>
      <c r="B2033" s="14" t="s">
        <v>47</v>
      </c>
      <c r="C2033" s="14" t="s">
        <v>48</v>
      </c>
      <c r="D2033" s="14" t="s">
        <v>165</v>
      </c>
      <c r="E2033" s="14" t="s">
        <v>166</v>
      </c>
      <c r="F2033" s="15" t="s">
        <v>51</v>
      </c>
      <c r="G2033" s="14" t="s">
        <v>167</v>
      </c>
      <c r="H2033" s="14" t="s">
        <v>165</v>
      </c>
      <c r="I2033" s="14" t="s">
        <v>54</v>
      </c>
      <c r="J2033" s="14" t="s">
        <v>200</v>
      </c>
      <c r="K2033" s="14" t="s">
        <v>202</v>
      </c>
      <c r="L2033" s="14" t="s">
        <v>253</v>
      </c>
      <c r="M2033" s="14" t="s">
        <v>874</v>
      </c>
      <c r="N2033" s="14" t="s">
        <v>875</v>
      </c>
      <c r="O2033" s="14">
        <v>12.0</v>
      </c>
      <c r="P2033" s="23">
        <v>0.1286</v>
      </c>
      <c r="Q2033" s="22" t="str">
        <f>"+1.52%"</f>
        <v>+1.52%</v>
      </c>
      <c r="R2033" s="18" t="str">
        <f>"+0.21%"</f>
        <v>+0.21%</v>
      </c>
      <c r="S2033" s="14" t="s">
        <v>1677</v>
      </c>
    </row>
    <row r="2034">
      <c r="A2034" s="13">
        <v>45901.0</v>
      </c>
      <c r="B2034" s="14" t="s">
        <v>47</v>
      </c>
      <c r="C2034" s="14" t="s">
        <v>48</v>
      </c>
      <c r="D2034" s="14" t="s">
        <v>165</v>
      </c>
      <c r="E2034" s="14" t="s">
        <v>166</v>
      </c>
      <c r="F2034" s="15" t="s">
        <v>51</v>
      </c>
      <c r="G2034" s="14" t="s">
        <v>167</v>
      </c>
      <c r="H2034" s="14" t="s">
        <v>165</v>
      </c>
      <c r="I2034" s="14" t="s">
        <v>54</v>
      </c>
      <c r="J2034" s="14" t="s">
        <v>200</v>
      </c>
      <c r="K2034" s="14" t="s">
        <v>224</v>
      </c>
      <c r="L2034" s="14" t="s">
        <v>427</v>
      </c>
      <c r="M2034" s="14" t="s">
        <v>1575</v>
      </c>
      <c r="N2034" s="14" t="s">
        <v>1576</v>
      </c>
      <c r="O2034" s="14">
        <v>4.0</v>
      </c>
      <c r="P2034" s="23">
        <v>0.0455</v>
      </c>
      <c r="Q2034" s="22" t="str">
        <f t="shared" ref="Q2034:R2034" si="1204">"+4.55%"</f>
        <v>+4.55%</v>
      </c>
      <c r="R2034" s="18" t="str">
        <f t="shared" si="1204"/>
        <v>+4.55%</v>
      </c>
      <c r="S2034" s="14" t="s">
        <v>1678</v>
      </c>
    </row>
    <row r="2035">
      <c r="A2035" s="13">
        <v>45901.0</v>
      </c>
      <c r="B2035" s="14" t="s">
        <v>47</v>
      </c>
      <c r="C2035" s="14" t="s">
        <v>48</v>
      </c>
      <c r="D2035" s="14" t="s">
        <v>49</v>
      </c>
      <c r="E2035" s="14" t="s">
        <v>50</v>
      </c>
      <c r="F2035" s="15" t="s">
        <v>51</v>
      </c>
      <c r="G2035" s="14" t="s">
        <v>52</v>
      </c>
      <c r="H2035" s="14" t="s">
        <v>53</v>
      </c>
      <c r="I2035" s="14" t="s">
        <v>54</v>
      </c>
      <c r="J2035" s="14" t="s">
        <v>200</v>
      </c>
      <c r="K2035" s="14" t="s">
        <v>209</v>
      </c>
      <c r="L2035" s="14" t="s">
        <v>253</v>
      </c>
      <c r="M2035" s="14" t="s">
        <v>402</v>
      </c>
      <c r="N2035" s="14" t="s">
        <v>403</v>
      </c>
      <c r="O2035" s="14">
        <v>69.0</v>
      </c>
      <c r="P2035" s="23">
        <v>0.6904</v>
      </c>
      <c r="Q2035" s="22" t="str">
        <f>"-21.71%"</f>
        <v>-21.71%</v>
      </c>
      <c r="R2035" s="18" t="str">
        <f>"-16.46%"</f>
        <v>-16.46%</v>
      </c>
      <c r="S2035" s="14" t="s">
        <v>1679</v>
      </c>
    </row>
    <row r="2036">
      <c r="A2036" s="13">
        <v>45901.0</v>
      </c>
      <c r="B2036" s="14" t="s">
        <v>47</v>
      </c>
      <c r="C2036" s="14" t="s">
        <v>48</v>
      </c>
      <c r="D2036" s="14" t="s">
        <v>165</v>
      </c>
      <c r="E2036" s="14" t="s">
        <v>166</v>
      </c>
      <c r="F2036" s="15" t="s">
        <v>51</v>
      </c>
      <c r="G2036" s="14" t="s">
        <v>167</v>
      </c>
      <c r="H2036" s="14" t="s">
        <v>165</v>
      </c>
      <c r="I2036" s="14" t="s">
        <v>54</v>
      </c>
      <c r="J2036" s="14" t="s">
        <v>200</v>
      </c>
      <c r="K2036" s="14" t="s">
        <v>213</v>
      </c>
      <c r="L2036" s="14" t="s">
        <v>591</v>
      </c>
      <c r="M2036" s="14" t="s">
        <v>592</v>
      </c>
      <c r="N2036" s="14" t="s">
        <v>1048</v>
      </c>
      <c r="O2036" s="14">
        <v>100.0</v>
      </c>
      <c r="P2036" s="23">
        <v>2.0E-4</v>
      </c>
      <c r="Q2036" s="22" t="str">
        <f>"-0.02%"</f>
        <v>-0.02%</v>
      </c>
      <c r="R2036" s="18" t="str">
        <f>"+0.00%"</f>
        <v>+0.00%</v>
      </c>
      <c r="S2036" s="14" t="s">
        <v>285</v>
      </c>
    </row>
    <row r="2037">
      <c r="A2037" s="13">
        <v>45901.0</v>
      </c>
      <c r="B2037" s="14" t="s">
        <v>47</v>
      </c>
      <c r="C2037" s="14" t="s">
        <v>48</v>
      </c>
      <c r="D2037" s="14" t="s">
        <v>91</v>
      </c>
      <c r="E2037" s="14" t="s">
        <v>92</v>
      </c>
      <c r="F2037" s="14" t="s">
        <v>71</v>
      </c>
      <c r="G2037" s="14">
        <v>5.10001669E8</v>
      </c>
      <c r="H2037" s="14" t="s">
        <v>91</v>
      </c>
      <c r="I2037" s="14" t="s">
        <v>107</v>
      </c>
      <c r="J2037" s="14" t="s">
        <v>199</v>
      </c>
      <c r="K2037" s="14" t="s">
        <v>206</v>
      </c>
      <c r="L2037" s="14" t="s">
        <v>531</v>
      </c>
      <c r="M2037" s="14" t="s">
        <v>531</v>
      </c>
      <c r="N2037" s="14" t="s">
        <v>532</v>
      </c>
      <c r="O2037" s="14">
        <v>100.0</v>
      </c>
      <c r="P2037" s="21">
        <v>13.0</v>
      </c>
      <c r="Q2037" s="22" t="str">
        <f t="shared" ref="Q2037:R2037" si="1205">"+0"</f>
        <v>+0</v>
      </c>
      <c r="R2037" s="18" t="str">
        <f t="shared" si="1205"/>
        <v>+0</v>
      </c>
      <c r="S2037" s="14" t="s">
        <v>260</v>
      </c>
    </row>
    <row r="2038">
      <c r="A2038" s="13">
        <v>45901.0</v>
      </c>
      <c r="B2038" s="14" t="s">
        <v>47</v>
      </c>
      <c r="C2038" s="14" t="s">
        <v>48</v>
      </c>
      <c r="D2038" s="14" t="s">
        <v>82</v>
      </c>
      <c r="E2038" s="14" t="s">
        <v>83</v>
      </c>
      <c r="F2038" s="15" t="s">
        <v>51</v>
      </c>
      <c r="G2038" s="14" t="s">
        <v>84</v>
      </c>
      <c r="H2038" s="14" t="s">
        <v>82</v>
      </c>
      <c r="I2038" s="14" t="s">
        <v>59</v>
      </c>
      <c r="J2038" s="14" t="s">
        <v>200</v>
      </c>
      <c r="K2038" s="14" t="s">
        <v>227</v>
      </c>
      <c r="L2038" s="14" t="s">
        <v>270</v>
      </c>
      <c r="M2038" s="14" t="s">
        <v>400</v>
      </c>
      <c r="N2038" s="14" t="s">
        <v>401</v>
      </c>
      <c r="O2038" s="14">
        <v>0.0</v>
      </c>
      <c r="P2038" s="21">
        <v>0.0</v>
      </c>
      <c r="Q2038" s="22" t="str">
        <f t="shared" ref="Q2038:R2038" si="1206">"+0"</f>
        <v>+0</v>
      </c>
      <c r="R2038" s="18" t="str">
        <f t="shared" si="1206"/>
        <v>+0</v>
      </c>
      <c r="S2038" s="14" t="s">
        <v>260</v>
      </c>
    </row>
    <row r="2039">
      <c r="A2039" s="13">
        <v>45901.0</v>
      </c>
      <c r="B2039" s="14" t="s">
        <v>47</v>
      </c>
      <c r="C2039" s="14" t="s">
        <v>48</v>
      </c>
      <c r="D2039" s="14" t="s">
        <v>93</v>
      </c>
      <c r="E2039" s="14" t="s">
        <v>94</v>
      </c>
      <c r="F2039" s="15" t="s">
        <v>51</v>
      </c>
      <c r="G2039" s="14" t="s">
        <v>191</v>
      </c>
      <c r="H2039" s="14" t="s">
        <v>95</v>
      </c>
      <c r="I2039" s="14" t="s">
        <v>59</v>
      </c>
      <c r="J2039" s="14" t="s">
        <v>198</v>
      </c>
      <c r="K2039" s="14" t="s">
        <v>205</v>
      </c>
      <c r="L2039" s="14" t="s">
        <v>274</v>
      </c>
      <c r="M2039" s="14" t="s">
        <v>696</v>
      </c>
      <c r="N2039" s="14" t="s">
        <v>697</v>
      </c>
      <c r="O2039" s="14">
        <v>100.0</v>
      </c>
      <c r="P2039" s="21">
        <v>1.0</v>
      </c>
      <c r="Q2039" s="22" t="str">
        <f>"+0"</f>
        <v>+0</v>
      </c>
      <c r="S2039" s="14" t="s">
        <v>281</v>
      </c>
    </row>
    <row r="2040">
      <c r="A2040" s="13">
        <v>45901.0</v>
      </c>
      <c r="B2040" s="14" t="s">
        <v>47</v>
      </c>
      <c r="C2040" s="14" t="s">
        <v>48</v>
      </c>
      <c r="D2040" s="14" t="s">
        <v>103</v>
      </c>
      <c r="E2040" s="14" t="s">
        <v>104</v>
      </c>
      <c r="F2040" s="15" t="s">
        <v>51</v>
      </c>
      <c r="G2040" s="14" t="s">
        <v>105</v>
      </c>
      <c r="H2040" s="14" t="s">
        <v>106</v>
      </c>
      <c r="I2040" s="14" t="s">
        <v>59</v>
      </c>
      <c r="J2040" s="14" t="s">
        <v>200</v>
      </c>
      <c r="K2040" s="14" t="s">
        <v>204</v>
      </c>
      <c r="L2040" s="14" t="s">
        <v>253</v>
      </c>
      <c r="M2040" s="14" t="s">
        <v>844</v>
      </c>
      <c r="N2040" s="14" t="s">
        <v>845</v>
      </c>
      <c r="O2040" s="14">
        <v>0.0</v>
      </c>
      <c r="P2040" s="17"/>
      <c r="Q2040" s="22"/>
      <c r="S2040" s="14" t="s">
        <v>846</v>
      </c>
    </row>
    <row r="2041">
      <c r="A2041" s="13">
        <v>45901.0</v>
      </c>
      <c r="B2041" s="14" t="s">
        <v>47</v>
      </c>
      <c r="C2041" s="14" t="s">
        <v>48</v>
      </c>
      <c r="D2041" s="14" t="s">
        <v>73</v>
      </c>
      <c r="E2041" s="14" t="s">
        <v>74</v>
      </c>
      <c r="F2041" s="15" t="s">
        <v>51</v>
      </c>
      <c r="G2041" s="14" t="s">
        <v>75</v>
      </c>
      <c r="H2041" s="14" t="s">
        <v>76</v>
      </c>
      <c r="I2041" s="14" t="s">
        <v>59</v>
      </c>
      <c r="J2041" s="14" t="s">
        <v>200</v>
      </c>
      <c r="K2041" s="14" t="s">
        <v>227</v>
      </c>
      <c r="L2041" s="14" t="s">
        <v>253</v>
      </c>
      <c r="M2041" s="14" t="s">
        <v>254</v>
      </c>
      <c r="N2041" s="14" t="s">
        <v>255</v>
      </c>
      <c r="O2041" s="14">
        <v>1.0</v>
      </c>
      <c r="P2041" s="23">
        <v>0.01</v>
      </c>
      <c r="Q2041" s="22" t="str">
        <f t="shared" ref="Q2041:R2041" si="1207">"+0.00%"</f>
        <v>+0.00%</v>
      </c>
      <c r="R2041" s="18" t="str">
        <f t="shared" si="1207"/>
        <v>+0.00%</v>
      </c>
      <c r="S2041" s="14" t="s">
        <v>256</v>
      </c>
    </row>
    <row r="2042">
      <c r="A2042" s="13">
        <v>45901.0</v>
      </c>
      <c r="B2042" s="14" t="s">
        <v>47</v>
      </c>
      <c r="C2042" s="14" t="s">
        <v>48</v>
      </c>
      <c r="D2042" s="14" t="s">
        <v>149</v>
      </c>
      <c r="E2042" s="14" t="s">
        <v>150</v>
      </c>
      <c r="F2042" s="15" t="s">
        <v>51</v>
      </c>
      <c r="G2042" s="14" t="s">
        <v>151</v>
      </c>
      <c r="H2042" s="14" t="s">
        <v>152</v>
      </c>
      <c r="I2042" s="14" t="s">
        <v>54</v>
      </c>
      <c r="J2042" s="14" t="s">
        <v>200</v>
      </c>
      <c r="K2042" s="14" t="s">
        <v>204</v>
      </c>
      <c r="L2042" s="14" t="s">
        <v>253</v>
      </c>
      <c r="M2042" s="14" t="s">
        <v>793</v>
      </c>
      <c r="N2042" s="14" t="s">
        <v>794</v>
      </c>
      <c r="O2042" s="14">
        <v>1.0</v>
      </c>
      <c r="P2042" s="23">
        <v>0.0047</v>
      </c>
      <c r="Q2042" s="22" t="str">
        <f>"+0.08%"</f>
        <v>+0.08%</v>
      </c>
      <c r="R2042" s="18" t="str">
        <f>"-0.06%"</f>
        <v>-0.06%</v>
      </c>
      <c r="S2042" s="14" t="s">
        <v>1680</v>
      </c>
    </row>
    <row r="2043">
      <c r="A2043" s="13">
        <v>45901.0</v>
      </c>
      <c r="B2043" s="14" t="s">
        <v>47</v>
      </c>
      <c r="C2043" s="14" t="s">
        <v>48</v>
      </c>
      <c r="D2043" s="14" t="s">
        <v>149</v>
      </c>
      <c r="E2043" s="14" t="s">
        <v>150</v>
      </c>
      <c r="F2043" s="15" t="s">
        <v>51</v>
      </c>
      <c r="G2043" s="14" t="s">
        <v>151</v>
      </c>
      <c r="H2043" s="14" t="s">
        <v>152</v>
      </c>
      <c r="I2043" s="14" t="s">
        <v>54</v>
      </c>
      <c r="J2043" s="14" t="s">
        <v>200</v>
      </c>
      <c r="K2043" s="14" t="s">
        <v>222</v>
      </c>
      <c r="L2043" s="14" t="s">
        <v>253</v>
      </c>
      <c r="M2043" s="14" t="s">
        <v>732</v>
      </c>
      <c r="N2043" s="14" t="s">
        <v>733</v>
      </c>
      <c r="O2043" s="14">
        <v>100.0</v>
      </c>
      <c r="P2043" s="21">
        <v>2.0</v>
      </c>
      <c r="Q2043" s="22" t="str">
        <f t="shared" ref="Q2043:R2043" si="1208">"+0"</f>
        <v>+0</v>
      </c>
      <c r="R2043" s="18" t="str">
        <f t="shared" si="1208"/>
        <v>+0</v>
      </c>
      <c r="S2043" s="14" t="s">
        <v>450</v>
      </c>
    </row>
    <row r="2044">
      <c r="A2044" s="13">
        <v>45901.0</v>
      </c>
      <c r="B2044" s="14" t="s">
        <v>47</v>
      </c>
      <c r="C2044" s="14" t="s">
        <v>48</v>
      </c>
      <c r="D2044" s="14" t="s">
        <v>87</v>
      </c>
      <c r="E2044" s="14" t="s">
        <v>88</v>
      </c>
      <c r="F2044" s="15" t="s">
        <v>51</v>
      </c>
      <c r="G2044" s="14" t="s">
        <v>89</v>
      </c>
      <c r="H2044" s="14" t="s">
        <v>90</v>
      </c>
      <c r="I2044" s="14" t="s">
        <v>59</v>
      </c>
      <c r="J2044" s="14" t="s">
        <v>200</v>
      </c>
      <c r="K2044" s="14" t="s">
        <v>227</v>
      </c>
      <c r="L2044" s="14" t="s">
        <v>328</v>
      </c>
      <c r="M2044" s="14" t="s">
        <v>329</v>
      </c>
      <c r="N2044" s="14" t="s">
        <v>330</v>
      </c>
      <c r="O2044" s="14">
        <v>9.0</v>
      </c>
      <c r="P2044" s="21">
        <v>1.0</v>
      </c>
      <c r="Q2044" s="22" t="str">
        <f t="shared" ref="Q2044:R2044" si="1209">"-1"</f>
        <v>-1</v>
      </c>
      <c r="R2044" s="18" t="str">
        <f t="shared" si="1209"/>
        <v>-1</v>
      </c>
      <c r="S2044" s="14" t="s">
        <v>260</v>
      </c>
    </row>
    <row r="2045">
      <c r="A2045" s="13">
        <v>45901.0</v>
      </c>
      <c r="B2045" s="14" t="s">
        <v>47</v>
      </c>
      <c r="C2045" s="14" t="s">
        <v>48</v>
      </c>
      <c r="D2045" s="14" t="s">
        <v>149</v>
      </c>
      <c r="E2045" s="14" t="s">
        <v>150</v>
      </c>
      <c r="F2045" s="15" t="s">
        <v>51</v>
      </c>
      <c r="G2045" s="14" t="s">
        <v>151</v>
      </c>
      <c r="H2045" s="14" t="s">
        <v>152</v>
      </c>
      <c r="I2045" s="14" t="s">
        <v>54</v>
      </c>
      <c r="J2045" s="14" t="s">
        <v>198</v>
      </c>
      <c r="K2045" s="14" t="s">
        <v>210</v>
      </c>
      <c r="L2045" s="14" t="s">
        <v>458</v>
      </c>
      <c r="M2045" s="14" t="s">
        <v>742</v>
      </c>
      <c r="N2045" s="14" t="s">
        <v>743</v>
      </c>
      <c r="O2045" s="14">
        <v>0.0</v>
      </c>
      <c r="P2045" s="21">
        <v>0.0</v>
      </c>
      <c r="Q2045" s="22" t="str">
        <f t="shared" ref="Q2045:R2045" si="1210">"+0"</f>
        <v>+0</v>
      </c>
      <c r="R2045" s="18" t="str">
        <f t="shared" si="1210"/>
        <v>+0</v>
      </c>
      <c r="S2045" s="14" t="s">
        <v>277</v>
      </c>
    </row>
    <row r="2046">
      <c r="A2046" s="13">
        <v>45901.0</v>
      </c>
      <c r="B2046" s="14" t="s">
        <v>47</v>
      </c>
      <c r="C2046" s="14" t="s">
        <v>48</v>
      </c>
      <c r="D2046" s="14" t="s">
        <v>149</v>
      </c>
      <c r="E2046" s="14" t="s">
        <v>150</v>
      </c>
      <c r="F2046" s="15" t="s">
        <v>51</v>
      </c>
      <c r="G2046" s="14" t="s">
        <v>151</v>
      </c>
      <c r="H2046" s="14" t="s">
        <v>152</v>
      </c>
      <c r="I2046" s="14" t="s">
        <v>54</v>
      </c>
      <c r="J2046" s="14" t="s">
        <v>200</v>
      </c>
      <c r="K2046" s="14" t="s">
        <v>224</v>
      </c>
      <c r="L2046" s="14" t="s">
        <v>392</v>
      </c>
      <c r="M2046" s="14" t="s">
        <v>754</v>
      </c>
      <c r="N2046" s="14" t="s">
        <v>755</v>
      </c>
      <c r="O2046" s="14">
        <v>33.0</v>
      </c>
      <c r="P2046" s="23">
        <v>0.3333</v>
      </c>
      <c r="Q2046" s="22" t="str">
        <f t="shared" ref="Q2046:R2046" si="1211">"-16.67%"</f>
        <v>-16.67%</v>
      </c>
      <c r="R2046" s="18" t="str">
        <f t="shared" si="1211"/>
        <v>-16.67%</v>
      </c>
      <c r="S2046" s="14" t="s">
        <v>1681</v>
      </c>
    </row>
    <row r="2047">
      <c r="A2047" s="13">
        <v>45901.0</v>
      </c>
      <c r="B2047" s="14" t="s">
        <v>47</v>
      </c>
      <c r="C2047" s="14" t="s">
        <v>48</v>
      </c>
      <c r="D2047" s="14" t="s">
        <v>69</v>
      </c>
      <c r="E2047" s="14" t="s">
        <v>70</v>
      </c>
      <c r="F2047" s="15" t="s">
        <v>51</v>
      </c>
      <c r="G2047" s="14" t="s">
        <v>115</v>
      </c>
      <c r="H2047" s="14" t="s">
        <v>72</v>
      </c>
      <c r="I2047" s="14" t="s">
        <v>54</v>
      </c>
      <c r="J2047" s="14" t="s">
        <v>198</v>
      </c>
      <c r="K2047" s="14" t="s">
        <v>210</v>
      </c>
      <c r="L2047" s="14" t="s">
        <v>264</v>
      </c>
      <c r="M2047" s="14" t="s">
        <v>456</v>
      </c>
      <c r="N2047" s="14" t="s">
        <v>457</v>
      </c>
      <c r="O2047" s="14">
        <v>0.0</v>
      </c>
      <c r="P2047" s="21">
        <v>0.0</v>
      </c>
      <c r="Q2047" s="22" t="str">
        <f t="shared" ref="Q2047:R2047" si="1212">"+0"</f>
        <v>+0</v>
      </c>
      <c r="R2047" s="18" t="str">
        <f t="shared" si="1212"/>
        <v>+0</v>
      </c>
      <c r="S2047" s="14" t="s">
        <v>277</v>
      </c>
    </row>
    <row r="2048">
      <c r="A2048" s="13">
        <v>45901.0</v>
      </c>
      <c r="B2048" s="14" t="s">
        <v>47</v>
      </c>
      <c r="C2048" s="14" t="s">
        <v>48</v>
      </c>
      <c r="D2048" s="14" t="s">
        <v>69</v>
      </c>
      <c r="E2048" s="14" t="s">
        <v>70</v>
      </c>
      <c r="F2048" s="15" t="s">
        <v>51</v>
      </c>
      <c r="G2048" s="14" t="s">
        <v>115</v>
      </c>
      <c r="H2048" s="14" t="s">
        <v>72</v>
      </c>
      <c r="I2048" s="14" t="s">
        <v>54</v>
      </c>
      <c r="J2048" s="14" t="s">
        <v>198</v>
      </c>
      <c r="K2048" s="14" t="s">
        <v>210</v>
      </c>
      <c r="L2048" s="14" t="s">
        <v>458</v>
      </c>
      <c r="M2048" s="14" t="s">
        <v>744</v>
      </c>
      <c r="N2048" s="14" t="s">
        <v>745</v>
      </c>
      <c r="O2048" s="14">
        <v>100.0</v>
      </c>
      <c r="P2048" s="21">
        <v>1.0</v>
      </c>
      <c r="Q2048" s="22" t="str">
        <f t="shared" ref="Q2048:Q2050" si="1213">"+0"</f>
        <v>+0</v>
      </c>
      <c r="R2048" s="18" t="str">
        <f>"-2"</f>
        <v>-2</v>
      </c>
      <c r="S2048" s="14" t="s">
        <v>277</v>
      </c>
    </row>
    <row r="2049">
      <c r="A2049" s="13">
        <v>45901.0</v>
      </c>
      <c r="B2049" s="14" t="s">
        <v>47</v>
      </c>
      <c r="C2049" s="14" t="s">
        <v>48</v>
      </c>
      <c r="D2049" s="14" t="s">
        <v>77</v>
      </c>
      <c r="E2049" s="14" t="s">
        <v>78</v>
      </c>
      <c r="F2049" s="15" t="s">
        <v>51</v>
      </c>
      <c r="G2049" s="14" t="s">
        <v>128</v>
      </c>
      <c r="H2049" s="14" t="s">
        <v>81</v>
      </c>
      <c r="I2049" s="14" t="s">
        <v>59</v>
      </c>
      <c r="J2049" s="14" t="s">
        <v>200</v>
      </c>
      <c r="K2049" s="14" t="s">
        <v>223</v>
      </c>
      <c r="L2049" s="14" t="s">
        <v>257</v>
      </c>
      <c r="M2049" s="14" t="s">
        <v>517</v>
      </c>
      <c r="N2049" s="14" t="s">
        <v>518</v>
      </c>
      <c r="O2049" s="14">
        <v>0.0</v>
      </c>
      <c r="P2049" s="21">
        <v>0.0</v>
      </c>
      <c r="Q2049" s="22" t="str">
        <f t="shared" si="1213"/>
        <v>+0</v>
      </c>
      <c r="R2049" s="18" t="str">
        <f t="shared" ref="R2049:R2050" si="1214">"+0"</f>
        <v>+0</v>
      </c>
      <c r="S2049" s="14" t="s">
        <v>260</v>
      </c>
    </row>
    <row r="2050">
      <c r="A2050" s="13">
        <v>45901.0</v>
      </c>
      <c r="B2050" s="14" t="s">
        <v>47</v>
      </c>
      <c r="C2050" s="14" t="s">
        <v>48</v>
      </c>
      <c r="D2050" s="14" t="s">
        <v>158</v>
      </c>
      <c r="E2050" s="14" t="s">
        <v>159</v>
      </c>
      <c r="F2050" s="15" t="s">
        <v>51</v>
      </c>
      <c r="G2050" s="14" t="s">
        <v>160</v>
      </c>
      <c r="H2050" s="14" t="s">
        <v>158</v>
      </c>
      <c r="I2050" s="14" t="s">
        <v>54</v>
      </c>
      <c r="J2050" s="14" t="s">
        <v>198</v>
      </c>
      <c r="K2050" s="14" t="s">
        <v>210</v>
      </c>
      <c r="L2050" s="14" t="s">
        <v>278</v>
      </c>
      <c r="M2050" s="14" t="s">
        <v>1485</v>
      </c>
      <c r="N2050" s="14" t="s">
        <v>1486</v>
      </c>
      <c r="O2050" s="14">
        <v>0.0</v>
      </c>
      <c r="P2050" s="21">
        <v>0.0</v>
      </c>
      <c r="Q2050" s="22" t="str">
        <f t="shared" si="1213"/>
        <v>+0</v>
      </c>
      <c r="R2050" s="18" t="str">
        <f t="shared" si="1214"/>
        <v>+0</v>
      </c>
      <c r="S2050" s="14" t="s">
        <v>277</v>
      </c>
    </row>
    <row r="2051">
      <c r="A2051" s="13">
        <v>45901.0</v>
      </c>
      <c r="B2051" s="14" t="s">
        <v>47</v>
      </c>
      <c r="C2051" s="14" t="s">
        <v>48</v>
      </c>
      <c r="D2051" s="14" t="s">
        <v>116</v>
      </c>
      <c r="E2051" s="14" t="s">
        <v>117</v>
      </c>
      <c r="F2051" s="15" t="s">
        <v>51</v>
      </c>
      <c r="G2051" s="14" t="s">
        <v>161</v>
      </c>
      <c r="H2051" s="14" t="s">
        <v>116</v>
      </c>
      <c r="I2051" s="14" t="s">
        <v>54</v>
      </c>
      <c r="J2051" s="14" t="s">
        <v>198</v>
      </c>
      <c r="K2051" s="14" t="s">
        <v>210</v>
      </c>
      <c r="L2051" s="14" t="s">
        <v>505</v>
      </c>
      <c r="M2051" s="14" t="s">
        <v>506</v>
      </c>
      <c r="N2051" s="14" t="s">
        <v>507</v>
      </c>
      <c r="O2051" s="14">
        <v>0.0</v>
      </c>
      <c r="P2051" s="21">
        <v>410.0</v>
      </c>
      <c r="Q2051" s="22" t="str">
        <f>"+41"</f>
        <v>+41</v>
      </c>
      <c r="R2051" s="18" t="str">
        <f>"+68"</f>
        <v>+68</v>
      </c>
      <c r="S2051" s="14" t="s">
        <v>1682</v>
      </c>
    </row>
    <row r="2052">
      <c r="A2052" s="13">
        <v>45901.0</v>
      </c>
      <c r="B2052" s="14" t="s">
        <v>47</v>
      </c>
      <c r="C2052" s="14" t="s">
        <v>48</v>
      </c>
      <c r="D2052" s="14" t="s">
        <v>116</v>
      </c>
      <c r="E2052" s="14" t="s">
        <v>117</v>
      </c>
      <c r="F2052" s="15" t="s">
        <v>51</v>
      </c>
      <c r="G2052" s="14" t="s">
        <v>161</v>
      </c>
      <c r="H2052" s="14" t="s">
        <v>116</v>
      </c>
      <c r="I2052" s="14" t="s">
        <v>54</v>
      </c>
      <c r="J2052" s="14" t="s">
        <v>199</v>
      </c>
      <c r="K2052" s="14" t="s">
        <v>206</v>
      </c>
      <c r="L2052" s="14" t="s">
        <v>433</v>
      </c>
      <c r="M2052" s="14" t="s">
        <v>433</v>
      </c>
      <c r="N2052" s="14" t="s">
        <v>434</v>
      </c>
      <c r="O2052" s="14">
        <v>100.0</v>
      </c>
      <c r="P2052" s="21">
        <v>19.0</v>
      </c>
      <c r="Q2052" s="22" t="str">
        <f>"-7"</f>
        <v>-7</v>
      </c>
      <c r="R2052" s="18" t="str">
        <f>"+1"</f>
        <v>+1</v>
      </c>
      <c r="S2052" s="14" t="s">
        <v>383</v>
      </c>
    </row>
    <row r="2053">
      <c r="A2053" s="13">
        <v>45901.0</v>
      </c>
      <c r="B2053" s="14" t="s">
        <v>47</v>
      </c>
      <c r="C2053" s="14" t="s">
        <v>48</v>
      </c>
      <c r="D2053" s="14" t="s">
        <v>108</v>
      </c>
      <c r="E2053" s="14" t="s">
        <v>109</v>
      </c>
      <c r="F2053" s="15" t="s">
        <v>51</v>
      </c>
      <c r="G2053" s="14" t="s">
        <v>110</v>
      </c>
      <c r="H2053" s="14" t="s">
        <v>108</v>
      </c>
      <c r="I2053" s="14" t="s">
        <v>59</v>
      </c>
      <c r="J2053" s="14" t="s">
        <v>200</v>
      </c>
      <c r="K2053" s="14" t="s">
        <v>204</v>
      </c>
      <c r="L2053" s="14" t="s">
        <v>253</v>
      </c>
      <c r="M2053" s="14" t="s">
        <v>490</v>
      </c>
      <c r="N2053" s="14" t="s">
        <v>491</v>
      </c>
      <c r="O2053" s="14">
        <v>0.0</v>
      </c>
      <c r="P2053" s="23">
        <v>0.0</v>
      </c>
      <c r="Q2053" s="22" t="str">
        <f t="shared" ref="Q2053:R2053" si="1215">"+0.00%"</f>
        <v>+0.00%</v>
      </c>
      <c r="R2053" s="18" t="str">
        <f t="shared" si="1215"/>
        <v>+0.00%</v>
      </c>
      <c r="S2053" s="14" t="s">
        <v>1683</v>
      </c>
    </row>
    <row r="2054">
      <c r="A2054" s="13">
        <v>45901.0</v>
      </c>
      <c r="B2054" s="14" t="s">
        <v>47</v>
      </c>
      <c r="C2054" s="14" t="s">
        <v>48</v>
      </c>
      <c r="D2054" s="14" t="s">
        <v>77</v>
      </c>
      <c r="E2054" s="14" t="s">
        <v>78</v>
      </c>
      <c r="F2054" s="14" t="s">
        <v>79</v>
      </c>
      <c r="G2054" s="14" t="s">
        <v>80</v>
      </c>
      <c r="H2054" s="14" t="s">
        <v>81</v>
      </c>
      <c r="J2054" s="14" t="s">
        <v>199</v>
      </c>
      <c r="K2054" s="14" t="s">
        <v>208</v>
      </c>
      <c r="L2054" s="14" t="s">
        <v>412</v>
      </c>
      <c r="M2054" s="14" t="s">
        <v>412</v>
      </c>
      <c r="N2054" s="14" t="s">
        <v>413</v>
      </c>
      <c r="O2054" s="14">
        <v>0.0</v>
      </c>
      <c r="P2054" s="21">
        <v>0.0</v>
      </c>
      <c r="Q2054" s="22" t="str">
        <f t="shared" ref="Q2054:R2054" si="1216">"+0"</f>
        <v>+0</v>
      </c>
      <c r="R2054" s="18" t="str">
        <f t="shared" si="1216"/>
        <v>+0</v>
      </c>
      <c r="S2054" s="14" t="s">
        <v>260</v>
      </c>
    </row>
    <row r="2055">
      <c r="A2055" s="13">
        <v>45901.0</v>
      </c>
      <c r="B2055" s="14" t="s">
        <v>47</v>
      </c>
      <c r="C2055" s="14" t="s">
        <v>48</v>
      </c>
      <c r="D2055" s="14" t="s">
        <v>56</v>
      </c>
      <c r="E2055" s="14" t="s">
        <v>57</v>
      </c>
      <c r="F2055" s="15" t="s">
        <v>51</v>
      </c>
      <c r="G2055" s="14" t="s">
        <v>58</v>
      </c>
      <c r="H2055" s="14" t="s">
        <v>56</v>
      </c>
      <c r="I2055" s="14" t="s">
        <v>59</v>
      </c>
      <c r="J2055" s="14" t="s">
        <v>200</v>
      </c>
      <c r="K2055" s="14" t="s">
        <v>223</v>
      </c>
      <c r="L2055" s="14" t="s">
        <v>253</v>
      </c>
      <c r="M2055" s="14" t="s">
        <v>366</v>
      </c>
      <c r="N2055" s="14" t="s">
        <v>367</v>
      </c>
      <c r="O2055" s="14">
        <v>53.0</v>
      </c>
      <c r="P2055" s="23">
        <v>0.5333</v>
      </c>
      <c r="Q2055" s="22" t="str">
        <f>"-10.00%"</f>
        <v>-10.00%</v>
      </c>
      <c r="R2055" s="18" t="str">
        <f>"-6.67%"</f>
        <v>-6.67%</v>
      </c>
      <c r="S2055" s="14" t="s">
        <v>1684</v>
      </c>
    </row>
    <row r="2056">
      <c r="A2056" s="13">
        <v>45901.0</v>
      </c>
      <c r="B2056" s="14" t="s">
        <v>47</v>
      </c>
      <c r="C2056" s="14" t="s">
        <v>48</v>
      </c>
      <c r="D2056" s="14" t="s">
        <v>168</v>
      </c>
      <c r="E2056" s="14" t="s">
        <v>169</v>
      </c>
      <c r="F2056" s="15" t="s">
        <v>51</v>
      </c>
      <c r="G2056" s="14" t="s">
        <v>170</v>
      </c>
      <c r="H2056" s="14" t="s">
        <v>168</v>
      </c>
      <c r="I2056" s="14" t="s">
        <v>59</v>
      </c>
      <c r="J2056" s="14" t="s">
        <v>200</v>
      </c>
      <c r="K2056" s="14" t="s">
        <v>222</v>
      </c>
      <c r="L2056" s="14" t="s">
        <v>253</v>
      </c>
      <c r="M2056" s="14" t="s">
        <v>732</v>
      </c>
      <c r="N2056" s="14" t="s">
        <v>733</v>
      </c>
      <c r="O2056" s="14">
        <v>50.0</v>
      </c>
      <c r="P2056" s="21">
        <v>1.0</v>
      </c>
      <c r="Q2056" s="22" t="str">
        <f>"+0"</f>
        <v>+0</v>
      </c>
      <c r="S2056" s="14" t="s">
        <v>450</v>
      </c>
    </row>
    <row r="2057">
      <c r="A2057" s="13">
        <v>45901.0</v>
      </c>
      <c r="B2057" s="14" t="s">
        <v>47</v>
      </c>
      <c r="C2057" s="14" t="s">
        <v>48</v>
      </c>
      <c r="D2057" s="14" t="s">
        <v>60</v>
      </c>
      <c r="E2057" s="14" t="s">
        <v>61</v>
      </c>
      <c r="F2057" s="15" t="s">
        <v>51</v>
      </c>
      <c r="G2057" s="14" t="s">
        <v>62</v>
      </c>
      <c r="H2057" s="14" t="s">
        <v>60</v>
      </c>
      <c r="I2057" s="14" t="s">
        <v>59</v>
      </c>
      <c r="J2057" s="14" t="s">
        <v>200</v>
      </c>
      <c r="K2057" s="14" t="s">
        <v>223</v>
      </c>
      <c r="L2057" s="14" t="s">
        <v>261</v>
      </c>
      <c r="M2057" s="14" t="s">
        <v>414</v>
      </c>
      <c r="N2057" s="14" t="s">
        <v>415</v>
      </c>
      <c r="O2057" s="14">
        <v>39.0</v>
      </c>
      <c r="P2057" s="23">
        <v>-0.2168</v>
      </c>
      <c r="Q2057" s="22" t="str">
        <f>"+55.12%"</f>
        <v>+55.12%</v>
      </c>
      <c r="R2057" s="18" t="str">
        <f>"-32.80%"</f>
        <v>-32.80%</v>
      </c>
      <c r="S2057" s="14" t="s">
        <v>1685</v>
      </c>
    </row>
    <row r="2058">
      <c r="A2058" s="13">
        <v>45901.0</v>
      </c>
      <c r="B2058" s="14" t="s">
        <v>47</v>
      </c>
      <c r="C2058" s="14" t="s">
        <v>48</v>
      </c>
      <c r="D2058" s="14" t="s">
        <v>56</v>
      </c>
      <c r="E2058" s="14" t="s">
        <v>57</v>
      </c>
      <c r="F2058" s="15" t="s">
        <v>51</v>
      </c>
      <c r="G2058" s="14" t="s">
        <v>58</v>
      </c>
      <c r="H2058" s="14" t="s">
        <v>56</v>
      </c>
      <c r="I2058" s="14" t="s">
        <v>59</v>
      </c>
      <c r="J2058" s="14" t="s">
        <v>200</v>
      </c>
      <c r="K2058" s="14" t="s">
        <v>223</v>
      </c>
      <c r="L2058" s="14" t="s">
        <v>363</v>
      </c>
      <c r="M2058" s="14" t="s">
        <v>1043</v>
      </c>
      <c r="N2058" s="14" t="s">
        <v>1044</v>
      </c>
      <c r="O2058" s="14">
        <v>100.0</v>
      </c>
      <c r="P2058" s="23">
        <v>0.4</v>
      </c>
      <c r="Q2058" s="22" t="str">
        <f>"+25.00%"</f>
        <v>+25.00%</v>
      </c>
      <c r="R2058" s="18" t="str">
        <f>"+15.00%"</f>
        <v>+15.00%</v>
      </c>
      <c r="S2058" s="14" t="s">
        <v>285</v>
      </c>
    </row>
    <row r="2059">
      <c r="A2059" s="13">
        <v>45901.0</v>
      </c>
      <c r="B2059" s="14" t="s">
        <v>47</v>
      </c>
      <c r="C2059" s="14" t="s">
        <v>48</v>
      </c>
      <c r="D2059" s="14" t="s">
        <v>91</v>
      </c>
      <c r="E2059" s="14" t="s">
        <v>92</v>
      </c>
      <c r="F2059" s="14" t="s">
        <v>71</v>
      </c>
      <c r="G2059" s="14">
        <v>5.00008343E8</v>
      </c>
      <c r="H2059" s="14" t="s">
        <v>91</v>
      </c>
      <c r="I2059" s="14" t="s">
        <v>59</v>
      </c>
      <c r="J2059" s="14" t="s">
        <v>199</v>
      </c>
      <c r="K2059" s="14" t="s">
        <v>206</v>
      </c>
      <c r="L2059" s="14" t="s">
        <v>515</v>
      </c>
      <c r="M2059" s="14" t="s">
        <v>515</v>
      </c>
      <c r="N2059" s="14" t="s">
        <v>516</v>
      </c>
      <c r="O2059" s="14">
        <v>25.0</v>
      </c>
      <c r="P2059" s="21">
        <v>1.0</v>
      </c>
      <c r="Q2059" s="22" t="str">
        <f t="shared" ref="Q2059:R2059" si="1217">"+0"</f>
        <v>+0</v>
      </c>
      <c r="R2059" s="18" t="str">
        <f t="shared" si="1217"/>
        <v>+0</v>
      </c>
      <c r="S2059" s="14" t="s">
        <v>383</v>
      </c>
    </row>
    <row r="2060">
      <c r="A2060" s="13">
        <v>45901.0</v>
      </c>
      <c r="B2060" s="14" t="s">
        <v>47</v>
      </c>
      <c r="C2060" s="14" t="s">
        <v>48</v>
      </c>
      <c r="D2060" s="14" t="s">
        <v>91</v>
      </c>
      <c r="E2060" s="14" t="s">
        <v>92</v>
      </c>
      <c r="F2060" s="15" t="s">
        <v>51</v>
      </c>
      <c r="G2060" s="14" t="s">
        <v>163</v>
      </c>
      <c r="H2060" s="14" t="s">
        <v>91</v>
      </c>
      <c r="I2060" s="14" t="s">
        <v>59</v>
      </c>
      <c r="J2060" s="14" t="s">
        <v>198</v>
      </c>
      <c r="K2060" s="14" t="s">
        <v>207</v>
      </c>
      <c r="L2060" s="14" t="s">
        <v>318</v>
      </c>
      <c r="M2060" s="14" t="s">
        <v>319</v>
      </c>
      <c r="N2060" s="14" t="s">
        <v>320</v>
      </c>
      <c r="O2060" s="14">
        <v>0.0</v>
      </c>
      <c r="P2060" s="21">
        <v>0.0</v>
      </c>
      <c r="Q2060" s="22" t="str">
        <f>"+0"</f>
        <v>+0</v>
      </c>
      <c r="S2060" s="14" t="s">
        <v>281</v>
      </c>
    </row>
    <row r="2061">
      <c r="A2061" s="13">
        <v>45901.0</v>
      </c>
      <c r="B2061" s="14" t="s">
        <v>47</v>
      </c>
      <c r="C2061" s="14" t="s">
        <v>48</v>
      </c>
      <c r="D2061" s="14" t="s">
        <v>99</v>
      </c>
      <c r="E2061" s="14" t="s">
        <v>100</v>
      </c>
      <c r="F2061" s="15" t="s">
        <v>51</v>
      </c>
      <c r="G2061" s="14" t="s">
        <v>101</v>
      </c>
      <c r="H2061" s="14" t="s">
        <v>102</v>
      </c>
      <c r="I2061" s="14" t="s">
        <v>54</v>
      </c>
      <c r="J2061" s="14" t="s">
        <v>200</v>
      </c>
      <c r="K2061" s="14" t="s">
        <v>219</v>
      </c>
      <c r="L2061" s="14" t="s">
        <v>253</v>
      </c>
      <c r="M2061" s="14" t="s">
        <v>1614</v>
      </c>
      <c r="N2061" s="14" t="s">
        <v>1615</v>
      </c>
      <c r="O2061" s="14">
        <v>0.0</v>
      </c>
      <c r="P2061" s="17"/>
      <c r="Q2061" s="22"/>
      <c r="S2061" s="14" t="s">
        <v>285</v>
      </c>
    </row>
    <row r="2062">
      <c r="A2062" s="13">
        <v>45901.0</v>
      </c>
      <c r="B2062" s="14" t="s">
        <v>47</v>
      </c>
      <c r="C2062" s="14" t="s">
        <v>48</v>
      </c>
      <c r="D2062" s="14" t="s">
        <v>91</v>
      </c>
      <c r="E2062" s="14" t="s">
        <v>92</v>
      </c>
      <c r="F2062" s="14" t="s">
        <v>71</v>
      </c>
      <c r="G2062" s="14">
        <v>5.10011769E8</v>
      </c>
      <c r="H2062" s="14" t="s">
        <v>91</v>
      </c>
      <c r="I2062" s="14" t="s">
        <v>59</v>
      </c>
      <c r="J2062" s="14" t="s">
        <v>199</v>
      </c>
      <c r="K2062" s="14" t="s">
        <v>206</v>
      </c>
      <c r="L2062" s="14" t="s">
        <v>295</v>
      </c>
      <c r="M2062" s="14" t="s">
        <v>461</v>
      </c>
      <c r="N2062" s="14" t="s">
        <v>462</v>
      </c>
      <c r="O2062" s="14">
        <v>0.0</v>
      </c>
      <c r="P2062" s="21">
        <v>0.0</v>
      </c>
      <c r="Q2062" s="22" t="str">
        <f t="shared" ref="Q2062:R2062" si="1218">"+0"</f>
        <v>+0</v>
      </c>
      <c r="R2062" s="18" t="str">
        <f t="shared" si="1218"/>
        <v>+0</v>
      </c>
      <c r="S2062" s="14" t="s">
        <v>260</v>
      </c>
    </row>
    <row r="2063">
      <c r="A2063" s="13">
        <v>45901.0</v>
      </c>
      <c r="B2063" s="14" t="s">
        <v>47</v>
      </c>
      <c r="C2063" s="14" t="s">
        <v>48</v>
      </c>
      <c r="D2063" s="14" t="s">
        <v>91</v>
      </c>
      <c r="E2063" s="14" t="s">
        <v>92</v>
      </c>
      <c r="F2063" s="14" t="s">
        <v>71</v>
      </c>
      <c r="G2063" s="14">
        <v>7295600.0</v>
      </c>
      <c r="H2063" s="14" t="s">
        <v>91</v>
      </c>
      <c r="I2063" s="14" t="s">
        <v>54</v>
      </c>
      <c r="J2063" s="14" t="s">
        <v>200</v>
      </c>
      <c r="K2063" s="14" t="s">
        <v>218</v>
      </c>
      <c r="L2063" s="14" t="s">
        <v>253</v>
      </c>
      <c r="M2063" s="14" t="s">
        <v>784</v>
      </c>
      <c r="N2063" s="14" t="s">
        <v>785</v>
      </c>
      <c r="O2063" s="14">
        <v>68.0</v>
      </c>
      <c r="P2063" s="23">
        <v>0.6887</v>
      </c>
      <c r="Q2063" s="22" t="str">
        <f>"+8.85%"</f>
        <v>+8.85%</v>
      </c>
      <c r="R2063" s="18" t="str">
        <f>"+26.46%"</f>
        <v>+26.46%</v>
      </c>
      <c r="S2063" s="14" t="s">
        <v>1686</v>
      </c>
    </row>
    <row r="2064">
      <c r="A2064" s="13">
        <v>45901.0</v>
      </c>
      <c r="B2064" s="14" t="s">
        <v>47</v>
      </c>
      <c r="C2064" s="14" t="s">
        <v>48</v>
      </c>
      <c r="D2064" s="14" t="s">
        <v>118</v>
      </c>
      <c r="E2064" s="14" t="s">
        <v>119</v>
      </c>
      <c r="F2064" s="15" t="s">
        <v>51</v>
      </c>
      <c r="G2064" s="14" t="s">
        <v>120</v>
      </c>
      <c r="H2064" s="14" t="s">
        <v>118</v>
      </c>
      <c r="I2064" s="14" t="s">
        <v>59</v>
      </c>
      <c r="J2064" s="14" t="s">
        <v>198</v>
      </c>
      <c r="K2064" s="14" t="s">
        <v>212</v>
      </c>
      <c r="L2064" s="14" t="s">
        <v>249</v>
      </c>
      <c r="M2064" s="14" t="s">
        <v>598</v>
      </c>
      <c r="N2064" s="14" t="s">
        <v>599</v>
      </c>
      <c r="O2064" s="14">
        <v>89.0</v>
      </c>
      <c r="P2064" s="21">
        <v>300.0</v>
      </c>
      <c r="Q2064" s="22" t="str">
        <f>"-10"</f>
        <v>-10</v>
      </c>
      <c r="R2064" s="18" t="str">
        <f>"+0"</f>
        <v>+0</v>
      </c>
      <c r="S2064" s="14" t="s">
        <v>1687</v>
      </c>
    </row>
    <row r="2065">
      <c r="A2065" s="13">
        <v>45901.0</v>
      </c>
      <c r="B2065" s="14" t="s">
        <v>47</v>
      </c>
      <c r="C2065" s="14" t="s">
        <v>48</v>
      </c>
      <c r="D2065" s="14" t="s">
        <v>118</v>
      </c>
      <c r="E2065" s="14" t="s">
        <v>119</v>
      </c>
      <c r="F2065" s="15" t="s">
        <v>51</v>
      </c>
      <c r="G2065" s="14" t="s">
        <v>120</v>
      </c>
      <c r="H2065" s="14" t="s">
        <v>118</v>
      </c>
      <c r="I2065" s="14" t="s">
        <v>59</v>
      </c>
      <c r="J2065" s="14" t="s">
        <v>200</v>
      </c>
      <c r="K2065" s="14" t="s">
        <v>219</v>
      </c>
      <c r="L2065" s="14" t="s">
        <v>253</v>
      </c>
      <c r="M2065" s="14" t="s">
        <v>1614</v>
      </c>
      <c r="N2065" s="14" t="s">
        <v>1615</v>
      </c>
      <c r="O2065" s="14">
        <v>0.0</v>
      </c>
      <c r="P2065" s="17"/>
      <c r="Q2065" s="22"/>
      <c r="S2065" s="14" t="s">
        <v>285</v>
      </c>
    </row>
    <row r="2066">
      <c r="A2066" s="13">
        <v>45901.0</v>
      </c>
      <c r="B2066" s="14" t="s">
        <v>47</v>
      </c>
      <c r="C2066" s="14" t="s">
        <v>48</v>
      </c>
      <c r="D2066" s="14" t="s">
        <v>66</v>
      </c>
      <c r="E2066" s="14" t="s">
        <v>67</v>
      </c>
      <c r="F2066" s="15" t="s">
        <v>51</v>
      </c>
      <c r="G2066" s="14" t="s">
        <v>68</v>
      </c>
      <c r="H2066" s="14" t="s">
        <v>66</v>
      </c>
      <c r="I2066" s="14" t="s">
        <v>59</v>
      </c>
      <c r="J2066" s="14" t="s">
        <v>200</v>
      </c>
      <c r="K2066" s="14" t="s">
        <v>223</v>
      </c>
      <c r="L2066" s="14" t="s">
        <v>289</v>
      </c>
      <c r="M2066" s="14" t="s">
        <v>684</v>
      </c>
      <c r="N2066" s="14" t="s">
        <v>685</v>
      </c>
      <c r="O2066" s="14">
        <v>0.0</v>
      </c>
      <c r="P2066" s="23">
        <v>0.0</v>
      </c>
      <c r="Q2066" s="22" t="str">
        <f t="shared" ref="Q2066:R2066" si="1219">"+0.00%"</f>
        <v>+0.00%</v>
      </c>
      <c r="R2066" s="18" t="str">
        <f t="shared" si="1219"/>
        <v>+0.00%</v>
      </c>
      <c r="S2066" s="14" t="s">
        <v>285</v>
      </c>
    </row>
    <row r="2067">
      <c r="A2067" s="13">
        <v>45901.0</v>
      </c>
      <c r="B2067" s="14" t="s">
        <v>47</v>
      </c>
      <c r="C2067" s="14" t="s">
        <v>48</v>
      </c>
      <c r="D2067" s="14" t="s">
        <v>77</v>
      </c>
      <c r="E2067" s="14" t="s">
        <v>78</v>
      </c>
      <c r="F2067" s="14" t="s">
        <v>79</v>
      </c>
      <c r="G2067" s="14" t="s">
        <v>80</v>
      </c>
      <c r="H2067" s="14" t="s">
        <v>81</v>
      </c>
      <c r="J2067" s="14" t="s">
        <v>200</v>
      </c>
      <c r="K2067" s="14" t="s">
        <v>238</v>
      </c>
      <c r="L2067" s="14" t="s">
        <v>253</v>
      </c>
      <c r="M2067" s="14" t="s">
        <v>1623</v>
      </c>
      <c r="N2067" s="14" t="s">
        <v>1624</v>
      </c>
      <c r="O2067" s="14">
        <v>0.0</v>
      </c>
      <c r="P2067" s="23">
        <v>0.0</v>
      </c>
      <c r="Q2067" s="22" t="str">
        <f t="shared" ref="Q2067:R2067" si="1220">"+0.00%"</f>
        <v>+0.00%</v>
      </c>
      <c r="R2067" s="18" t="str">
        <f t="shared" si="1220"/>
        <v>+0.00%</v>
      </c>
      <c r="S2067" s="14" t="s">
        <v>1688</v>
      </c>
    </row>
    <row r="2068">
      <c r="A2068" s="13">
        <v>45901.0</v>
      </c>
      <c r="B2068" s="14" t="s">
        <v>47</v>
      </c>
      <c r="C2068" s="14" t="s">
        <v>48</v>
      </c>
      <c r="D2068" s="14" t="s">
        <v>140</v>
      </c>
      <c r="E2068" s="14" t="s">
        <v>141</v>
      </c>
      <c r="F2068" s="15" t="s">
        <v>51</v>
      </c>
      <c r="G2068" s="14" t="s">
        <v>142</v>
      </c>
      <c r="H2068" s="14" t="s">
        <v>140</v>
      </c>
      <c r="I2068" s="14" t="s">
        <v>59</v>
      </c>
      <c r="J2068" s="14" t="s">
        <v>200</v>
      </c>
      <c r="K2068" s="14" t="s">
        <v>213</v>
      </c>
      <c r="L2068" s="14" t="s">
        <v>307</v>
      </c>
      <c r="M2068" s="14" t="s">
        <v>533</v>
      </c>
      <c r="N2068" s="14" t="s">
        <v>534</v>
      </c>
      <c r="O2068" s="14">
        <v>0.0</v>
      </c>
      <c r="P2068" s="23">
        <v>0.0</v>
      </c>
      <c r="Q2068" s="22" t="str">
        <f t="shared" ref="Q2068:R2068" si="1221">"+0.00%"</f>
        <v>+0.00%</v>
      </c>
      <c r="R2068" s="18" t="str">
        <f t="shared" si="1221"/>
        <v>+0.00%</v>
      </c>
      <c r="S2068" s="14" t="s">
        <v>1689</v>
      </c>
    </row>
    <row r="2069">
      <c r="A2069" s="13">
        <v>45901.0</v>
      </c>
      <c r="B2069" s="14" t="s">
        <v>47</v>
      </c>
      <c r="C2069" s="14" t="s">
        <v>48</v>
      </c>
      <c r="D2069" s="14" t="s">
        <v>56</v>
      </c>
      <c r="E2069" s="14" t="s">
        <v>57</v>
      </c>
      <c r="F2069" s="15" t="s">
        <v>51</v>
      </c>
      <c r="G2069" s="14" t="s">
        <v>58</v>
      </c>
      <c r="H2069" s="14" t="s">
        <v>56</v>
      </c>
      <c r="I2069" s="14" t="s">
        <v>59</v>
      </c>
      <c r="J2069" s="14" t="s">
        <v>200</v>
      </c>
      <c r="K2069" s="14" t="s">
        <v>223</v>
      </c>
      <c r="L2069" s="14" t="s">
        <v>705</v>
      </c>
      <c r="M2069" s="14" t="s">
        <v>706</v>
      </c>
      <c r="N2069" s="14" t="s">
        <v>707</v>
      </c>
      <c r="O2069" s="14">
        <v>0.0</v>
      </c>
      <c r="P2069" s="21">
        <v>0.0</v>
      </c>
      <c r="Q2069" s="22" t="str">
        <f t="shared" ref="Q2069:R2069" si="1222">"+0"</f>
        <v>+0</v>
      </c>
      <c r="R2069" s="18" t="str">
        <f t="shared" si="1222"/>
        <v>+0</v>
      </c>
      <c r="S2069" s="14" t="s">
        <v>260</v>
      </c>
    </row>
    <row r="2070">
      <c r="A2070" s="13">
        <v>45901.0</v>
      </c>
      <c r="B2070" s="14" t="s">
        <v>47</v>
      </c>
      <c r="C2070" s="14" t="s">
        <v>48</v>
      </c>
      <c r="D2070" s="14" t="s">
        <v>165</v>
      </c>
      <c r="E2070" s="14" t="s">
        <v>166</v>
      </c>
      <c r="F2070" s="15" t="s">
        <v>51</v>
      </c>
      <c r="G2070" s="14" t="s">
        <v>167</v>
      </c>
      <c r="H2070" s="14" t="s">
        <v>165</v>
      </c>
      <c r="I2070" s="14" t="s">
        <v>54</v>
      </c>
      <c r="J2070" s="14" t="s">
        <v>198</v>
      </c>
      <c r="K2070" s="14" t="s">
        <v>205</v>
      </c>
      <c r="L2070" s="14" t="s">
        <v>274</v>
      </c>
      <c r="M2070" s="14" t="s">
        <v>636</v>
      </c>
      <c r="N2070" s="14" t="s">
        <v>637</v>
      </c>
      <c r="O2070" s="14">
        <v>0.0</v>
      </c>
      <c r="P2070" s="21">
        <v>0.0</v>
      </c>
      <c r="Q2070" s="22" t="str">
        <f>"+0"</f>
        <v>+0</v>
      </c>
      <c r="S2070" s="14" t="s">
        <v>281</v>
      </c>
    </row>
    <row r="2071">
      <c r="A2071" s="13">
        <v>45901.0</v>
      </c>
      <c r="B2071" s="14" t="s">
        <v>47</v>
      </c>
      <c r="C2071" s="14" t="s">
        <v>48</v>
      </c>
      <c r="D2071" s="14" t="s">
        <v>118</v>
      </c>
      <c r="E2071" s="14" t="s">
        <v>119</v>
      </c>
      <c r="F2071" s="15" t="s">
        <v>51</v>
      </c>
      <c r="G2071" s="14" t="s">
        <v>120</v>
      </c>
      <c r="H2071" s="14" t="s">
        <v>118</v>
      </c>
      <c r="I2071" s="14" t="s">
        <v>59</v>
      </c>
      <c r="J2071" s="14" t="s">
        <v>200</v>
      </c>
      <c r="K2071" s="14" t="s">
        <v>227</v>
      </c>
      <c r="L2071" s="14" t="s">
        <v>253</v>
      </c>
      <c r="M2071" s="14" t="s">
        <v>849</v>
      </c>
      <c r="N2071" s="14" t="s">
        <v>850</v>
      </c>
      <c r="O2071" s="14">
        <v>0.0</v>
      </c>
      <c r="P2071" s="23">
        <v>0.0</v>
      </c>
      <c r="Q2071" s="22" t="str">
        <f t="shared" ref="Q2071:R2071" si="1223">"+0.00%"</f>
        <v>+0.00%</v>
      </c>
      <c r="R2071" s="18" t="str">
        <f t="shared" si="1223"/>
        <v>+0.00%</v>
      </c>
      <c r="S2071" s="14" t="s">
        <v>851</v>
      </c>
    </row>
    <row r="2072">
      <c r="A2072" s="13">
        <v>45901.0</v>
      </c>
      <c r="B2072" s="14" t="s">
        <v>47</v>
      </c>
      <c r="C2072" s="14" t="s">
        <v>48</v>
      </c>
      <c r="D2072" s="14" t="s">
        <v>63</v>
      </c>
      <c r="E2072" s="14" t="s">
        <v>64</v>
      </c>
      <c r="F2072" s="15" t="s">
        <v>51</v>
      </c>
      <c r="G2072" s="14" t="s">
        <v>65</v>
      </c>
      <c r="H2072" s="14" t="s">
        <v>63</v>
      </c>
      <c r="I2072" s="14" t="s">
        <v>54</v>
      </c>
      <c r="J2072" s="14" t="s">
        <v>199</v>
      </c>
      <c r="K2072" s="14" t="s">
        <v>206</v>
      </c>
      <c r="L2072" s="14" t="s">
        <v>295</v>
      </c>
      <c r="M2072" s="14" t="s">
        <v>986</v>
      </c>
      <c r="N2072" s="14" t="s">
        <v>987</v>
      </c>
      <c r="O2072" s="14">
        <v>0.0</v>
      </c>
      <c r="P2072" s="21">
        <v>0.0</v>
      </c>
      <c r="Q2072" s="22" t="str">
        <f t="shared" ref="Q2072:R2072" si="1224">"-1"</f>
        <v>-1</v>
      </c>
      <c r="R2072" s="18" t="str">
        <f t="shared" si="1224"/>
        <v>-1</v>
      </c>
      <c r="S2072" s="14" t="s">
        <v>260</v>
      </c>
    </row>
    <row r="2073">
      <c r="A2073" s="13">
        <v>45901.0</v>
      </c>
      <c r="B2073" s="14" t="s">
        <v>47</v>
      </c>
      <c r="C2073" s="14" t="s">
        <v>48</v>
      </c>
      <c r="D2073" s="14" t="s">
        <v>82</v>
      </c>
      <c r="E2073" s="14" t="s">
        <v>83</v>
      </c>
      <c r="F2073" s="15" t="s">
        <v>51</v>
      </c>
      <c r="G2073" s="14" t="s">
        <v>84</v>
      </c>
      <c r="H2073" s="14" t="s">
        <v>82</v>
      </c>
      <c r="I2073" s="14" t="s">
        <v>59</v>
      </c>
      <c r="J2073" s="14" t="s">
        <v>198</v>
      </c>
      <c r="K2073" s="14" t="s">
        <v>205</v>
      </c>
      <c r="L2073" s="14" t="s">
        <v>274</v>
      </c>
      <c r="M2073" s="14" t="s">
        <v>738</v>
      </c>
      <c r="N2073" s="14" t="s">
        <v>739</v>
      </c>
      <c r="O2073" s="14">
        <v>0.0</v>
      </c>
      <c r="P2073" s="21">
        <v>0.0</v>
      </c>
      <c r="Q2073" s="22" t="str">
        <f t="shared" ref="Q2073:Q2075" si="1225">"+0"</f>
        <v>+0</v>
      </c>
      <c r="S2073" s="14" t="s">
        <v>281</v>
      </c>
    </row>
    <row r="2074">
      <c r="A2074" s="13">
        <v>45901.0</v>
      </c>
      <c r="B2074" s="14" t="s">
        <v>47</v>
      </c>
      <c r="C2074" s="14" t="s">
        <v>48</v>
      </c>
      <c r="D2074" s="14" t="s">
        <v>93</v>
      </c>
      <c r="E2074" s="14" t="s">
        <v>94</v>
      </c>
      <c r="F2074" s="15" t="s">
        <v>51</v>
      </c>
      <c r="G2074" s="14" t="s">
        <v>191</v>
      </c>
      <c r="H2074" s="14" t="s">
        <v>95</v>
      </c>
      <c r="I2074" s="14" t="s">
        <v>59</v>
      </c>
      <c r="J2074" s="14" t="s">
        <v>198</v>
      </c>
      <c r="K2074" s="14" t="s">
        <v>207</v>
      </c>
      <c r="L2074" s="14" t="s">
        <v>318</v>
      </c>
      <c r="M2074" s="14" t="s">
        <v>319</v>
      </c>
      <c r="N2074" s="14" t="s">
        <v>320</v>
      </c>
      <c r="O2074" s="14">
        <v>0.0</v>
      </c>
      <c r="P2074" s="21">
        <v>0.0</v>
      </c>
      <c r="Q2074" s="22" t="str">
        <f t="shared" si="1225"/>
        <v>+0</v>
      </c>
      <c r="S2074" s="14" t="s">
        <v>281</v>
      </c>
    </row>
    <row r="2075">
      <c r="A2075" s="13">
        <v>45901.0</v>
      </c>
      <c r="B2075" s="14" t="s">
        <v>47</v>
      </c>
      <c r="C2075" s="14" t="s">
        <v>48</v>
      </c>
      <c r="D2075" s="14" t="s">
        <v>66</v>
      </c>
      <c r="E2075" s="14" t="s">
        <v>67</v>
      </c>
      <c r="F2075" s="15" t="s">
        <v>51</v>
      </c>
      <c r="G2075" s="14" t="s">
        <v>68</v>
      </c>
      <c r="H2075" s="14" t="s">
        <v>66</v>
      </c>
      <c r="I2075" s="14" t="s">
        <v>59</v>
      </c>
      <c r="J2075" s="14" t="s">
        <v>200</v>
      </c>
      <c r="K2075" s="14" t="s">
        <v>223</v>
      </c>
      <c r="L2075" s="14" t="s">
        <v>257</v>
      </c>
      <c r="M2075" s="14" t="s">
        <v>258</v>
      </c>
      <c r="N2075" s="14" t="s">
        <v>259</v>
      </c>
      <c r="O2075" s="14">
        <v>100.0</v>
      </c>
      <c r="P2075" s="21">
        <v>113.0</v>
      </c>
      <c r="Q2075" s="22" t="str">
        <f t="shared" si="1225"/>
        <v>+0</v>
      </c>
      <c r="R2075" s="18" t="str">
        <f>"+0"</f>
        <v>+0</v>
      </c>
      <c r="S2075" s="14" t="s">
        <v>260</v>
      </c>
    </row>
    <row r="2076">
      <c r="A2076" s="13">
        <v>45901.0</v>
      </c>
      <c r="B2076" s="14" t="s">
        <v>47</v>
      </c>
      <c r="C2076" s="14" t="s">
        <v>48</v>
      </c>
      <c r="D2076" s="14" t="s">
        <v>184</v>
      </c>
      <c r="E2076" s="14" t="s">
        <v>185</v>
      </c>
      <c r="F2076" s="15" t="s">
        <v>51</v>
      </c>
      <c r="G2076" s="14" t="s">
        <v>186</v>
      </c>
      <c r="H2076" s="14" t="s">
        <v>187</v>
      </c>
      <c r="I2076" s="14" t="s">
        <v>59</v>
      </c>
      <c r="J2076" s="14" t="s">
        <v>200</v>
      </c>
      <c r="K2076" s="14" t="s">
        <v>224</v>
      </c>
      <c r="L2076" s="14" t="s">
        <v>453</v>
      </c>
      <c r="M2076" s="14" t="s">
        <v>454</v>
      </c>
      <c r="N2076" s="14" t="s">
        <v>455</v>
      </c>
      <c r="O2076" s="14">
        <v>0.0</v>
      </c>
      <c r="P2076" s="17"/>
      <c r="Q2076" s="22"/>
      <c r="S2076" s="14" t="s">
        <v>371</v>
      </c>
    </row>
    <row r="2077">
      <c r="A2077" s="13">
        <v>45901.0</v>
      </c>
      <c r="B2077" s="14" t="s">
        <v>47</v>
      </c>
      <c r="C2077" s="14" t="s">
        <v>48</v>
      </c>
      <c r="D2077" s="14" t="s">
        <v>66</v>
      </c>
      <c r="E2077" s="14" t="s">
        <v>67</v>
      </c>
      <c r="F2077" s="15" t="s">
        <v>51</v>
      </c>
      <c r="G2077" s="14" t="s">
        <v>68</v>
      </c>
      <c r="H2077" s="14" t="s">
        <v>66</v>
      </c>
      <c r="I2077" s="14" t="s">
        <v>59</v>
      </c>
      <c r="J2077" s="14" t="s">
        <v>198</v>
      </c>
      <c r="K2077" s="14" t="s">
        <v>205</v>
      </c>
      <c r="L2077" s="14" t="s">
        <v>274</v>
      </c>
      <c r="M2077" s="14" t="s">
        <v>387</v>
      </c>
      <c r="N2077" s="14" t="s">
        <v>388</v>
      </c>
      <c r="O2077" s="14">
        <v>0.0</v>
      </c>
      <c r="P2077" s="21">
        <v>0.0</v>
      </c>
      <c r="Q2077" s="22" t="str">
        <f t="shared" ref="Q2077:Q2078" si="1226">"+0"</f>
        <v>+0</v>
      </c>
      <c r="S2077" s="14" t="s">
        <v>281</v>
      </c>
    </row>
    <row r="2078">
      <c r="A2078" s="13">
        <v>45901.0</v>
      </c>
      <c r="B2078" s="14" t="s">
        <v>47</v>
      </c>
      <c r="C2078" s="14" t="s">
        <v>48</v>
      </c>
      <c r="D2078" s="14" t="s">
        <v>66</v>
      </c>
      <c r="E2078" s="14" t="s">
        <v>67</v>
      </c>
      <c r="F2078" s="15" t="s">
        <v>51</v>
      </c>
      <c r="G2078" s="14" t="s">
        <v>68</v>
      </c>
      <c r="H2078" s="14" t="s">
        <v>66</v>
      </c>
      <c r="I2078" s="14" t="s">
        <v>59</v>
      </c>
      <c r="J2078" s="14" t="s">
        <v>199</v>
      </c>
      <c r="K2078" s="14" t="s">
        <v>206</v>
      </c>
      <c r="L2078" s="14" t="s">
        <v>295</v>
      </c>
      <c r="M2078" s="14" t="s">
        <v>986</v>
      </c>
      <c r="N2078" s="14" t="s">
        <v>987</v>
      </c>
      <c r="O2078" s="14">
        <v>0.0</v>
      </c>
      <c r="P2078" s="21">
        <v>0.0</v>
      </c>
      <c r="Q2078" s="22" t="str">
        <f t="shared" si="1226"/>
        <v>+0</v>
      </c>
      <c r="R2078" s="18" t="str">
        <f>"+0"</f>
        <v>+0</v>
      </c>
      <c r="S2078" s="14" t="s">
        <v>260</v>
      </c>
    </row>
    <row r="2079">
      <c r="A2079" s="13">
        <v>45901.0</v>
      </c>
      <c r="B2079" s="14" t="s">
        <v>47</v>
      </c>
      <c r="C2079" s="14" t="s">
        <v>48</v>
      </c>
      <c r="D2079" s="14" t="s">
        <v>184</v>
      </c>
      <c r="E2079" s="14" t="s">
        <v>185</v>
      </c>
      <c r="F2079" s="15" t="s">
        <v>51</v>
      </c>
      <c r="G2079" s="14" t="s">
        <v>186</v>
      </c>
      <c r="H2079" s="14" t="s">
        <v>187</v>
      </c>
      <c r="I2079" s="14" t="s">
        <v>59</v>
      </c>
      <c r="J2079" s="14" t="s">
        <v>200</v>
      </c>
      <c r="K2079" s="14" t="s">
        <v>201</v>
      </c>
      <c r="L2079" s="14" t="s">
        <v>253</v>
      </c>
      <c r="M2079" s="14" t="s">
        <v>585</v>
      </c>
      <c r="N2079" s="14" t="s">
        <v>586</v>
      </c>
      <c r="O2079" s="14">
        <v>1.0</v>
      </c>
      <c r="P2079" s="23">
        <v>4.0E-4</v>
      </c>
      <c r="Q2079" s="22" t="str">
        <f>"-0.38%"</f>
        <v>-0.38%</v>
      </c>
      <c r="R2079" s="18" t="str">
        <f>"-0.10%"</f>
        <v>-0.10%</v>
      </c>
      <c r="S2079" s="14" t="s">
        <v>587</v>
      </c>
    </row>
    <row r="2080">
      <c r="A2080" s="13">
        <v>45901.0</v>
      </c>
      <c r="B2080" s="14" t="s">
        <v>47</v>
      </c>
      <c r="C2080" s="14" t="s">
        <v>48</v>
      </c>
      <c r="D2080" s="14" t="s">
        <v>149</v>
      </c>
      <c r="E2080" s="14" t="s">
        <v>150</v>
      </c>
      <c r="F2080" s="15" t="s">
        <v>51</v>
      </c>
      <c r="G2080" s="14" t="s">
        <v>151</v>
      </c>
      <c r="H2080" s="14" t="s">
        <v>152</v>
      </c>
      <c r="I2080" s="14" t="s">
        <v>54</v>
      </c>
      <c r="J2080" s="14" t="s">
        <v>200</v>
      </c>
      <c r="K2080" s="14" t="s">
        <v>223</v>
      </c>
      <c r="L2080" s="14" t="s">
        <v>440</v>
      </c>
      <c r="M2080" s="14" t="s">
        <v>441</v>
      </c>
      <c r="N2080" s="14" t="s">
        <v>442</v>
      </c>
      <c r="O2080" s="14">
        <v>0.0</v>
      </c>
      <c r="P2080" s="23">
        <v>0.0</v>
      </c>
      <c r="Q2080" s="22" t="str">
        <f t="shared" ref="Q2080:R2080" si="1227">"+0.00%"</f>
        <v>+0.00%</v>
      </c>
      <c r="R2080" s="18" t="str">
        <f t="shared" si="1227"/>
        <v>+0.00%</v>
      </c>
      <c r="S2080" s="14" t="s">
        <v>285</v>
      </c>
    </row>
    <row r="2081">
      <c r="A2081" s="13">
        <v>45901.0</v>
      </c>
      <c r="B2081" s="14" t="s">
        <v>47</v>
      </c>
      <c r="C2081" s="14" t="s">
        <v>48</v>
      </c>
      <c r="D2081" s="14" t="s">
        <v>129</v>
      </c>
      <c r="E2081" s="14" t="s">
        <v>130</v>
      </c>
      <c r="F2081" s="15" t="s">
        <v>51</v>
      </c>
      <c r="G2081" s="14" t="s">
        <v>131</v>
      </c>
      <c r="H2081" s="14" t="s">
        <v>129</v>
      </c>
      <c r="I2081" s="14" t="s">
        <v>59</v>
      </c>
      <c r="J2081" s="14" t="s">
        <v>200</v>
      </c>
      <c r="K2081" s="14" t="s">
        <v>204</v>
      </c>
      <c r="L2081" s="14" t="s">
        <v>253</v>
      </c>
      <c r="M2081" s="14" t="s">
        <v>844</v>
      </c>
      <c r="N2081" s="14" t="s">
        <v>845</v>
      </c>
      <c r="O2081" s="14">
        <v>0.0</v>
      </c>
      <c r="P2081" s="17"/>
      <c r="Q2081" s="22"/>
      <c r="S2081" s="14" t="s">
        <v>846</v>
      </c>
    </row>
    <row r="2082">
      <c r="A2082" s="13">
        <v>45901.0</v>
      </c>
      <c r="B2082" s="14" t="s">
        <v>47</v>
      </c>
      <c r="C2082" s="14" t="s">
        <v>48</v>
      </c>
      <c r="D2082" s="14" t="s">
        <v>125</v>
      </c>
      <c r="E2082" s="14" t="s">
        <v>126</v>
      </c>
      <c r="F2082" s="15" t="s">
        <v>51</v>
      </c>
      <c r="G2082" s="14" t="s">
        <v>127</v>
      </c>
      <c r="H2082" s="14" t="s">
        <v>125</v>
      </c>
      <c r="I2082" s="14" t="s">
        <v>59</v>
      </c>
      <c r="J2082" s="14" t="s">
        <v>200</v>
      </c>
      <c r="K2082" s="14" t="s">
        <v>232</v>
      </c>
      <c r="L2082" s="14" t="s">
        <v>487</v>
      </c>
      <c r="M2082" s="14" t="s">
        <v>962</v>
      </c>
      <c r="N2082" s="14" t="s">
        <v>963</v>
      </c>
      <c r="O2082" s="14">
        <v>0.0</v>
      </c>
      <c r="P2082" s="23">
        <v>0.0</v>
      </c>
      <c r="Q2082" s="22" t="str">
        <f t="shared" ref="Q2082:R2082" si="1228">"+0.00%"</f>
        <v>+0.00%</v>
      </c>
      <c r="R2082" s="18" t="str">
        <f t="shared" si="1228"/>
        <v>+0.00%</v>
      </c>
      <c r="S2082" s="14" t="s">
        <v>285</v>
      </c>
    </row>
    <row r="2083">
      <c r="A2083" s="13">
        <v>45901.0</v>
      </c>
      <c r="B2083" s="14" t="s">
        <v>47</v>
      </c>
      <c r="C2083" s="14" t="s">
        <v>48</v>
      </c>
      <c r="D2083" s="14" t="s">
        <v>125</v>
      </c>
      <c r="E2083" s="14" t="s">
        <v>126</v>
      </c>
      <c r="F2083" s="15" t="s">
        <v>51</v>
      </c>
      <c r="G2083" s="14" t="s">
        <v>127</v>
      </c>
      <c r="H2083" s="14" t="s">
        <v>125</v>
      </c>
      <c r="I2083" s="14" t="s">
        <v>59</v>
      </c>
      <c r="J2083" s="14" t="s">
        <v>200</v>
      </c>
      <c r="K2083" s="14" t="s">
        <v>224</v>
      </c>
      <c r="L2083" s="14" t="s">
        <v>392</v>
      </c>
      <c r="M2083" s="14" t="s">
        <v>754</v>
      </c>
      <c r="N2083" s="14" t="s">
        <v>755</v>
      </c>
      <c r="O2083" s="14">
        <v>0.0</v>
      </c>
      <c r="P2083" s="17"/>
      <c r="Q2083" s="22"/>
      <c r="S2083" s="14" t="s">
        <v>1690</v>
      </c>
    </row>
    <row r="2084">
      <c r="A2084" s="13">
        <v>45901.0</v>
      </c>
      <c r="B2084" s="14" t="s">
        <v>47</v>
      </c>
      <c r="C2084" s="14" t="s">
        <v>48</v>
      </c>
      <c r="D2084" s="14" t="s">
        <v>85</v>
      </c>
      <c r="E2084" s="14" t="s">
        <v>86</v>
      </c>
      <c r="F2084" s="15" t="s">
        <v>51</v>
      </c>
      <c r="G2084" s="14" t="s">
        <v>148</v>
      </c>
      <c r="H2084" s="14" t="s">
        <v>85</v>
      </c>
      <c r="I2084" s="14" t="s">
        <v>59</v>
      </c>
      <c r="J2084" s="14" t="s">
        <v>198</v>
      </c>
      <c r="K2084" s="14" t="s">
        <v>205</v>
      </c>
      <c r="L2084" s="14" t="s">
        <v>274</v>
      </c>
      <c r="M2084" s="14" t="s">
        <v>696</v>
      </c>
      <c r="N2084" s="14" t="s">
        <v>697</v>
      </c>
      <c r="O2084" s="14">
        <v>100.0</v>
      </c>
      <c r="P2084" s="21">
        <v>1.0</v>
      </c>
      <c r="Q2084" s="22" t="str">
        <f>"+0"</f>
        <v>+0</v>
      </c>
      <c r="S2084" s="14" t="s">
        <v>281</v>
      </c>
    </row>
    <row r="2085">
      <c r="A2085" s="13">
        <v>45901.0</v>
      </c>
      <c r="B2085" s="14" t="s">
        <v>47</v>
      </c>
      <c r="C2085" s="14" t="s">
        <v>48</v>
      </c>
      <c r="D2085" s="14" t="s">
        <v>77</v>
      </c>
      <c r="E2085" s="14" t="s">
        <v>78</v>
      </c>
      <c r="F2085" s="15" t="s">
        <v>51</v>
      </c>
      <c r="G2085" s="14" t="s">
        <v>128</v>
      </c>
      <c r="H2085" s="14" t="s">
        <v>81</v>
      </c>
      <c r="I2085" s="14" t="s">
        <v>59</v>
      </c>
      <c r="J2085" s="14" t="s">
        <v>200</v>
      </c>
      <c r="K2085" s="14" t="s">
        <v>223</v>
      </c>
      <c r="L2085" s="14" t="s">
        <v>710</v>
      </c>
      <c r="M2085" s="14" t="s">
        <v>1302</v>
      </c>
      <c r="N2085" s="14" t="s">
        <v>1303</v>
      </c>
      <c r="O2085" s="14">
        <v>0.0</v>
      </c>
      <c r="P2085" s="23">
        <v>0.0</v>
      </c>
      <c r="Q2085" s="22" t="str">
        <f t="shared" ref="Q2085:R2085" si="1229">"+0.00%"</f>
        <v>+0.00%</v>
      </c>
      <c r="R2085" s="18" t="str">
        <f t="shared" si="1229"/>
        <v>+0.00%</v>
      </c>
      <c r="S2085" s="14" t="s">
        <v>1691</v>
      </c>
    </row>
    <row r="2086">
      <c r="A2086" s="13">
        <v>45901.0</v>
      </c>
      <c r="B2086" s="14" t="s">
        <v>47</v>
      </c>
      <c r="C2086" s="14" t="s">
        <v>48</v>
      </c>
      <c r="D2086" s="14" t="s">
        <v>108</v>
      </c>
      <c r="E2086" s="14" t="s">
        <v>109</v>
      </c>
      <c r="F2086" s="14" t="s">
        <v>146</v>
      </c>
      <c r="G2086" s="14" t="s">
        <v>180</v>
      </c>
      <c r="H2086" s="14" t="s">
        <v>108</v>
      </c>
      <c r="I2086" s="14" t="s">
        <v>59</v>
      </c>
      <c r="J2086" s="14" t="s">
        <v>200</v>
      </c>
      <c r="K2086" s="14" t="s">
        <v>226</v>
      </c>
      <c r="L2086" s="14" t="s">
        <v>253</v>
      </c>
      <c r="M2086" s="14" t="s">
        <v>1692</v>
      </c>
      <c r="N2086" s="14" t="s">
        <v>1693</v>
      </c>
      <c r="O2086" s="14">
        <v>100.0</v>
      </c>
      <c r="P2086" s="23">
        <v>1.0</v>
      </c>
      <c r="Q2086" s="22" t="str">
        <f>"+100.00%"</f>
        <v>+100.00%</v>
      </c>
      <c r="S2086" s="14" t="s">
        <v>1694</v>
      </c>
    </row>
    <row r="2087">
      <c r="A2087" s="13">
        <v>45901.0</v>
      </c>
      <c r="B2087" s="14" t="s">
        <v>47</v>
      </c>
      <c r="C2087" s="14" t="s">
        <v>48</v>
      </c>
      <c r="D2087" s="14" t="s">
        <v>116</v>
      </c>
      <c r="E2087" s="14" t="s">
        <v>117</v>
      </c>
      <c r="F2087" s="15" t="s">
        <v>51</v>
      </c>
      <c r="G2087" s="14" t="s">
        <v>161</v>
      </c>
      <c r="H2087" s="14" t="s">
        <v>116</v>
      </c>
      <c r="I2087" s="14" t="s">
        <v>54</v>
      </c>
      <c r="J2087" s="14" t="s">
        <v>198</v>
      </c>
      <c r="K2087" s="14" t="s">
        <v>205</v>
      </c>
      <c r="L2087" s="14" t="s">
        <v>274</v>
      </c>
      <c r="M2087" s="14" t="s">
        <v>767</v>
      </c>
      <c r="N2087" s="14" t="s">
        <v>768</v>
      </c>
      <c r="O2087" s="14">
        <v>100.0</v>
      </c>
      <c r="P2087" s="21">
        <v>1.0</v>
      </c>
      <c r="Q2087" s="22" t="str">
        <f t="shared" ref="Q2087:Q2091" si="1230">"+0"</f>
        <v>+0</v>
      </c>
      <c r="S2087" s="14" t="s">
        <v>281</v>
      </c>
    </row>
    <row r="2088">
      <c r="A2088" s="13">
        <v>45901.0</v>
      </c>
      <c r="B2088" s="14" t="s">
        <v>47</v>
      </c>
      <c r="C2088" s="14" t="s">
        <v>48</v>
      </c>
      <c r="D2088" s="14" t="s">
        <v>158</v>
      </c>
      <c r="E2088" s="14" t="s">
        <v>159</v>
      </c>
      <c r="F2088" s="15" t="s">
        <v>51</v>
      </c>
      <c r="G2088" s="14" t="s">
        <v>160</v>
      </c>
      <c r="H2088" s="14" t="s">
        <v>158</v>
      </c>
      <c r="I2088" s="14" t="s">
        <v>54</v>
      </c>
      <c r="J2088" s="14" t="s">
        <v>198</v>
      </c>
      <c r="K2088" s="14" t="s">
        <v>210</v>
      </c>
      <c r="L2088" s="14" t="s">
        <v>264</v>
      </c>
      <c r="M2088" s="14" t="s">
        <v>357</v>
      </c>
      <c r="N2088" s="14" t="s">
        <v>358</v>
      </c>
      <c r="O2088" s="14">
        <v>100.0</v>
      </c>
      <c r="P2088" s="21">
        <v>0.0</v>
      </c>
      <c r="Q2088" s="22" t="str">
        <f t="shared" si="1230"/>
        <v>+0</v>
      </c>
      <c r="R2088" s="18" t="str">
        <f t="shared" ref="R2088:R2091" si="1231">"+0"</f>
        <v>+0</v>
      </c>
      <c r="S2088" s="14" t="s">
        <v>281</v>
      </c>
    </row>
    <row r="2089">
      <c r="A2089" s="13">
        <v>45901.0</v>
      </c>
      <c r="B2089" s="14" t="s">
        <v>47</v>
      </c>
      <c r="C2089" s="14" t="s">
        <v>48</v>
      </c>
      <c r="D2089" s="14" t="s">
        <v>158</v>
      </c>
      <c r="E2089" s="14" t="s">
        <v>159</v>
      </c>
      <c r="F2089" s="15" t="s">
        <v>51</v>
      </c>
      <c r="G2089" s="14" t="s">
        <v>160</v>
      </c>
      <c r="H2089" s="14" t="s">
        <v>158</v>
      </c>
      <c r="I2089" s="14" t="s">
        <v>54</v>
      </c>
      <c r="J2089" s="14" t="s">
        <v>198</v>
      </c>
      <c r="K2089" s="14" t="s">
        <v>210</v>
      </c>
      <c r="L2089" s="14" t="s">
        <v>264</v>
      </c>
      <c r="M2089" s="14" t="s">
        <v>1064</v>
      </c>
      <c r="N2089" s="14" t="s">
        <v>1065</v>
      </c>
      <c r="O2089" s="14">
        <v>0.0</v>
      </c>
      <c r="P2089" s="21">
        <v>0.0</v>
      </c>
      <c r="Q2089" s="22" t="str">
        <f t="shared" si="1230"/>
        <v>+0</v>
      </c>
      <c r="R2089" s="18" t="str">
        <f t="shared" si="1231"/>
        <v>+0</v>
      </c>
      <c r="S2089" s="14" t="s">
        <v>277</v>
      </c>
    </row>
    <row r="2090">
      <c r="A2090" s="13">
        <v>45901.0</v>
      </c>
      <c r="B2090" s="14" t="s">
        <v>47</v>
      </c>
      <c r="C2090" s="14" t="s">
        <v>48</v>
      </c>
      <c r="D2090" s="14" t="s">
        <v>181</v>
      </c>
      <c r="E2090" s="14" t="s">
        <v>182</v>
      </c>
      <c r="F2090" s="15" t="s">
        <v>51</v>
      </c>
      <c r="G2090" s="14" t="s">
        <v>183</v>
      </c>
      <c r="H2090" s="14" t="s">
        <v>181</v>
      </c>
      <c r="I2090" s="14" t="s">
        <v>59</v>
      </c>
      <c r="J2090" s="14" t="s">
        <v>199</v>
      </c>
      <c r="K2090" s="14" t="s">
        <v>206</v>
      </c>
      <c r="L2090" s="14" t="s">
        <v>295</v>
      </c>
      <c r="M2090" s="14" t="s">
        <v>529</v>
      </c>
      <c r="N2090" s="14" t="s">
        <v>530</v>
      </c>
      <c r="O2090" s="14">
        <v>0.0</v>
      </c>
      <c r="P2090" s="21">
        <v>0.0</v>
      </c>
      <c r="Q2090" s="22" t="str">
        <f t="shared" si="1230"/>
        <v>+0</v>
      </c>
      <c r="R2090" s="18" t="str">
        <f t="shared" si="1231"/>
        <v>+0</v>
      </c>
      <c r="S2090" s="14" t="s">
        <v>260</v>
      </c>
    </row>
    <row r="2091">
      <c r="A2091" s="13">
        <v>45901.0</v>
      </c>
      <c r="B2091" s="14" t="s">
        <v>47</v>
      </c>
      <c r="C2091" s="14" t="s">
        <v>48</v>
      </c>
      <c r="D2091" s="14" t="s">
        <v>155</v>
      </c>
      <c r="E2091" s="14" t="s">
        <v>156</v>
      </c>
      <c r="F2091" s="15" t="s">
        <v>51</v>
      </c>
      <c r="G2091" s="14" t="s">
        <v>157</v>
      </c>
      <c r="H2091" s="14" t="s">
        <v>155</v>
      </c>
      <c r="I2091" s="14" t="s">
        <v>59</v>
      </c>
      <c r="J2091" s="14" t="s">
        <v>200</v>
      </c>
      <c r="K2091" s="14" t="s">
        <v>223</v>
      </c>
      <c r="L2091" s="14" t="s">
        <v>257</v>
      </c>
      <c r="M2091" s="14" t="s">
        <v>517</v>
      </c>
      <c r="N2091" s="14" t="s">
        <v>518</v>
      </c>
      <c r="O2091" s="14">
        <v>0.0</v>
      </c>
      <c r="P2091" s="21">
        <v>0.0</v>
      </c>
      <c r="Q2091" s="22" t="str">
        <f t="shared" si="1230"/>
        <v>+0</v>
      </c>
      <c r="R2091" s="18" t="str">
        <f t="shared" si="1231"/>
        <v>+0</v>
      </c>
      <c r="S2091" s="14" t="s">
        <v>260</v>
      </c>
    </row>
    <row r="2092">
      <c r="A2092" s="13">
        <v>45901.0</v>
      </c>
      <c r="B2092" s="14" t="s">
        <v>47</v>
      </c>
      <c r="C2092" s="14" t="s">
        <v>48</v>
      </c>
      <c r="D2092" s="14" t="s">
        <v>168</v>
      </c>
      <c r="E2092" s="14" t="s">
        <v>169</v>
      </c>
      <c r="F2092" s="15" t="s">
        <v>51</v>
      </c>
      <c r="G2092" s="14" t="s">
        <v>170</v>
      </c>
      <c r="H2092" s="14" t="s">
        <v>168</v>
      </c>
      <c r="I2092" s="14" t="s">
        <v>59</v>
      </c>
      <c r="J2092" s="14" t="s">
        <v>200</v>
      </c>
      <c r="K2092" s="14" t="s">
        <v>202</v>
      </c>
      <c r="L2092" s="14" t="s">
        <v>253</v>
      </c>
      <c r="M2092" s="14" t="s">
        <v>347</v>
      </c>
      <c r="N2092" s="14" t="s">
        <v>348</v>
      </c>
      <c r="O2092" s="14">
        <v>21.0</v>
      </c>
      <c r="P2092" s="23">
        <v>0.2143</v>
      </c>
      <c r="Q2092" s="22" t="str">
        <f t="shared" ref="Q2092:R2092" si="1232">"+0.00%"</f>
        <v>+0.00%</v>
      </c>
      <c r="R2092" s="18" t="str">
        <f t="shared" si="1232"/>
        <v>+0.00%</v>
      </c>
      <c r="S2092" s="14" t="s">
        <v>349</v>
      </c>
    </row>
    <row r="2093">
      <c r="A2093" s="13">
        <v>45901.0</v>
      </c>
      <c r="B2093" s="14" t="s">
        <v>47</v>
      </c>
      <c r="C2093" s="14" t="s">
        <v>48</v>
      </c>
      <c r="D2093" s="14" t="s">
        <v>56</v>
      </c>
      <c r="E2093" s="14" t="s">
        <v>57</v>
      </c>
      <c r="F2093" s="15" t="s">
        <v>51</v>
      </c>
      <c r="G2093" s="14" t="s">
        <v>58</v>
      </c>
      <c r="H2093" s="14" t="s">
        <v>56</v>
      </c>
      <c r="I2093" s="14" t="s">
        <v>59</v>
      </c>
      <c r="J2093" s="14" t="s">
        <v>200</v>
      </c>
      <c r="K2093" s="14" t="s">
        <v>227</v>
      </c>
      <c r="L2093" s="14" t="s">
        <v>270</v>
      </c>
      <c r="M2093" s="14" t="s">
        <v>400</v>
      </c>
      <c r="N2093" s="14" t="s">
        <v>401</v>
      </c>
      <c r="O2093" s="14">
        <v>50.0</v>
      </c>
      <c r="P2093" s="21">
        <v>1.0</v>
      </c>
      <c r="Q2093" s="22" t="str">
        <f>"+0"</f>
        <v>+0</v>
      </c>
      <c r="R2093" s="18" t="str">
        <f>"+1"</f>
        <v>+1</v>
      </c>
      <c r="S2093" s="14" t="s">
        <v>260</v>
      </c>
    </row>
    <row r="2094">
      <c r="A2094" s="13">
        <v>45901.0</v>
      </c>
      <c r="B2094" s="14" t="s">
        <v>47</v>
      </c>
      <c r="C2094" s="14" t="s">
        <v>48</v>
      </c>
      <c r="D2094" s="14" t="s">
        <v>181</v>
      </c>
      <c r="E2094" s="14" t="s">
        <v>182</v>
      </c>
      <c r="F2094" s="15" t="s">
        <v>51</v>
      </c>
      <c r="G2094" s="14" t="s">
        <v>183</v>
      </c>
      <c r="H2094" s="14" t="s">
        <v>181</v>
      </c>
      <c r="I2094" s="14" t="s">
        <v>59</v>
      </c>
      <c r="J2094" s="14" t="s">
        <v>200</v>
      </c>
      <c r="K2094" s="14" t="s">
        <v>232</v>
      </c>
      <c r="L2094" s="14" t="s">
        <v>607</v>
      </c>
      <c r="M2094" s="14" t="s">
        <v>1312</v>
      </c>
      <c r="N2094" s="14" t="s">
        <v>1313</v>
      </c>
      <c r="O2094" s="14">
        <v>0.0</v>
      </c>
      <c r="P2094" s="23">
        <v>0.0</v>
      </c>
      <c r="Q2094" s="22" t="str">
        <f t="shared" ref="Q2094:R2094" si="1233">"+0.00%"</f>
        <v>+0.00%</v>
      </c>
      <c r="R2094" s="18" t="str">
        <f t="shared" si="1233"/>
        <v>+0.00%</v>
      </c>
      <c r="S2094" s="14" t="s">
        <v>285</v>
      </c>
    </row>
    <row r="2095">
      <c r="A2095" s="13">
        <v>45901.0</v>
      </c>
      <c r="B2095" s="14" t="s">
        <v>47</v>
      </c>
      <c r="C2095" s="14" t="s">
        <v>48</v>
      </c>
      <c r="D2095" s="14" t="s">
        <v>168</v>
      </c>
      <c r="E2095" s="14" t="s">
        <v>169</v>
      </c>
      <c r="F2095" s="15" t="s">
        <v>51</v>
      </c>
      <c r="G2095" s="14" t="s">
        <v>170</v>
      </c>
      <c r="H2095" s="14" t="s">
        <v>168</v>
      </c>
      <c r="I2095" s="14" t="s">
        <v>59</v>
      </c>
      <c r="J2095" s="14" t="s">
        <v>199</v>
      </c>
      <c r="K2095" s="14" t="s">
        <v>203</v>
      </c>
      <c r="L2095" s="14" t="s">
        <v>431</v>
      </c>
      <c r="M2095" s="14" t="s">
        <v>431</v>
      </c>
      <c r="N2095" s="14" t="s">
        <v>432</v>
      </c>
      <c r="O2095" s="14">
        <v>0.0</v>
      </c>
      <c r="P2095" s="21">
        <v>0.0</v>
      </c>
      <c r="Q2095" s="22" t="str">
        <f t="shared" ref="Q2095:R2095" si="1234">"+0"</f>
        <v>+0</v>
      </c>
      <c r="R2095" s="18" t="str">
        <f t="shared" si="1234"/>
        <v>+0</v>
      </c>
      <c r="S2095" s="14" t="s">
        <v>260</v>
      </c>
    </row>
    <row r="2096">
      <c r="A2096" s="13">
        <v>45901.0</v>
      </c>
      <c r="B2096" s="14" t="s">
        <v>47</v>
      </c>
      <c r="C2096" s="14" t="s">
        <v>48</v>
      </c>
      <c r="D2096" s="14" t="s">
        <v>56</v>
      </c>
      <c r="E2096" s="14" t="s">
        <v>57</v>
      </c>
      <c r="F2096" s="15" t="s">
        <v>51</v>
      </c>
      <c r="G2096" s="14" t="s">
        <v>58</v>
      </c>
      <c r="H2096" s="14" t="s">
        <v>56</v>
      </c>
      <c r="I2096" s="14" t="s">
        <v>59</v>
      </c>
      <c r="J2096" s="14" t="s">
        <v>200</v>
      </c>
      <c r="K2096" s="14" t="s">
        <v>223</v>
      </c>
      <c r="L2096" s="14" t="s">
        <v>307</v>
      </c>
      <c r="M2096" s="14" t="s">
        <v>308</v>
      </c>
      <c r="N2096" s="14" t="s">
        <v>309</v>
      </c>
      <c r="O2096" s="14">
        <v>0.0</v>
      </c>
      <c r="P2096" s="23">
        <v>0.0</v>
      </c>
      <c r="Q2096" s="22" t="str">
        <f t="shared" ref="Q2096:R2096" si="1235">"+0.00%"</f>
        <v>+0.00%</v>
      </c>
      <c r="R2096" s="18" t="str">
        <f t="shared" si="1235"/>
        <v>+0.00%</v>
      </c>
      <c r="S2096" s="14" t="s">
        <v>285</v>
      </c>
    </row>
    <row r="2097">
      <c r="A2097" s="13">
        <v>45901.0</v>
      </c>
      <c r="B2097" s="14" t="s">
        <v>47</v>
      </c>
      <c r="C2097" s="14" t="s">
        <v>48</v>
      </c>
      <c r="D2097" s="14" t="s">
        <v>181</v>
      </c>
      <c r="E2097" s="14" t="s">
        <v>182</v>
      </c>
      <c r="F2097" s="15" t="s">
        <v>51</v>
      </c>
      <c r="G2097" s="14" t="s">
        <v>183</v>
      </c>
      <c r="H2097" s="14" t="s">
        <v>181</v>
      </c>
      <c r="I2097" s="14" t="s">
        <v>59</v>
      </c>
      <c r="J2097" s="14" t="s">
        <v>200</v>
      </c>
      <c r="K2097" s="14" t="s">
        <v>232</v>
      </c>
      <c r="L2097" s="14" t="s">
        <v>286</v>
      </c>
      <c r="M2097" s="14" t="s">
        <v>625</v>
      </c>
      <c r="N2097" s="14" t="s">
        <v>626</v>
      </c>
      <c r="O2097" s="14">
        <v>0.0</v>
      </c>
      <c r="P2097" s="23">
        <v>0.0</v>
      </c>
      <c r="Q2097" s="22" t="str">
        <f t="shared" ref="Q2097:R2097" si="1236">"+0.00%"</f>
        <v>+0.00%</v>
      </c>
      <c r="R2097" s="18" t="str">
        <f t="shared" si="1236"/>
        <v>+0.00%</v>
      </c>
      <c r="S2097" s="14" t="s">
        <v>1695</v>
      </c>
    </row>
    <row r="2098">
      <c r="A2098" s="13">
        <v>45901.0</v>
      </c>
      <c r="B2098" s="14" t="s">
        <v>47</v>
      </c>
      <c r="C2098" s="14" t="s">
        <v>48</v>
      </c>
      <c r="D2098" s="14" t="s">
        <v>121</v>
      </c>
      <c r="E2098" s="14" t="s">
        <v>122</v>
      </c>
      <c r="F2098" s="15" t="s">
        <v>51</v>
      </c>
      <c r="G2098" s="14" t="s">
        <v>123</v>
      </c>
      <c r="H2098" s="14" t="s">
        <v>124</v>
      </c>
      <c r="I2098" s="14" t="s">
        <v>59</v>
      </c>
      <c r="J2098" s="14" t="s">
        <v>200</v>
      </c>
      <c r="K2098" s="14" t="s">
        <v>232</v>
      </c>
      <c r="L2098" s="14" t="s">
        <v>607</v>
      </c>
      <c r="M2098" s="14" t="s">
        <v>608</v>
      </c>
      <c r="N2098" s="14" t="s">
        <v>609</v>
      </c>
      <c r="O2098" s="14">
        <v>46.0</v>
      </c>
      <c r="P2098" s="23">
        <v>0.4615</v>
      </c>
      <c r="Q2098" s="22" t="str">
        <f>"+35.04%"</f>
        <v>+35.04%</v>
      </c>
      <c r="R2098" s="18" t="str">
        <f>"-17.48%"</f>
        <v>-17.48%</v>
      </c>
      <c r="S2098" s="14" t="s">
        <v>1696</v>
      </c>
    </row>
    <row r="2099">
      <c r="A2099" s="13">
        <v>45901.0</v>
      </c>
      <c r="B2099" s="14" t="s">
        <v>47</v>
      </c>
      <c r="C2099" s="14" t="s">
        <v>48</v>
      </c>
      <c r="D2099" s="14" t="s">
        <v>49</v>
      </c>
      <c r="E2099" s="14" t="s">
        <v>50</v>
      </c>
      <c r="F2099" s="15" t="s">
        <v>51</v>
      </c>
      <c r="G2099" s="14" t="s">
        <v>52</v>
      </c>
      <c r="H2099" s="14" t="s">
        <v>53</v>
      </c>
      <c r="I2099" s="14" t="s">
        <v>54</v>
      </c>
      <c r="J2099" s="14" t="s">
        <v>200</v>
      </c>
      <c r="K2099" s="14" t="s">
        <v>213</v>
      </c>
      <c r="L2099" s="14" t="s">
        <v>676</v>
      </c>
      <c r="M2099" s="14" t="s">
        <v>858</v>
      </c>
      <c r="N2099" s="14" t="s">
        <v>859</v>
      </c>
      <c r="O2099" s="14">
        <v>0.0</v>
      </c>
      <c r="P2099" s="23">
        <v>-1.0</v>
      </c>
      <c r="Q2099" s="22" t="str">
        <f t="shared" ref="Q2099:R2099" si="1237">"+0.00%"</f>
        <v>+0.00%</v>
      </c>
      <c r="R2099" s="18" t="str">
        <f t="shared" si="1237"/>
        <v>+0.00%</v>
      </c>
      <c r="S2099" s="14" t="s">
        <v>1019</v>
      </c>
    </row>
    <row r="2100">
      <c r="A2100" s="13">
        <v>45901.0</v>
      </c>
      <c r="B2100" s="14" t="s">
        <v>47</v>
      </c>
      <c r="C2100" s="14" t="s">
        <v>48</v>
      </c>
      <c r="D2100" s="14" t="s">
        <v>49</v>
      </c>
      <c r="E2100" s="14" t="s">
        <v>50</v>
      </c>
      <c r="F2100" s="15" t="s">
        <v>51</v>
      </c>
      <c r="G2100" s="14" t="s">
        <v>52</v>
      </c>
      <c r="H2100" s="14" t="s">
        <v>53</v>
      </c>
      <c r="I2100" s="14" t="s">
        <v>54</v>
      </c>
      <c r="J2100" s="14" t="s">
        <v>198</v>
      </c>
      <c r="K2100" s="14" t="s">
        <v>207</v>
      </c>
      <c r="L2100" s="14" t="s">
        <v>318</v>
      </c>
      <c r="M2100" s="14" t="s">
        <v>319</v>
      </c>
      <c r="N2100" s="14" t="s">
        <v>320</v>
      </c>
      <c r="O2100" s="14">
        <v>100.0</v>
      </c>
      <c r="P2100" s="21">
        <v>1.0</v>
      </c>
      <c r="Q2100" s="22" t="str">
        <f t="shared" ref="Q2100:Q2101" si="1238">"+0"</f>
        <v>+0</v>
      </c>
      <c r="S2100" s="14" t="s">
        <v>281</v>
      </c>
    </row>
    <row r="2101">
      <c r="A2101" s="13">
        <v>45901.0</v>
      </c>
      <c r="B2101" s="14" t="s">
        <v>47</v>
      </c>
      <c r="C2101" s="14" t="s">
        <v>48</v>
      </c>
      <c r="D2101" s="14" t="s">
        <v>91</v>
      </c>
      <c r="E2101" s="14" t="s">
        <v>92</v>
      </c>
      <c r="F2101" s="15" t="s">
        <v>51</v>
      </c>
      <c r="G2101" s="14" t="s">
        <v>163</v>
      </c>
      <c r="H2101" s="14" t="s">
        <v>91</v>
      </c>
      <c r="I2101" s="14" t="s">
        <v>59</v>
      </c>
      <c r="J2101" s="14" t="s">
        <v>199</v>
      </c>
      <c r="K2101" s="14" t="s">
        <v>206</v>
      </c>
      <c r="L2101" s="14" t="s">
        <v>295</v>
      </c>
      <c r="M2101" s="14" t="s">
        <v>651</v>
      </c>
      <c r="N2101" s="14" t="s">
        <v>652</v>
      </c>
      <c r="O2101" s="14">
        <v>0.0</v>
      </c>
      <c r="P2101" s="21">
        <v>0.0</v>
      </c>
      <c r="Q2101" s="22" t="str">
        <f t="shared" si="1238"/>
        <v>+0</v>
      </c>
      <c r="R2101" s="18" t="str">
        <f>"+0"</f>
        <v>+0</v>
      </c>
      <c r="S2101" s="14" t="s">
        <v>260</v>
      </c>
    </row>
    <row r="2102">
      <c r="A2102" s="13">
        <v>45901.0</v>
      </c>
      <c r="B2102" s="14" t="s">
        <v>47</v>
      </c>
      <c r="C2102" s="14" t="s">
        <v>48</v>
      </c>
      <c r="D2102" s="14" t="s">
        <v>91</v>
      </c>
      <c r="E2102" s="14" t="s">
        <v>92</v>
      </c>
      <c r="F2102" s="15" t="s">
        <v>51</v>
      </c>
      <c r="G2102" s="14" t="s">
        <v>163</v>
      </c>
      <c r="H2102" s="14" t="s">
        <v>91</v>
      </c>
      <c r="I2102" s="14" t="s">
        <v>59</v>
      </c>
      <c r="J2102" s="14" t="s">
        <v>200</v>
      </c>
      <c r="K2102" s="14" t="s">
        <v>209</v>
      </c>
      <c r="L2102" s="14" t="s">
        <v>253</v>
      </c>
      <c r="M2102" s="14" t="s">
        <v>402</v>
      </c>
      <c r="N2102" s="14" t="s">
        <v>403</v>
      </c>
      <c r="O2102" s="14">
        <v>85.0</v>
      </c>
      <c r="P2102" s="23">
        <v>0.8545</v>
      </c>
      <c r="Q2102" s="22" t="str">
        <f t="shared" ref="Q2102:R2102" si="1239">"+0.00%"</f>
        <v>+0.00%</v>
      </c>
      <c r="R2102" s="18" t="str">
        <f t="shared" si="1239"/>
        <v>+0.00%</v>
      </c>
      <c r="S2102" s="14" t="s">
        <v>1697</v>
      </c>
    </row>
    <row r="2103">
      <c r="A2103" s="13">
        <v>45901.0</v>
      </c>
      <c r="B2103" s="14" t="s">
        <v>47</v>
      </c>
      <c r="C2103" s="14" t="s">
        <v>48</v>
      </c>
      <c r="D2103" s="14" t="s">
        <v>63</v>
      </c>
      <c r="E2103" s="14" t="s">
        <v>64</v>
      </c>
      <c r="F2103" s="15" t="s">
        <v>51</v>
      </c>
      <c r="G2103" s="14" t="s">
        <v>65</v>
      </c>
      <c r="H2103" s="14" t="s">
        <v>63</v>
      </c>
      <c r="I2103" s="14" t="s">
        <v>54</v>
      </c>
      <c r="J2103" s="14" t="s">
        <v>198</v>
      </c>
      <c r="K2103" s="14" t="s">
        <v>210</v>
      </c>
      <c r="L2103" s="14" t="s">
        <v>264</v>
      </c>
      <c r="M2103" s="14" t="s">
        <v>456</v>
      </c>
      <c r="N2103" s="14" t="s">
        <v>457</v>
      </c>
      <c r="O2103" s="14">
        <v>0.0</v>
      </c>
      <c r="P2103" s="21">
        <v>0.0</v>
      </c>
      <c r="Q2103" s="22" t="str">
        <f t="shared" ref="Q2103:R2103" si="1240">"+0"</f>
        <v>+0</v>
      </c>
      <c r="R2103" s="18" t="str">
        <f t="shared" si="1240"/>
        <v>+0</v>
      </c>
      <c r="S2103" s="14" t="s">
        <v>277</v>
      </c>
    </row>
    <row r="2104">
      <c r="A2104" s="13">
        <v>45901.0</v>
      </c>
      <c r="B2104" s="14" t="s">
        <v>47</v>
      </c>
      <c r="C2104" s="14" t="s">
        <v>48</v>
      </c>
      <c r="D2104" s="14" t="s">
        <v>192</v>
      </c>
      <c r="E2104" s="14" t="s">
        <v>193</v>
      </c>
      <c r="F2104" s="15" t="s">
        <v>51</v>
      </c>
      <c r="G2104" s="14" t="s">
        <v>194</v>
      </c>
      <c r="H2104" s="14" t="s">
        <v>192</v>
      </c>
      <c r="I2104" s="14" t="s">
        <v>54</v>
      </c>
      <c r="J2104" s="14" t="s">
        <v>200</v>
      </c>
      <c r="K2104" s="14" t="s">
        <v>223</v>
      </c>
      <c r="L2104" s="14" t="s">
        <v>253</v>
      </c>
      <c r="M2104" s="14" t="s">
        <v>552</v>
      </c>
      <c r="N2104" s="14" t="s">
        <v>553</v>
      </c>
      <c r="O2104" s="14">
        <v>48.0</v>
      </c>
      <c r="P2104" s="23">
        <v>0.4806</v>
      </c>
      <c r="Q2104" s="22" t="str">
        <f>"+7.89%"</f>
        <v>+7.89%</v>
      </c>
      <c r="R2104" s="18" t="str">
        <f>"+2.17%"</f>
        <v>+2.17%</v>
      </c>
      <c r="S2104" s="14" t="s">
        <v>683</v>
      </c>
    </row>
    <row r="2105">
      <c r="A2105" s="13">
        <v>45901.0</v>
      </c>
      <c r="B2105" s="14" t="s">
        <v>47</v>
      </c>
      <c r="C2105" s="14" t="s">
        <v>48</v>
      </c>
      <c r="D2105" s="14" t="s">
        <v>93</v>
      </c>
      <c r="E2105" s="14" t="s">
        <v>94</v>
      </c>
      <c r="F2105" s="15" t="s">
        <v>51</v>
      </c>
      <c r="G2105" s="14" t="s">
        <v>191</v>
      </c>
      <c r="H2105" s="14" t="s">
        <v>95</v>
      </c>
      <c r="I2105" s="14" t="s">
        <v>59</v>
      </c>
      <c r="J2105" s="14" t="s">
        <v>199</v>
      </c>
      <c r="K2105" s="14" t="s">
        <v>206</v>
      </c>
      <c r="L2105" s="14" t="s">
        <v>295</v>
      </c>
      <c r="M2105" s="14" t="s">
        <v>986</v>
      </c>
      <c r="N2105" s="14" t="s">
        <v>987</v>
      </c>
      <c r="O2105" s="14">
        <v>0.0</v>
      </c>
      <c r="P2105" s="21">
        <v>0.0</v>
      </c>
      <c r="Q2105" s="22" t="str">
        <f t="shared" ref="Q2105:R2105" si="1241">"+0"</f>
        <v>+0</v>
      </c>
      <c r="R2105" s="18" t="str">
        <f t="shared" si="1241"/>
        <v>+0</v>
      </c>
      <c r="S2105" s="14" t="s">
        <v>260</v>
      </c>
    </row>
    <row r="2106">
      <c r="A2106" s="13">
        <v>45901.0</v>
      </c>
      <c r="B2106" s="14" t="s">
        <v>47</v>
      </c>
      <c r="C2106" s="14" t="s">
        <v>48</v>
      </c>
      <c r="D2106" s="14" t="s">
        <v>143</v>
      </c>
      <c r="E2106" s="14" t="s">
        <v>144</v>
      </c>
      <c r="F2106" s="15" t="s">
        <v>51</v>
      </c>
      <c r="G2106" s="14" t="s">
        <v>145</v>
      </c>
      <c r="H2106" s="14" t="s">
        <v>143</v>
      </c>
      <c r="I2106" s="14" t="s">
        <v>59</v>
      </c>
      <c r="J2106" s="14" t="s">
        <v>200</v>
      </c>
      <c r="K2106" s="14" t="s">
        <v>232</v>
      </c>
      <c r="L2106" s="14" t="s">
        <v>363</v>
      </c>
      <c r="M2106" s="14" t="s">
        <v>1043</v>
      </c>
      <c r="N2106" s="14" t="s">
        <v>1044</v>
      </c>
      <c r="O2106" s="14">
        <v>100.0</v>
      </c>
      <c r="P2106" s="23">
        <v>0.0385</v>
      </c>
      <c r="Q2106" s="22" t="str">
        <f>"+3.85%"</f>
        <v>+3.85%</v>
      </c>
      <c r="R2106" s="18" t="str">
        <f>"+0.62%"</f>
        <v>+0.62%</v>
      </c>
      <c r="S2106" s="14" t="s">
        <v>285</v>
      </c>
    </row>
    <row r="2107">
      <c r="A2107" s="13">
        <v>45901.0</v>
      </c>
      <c r="B2107" s="14" t="s">
        <v>47</v>
      </c>
      <c r="C2107" s="14" t="s">
        <v>48</v>
      </c>
      <c r="D2107" s="14" t="s">
        <v>149</v>
      </c>
      <c r="E2107" s="14" t="s">
        <v>150</v>
      </c>
      <c r="F2107" s="15" t="s">
        <v>51</v>
      </c>
      <c r="G2107" s="14" t="s">
        <v>151</v>
      </c>
      <c r="H2107" s="14" t="s">
        <v>152</v>
      </c>
      <c r="I2107" s="14" t="s">
        <v>54</v>
      </c>
      <c r="J2107" s="14" t="s">
        <v>198</v>
      </c>
      <c r="K2107" s="14" t="s">
        <v>210</v>
      </c>
      <c r="L2107" s="14" t="s">
        <v>264</v>
      </c>
      <c r="M2107" s="14" t="s">
        <v>265</v>
      </c>
      <c r="N2107" s="14" t="s">
        <v>266</v>
      </c>
      <c r="O2107" s="14">
        <v>73.0</v>
      </c>
      <c r="P2107" s="21">
        <v>59.0</v>
      </c>
      <c r="Q2107" s="22" t="str">
        <f>"-2"</f>
        <v>-2</v>
      </c>
      <c r="R2107" s="18" t="str">
        <f>"-34"</f>
        <v>-34</v>
      </c>
      <c r="S2107" s="14" t="s">
        <v>1698</v>
      </c>
    </row>
    <row r="2108">
      <c r="A2108" s="13">
        <v>45901.0</v>
      </c>
      <c r="B2108" s="14" t="s">
        <v>47</v>
      </c>
      <c r="C2108" s="14" t="s">
        <v>48</v>
      </c>
      <c r="D2108" s="14" t="s">
        <v>136</v>
      </c>
      <c r="E2108" s="14" t="s">
        <v>137</v>
      </c>
      <c r="F2108" s="15" t="s">
        <v>51</v>
      </c>
      <c r="G2108" s="14" t="s">
        <v>138</v>
      </c>
      <c r="H2108" s="14" t="s">
        <v>139</v>
      </c>
      <c r="I2108" s="14" t="s">
        <v>59</v>
      </c>
      <c r="J2108" s="14" t="s">
        <v>200</v>
      </c>
      <c r="K2108" s="14" t="s">
        <v>224</v>
      </c>
      <c r="L2108" s="14" t="s">
        <v>427</v>
      </c>
      <c r="M2108" s="14" t="s">
        <v>921</v>
      </c>
      <c r="N2108" s="14" t="s">
        <v>922</v>
      </c>
      <c r="O2108" s="14">
        <v>0.0</v>
      </c>
      <c r="P2108" s="23">
        <v>0.0</v>
      </c>
      <c r="Q2108" s="22" t="str">
        <f>"+0.00%"</f>
        <v>+0.00%</v>
      </c>
      <c r="S2108" s="14" t="s">
        <v>923</v>
      </c>
    </row>
    <row r="2109">
      <c r="A2109" s="13">
        <v>45901.0</v>
      </c>
      <c r="B2109" s="14" t="s">
        <v>47</v>
      </c>
      <c r="C2109" s="14" t="s">
        <v>48</v>
      </c>
      <c r="D2109" s="14" t="s">
        <v>149</v>
      </c>
      <c r="E2109" s="14" t="s">
        <v>150</v>
      </c>
      <c r="F2109" s="15" t="s">
        <v>51</v>
      </c>
      <c r="G2109" s="14" t="s">
        <v>151</v>
      </c>
      <c r="H2109" s="14" t="s">
        <v>152</v>
      </c>
      <c r="I2109" s="14" t="s">
        <v>54</v>
      </c>
      <c r="J2109" s="14" t="s">
        <v>198</v>
      </c>
      <c r="K2109" s="14" t="s">
        <v>210</v>
      </c>
      <c r="L2109" s="14" t="s">
        <v>264</v>
      </c>
      <c r="M2109" s="14" t="s">
        <v>357</v>
      </c>
      <c r="N2109" s="14" t="s">
        <v>358</v>
      </c>
      <c r="O2109" s="14">
        <v>82.0</v>
      </c>
      <c r="P2109" s="21">
        <v>2863.0</v>
      </c>
      <c r="Q2109" s="22" t="str">
        <f>"-1,385"</f>
        <v>-1,385</v>
      </c>
      <c r="R2109" s="18" t="str">
        <f>"-45,725"</f>
        <v>-45,725</v>
      </c>
      <c r="S2109" s="14" t="s">
        <v>1699</v>
      </c>
    </row>
    <row r="2110">
      <c r="A2110" s="13">
        <v>45901.0</v>
      </c>
      <c r="B2110" s="14" t="s">
        <v>47</v>
      </c>
      <c r="C2110" s="14" t="s">
        <v>48</v>
      </c>
      <c r="D2110" s="14" t="s">
        <v>69</v>
      </c>
      <c r="E2110" s="14" t="s">
        <v>70</v>
      </c>
      <c r="F2110" s="15" t="s">
        <v>51</v>
      </c>
      <c r="G2110" s="14" t="s">
        <v>115</v>
      </c>
      <c r="H2110" s="14" t="s">
        <v>72</v>
      </c>
      <c r="I2110" s="14" t="s">
        <v>54</v>
      </c>
      <c r="J2110" s="14" t="s">
        <v>200</v>
      </c>
      <c r="K2110" s="14" t="s">
        <v>245</v>
      </c>
      <c r="L2110" s="14" t="s">
        <v>253</v>
      </c>
      <c r="M2110" s="14" t="s">
        <v>1700</v>
      </c>
      <c r="N2110" s="14" t="s">
        <v>1701</v>
      </c>
      <c r="O2110" s="14">
        <v>4.0</v>
      </c>
      <c r="P2110" s="23">
        <v>0.0464</v>
      </c>
      <c r="Q2110" s="22" t="str">
        <f>"+2.20%"</f>
        <v>+2.20%</v>
      </c>
      <c r="R2110" s="18" t="str">
        <f>"+4.42%"</f>
        <v>+4.42%</v>
      </c>
      <c r="S2110" s="14" t="s">
        <v>1702</v>
      </c>
    </row>
    <row r="2111">
      <c r="A2111" s="13">
        <v>45901.0</v>
      </c>
      <c r="B2111" s="14" t="s">
        <v>47</v>
      </c>
      <c r="C2111" s="14" t="s">
        <v>48</v>
      </c>
      <c r="D2111" s="14" t="s">
        <v>158</v>
      </c>
      <c r="E2111" s="14" t="s">
        <v>159</v>
      </c>
      <c r="F2111" s="15" t="s">
        <v>51</v>
      </c>
      <c r="G2111" s="14" t="s">
        <v>160</v>
      </c>
      <c r="H2111" s="14" t="s">
        <v>158</v>
      </c>
      <c r="I2111" s="14" t="s">
        <v>54</v>
      </c>
      <c r="J2111" s="14" t="s">
        <v>200</v>
      </c>
      <c r="K2111" s="14" t="s">
        <v>204</v>
      </c>
      <c r="L2111" s="14" t="s">
        <v>253</v>
      </c>
      <c r="M2111" s="14" t="s">
        <v>844</v>
      </c>
      <c r="N2111" s="14" t="s">
        <v>845</v>
      </c>
      <c r="O2111" s="14">
        <v>0.0</v>
      </c>
      <c r="P2111" s="17"/>
      <c r="Q2111" s="22"/>
      <c r="S2111" s="14" t="s">
        <v>846</v>
      </c>
    </row>
    <row r="2112">
      <c r="A2112" s="13">
        <v>45901.0</v>
      </c>
      <c r="B2112" s="14" t="s">
        <v>47</v>
      </c>
      <c r="C2112" s="14" t="s">
        <v>48</v>
      </c>
      <c r="D2112" s="14" t="s">
        <v>116</v>
      </c>
      <c r="E2112" s="14" t="s">
        <v>117</v>
      </c>
      <c r="F2112" s="15" t="s">
        <v>51</v>
      </c>
      <c r="G2112" s="14" t="s">
        <v>161</v>
      </c>
      <c r="H2112" s="14" t="s">
        <v>116</v>
      </c>
      <c r="I2112" s="14" t="s">
        <v>54</v>
      </c>
      <c r="J2112" s="14" t="s">
        <v>198</v>
      </c>
      <c r="K2112" s="14" t="s">
        <v>210</v>
      </c>
      <c r="L2112" s="14" t="s">
        <v>264</v>
      </c>
      <c r="M2112" s="14" t="s">
        <v>350</v>
      </c>
      <c r="N2112" s="14" t="s">
        <v>351</v>
      </c>
      <c r="O2112" s="14">
        <v>0.0</v>
      </c>
      <c r="P2112" s="21">
        <v>0.0</v>
      </c>
      <c r="Q2112" s="22" t="str">
        <f t="shared" ref="Q2112:R2112" si="1242">"+0"</f>
        <v>+0</v>
      </c>
      <c r="R2112" s="18" t="str">
        <f t="shared" si="1242"/>
        <v>+0</v>
      </c>
      <c r="S2112" s="14" t="s">
        <v>277</v>
      </c>
    </row>
    <row r="2113">
      <c r="A2113" s="13">
        <v>45901.0</v>
      </c>
      <c r="B2113" s="14" t="s">
        <v>47</v>
      </c>
      <c r="C2113" s="14" t="s">
        <v>48</v>
      </c>
      <c r="D2113" s="14" t="s">
        <v>77</v>
      </c>
      <c r="E2113" s="14" t="s">
        <v>78</v>
      </c>
      <c r="F2113" s="15" t="s">
        <v>51</v>
      </c>
      <c r="G2113" s="14" t="s">
        <v>128</v>
      </c>
      <c r="H2113" s="14" t="s">
        <v>81</v>
      </c>
      <c r="I2113" s="14" t="s">
        <v>59</v>
      </c>
      <c r="J2113" s="14" t="s">
        <v>200</v>
      </c>
      <c r="K2113" s="14" t="s">
        <v>223</v>
      </c>
      <c r="L2113" s="14" t="s">
        <v>257</v>
      </c>
      <c r="M2113" s="14" t="s">
        <v>622</v>
      </c>
      <c r="N2113" s="14" t="s">
        <v>623</v>
      </c>
      <c r="O2113" s="14">
        <v>0.0</v>
      </c>
      <c r="P2113" s="23">
        <v>-1.0</v>
      </c>
      <c r="Q2113" s="22" t="str">
        <f t="shared" ref="Q2113:R2113" si="1243">"+0.00%"</f>
        <v>+0.00%</v>
      </c>
      <c r="R2113" s="18" t="str">
        <f t="shared" si="1243"/>
        <v>+0.00%</v>
      </c>
      <c r="S2113" s="14" t="s">
        <v>1703</v>
      </c>
    </row>
    <row r="2114">
      <c r="A2114" s="13">
        <v>45901.0</v>
      </c>
      <c r="B2114" s="14" t="s">
        <v>47</v>
      </c>
      <c r="C2114" s="14" t="s">
        <v>48</v>
      </c>
      <c r="D2114" s="14" t="s">
        <v>77</v>
      </c>
      <c r="E2114" s="14" t="s">
        <v>78</v>
      </c>
      <c r="F2114" s="15" t="s">
        <v>51</v>
      </c>
      <c r="G2114" s="14" t="s">
        <v>128</v>
      </c>
      <c r="H2114" s="14" t="s">
        <v>81</v>
      </c>
      <c r="I2114" s="14" t="s">
        <v>59</v>
      </c>
      <c r="J2114" s="14" t="s">
        <v>200</v>
      </c>
      <c r="K2114" s="14" t="s">
        <v>223</v>
      </c>
      <c r="L2114" s="14" t="s">
        <v>607</v>
      </c>
      <c r="M2114" s="14" t="s">
        <v>608</v>
      </c>
      <c r="N2114" s="14" t="s">
        <v>609</v>
      </c>
      <c r="O2114" s="14">
        <v>0.0</v>
      </c>
      <c r="P2114" s="23">
        <v>0.0</v>
      </c>
      <c r="Q2114" s="22" t="str">
        <f t="shared" ref="Q2114:R2114" si="1244">"+0.00%"</f>
        <v>+0.00%</v>
      </c>
      <c r="R2114" s="18" t="str">
        <f t="shared" si="1244"/>
        <v>+0.00%</v>
      </c>
      <c r="S2114" s="14" t="s">
        <v>1704</v>
      </c>
    </row>
    <row r="2115">
      <c r="A2115" s="13">
        <v>45901.0</v>
      </c>
      <c r="B2115" s="14" t="s">
        <v>47</v>
      </c>
      <c r="C2115" s="14" t="s">
        <v>48</v>
      </c>
      <c r="D2115" s="14" t="s">
        <v>121</v>
      </c>
      <c r="E2115" s="14" t="s">
        <v>122</v>
      </c>
      <c r="F2115" s="15" t="s">
        <v>51</v>
      </c>
      <c r="G2115" s="14" t="s">
        <v>123</v>
      </c>
      <c r="H2115" s="14" t="s">
        <v>124</v>
      </c>
      <c r="I2115" s="14" t="s">
        <v>59</v>
      </c>
      <c r="J2115" s="14" t="s">
        <v>200</v>
      </c>
      <c r="K2115" s="14" t="s">
        <v>232</v>
      </c>
      <c r="L2115" s="14" t="s">
        <v>304</v>
      </c>
      <c r="M2115" s="14" t="s">
        <v>1012</v>
      </c>
      <c r="N2115" s="14" t="s">
        <v>1013</v>
      </c>
      <c r="O2115" s="14">
        <v>0.0</v>
      </c>
      <c r="P2115" s="23">
        <v>0.0</v>
      </c>
      <c r="Q2115" s="22" t="str">
        <f t="shared" ref="Q2115:R2115" si="1245">"+0.00%"</f>
        <v>+0.00%</v>
      </c>
      <c r="R2115" s="18" t="str">
        <f t="shared" si="1245"/>
        <v>+0.00%</v>
      </c>
      <c r="S2115" s="14" t="s">
        <v>285</v>
      </c>
    </row>
    <row r="2116">
      <c r="A2116" s="13">
        <v>45901.0</v>
      </c>
      <c r="B2116" s="14" t="s">
        <v>47</v>
      </c>
      <c r="C2116" s="14" t="s">
        <v>48</v>
      </c>
      <c r="D2116" s="14" t="s">
        <v>121</v>
      </c>
      <c r="E2116" s="14" t="s">
        <v>122</v>
      </c>
      <c r="F2116" s="15" t="s">
        <v>51</v>
      </c>
      <c r="G2116" s="14" t="s">
        <v>123</v>
      </c>
      <c r="H2116" s="14" t="s">
        <v>124</v>
      </c>
      <c r="I2116" s="14" t="s">
        <v>59</v>
      </c>
      <c r="J2116" s="14" t="s">
        <v>200</v>
      </c>
      <c r="K2116" s="14" t="s">
        <v>204</v>
      </c>
      <c r="L2116" s="14" t="s">
        <v>253</v>
      </c>
      <c r="M2116" s="14" t="s">
        <v>844</v>
      </c>
      <c r="N2116" s="14" t="s">
        <v>845</v>
      </c>
      <c r="O2116" s="14">
        <v>0.0</v>
      </c>
      <c r="P2116" s="17"/>
      <c r="Q2116" s="22"/>
      <c r="S2116" s="14" t="s">
        <v>846</v>
      </c>
    </row>
    <row r="2117">
      <c r="A2117" s="13">
        <v>45901.0</v>
      </c>
      <c r="B2117" s="14" t="s">
        <v>47</v>
      </c>
      <c r="C2117" s="14" t="s">
        <v>48</v>
      </c>
      <c r="D2117" s="14" t="s">
        <v>49</v>
      </c>
      <c r="E2117" s="14" t="s">
        <v>50</v>
      </c>
      <c r="F2117" s="15" t="s">
        <v>51</v>
      </c>
      <c r="G2117" s="14" t="s">
        <v>52</v>
      </c>
      <c r="H2117" s="14" t="s">
        <v>53</v>
      </c>
      <c r="I2117" s="14" t="s">
        <v>54</v>
      </c>
      <c r="J2117" s="14" t="s">
        <v>198</v>
      </c>
      <c r="K2117" s="14" t="s">
        <v>210</v>
      </c>
      <c r="L2117" s="14" t="s">
        <v>264</v>
      </c>
      <c r="M2117" s="14" t="s">
        <v>1409</v>
      </c>
      <c r="N2117" s="14" t="s">
        <v>1410</v>
      </c>
      <c r="O2117" s="14">
        <v>0.0</v>
      </c>
      <c r="P2117" s="21">
        <v>0.0</v>
      </c>
      <c r="Q2117" s="22" t="str">
        <f t="shared" ref="Q2117:R2117" si="1246">"+0"</f>
        <v>+0</v>
      </c>
      <c r="R2117" s="18" t="str">
        <f t="shared" si="1246"/>
        <v>+0</v>
      </c>
      <c r="S2117" s="14" t="s">
        <v>277</v>
      </c>
    </row>
    <row r="2118">
      <c r="A2118" s="13">
        <v>45901.0</v>
      </c>
      <c r="B2118" s="14" t="s">
        <v>47</v>
      </c>
      <c r="C2118" s="14" t="s">
        <v>48</v>
      </c>
      <c r="D2118" s="14" t="s">
        <v>118</v>
      </c>
      <c r="E2118" s="14" t="s">
        <v>119</v>
      </c>
      <c r="F2118" s="15" t="s">
        <v>51</v>
      </c>
      <c r="G2118" s="14" t="s">
        <v>120</v>
      </c>
      <c r="H2118" s="14" t="s">
        <v>118</v>
      </c>
      <c r="I2118" s="14" t="s">
        <v>59</v>
      </c>
      <c r="J2118" s="14" t="s">
        <v>200</v>
      </c>
      <c r="K2118" s="14" t="s">
        <v>213</v>
      </c>
      <c r="L2118" s="14" t="s">
        <v>591</v>
      </c>
      <c r="M2118" s="14" t="s">
        <v>592</v>
      </c>
      <c r="N2118" s="14" t="s">
        <v>1048</v>
      </c>
      <c r="O2118" s="14">
        <v>0.0</v>
      </c>
      <c r="P2118" s="23">
        <v>0.0</v>
      </c>
      <c r="Q2118" s="22" t="str">
        <f t="shared" ref="Q2118:R2118" si="1247">"+0.00%"</f>
        <v>+0.00%</v>
      </c>
      <c r="R2118" s="18" t="str">
        <f t="shared" si="1247"/>
        <v>+0.00%</v>
      </c>
      <c r="S2118" s="14" t="s">
        <v>285</v>
      </c>
    </row>
    <row r="2119">
      <c r="A2119" s="13">
        <v>45901.0</v>
      </c>
      <c r="B2119" s="14" t="s">
        <v>47</v>
      </c>
      <c r="C2119" s="14" t="s">
        <v>48</v>
      </c>
      <c r="D2119" s="14" t="s">
        <v>91</v>
      </c>
      <c r="E2119" s="14" t="s">
        <v>92</v>
      </c>
      <c r="F2119" s="15" t="s">
        <v>51</v>
      </c>
      <c r="G2119" s="14" t="s">
        <v>163</v>
      </c>
      <c r="H2119" s="14" t="s">
        <v>91</v>
      </c>
      <c r="I2119" s="14" t="s">
        <v>59</v>
      </c>
      <c r="J2119" s="14" t="s">
        <v>200</v>
      </c>
      <c r="K2119" s="14" t="s">
        <v>223</v>
      </c>
      <c r="L2119" s="14" t="s">
        <v>307</v>
      </c>
      <c r="M2119" s="14" t="s">
        <v>533</v>
      </c>
      <c r="N2119" s="14" t="s">
        <v>534</v>
      </c>
      <c r="O2119" s="14">
        <v>0.0</v>
      </c>
      <c r="P2119" s="23">
        <v>0.0</v>
      </c>
      <c r="Q2119" s="22" t="str">
        <f t="shared" ref="Q2119:R2119" si="1248">"+0.00%"</f>
        <v>+0.00%</v>
      </c>
      <c r="R2119" s="18" t="str">
        <f t="shared" si="1248"/>
        <v>+0.00%</v>
      </c>
      <c r="S2119" s="14" t="s">
        <v>1705</v>
      </c>
    </row>
    <row r="2120">
      <c r="A2120" s="13">
        <v>45901.0</v>
      </c>
      <c r="B2120" s="14" t="s">
        <v>47</v>
      </c>
      <c r="C2120" s="14" t="s">
        <v>48</v>
      </c>
      <c r="D2120" s="14" t="s">
        <v>63</v>
      </c>
      <c r="E2120" s="14" t="s">
        <v>64</v>
      </c>
      <c r="F2120" s="15" t="s">
        <v>51</v>
      </c>
      <c r="G2120" s="14" t="s">
        <v>65</v>
      </c>
      <c r="H2120" s="14" t="s">
        <v>63</v>
      </c>
      <c r="I2120" s="14" t="s">
        <v>54</v>
      </c>
      <c r="J2120" s="14" t="s">
        <v>199</v>
      </c>
      <c r="K2120" s="14" t="s">
        <v>203</v>
      </c>
      <c r="L2120" s="14" t="s">
        <v>736</v>
      </c>
      <c r="M2120" s="14" t="s">
        <v>736</v>
      </c>
      <c r="N2120" s="14" t="s">
        <v>737</v>
      </c>
      <c r="O2120" s="14">
        <v>100.0</v>
      </c>
      <c r="P2120" s="21">
        <v>1.0</v>
      </c>
      <c r="Q2120" s="22" t="str">
        <f t="shared" ref="Q2120:R2120" si="1249">"+0"</f>
        <v>+0</v>
      </c>
      <c r="R2120" s="18" t="str">
        <f t="shared" si="1249"/>
        <v>+0</v>
      </c>
      <c r="S2120" s="14" t="s">
        <v>260</v>
      </c>
    </row>
    <row r="2121">
      <c r="A2121" s="13">
        <v>45901.0</v>
      </c>
      <c r="B2121" s="14" t="s">
        <v>47</v>
      </c>
      <c r="C2121" s="14" t="s">
        <v>48</v>
      </c>
      <c r="D2121" s="14" t="s">
        <v>93</v>
      </c>
      <c r="E2121" s="14" t="s">
        <v>94</v>
      </c>
      <c r="F2121" s="15" t="s">
        <v>51</v>
      </c>
      <c r="G2121" s="14" t="s">
        <v>191</v>
      </c>
      <c r="H2121" s="14" t="s">
        <v>95</v>
      </c>
      <c r="I2121" s="14" t="s">
        <v>59</v>
      </c>
      <c r="J2121" s="14" t="s">
        <v>200</v>
      </c>
      <c r="K2121" s="14" t="s">
        <v>209</v>
      </c>
      <c r="L2121" s="14" t="s">
        <v>253</v>
      </c>
      <c r="M2121" s="14" t="s">
        <v>817</v>
      </c>
      <c r="N2121" s="14" t="s">
        <v>818</v>
      </c>
      <c r="O2121" s="14">
        <v>1.0</v>
      </c>
      <c r="P2121" s="23">
        <v>1.0E-4</v>
      </c>
      <c r="Q2121" s="22" t="str">
        <f t="shared" ref="Q2121:R2121" si="1250">"+0.00%"</f>
        <v>+0.00%</v>
      </c>
      <c r="R2121" s="18" t="str">
        <f t="shared" si="1250"/>
        <v>+0.00%</v>
      </c>
      <c r="S2121" s="14" t="s">
        <v>1706</v>
      </c>
    </row>
    <row r="2122">
      <c r="A2122" s="13">
        <v>45901.0</v>
      </c>
      <c r="B2122" s="14" t="s">
        <v>47</v>
      </c>
      <c r="C2122" s="14" t="s">
        <v>48</v>
      </c>
      <c r="D2122" s="14" t="s">
        <v>192</v>
      </c>
      <c r="E2122" s="14" t="s">
        <v>193</v>
      </c>
      <c r="F2122" s="15" t="s">
        <v>51</v>
      </c>
      <c r="G2122" s="14" t="s">
        <v>194</v>
      </c>
      <c r="H2122" s="14" t="s">
        <v>192</v>
      </c>
      <c r="I2122" s="14" t="s">
        <v>54</v>
      </c>
      <c r="J2122" s="14" t="s">
        <v>198</v>
      </c>
      <c r="K2122" s="14" t="s">
        <v>210</v>
      </c>
      <c r="L2122" s="14" t="s">
        <v>264</v>
      </c>
      <c r="M2122" s="14" t="s">
        <v>918</v>
      </c>
      <c r="N2122" s="14" t="s">
        <v>919</v>
      </c>
      <c r="O2122" s="14">
        <v>0.0</v>
      </c>
      <c r="P2122" s="21">
        <v>0.0</v>
      </c>
      <c r="Q2122" s="22" t="str">
        <f t="shared" ref="Q2122:R2122" si="1251">"+0"</f>
        <v>+0</v>
      </c>
      <c r="R2122" s="18" t="str">
        <f t="shared" si="1251"/>
        <v>+0</v>
      </c>
      <c r="S2122" s="14" t="s">
        <v>277</v>
      </c>
    </row>
    <row r="2123">
      <c r="A2123" s="13">
        <v>45901.0</v>
      </c>
      <c r="B2123" s="14" t="s">
        <v>47</v>
      </c>
      <c r="C2123" s="14" t="s">
        <v>48</v>
      </c>
      <c r="D2123" s="14" t="s">
        <v>184</v>
      </c>
      <c r="E2123" s="14" t="s">
        <v>185</v>
      </c>
      <c r="F2123" s="15" t="s">
        <v>51</v>
      </c>
      <c r="G2123" s="14" t="s">
        <v>186</v>
      </c>
      <c r="H2123" s="14" t="s">
        <v>187</v>
      </c>
      <c r="I2123" s="14" t="s">
        <v>59</v>
      </c>
      <c r="J2123" s="14" t="s">
        <v>200</v>
      </c>
      <c r="K2123" s="14" t="s">
        <v>227</v>
      </c>
      <c r="L2123" s="14" t="s">
        <v>328</v>
      </c>
      <c r="M2123" s="14" t="s">
        <v>329</v>
      </c>
      <c r="N2123" s="14" t="s">
        <v>330</v>
      </c>
      <c r="O2123" s="14">
        <v>33.0</v>
      </c>
      <c r="P2123" s="21">
        <v>1.0</v>
      </c>
      <c r="Q2123" s="22" t="str">
        <f>"-1"</f>
        <v>-1</v>
      </c>
      <c r="R2123" s="18" t="str">
        <f>"+0"</f>
        <v>+0</v>
      </c>
      <c r="S2123" s="14" t="s">
        <v>260</v>
      </c>
    </row>
    <row r="2124">
      <c r="A2124" s="13">
        <v>45901.0</v>
      </c>
      <c r="B2124" s="14" t="s">
        <v>47</v>
      </c>
      <c r="C2124" s="14" t="s">
        <v>48</v>
      </c>
      <c r="D2124" s="14" t="s">
        <v>103</v>
      </c>
      <c r="E2124" s="14" t="s">
        <v>104</v>
      </c>
      <c r="F2124" s="15" t="s">
        <v>51</v>
      </c>
      <c r="G2124" s="14" t="s">
        <v>105</v>
      </c>
      <c r="H2124" s="14" t="s">
        <v>106</v>
      </c>
      <c r="I2124" s="14" t="s">
        <v>59</v>
      </c>
      <c r="J2124" s="14" t="s">
        <v>200</v>
      </c>
      <c r="K2124" s="14" t="s">
        <v>232</v>
      </c>
      <c r="L2124" s="14" t="s">
        <v>261</v>
      </c>
      <c r="M2124" s="14" t="s">
        <v>414</v>
      </c>
      <c r="N2124" s="14" t="s">
        <v>415</v>
      </c>
      <c r="O2124" s="14">
        <v>100.0</v>
      </c>
      <c r="P2124" s="23">
        <v>1.0</v>
      </c>
      <c r="Q2124" s="22" t="str">
        <f>"+192.77%"</f>
        <v>+192.77%</v>
      </c>
      <c r="R2124" s="18" t="str">
        <f>"+21.33%"</f>
        <v>+21.33%</v>
      </c>
      <c r="S2124" s="14" t="s">
        <v>1707</v>
      </c>
    </row>
    <row r="2125">
      <c r="A2125" s="13">
        <v>45901.0</v>
      </c>
      <c r="B2125" s="14" t="s">
        <v>47</v>
      </c>
      <c r="C2125" s="14" t="s">
        <v>48</v>
      </c>
      <c r="D2125" s="14" t="s">
        <v>149</v>
      </c>
      <c r="E2125" s="14" t="s">
        <v>150</v>
      </c>
      <c r="F2125" s="15" t="s">
        <v>51</v>
      </c>
      <c r="G2125" s="14" t="s">
        <v>151</v>
      </c>
      <c r="H2125" s="14" t="s">
        <v>152</v>
      </c>
      <c r="I2125" s="14" t="s">
        <v>54</v>
      </c>
      <c r="J2125" s="14" t="s">
        <v>200</v>
      </c>
      <c r="K2125" s="14" t="s">
        <v>223</v>
      </c>
      <c r="L2125" s="14" t="s">
        <v>359</v>
      </c>
      <c r="M2125" s="14" t="s">
        <v>519</v>
      </c>
      <c r="N2125" s="14" t="s">
        <v>520</v>
      </c>
      <c r="O2125" s="14">
        <v>100.0</v>
      </c>
      <c r="P2125" s="21">
        <v>1.0</v>
      </c>
      <c r="Q2125" s="22" t="str">
        <f t="shared" ref="Q2125:R2125" si="1252">"+0"</f>
        <v>+0</v>
      </c>
      <c r="R2125" s="18" t="str">
        <f t="shared" si="1252"/>
        <v>+0</v>
      </c>
      <c r="S2125" s="14" t="s">
        <v>260</v>
      </c>
    </row>
    <row r="2126">
      <c r="A2126" s="13">
        <v>45901.0</v>
      </c>
      <c r="B2126" s="14" t="s">
        <v>47</v>
      </c>
      <c r="C2126" s="14" t="s">
        <v>48</v>
      </c>
      <c r="D2126" s="14" t="s">
        <v>129</v>
      </c>
      <c r="E2126" s="14" t="s">
        <v>130</v>
      </c>
      <c r="F2126" s="15" t="s">
        <v>51</v>
      </c>
      <c r="G2126" s="14" t="s">
        <v>131</v>
      </c>
      <c r="H2126" s="14" t="s">
        <v>129</v>
      </c>
      <c r="I2126" s="14" t="s">
        <v>59</v>
      </c>
      <c r="J2126" s="14" t="s">
        <v>200</v>
      </c>
      <c r="K2126" s="14" t="s">
        <v>201</v>
      </c>
      <c r="L2126" s="14" t="s">
        <v>253</v>
      </c>
      <c r="M2126" s="14" t="s">
        <v>538</v>
      </c>
      <c r="N2126" s="14" t="s">
        <v>539</v>
      </c>
      <c r="O2126" s="14">
        <v>1.0</v>
      </c>
      <c r="P2126" s="23">
        <v>0.0032</v>
      </c>
      <c r="Q2126" s="22" t="str">
        <f>"+0.01%"</f>
        <v>+0.01%</v>
      </c>
      <c r="R2126" s="18" t="str">
        <f>"+0.05%"</f>
        <v>+0.05%</v>
      </c>
      <c r="S2126" s="14" t="s">
        <v>1595</v>
      </c>
    </row>
    <row r="2127">
      <c r="A2127" s="13">
        <v>45901.0</v>
      </c>
      <c r="B2127" s="14" t="s">
        <v>47</v>
      </c>
      <c r="C2127" s="14" t="s">
        <v>48</v>
      </c>
      <c r="D2127" s="14" t="s">
        <v>129</v>
      </c>
      <c r="E2127" s="14" t="s">
        <v>130</v>
      </c>
      <c r="F2127" s="15" t="s">
        <v>51</v>
      </c>
      <c r="G2127" s="14" t="s">
        <v>131</v>
      </c>
      <c r="H2127" s="14" t="s">
        <v>129</v>
      </c>
      <c r="I2127" s="14" t="s">
        <v>59</v>
      </c>
      <c r="J2127" s="14" t="s">
        <v>200</v>
      </c>
      <c r="K2127" s="14" t="s">
        <v>209</v>
      </c>
      <c r="L2127" s="14" t="s">
        <v>253</v>
      </c>
      <c r="M2127" s="14" t="s">
        <v>817</v>
      </c>
      <c r="N2127" s="14" t="s">
        <v>818</v>
      </c>
      <c r="O2127" s="14">
        <v>67.0</v>
      </c>
      <c r="P2127" s="23">
        <v>0.6755</v>
      </c>
      <c r="Q2127" s="22" t="str">
        <f>"+0.92%"</f>
        <v>+0.92%</v>
      </c>
      <c r="R2127" s="18" t="str">
        <f>"+7.96%"</f>
        <v>+7.96%</v>
      </c>
      <c r="S2127" s="14" t="s">
        <v>1708</v>
      </c>
    </row>
    <row r="2128">
      <c r="A2128" s="13">
        <v>45901.0</v>
      </c>
      <c r="B2128" s="14" t="s">
        <v>47</v>
      </c>
      <c r="C2128" s="14" t="s">
        <v>48</v>
      </c>
      <c r="D2128" s="14" t="s">
        <v>87</v>
      </c>
      <c r="E2128" s="14" t="s">
        <v>88</v>
      </c>
      <c r="F2128" s="15" t="s">
        <v>51</v>
      </c>
      <c r="G2128" s="14" t="s">
        <v>89</v>
      </c>
      <c r="H2128" s="14" t="s">
        <v>90</v>
      </c>
      <c r="I2128" s="14" t="s">
        <v>59</v>
      </c>
      <c r="J2128" s="14" t="s">
        <v>200</v>
      </c>
      <c r="K2128" s="14" t="s">
        <v>223</v>
      </c>
      <c r="L2128" s="14" t="s">
        <v>257</v>
      </c>
      <c r="M2128" s="14" t="s">
        <v>499</v>
      </c>
      <c r="N2128" s="14" t="s">
        <v>500</v>
      </c>
      <c r="O2128" s="14">
        <v>0.0</v>
      </c>
      <c r="P2128" s="23">
        <v>0.0</v>
      </c>
      <c r="Q2128" s="22" t="str">
        <f t="shared" ref="Q2128:R2128" si="1253">"+0.00%"</f>
        <v>+0.00%</v>
      </c>
      <c r="R2128" s="18" t="str">
        <f t="shared" si="1253"/>
        <v>+0.00%</v>
      </c>
      <c r="S2128" s="14" t="s">
        <v>1709</v>
      </c>
    </row>
    <row r="2129">
      <c r="A2129" s="13">
        <v>45901.0</v>
      </c>
      <c r="B2129" s="14" t="s">
        <v>47</v>
      </c>
      <c r="C2129" s="14" t="s">
        <v>48</v>
      </c>
      <c r="D2129" s="14" t="s">
        <v>69</v>
      </c>
      <c r="E2129" s="14" t="s">
        <v>70</v>
      </c>
      <c r="F2129" s="15" t="s">
        <v>51</v>
      </c>
      <c r="G2129" s="14" t="s">
        <v>115</v>
      </c>
      <c r="H2129" s="14" t="s">
        <v>72</v>
      </c>
      <c r="I2129" s="14" t="s">
        <v>54</v>
      </c>
      <c r="J2129" s="14" t="s">
        <v>198</v>
      </c>
      <c r="K2129" s="14" t="s">
        <v>205</v>
      </c>
      <c r="L2129" s="14" t="s">
        <v>274</v>
      </c>
      <c r="M2129" s="14" t="s">
        <v>387</v>
      </c>
      <c r="N2129" s="14" t="s">
        <v>388</v>
      </c>
      <c r="O2129" s="14">
        <v>100.0</v>
      </c>
      <c r="P2129" s="21">
        <v>1.0</v>
      </c>
      <c r="Q2129" s="22" t="str">
        <f>"+0"</f>
        <v>+0</v>
      </c>
      <c r="S2129" s="14" t="s">
        <v>281</v>
      </c>
    </row>
    <row r="2130">
      <c r="A2130" s="13">
        <v>45901.0</v>
      </c>
      <c r="B2130" s="14" t="s">
        <v>47</v>
      </c>
      <c r="C2130" s="14" t="s">
        <v>48</v>
      </c>
      <c r="D2130" s="14" t="s">
        <v>69</v>
      </c>
      <c r="E2130" s="14" t="s">
        <v>70</v>
      </c>
      <c r="F2130" s="15" t="s">
        <v>51</v>
      </c>
      <c r="G2130" s="14" t="s">
        <v>115</v>
      </c>
      <c r="H2130" s="14" t="s">
        <v>72</v>
      </c>
      <c r="I2130" s="14" t="s">
        <v>54</v>
      </c>
      <c r="J2130" s="14" t="s">
        <v>200</v>
      </c>
      <c r="K2130" s="14" t="s">
        <v>213</v>
      </c>
      <c r="L2130" s="14" t="s">
        <v>591</v>
      </c>
      <c r="M2130" s="14" t="s">
        <v>592</v>
      </c>
      <c r="N2130" s="14" t="s">
        <v>1048</v>
      </c>
      <c r="O2130" s="14">
        <v>100.0</v>
      </c>
      <c r="P2130" s="23">
        <v>0.0016</v>
      </c>
      <c r="Q2130" s="22" t="str">
        <f>"+0.03%"</f>
        <v>+0.03%</v>
      </c>
      <c r="R2130" s="18" t="str">
        <f>"+0.05%"</f>
        <v>+0.05%</v>
      </c>
      <c r="S2130" s="14" t="s">
        <v>285</v>
      </c>
    </row>
    <row r="2131">
      <c r="A2131" s="13">
        <v>45901.0</v>
      </c>
      <c r="B2131" s="14" t="s">
        <v>47</v>
      </c>
      <c r="C2131" s="14" t="s">
        <v>48</v>
      </c>
      <c r="D2131" s="14" t="s">
        <v>125</v>
      </c>
      <c r="E2131" s="14" t="s">
        <v>126</v>
      </c>
      <c r="F2131" s="15" t="s">
        <v>51</v>
      </c>
      <c r="G2131" s="14" t="s">
        <v>127</v>
      </c>
      <c r="H2131" s="14" t="s">
        <v>125</v>
      </c>
      <c r="I2131" s="14" t="s">
        <v>59</v>
      </c>
      <c r="J2131" s="14" t="s">
        <v>199</v>
      </c>
      <c r="K2131" s="14" t="s">
        <v>206</v>
      </c>
      <c r="L2131" s="14" t="s">
        <v>531</v>
      </c>
      <c r="M2131" s="14" t="s">
        <v>531</v>
      </c>
      <c r="N2131" s="14" t="s">
        <v>532</v>
      </c>
      <c r="O2131" s="14">
        <v>100.0</v>
      </c>
      <c r="P2131" s="21">
        <v>8.0</v>
      </c>
      <c r="Q2131" s="22" t="str">
        <f t="shared" ref="Q2131:R2131" si="1254">"+0"</f>
        <v>+0</v>
      </c>
      <c r="R2131" s="18" t="str">
        <f t="shared" si="1254"/>
        <v>+0</v>
      </c>
      <c r="S2131" s="14" t="s">
        <v>260</v>
      </c>
    </row>
    <row r="2132">
      <c r="A2132" s="13">
        <v>45901.0</v>
      </c>
      <c r="B2132" s="14" t="s">
        <v>47</v>
      </c>
      <c r="C2132" s="14" t="s">
        <v>48</v>
      </c>
      <c r="D2132" s="14" t="s">
        <v>85</v>
      </c>
      <c r="E2132" s="14" t="s">
        <v>86</v>
      </c>
      <c r="F2132" s="15" t="s">
        <v>51</v>
      </c>
      <c r="G2132" s="14" t="s">
        <v>148</v>
      </c>
      <c r="H2132" s="14" t="s">
        <v>85</v>
      </c>
      <c r="I2132" s="14" t="s">
        <v>59</v>
      </c>
      <c r="J2132" s="14" t="s">
        <v>200</v>
      </c>
      <c r="K2132" s="14" t="s">
        <v>213</v>
      </c>
      <c r="L2132" s="14" t="s">
        <v>676</v>
      </c>
      <c r="M2132" s="14" t="s">
        <v>836</v>
      </c>
      <c r="N2132" s="14" t="s">
        <v>837</v>
      </c>
      <c r="O2132" s="14">
        <v>6.0</v>
      </c>
      <c r="P2132" s="23">
        <v>0.0696</v>
      </c>
      <c r="Q2132" s="22" t="str">
        <f>"-1.89%"</f>
        <v>-1.89%</v>
      </c>
      <c r="R2132" s="18" t="str">
        <f>"-0.31%"</f>
        <v>-0.31%</v>
      </c>
      <c r="S2132" s="14" t="s">
        <v>1710</v>
      </c>
    </row>
    <row r="2133">
      <c r="A2133" s="13">
        <v>45901.0</v>
      </c>
      <c r="B2133" s="14" t="s">
        <v>47</v>
      </c>
      <c r="C2133" s="14" t="s">
        <v>48</v>
      </c>
      <c r="D2133" s="14" t="s">
        <v>69</v>
      </c>
      <c r="E2133" s="14" t="s">
        <v>70</v>
      </c>
      <c r="F2133" s="15" t="s">
        <v>51</v>
      </c>
      <c r="G2133" s="14" t="s">
        <v>115</v>
      </c>
      <c r="H2133" s="14" t="s">
        <v>72</v>
      </c>
      <c r="I2133" s="14" t="s">
        <v>54</v>
      </c>
      <c r="J2133" s="14" t="s">
        <v>200</v>
      </c>
      <c r="K2133" s="14" t="s">
        <v>215</v>
      </c>
      <c r="L2133" s="14" t="s">
        <v>1361</v>
      </c>
      <c r="M2133" s="14" t="s">
        <v>1362</v>
      </c>
      <c r="N2133" s="14" t="s">
        <v>1363</v>
      </c>
      <c r="O2133" s="14">
        <v>70.0</v>
      </c>
      <c r="P2133" s="23">
        <v>0.4084</v>
      </c>
      <c r="Q2133" s="22" t="str">
        <f>"+97.93%"</f>
        <v>+97.93%</v>
      </c>
      <c r="R2133" s="18" t="str">
        <f>"+69.87%"</f>
        <v>+69.87%</v>
      </c>
      <c r="S2133" s="14" t="s">
        <v>1711</v>
      </c>
    </row>
    <row r="2134">
      <c r="A2134" s="13">
        <v>45901.0</v>
      </c>
      <c r="B2134" s="14" t="s">
        <v>47</v>
      </c>
      <c r="C2134" s="14" t="s">
        <v>48</v>
      </c>
      <c r="D2134" s="14" t="s">
        <v>108</v>
      </c>
      <c r="E2134" s="14" t="s">
        <v>109</v>
      </c>
      <c r="F2134" s="15" t="s">
        <v>51</v>
      </c>
      <c r="G2134" s="14" t="s">
        <v>110</v>
      </c>
      <c r="H2134" s="14" t="s">
        <v>108</v>
      </c>
      <c r="I2134" s="14" t="s">
        <v>59</v>
      </c>
      <c r="J2134" s="14" t="s">
        <v>198</v>
      </c>
      <c r="K2134" s="14" t="s">
        <v>207</v>
      </c>
      <c r="L2134" s="14" t="s">
        <v>318</v>
      </c>
      <c r="M2134" s="14" t="s">
        <v>508</v>
      </c>
      <c r="N2134" s="14" t="s">
        <v>509</v>
      </c>
      <c r="O2134" s="14">
        <v>0.0</v>
      </c>
      <c r="P2134" s="21">
        <v>0.0</v>
      </c>
      <c r="Q2134" s="22" t="str">
        <f t="shared" ref="Q2134:Q2137" si="1255">"+0"</f>
        <v>+0</v>
      </c>
      <c r="S2134" s="14" t="s">
        <v>281</v>
      </c>
    </row>
    <row r="2135">
      <c r="A2135" s="13">
        <v>45901.0</v>
      </c>
      <c r="B2135" s="14" t="s">
        <v>47</v>
      </c>
      <c r="C2135" s="14" t="s">
        <v>48</v>
      </c>
      <c r="D2135" s="14" t="s">
        <v>116</v>
      </c>
      <c r="E2135" s="14" t="s">
        <v>117</v>
      </c>
      <c r="F2135" s="15" t="s">
        <v>51</v>
      </c>
      <c r="G2135" s="14" t="s">
        <v>161</v>
      </c>
      <c r="H2135" s="14" t="s">
        <v>116</v>
      </c>
      <c r="I2135" s="14" t="s">
        <v>54</v>
      </c>
      <c r="J2135" s="14" t="s">
        <v>198</v>
      </c>
      <c r="K2135" s="14" t="s">
        <v>210</v>
      </c>
      <c r="L2135" s="14" t="s">
        <v>505</v>
      </c>
      <c r="M2135" s="14" t="s">
        <v>1475</v>
      </c>
      <c r="N2135" s="14" t="s">
        <v>1476</v>
      </c>
      <c r="O2135" s="14">
        <v>0.0</v>
      </c>
      <c r="P2135" s="21">
        <v>0.0</v>
      </c>
      <c r="Q2135" s="22" t="str">
        <f t="shared" si="1255"/>
        <v>+0</v>
      </c>
      <c r="R2135" s="18" t="str">
        <f>"+0"</f>
        <v>+0</v>
      </c>
      <c r="S2135" s="14" t="s">
        <v>277</v>
      </c>
    </row>
    <row r="2136">
      <c r="A2136" s="13">
        <v>45901.0</v>
      </c>
      <c r="B2136" s="14" t="s">
        <v>47</v>
      </c>
      <c r="C2136" s="14" t="s">
        <v>48</v>
      </c>
      <c r="D2136" s="14" t="s">
        <v>108</v>
      </c>
      <c r="E2136" s="14" t="s">
        <v>109</v>
      </c>
      <c r="F2136" s="14" t="s">
        <v>79</v>
      </c>
      <c r="G2136" s="14" t="s">
        <v>153</v>
      </c>
      <c r="H2136" s="14" t="s">
        <v>108</v>
      </c>
      <c r="I2136" s="14" t="s">
        <v>154</v>
      </c>
      <c r="J2136" s="14" t="s">
        <v>198</v>
      </c>
      <c r="K2136" s="14" t="s">
        <v>210</v>
      </c>
      <c r="L2136" s="14" t="s">
        <v>458</v>
      </c>
      <c r="M2136" s="14" t="s">
        <v>1655</v>
      </c>
      <c r="N2136" s="14" t="s">
        <v>1656</v>
      </c>
      <c r="O2136" s="14">
        <v>100.0</v>
      </c>
      <c r="P2136" s="21">
        <v>0.0</v>
      </c>
      <c r="Q2136" s="22" t="str">
        <f t="shared" si="1255"/>
        <v>+0</v>
      </c>
      <c r="S2136" s="14" t="s">
        <v>277</v>
      </c>
    </row>
    <row r="2137">
      <c r="A2137" s="13">
        <v>45901.0</v>
      </c>
      <c r="B2137" s="14" t="s">
        <v>47</v>
      </c>
      <c r="C2137" s="14" t="s">
        <v>48</v>
      </c>
      <c r="D2137" s="14" t="s">
        <v>140</v>
      </c>
      <c r="E2137" s="14" t="s">
        <v>141</v>
      </c>
      <c r="F2137" s="15" t="s">
        <v>51</v>
      </c>
      <c r="G2137" s="14" t="s">
        <v>142</v>
      </c>
      <c r="H2137" s="14" t="s">
        <v>140</v>
      </c>
      <c r="I2137" s="14" t="s">
        <v>59</v>
      </c>
      <c r="J2137" s="14" t="s">
        <v>199</v>
      </c>
      <c r="K2137" s="14" t="s">
        <v>203</v>
      </c>
      <c r="L2137" s="14" t="s">
        <v>601</v>
      </c>
      <c r="M2137" s="14" t="s">
        <v>601</v>
      </c>
      <c r="N2137" s="14" t="s">
        <v>602</v>
      </c>
      <c r="O2137" s="14">
        <v>0.0</v>
      </c>
      <c r="P2137" s="21">
        <v>0.0</v>
      </c>
      <c r="Q2137" s="22" t="str">
        <f t="shared" si="1255"/>
        <v>+0</v>
      </c>
      <c r="R2137" s="18" t="str">
        <f>"+0"</f>
        <v>+0</v>
      </c>
      <c r="S2137" s="14" t="s">
        <v>260</v>
      </c>
    </row>
    <row r="2138">
      <c r="A2138" s="13">
        <v>45901.0</v>
      </c>
      <c r="B2138" s="14" t="s">
        <v>47</v>
      </c>
      <c r="C2138" s="14" t="s">
        <v>48</v>
      </c>
      <c r="D2138" s="14" t="s">
        <v>56</v>
      </c>
      <c r="E2138" s="14" t="s">
        <v>57</v>
      </c>
      <c r="F2138" s="15" t="s">
        <v>51</v>
      </c>
      <c r="G2138" s="14" t="s">
        <v>58</v>
      </c>
      <c r="H2138" s="14" t="s">
        <v>56</v>
      </c>
      <c r="I2138" s="14" t="s">
        <v>59</v>
      </c>
      <c r="J2138" s="14" t="s">
        <v>200</v>
      </c>
      <c r="K2138" s="14" t="s">
        <v>223</v>
      </c>
      <c r="L2138" s="14" t="s">
        <v>286</v>
      </c>
      <c r="M2138" s="14" t="s">
        <v>979</v>
      </c>
      <c r="N2138" s="14" t="s">
        <v>980</v>
      </c>
      <c r="O2138" s="14">
        <v>48.0</v>
      </c>
      <c r="P2138" s="23">
        <v>0.48</v>
      </c>
      <c r="Q2138" s="22" t="str">
        <f>"-12.00%"</f>
        <v>-12.00%</v>
      </c>
      <c r="R2138" s="18" t="str">
        <f>"+2.17%"</f>
        <v>+2.17%</v>
      </c>
      <c r="S2138" s="14" t="s">
        <v>1712</v>
      </c>
    </row>
    <row r="2139">
      <c r="A2139" s="13">
        <v>45901.0</v>
      </c>
      <c r="B2139" s="14" t="s">
        <v>47</v>
      </c>
      <c r="C2139" s="14" t="s">
        <v>48</v>
      </c>
      <c r="D2139" s="14" t="s">
        <v>181</v>
      </c>
      <c r="E2139" s="14" t="s">
        <v>182</v>
      </c>
      <c r="F2139" s="15" t="s">
        <v>51</v>
      </c>
      <c r="G2139" s="14" t="s">
        <v>183</v>
      </c>
      <c r="H2139" s="14" t="s">
        <v>181</v>
      </c>
      <c r="I2139" s="14" t="s">
        <v>59</v>
      </c>
      <c r="J2139" s="14" t="s">
        <v>198</v>
      </c>
      <c r="K2139" s="14" t="s">
        <v>205</v>
      </c>
      <c r="L2139" s="14" t="s">
        <v>274</v>
      </c>
      <c r="M2139" s="14" t="s">
        <v>636</v>
      </c>
      <c r="N2139" s="14" t="s">
        <v>637</v>
      </c>
      <c r="O2139" s="14">
        <v>0.0</v>
      </c>
      <c r="P2139" s="21">
        <v>0.0</v>
      </c>
      <c r="Q2139" s="22" t="str">
        <f>"+0"</f>
        <v>+0</v>
      </c>
      <c r="S2139" s="14" t="s">
        <v>281</v>
      </c>
    </row>
    <row r="2140">
      <c r="A2140" s="13">
        <v>45901.0</v>
      </c>
      <c r="B2140" s="14" t="s">
        <v>47</v>
      </c>
      <c r="C2140" s="14" t="s">
        <v>48</v>
      </c>
      <c r="D2140" s="14" t="s">
        <v>168</v>
      </c>
      <c r="E2140" s="14" t="s">
        <v>169</v>
      </c>
      <c r="F2140" s="15" t="s">
        <v>51</v>
      </c>
      <c r="G2140" s="14" t="s">
        <v>170</v>
      </c>
      <c r="H2140" s="14" t="s">
        <v>168</v>
      </c>
      <c r="I2140" s="14" t="s">
        <v>59</v>
      </c>
      <c r="J2140" s="14" t="s">
        <v>200</v>
      </c>
      <c r="K2140" s="14" t="s">
        <v>213</v>
      </c>
      <c r="L2140" s="14" t="s">
        <v>440</v>
      </c>
      <c r="M2140" s="14" t="s">
        <v>510</v>
      </c>
      <c r="N2140" s="14" t="s">
        <v>511</v>
      </c>
      <c r="O2140" s="14">
        <v>0.0</v>
      </c>
      <c r="P2140" s="23">
        <v>0.0</v>
      </c>
      <c r="Q2140" s="22" t="str">
        <f t="shared" ref="Q2140:R2140" si="1256">"+0.00%"</f>
        <v>+0.00%</v>
      </c>
      <c r="R2140" s="18" t="str">
        <f t="shared" si="1256"/>
        <v>+0.00%</v>
      </c>
      <c r="S2140" s="14" t="s">
        <v>285</v>
      </c>
    </row>
    <row r="2141">
      <c r="A2141" s="13">
        <v>45901.0</v>
      </c>
      <c r="B2141" s="14" t="s">
        <v>47</v>
      </c>
      <c r="C2141" s="14" t="s">
        <v>48</v>
      </c>
      <c r="D2141" s="14" t="s">
        <v>63</v>
      </c>
      <c r="E2141" s="14" t="s">
        <v>64</v>
      </c>
      <c r="F2141" s="15" t="s">
        <v>51</v>
      </c>
      <c r="G2141" s="14" t="s">
        <v>65</v>
      </c>
      <c r="H2141" s="14" t="s">
        <v>63</v>
      </c>
      <c r="I2141" s="14" t="s">
        <v>54</v>
      </c>
      <c r="J2141" s="14" t="s">
        <v>199</v>
      </c>
      <c r="K2141" s="14" t="s">
        <v>206</v>
      </c>
      <c r="L2141" s="14" t="s">
        <v>433</v>
      </c>
      <c r="M2141" s="14" t="s">
        <v>433</v>
      </c>
      <c r="N2141" s="14" t="s">
        <v>434</v>
      </c>
      <c r="O2141" s="14">
        <v>100.0</v>
      </c>
      <c r="P2141" s="21">
        <v>47.0</v>
      </c>
      <c r="Q2141" s="22" t="str">
        <f>"+12"</f>
        <v>+12</v>
      </c>
      <c r="R2141" s="18" t="str">
        <f>"-12"</f>
        <v>-12</v>
      </c>
      <c r="S2141" s="14" t="s">
        <v>383</v>
      </c>
    </row>
    <row r="2142">
      <c r="A2142" s="13">
        <v>45901.0</v>
      </c>
      <c r="B2142" s="14" t="s">
        <v>47</v>
      </c>
      <c r="C2142" s="14" t="s">
        <v>48</v>
      </c>
      <c r="D2142" s="14" t="s">
        <v>118</v>
      </c>
      <c r="E2142" s="14" t="s">
        <v>119</v>
      </c>
      <c r="F2142" s="15" t="s">
        <v>51</v>
      </c>
      <c r="G2142" s="14" t="s">
        <v>120</v>
      </c>
      <c r="H2142" s="14" t="s">
        <v>118</v>
      </c>
      <c r="I2142" s="14" t="s">
        <v>59</v>
      </c>
      <c r="J2142" s="14" t="s">
        <v>200</v>
      </c>
      <c r="K2142" s="14" t="s">
        <v>209</v>
      </c>
      <c r="L2142" s="14" t="s">
        <v>253</v>
      </c>
      <c r="M2142" s="14" t="s">
        <v>402</v>
      </c>
      <c r="N2142" s="14" t="s">
        <v>403</v>
      </c>
      <c r="O2142" s="14">
        <v>1.0</v>
      </c>
      <c r="P2142" s="23">
        <v>0.0139</v>
      </c>
      <c r="Q2142" s="22" t="str">
        <f>"+0.01%"</f>
        <v>+0.01%</v>
      </c>
      <c r="R2142" s="18" t="str">
        <f>"+0.02%"</f>
        <v>+0.02%</v>
      </c>
      <c r="S2142" s="14" t="s">
        <v>1713</v>
      </c>
    </row>
    <row r="2143">
      <c r="A2143" s="13">
        <v>45901.0</v>
      </c>
      <c r="B2143" s="14" t="s">
        <v>47</v>
      </c>
      <c r="C2143" s="14" t="s">
        <v>48</v>
      </c>
      <c r="D2143" s="14" t="s">
        <v>192</v>
      </c>
      <c r="E2143" s="14" t="s">
        <v>193</v>
      </c>
      <c r="F2143" s="15" t="s">
        <v>51</v>
      </c>
      <c r="G2143" s="14" t="s">
        <v>194</v>
      </c>
      <c r="H2143" s="14" t="s">
        <v>192</v>
      </c>
      <c r="I2143" s="14" t="s">
        <v>54</v>
      </c>
      <c r="J2143" s="14" t="s">
        <v>200</v>
      </c>
      <c r="K2143" s="14" t="s">
        <v>223</v>
      </c>
      <c r="L2143" s="14" t="s">
        <v>607</v>
      </c>
      <c r="M2143" s="14" t="s">
        <v>886</v>
      </c>
      <c r="N2143" s="14" t="s">
        <v>887</v>
      </c>
      <c r="O2143" s="14">
        <v>0.0</v>
      </c>
      <c r="P2143" s="23">
        <v>0.0</v>
      </c>
      <c r="Q2143" s="22" t="str">
        <f t="shared" ref="Q2143:R2143" si="1257">"+0.00%"</f>
        <v>+0.00%</v>
      </c>
      <c r="R2143" s="18" t="str">
        <f t="shared" si="1257"/>
        <v>+0.00%</v>
      </c>
      <c r="S2143" s="14" t="s">
        <v>371</v>
      </c>
    </row>
    <row r="2144">
      <c r="A2144" s="13">
        <v>45901.0</v>
      </c>
      <c r="B2144" s="14" t="s">
        <v>47</v>
      </c>
      <c r="C2144" s="14" t="s">
        <v>48</v>
      </c>
      <c r="D2144" s="14" t="s">
        <v>184</v>
      </c>
      <c r="E2144" s="14" t="s">
        <v>185</v>
      </c>
      <c r="F2144" s="15" t="s">
        <v>51</v>
      </c>
      <c r="G2144" s="14" t="s">
        <v>186</v>
      </c>
      <c r="H2144" s="14" t="s">
        <v>187</v>
      </c>
      <c r="I2144" s="14" t="s">
        <v>59</v>
      </c>
      <c r="J2144" s="14" t="s">
        <v>199</v>
      </c>
      <c r="K2144" s="14" t="s">
        <v>206</v>
      </c>
      <c r="L2144" s="14" t="s">
        <v>295</v>
      </c>
      <c r="M2144" s="14" t="s">
        <v>296</v>
      </c>
      <c r="N2144" s="14" t="s">
        <v>297</v>
      </c>
      <c r="O2144" s="14">
        <v>0.0</v>
      </c>
      <c r="P2144" s="21">
        <v>0.0</v>
      </c>
      <c r="Q2144" s="22" t="str">
        <f t="shared" ref="Q2144:R2144" si="1258">"+0"</f>
        <v>+0</v>
      </c>
      <c r="R2144" s="18" t="str">
        <f t="shared" si="1258"/>
        <v>+0</v>
      </c>
      <c r="S2144" s="14" t="s">
        <v>260</v>
      </c>
    </row>
    <row r="2145">
      <c r="A2145" s="13">
        <v>45901.0</v>
      </c>
      <c r="B2145" s="14" t="s">
        <v>47</v>
      </c>
      <c r="C2145" s="14" t="s">
        <v>48</v>
      </c>
      <c r="D2145" s="14" t="s">
        <v>184</v>
      </c>
      <c r="E2145" s="14" t="s">
        <v>185</v>
      </c>
      <c r="F2145" s="15" t="s">
        <v>51</v>
      </c>
      <c r="G2145" s="14" t="s">
        <v>186</v>
      </c>
      <c r="H2145" s="14" t="s">
        <v>187</v>
      </c>
      <c r="I2145" s="14" t="s">
        <v>59</v>
      </c>
      <c r="J2145" s="14" t="s">
        <v>200</v>
      </c>
      <c r="K2145" s="14" t="s">
        <v>227</v>
      </c>
      <c r="L2145" s="14" t="s">
        <v>270</v>
      </c>
      <c r="M2145" s="14" t="s">
        <v>321</v>
      </c>
      <c r="N2145" s="14" t="s">
        <v>322</v>
      </c>
      <c r="O2145" s="14">
        <v>0.0</v>
      </c>
      <c r="P2145" s="23">
        <v>-1.0</v>
      </c>
      <c r="Q2145" s="22" t="str">
        <f>"-47.37%"</f>
        <v>-47.37%</v>
      </c>
      <c r="R2145" s="18" t="str">
        <f>"-41.18%"</f>
        <v>-41.18%</v>
      </c>
      <c r="S2145" s="14" t="s">
        <v>323</v>
      </c>
    </row>
    <row r="2146">
      <c r="A2146" s="13">
        <v>45901.0</v>
      </c>
      <c r="B2146" s="14" t="s">
        <v>47</v>
      </c>
      <c r="C2146" s="14" t="s">
        <v>48</v>
      </c>
      <c r="D2146" s="14" t="s">
        <v>82</v>
      </c>
      <c r="E2146" s="14" t="s">
        <v>83</v>
      </c>
      <c r="F2146" s="15" t="s">
        <v>51</v>
      </c>
      <c r="G2146" s="14" t="s">
        <v>84</v>
      </c>
      <c r="H2146" s="14" t="s">
        <v>82</v>
      </c>
      <c r="I2146" s="14" t="s">
        <v>59</v>
      </c>
      <c r="J2146" s="14" t="s">
        <v>198</v>
      </c>
      <c r="K2146" s="14" t="s">
        <v>205</v>
      </c>
      <c r="L2146" s="14" t="s">
        <v>274</v>
      </c>
      <c r="M2146" s="14" t="s">
        <v>473</v>
      </c>
      <c r="N2146" s="14" t="s">
        <v>474</v>
      </c>
      <c r="O2146" s="14">
        <v>50.0</v>
      </c>
      <c r="P2146" s="21">
        <v>15.0</v>
      </c>
      <c r="Q2146" s="22" t="str">
        <f t="shared" ref="Q2146:Q2148" si="1259">"+0"</f>
        <v>+0</v>
      </c>
      <c r="S2146" s="14" t="s">
        <v>475</v>
      </c>
    </row>
    <row r="2147">
      <c r="A2147" s="13">
        <v>45901.0</v>
      </c>
      <c r="B2147" s="14" t="s">
        <v>47</v>
      </c>
      <c r="C2147" s="14" t="s">
        <v>48</v>
      </c>
      <c r="D2147" s="14" t="s">
        <v>192</v>
      </c>
      <c r="E2147" s="14" t="s">
        <v>193</v>
      </c>
      <c r="F2147" s="15" t="s">
        <v>51</v>
      </c>
      <c r="G2147" s="14" t="s">
        <v>194</v>
      </c>
      <c r="H2147" s="14" t="s">
        <v>192</v>
      </c>
      <c r="I2147" s="14" t="s">
        <v>54</v>
      </c>
      <c r="J2147" s="14" t="s">
        <v>198</v>
      </c>
      <c r="K2147" s="14" t="s">
        <v>205</v>
      </c>
      <c r="L2147" s="14" t="s">
        <v>274</v>
      </c>
      <c r="M2147" s="14" t="s">
        <v>466</v>
      </c>
      <c r="N2147" s="14" t="s">
        <v>467</v>
      </c>
      <c r="O2147" s="14">
        <v>100.0</v>
      </c>
      <c r="P2147" s="21">
        <v>1.0</v>
      </c>
      <c r="Q2147" s="22" t="str">
        <f t="shared" si="1259"/>
        <v>+0</v>
      </c>
      <c r="S2147" s="14" t="s">
        <v>281</v>
      </c>
    </row>
    <row r="2148">
      <c r="A2148" s="13">
        <v>45901.0</v>
      </c>
      <c r="B2148" s="14" t="s">
        <v>47</v>
      </c>
      <c r="C2148" s="14" t="s">
        <v>48</v>
      </c>
      <c r="D2148" s="14" t="s">
        <v>73</v>
      </c>
      <c r="E2148" s="14" t="s">
        <v>74</v>
      </c>
      <c r="F2148" s="15" t="s">
        <v>51</v>
      </c>
      <c r="G2148" s="14" t="s">
        <v>75</v>
      </c>
      <c r="H2148" s="14" t="s">
        <v>76</v>
      </c>
      <c r="I2148" s="14" t="s">
        <v>59</v>
      </c>
      <c r="J2148" s="14" t="s">
        <v>200</v>
      </c>
      <c r="K2148" s="14" t="s">
        <v>227</v>
      </c>
      <c r="L2148" s="14" t="s">
        <v>270</v>
      </c>
      <c r="M2148" s="14" t="s">
        <v>400</v>
      </c>
      <c r="N2148" s="14" t="s">
        <v>401</v>
      </c>
      <c r="O2148" s="14">
        <v>0.0</v>
      </c>
      <c r="P2148" s="21">
        <v>0.0</v>
      </c>
      <c r="Q2148" s="22" t="str">
        <f t="shared" si="1259"/>
        <v>+0</v>
      </c>
      <c r="R2148" s="18" t="str">
        <f>"+0"</f>
        <v>+0</v>
      </c>
      <c r="S2148" s="14" t="s">
        <v>260</v>
      </c>
    </row>
    <row r="2149">
      <c r="A2149" s="13">
        <v>45901.0</v>
      </c>
      <c r="B2149" s="14" t="s">
        <v>47</v>
      </c>
      <c r="C2149" s="14" t="s">
        <v>48</v>
      </c>
      <c r="D2149" s="14" t="s">
        <v>132</v>
      </c>
      <c r="E2149" s="14" t="s">
        <v>133</v>
      </c>
      <c r="F2149" s="15" t="s">
        <v>51</v>
      </c>
      <c r="G2149" s="14" t="s">
        <v>134</v>
      </c>
      <c r="H2149" s="14" t="s">
        <v>135</v>
      </c>
      <c r="I2149" s="14" t="s">
        <v>59</v>
      </c>
      <c r="J2149" s="14" t="s">
        <v>200</v>
      </c>
      <c r="K2149" s="14" t="s">
        <v>201</v>
      </c>
      <c r="L2149" s="14" t="s">
        <v>253</v>
      </c>
      <c r="M2149" s="14" t="s">
        <v>585</v>
      </c>
      <c r="N2149" s="14" t="s">
        <v>586</v>
      </c>
      <c r="O2149" s="14">
        <v>1.0</v>
      </c>
      <c r="P2149" s="23">
        <v>7.0E-4</v>
      </c>
      <c r="Q2149" s="22" t="str">
        <f>"-0.02%"</f>
        <v>-0.02%</v>
      </c>
      <c r="R2149" s="18" t="str">
        <f>"-0.01%"</f>
        <v>-0.01%</v>
      </c>
      <c r="S2149" s="14" t="s">
        <v>1156</v>
      </c>
    </row>
    <row r="2150">
      <c r="A2150" s="13">
        <v>45901.0</v>
      </c>
      <c r="B2150" s="14" t="s">
        <v>47</v>
      </c>
      <c r="C2150" s="14" t="s">
        <v>48</v>
      </c>
      <c r="D2150" s="14" t="s">
        <v>103</v>
      </c>
      <c r="E2150" s="14" t="s">
        <v>104</v>
      </c>
      <c r="F2150" s="15" t="s">
        <v>51</v>
      </c>
      <c r="G2150" s="14" t="s">
        <v>105</v>
      </c>
      <c r="H2150" s="14" t="s">
        <v>106</v>
      </c>
      <c r="I2150" s="14" t="s">
        <v>59</v>
      </c>
      <c r="J2150" s="14" t="s">
        <v>200</v>
      </c>
      <c r="K2150" s="14" t="s">
        <v>232</v>
      </c>
      <c r="L2150" s="14" t="s">
        <v>487</v>
      </c>
      <c r="M2150" s="14" t="s">
        <v>962</v>
      </c>
      <c r="N2150" s="14" t="s">
        <v>963</v>
      </c>
      <c r="O2150" s="14">
        <v>0.0</v>
      </c>
      <c r="P2150" s="23">
        <v>0.0</v>
      </c>
      <c r="Q2150" s="22" t="str">
        <f t="shared" ref="Q2150:R2150" si="1260">"+0.00%"</f>
        <v>+0.00%</v>
      </c>
      <c r="R2150" s="18" t="str">
        <f t="shared" si="1260"/>
        <v>+0.00%</v>
      </c>
      <c r="S2150" s="14" t="s">
        <v>285</v>
      </c>
    </row>
    <row r="2151">
      <c r="A2151" s="13">
        <v>45901.0</v>
      </c>
      <c r="B2151" s="14" t="s">
        <v>47</v>
      </c>
      <c r="C2151" s="14" t="s">
        <v>48</v>
      </c>
      <c r="D2151" s="14" t="s">
        <v>103</v>
      </c>
      <c r="E2151" s="14" t="s">
        <v>104</v>
      </c>
      <c r="F2151" s="15" t="s">
        <v>51</v>
      </c>
      <c r="G2151" s="14" t="s">
        <v>105</v>
      </c>
      <c r="H2151" s="14" t="s">
        <v>106</v>
      </c>
      <c r="I2151" s="14" t="s">
        <v>59</v>
      </c>
      <c r="J2151" s="14" t="s">
        <v>199</v>
      </c>
      <c r="K2151" s="14" t="s">
        <v>203</v>
      </c>
      <c r="L2151" s="14" t="s">
        <v>725</v>
      </c>
      <c r="M2151" s="14" t="s">
        <v>725</v>
      </c>
      <c r="N2151" s="14" t="s">
        <v>726</v>
      </c>
      <c r="O2151" s="14">
        <v>0.0</v>
      </c>
      <c r="P2151" s="21">
        <v>0.0</v>
      </c>
      <c r="Q2151" s="22" t="str">
        <f t="shared" ref="Q2151:R2151" si="1261">"+0"</f>
        <v>+0</v>
      </c>
      <c r="R2151" s="18" t="str">
        <f t="shared" si="1261"/>
        <v>+0</v>
      </c>
      <c r="S2151" s="14" t="s">
        <v>260</v>
      </c>
    </row>
    <row r="2152">
      <c r="A2152" s="13">
        <v>45901.0</v>
      </c>
      <c r="B2152" s="14" t="s">
        <v>47</v>
      </c>
      <c r="C2152" s="14" t="s">
        <v>48</v>
      </c>
      <c r="D2152" s="14" t="s">
        <v>132</v>
      </c>
      <c r="E2152" s="14" t="s">
        <v>133</v>
      </c>
      <c r="F2152" s="15" t="s">
        <v>51</v>
      </c>
      <c r="G2152" s="14" t="s">
        <v>134</v>
      </c>
      <c r="H2152" s="14" t="s">
        <v>135</v>
      </c>
      <c r="I2152" s="14" t="s">
        <v>59</v>
      </c>
      <c r="J2152" s="14" t="s">
        <v>199</v>
      </c>
      <c r="K2152" s="14" t="s">
        <v>206</v>
      </c>
      <c r="L2152" s="14" t="s">
        <v>295</v>
      </c>
      <c r="M2152" s="14" t="s">
        <v>529</v>
      </c>
      <c r="N2152" s="14" t="s">
        <v>530</v>
      </c>
      <c r="O2152" s="14">
        <v>0.0</v>
      </c>
      <c r="P2152" s="21">
        <v>0.0</v>
      </c>
      <c r="Q2152" s="22" t="str">
        <f t="shared" ref="Q2152:R2152" si="1262">"+0"</f>
        <v>+0</v>
      </c>
      <c r="R2152" s="18" t="str">
        <f t="shared" si="1262"/>
        <v>+0</v>
      </c>
      <c r="S2152" s="14" t="s">
        <v>260</v>
      </c>
    </row>
    <row r="2153">
      <c r="A2153" s="13">
        <v>45901.0</v>
      </c>
      <c r="B2153" s="14" t="s">
        <v>47</v>
      </c>
      <c r="C2153" s="14" t="s">
        <v>48</v>
      </c>
      <c r="D2153" s="14" t="s">
        <v>171</v>
      </c>
      <c r="E2153" s="14" t="s">
        <v>172</v>
      </c>
      <c r="F2153" s="15" t="s">
        <v>51</v>
      </c>
      <c r="G2153" s="14" t="s">
        <v>173</v>
      </c>
      <c r="H2153" s="14" t="s">
        <v>171</v>
      </c>
      <c r="I2153" s="14" t="s">
        <v>59</v>
      </c>
      <c r="J2153" s="14" t="s">
        <v>198</v>
      </c>
      <c r="K2153" s="14" t="s">
        <v>207</v>
      </c>
      <c r="L2153" s="14" t="s">
        <v>318</v>
      </c>
      <c r="M2153" s="14" t="s">
        <v>319</v>
      </c>
      <c r="N2153" s="14" t="s">
        <v>320</v>
      </c>
      <c r="O2153" s="14">
        <v>0.0</v>
      </c>
      <c r="P2153" s="21">
        <v>0.0</v>
      </c>
      <c r="Q2153" s="22" t="str">
        <f>"+0"</f>
        <v>+0</v>
      </c>
      <c r="S2153" s="14" t="s">
        <v>281</v>
      </c>
    </row>
    <row r="2154">
      <c r="A2154" s="13">
        <v>45901.0</v>
      </c>
      <c r="B2154" s="14" t="s">
        <v>47</v>
      </c>
      <c r="C2154" s="14" t="s">
        <v>48</v>
      </c>
      <c r="D2154" s="14" t="s">
        <v>149</v>
      </c>
      <c r="E2154" s="14" t="s">
        <v>150</v>
      </c>
      <c r="F2154" s="15" t="s">
        <v>51</v>
      </c>
      <c r="G2154" s="14" t="s">
        <v>151</v>
      </c>
      <c r="H2154" s="14" t="s">
        <v>152</v>
      </c>
      <c r="I2154" s="14" t="s">
        <v>54</v>
      </c>
      <c r="J2154" s="14" t="s">
        <v>200</v>
      </c>
      <c r="K2154" s="14" t="s">
        <v>211</v>
      </c>
      <c r="L2154" s="14" t="s">
        <v>889</v>
      </c>
      <c r="M2154" s="14" t="s">
        <v>928</v>
      </c>
      <c r="N2154" s="14" t="s">
        <v>929</v>
      </c>
      <c r="O2154" s="14">
        <v>30.0</v>
      </c>
      <c r="P2154" s="23">
        <v>-0.3839</v>
      </c>
      <c r="Q2154" s="22" t="str">
        <f>"-23.50%"</f>
        <v>-23.50%</v>
      </c>
      <c r="R2154" s="18" t="str">
        <f>"-36.14%"</f>
        <v>-36.14%</v>
      </c>
      <c r="S2154" s="14" t="s">
        <v>336</v>
      </c>
    </row>
    <row r="2155">
      <c r="A2155" s="13">
        <v>45901.0</v>
      </c>
      <c r="B2155" s="14" t="s">
        <v>47</v>
      </c>
      <c r="C2155" s="14" t="s">
        <v>48</v>
      </c>
      <c r="D2155" s="14" t="s">
        <v>85</v>
      </c>
      <c r="E2155" s="14" t="s">
        <v>86</v>
      </c>
      <c r="F2155" s="14" t="s">
        <v>146</v>
      </c>
      <c r="G2155" s="14" t="s">
        <v>162</v>
      </c>
      <c r="H2155" s="14" t="s">
        <v>85</v>
      </c>
      <c r="I2155" s="14" t="s">
        <v>107</v>
      </c>
      <c r="J2155" s="14" t="s">
        <v>199</v>
      </c>
      <c r="K2155" s="14" t="s">
        <v>208</v>
      </c>
      <c r="L2155" s="14" t="s">
        <v>412</v>
      </c>
      <c r="M2155" s="14" t="s">
        <v>412</v>
      </c>
      <c r="N2155" s="14" t="s">
        <v>413</v>
      </c>
      <c r="O2155" s="14">
        <v>0.0</v>
      </c>
      <c r="P2155" s="21">
        <v>0.0</v>
      </c>
      <c r="Q2155" s="22" t="str">
        <f t="shared" ref="Q2155:R2155" si="1263">"+0"</f>
        <v>+0</v>
      </c>
      <c r="R2155" s="18" t="str">
        <f t="shared" si="1263"/>
        <v>+0</v>
      </c>
      <c r="S2155" s="14" t="s">
        <v>260</v>
      </c>
    </row>
    <row r="2156">
      <c r="A2156" s="13">
        <v>45901.0</v>
      </c>
      <c r="B2156" s="14" t="s">
        <v>47</v>
      </c>
      <c r="C2156" s="14" t="s">
        <v>48</v>
      </c>
      <c r="D2156" s="14" t="s">
        <v>108</v>
      </c>
      <c r="E2156" s="14" t="s">
        <v>109</v>
      </c>
      <c r="F2156" s="14" t="s">
        <v>79</v>
      </c>
      <c r="G2156" s="14" t="s">
        <v>153</v>
      </c>
      <c r="H2156" s="14" t="s">
        <v>108</v>
      </c>
      <c r="I2156" s="14" t="s">
        <v>154</v>
      </c>
      <c r="J2156" s="14" t="s">
        <v>200</v>
      </c>
      <c r="K2156" s="14" t="s">
        <v>237</v>
      </c>
      <c r="L2156" s="14" t="s">
        <v>333</v>
      </c>
      <c r="M2156" s="14" t="s">
        <v>1714</v>
      </c>
      <c r="N2156" s="14" t="s">
        <v>1715</v>
      </c>
      <c r="O2156" s="14">
        <v>0.0</v>
      </c>
      <c r="P2156" s="21">
        <v>0.0</v>
      </c>
      <c r="Q2156" s="22" t="str">
        <f>"+0"</f>
        <v>+0</v>
      </c>
      <c r="S2156" s="14" t="s">
        <v>260</v>
      </c>
    </row>
    <row r="2157">
      <c r="A2157" s="13">
        <v>45901.0</v>
      </c>
      <c r="B2157" s="14" t="s">
        <v>47</v>
      </c>
      <c r="C2157" s="14" t="s">
        <v>48</v>
      </c>
      <c r="D2157" s="14" t="s">
        <v>116</v>
      </c>
      <c r="E2157" s="14" t="s">
        <v>117</v>
      </c>
      <c r="F2157" s="15" t="s">
        <v>51</v>
      </c>
      <c r="G2157" s="14" t="s">
        <v>161</v>
      </c>
      <c r="H2157" s="14" t="s">
        <v>116</v>
      </c>
      <c r="I2157" s="14" t="s">
        <v>54</v>
      </c>
      <c r="J2157" s="14" t="s">
        <v>200</v>
      </c>
      <c r="K2157" s="14" t="s">
        <v>224</v>
      </c>
      <c r="L2157" s="14" t="s">
        <v>964</v>
      </c>
      <c r="M2157" s="14" t="s">
        <v>1288</v>
      </c>
      <c r="N2157" s="14" t="s">
        <v>1289</v>
      </c>
      <c r="O2157" s="14">
        <v>0.0</v>
      </c>
      <c r="P2157" s="23">
        <v>0.0</v>
      </c>
      <c r="Q2157" s="22"/>
      <c r="S2157" s="14" t="s">
        <v>1716</v>
      </c>
    </row>
    <row r="2158">
      <c r="A2158" s="13">
        <v>45901.0</v>
      </c>
      <c r="B2158" s="14" t="s">
        <v>47</v>
      </c>
      <c r="C2158" s="14" t="s">
        <v>48</v>
      </c>
      <c r="D2158" s="14" t="s">
        <v>158</v>
      </c>
      <c r="E2158" s="14" t="s">
        <v>159</v>
      </c>
      <c r="F2158" s="15" t="s">
        <v>51</v>
      </c>
      <c r="G2158" s="14" t="s">
        <v>160</v>
      </c>
      <c r="H2158" s="14" t="s">
        <v>158</v>
      </c>
      <c r="I2158" s="14" t="s">
        <v>54</v>
      </c>
      <c r="J2158" s="14" t="s">
        <v>198</v>
      </c>
      <c r="K2158" s="14" t="s">
        <v>212</v>
      </c>
      <c r="L2158" s="14" t="s">
        <v>249</v>
      </c>
      <c r="M2158" s="14" t="s">
        <v>604</v>
      </c>
      <c r="N2158" s="14" t="s">
        <v>605</v>
      </c>
      <c r="O2158" s="14">
        <v>0.0</v>
      </c>
      <c r="P2158" s="21">
        <v>0.0</v>
      </c>
      <c r="Q2158" s="22" t="str">
        <f t="shared" ref="Q2158:R2158" si="1264">"+0"</f>
        <v>+0</v>
      </c>
      <c r="R2158" s="18" t="str">
        <f t="shared" si="1264"/>
        <v>+0</v>
      </c>
      <c r="S2158" s="14" t="s">
        <v>277</v>
      </c>
    </row>
    <row r="2159">
      <c r="A2159" s="13">
        <v>45901.0</v>
      </c>
      <c r="B2159" s="14" t="s">
        <v>47</v>
      </c>
      <c r="C2159" s="14" t="s">
        <v>48</v>
      </c>
      <c r="D2159" s="14" t="s">
        <v>60</v>
      </c>
      <c r="E2159" s="14" t="s">
        <v>61</v>
      </c>
      <c r="F2159" s="15" t="s">
        <v>51</v>
      </c>
      <c r="G2159" s="14" t="s">
        <v>62</v>
      </c>
      <c r="H2159" s="14" t="s">
        <v>60</v>
      </c>
      <c r="I2159" s="14" t="s">
        <v>59</v>
      </c>
      <c r="J2159" s="14" t="s">
        <v>200</v>
      </c>
      <c r="K2159" s="14" t="s">
        <v>223</v>
      </c>
      <c r="L2159" s="14" t="s">
        <v>422</v>
      </c>
      <c r="M2159" s="14" t="s">
        <v>1197</v>
      </c>
      <c r="N2159" s="14" t="s">
        <v>1198</v>
      </c>
      <c r="O2159" s="14">
        <v>100.0</v>
      </c>
      <c r="P2159" s="23">
        <v>0.2549</v>
      </c>
      <c r="Q2159" s="22" t="str">
        <f>"+1.17%"</f>
        <v>+1.17%</v>
      </c>
      <c r="R2159" s="18" t="str">
        <f>"-2.29%"</f>
        <v>-2.29%</v>
      </c>
      <c r="S2159" s="14" t="s">
        <v>285</v>
      </c>
    </row>
    <row r="2160">
      <c r="A2160" s="13">
        <v>45901.0</v>
      </c>
      <c r="B2160" s="14" t="s">
        <v>47</v>
      </c>
      <c r="C2160" s="14" t="s">
        <v>48</v>
      </c>
      <c r="D2160" s="14" t="s">
        <v>56</v>
      </c>
      <c r="E2160" s="14" t="s">
        <v>57</v>
      </c>
      <c r="F2160" s="14" t="s">
        <v>71</v>
      </c>
      <c r="G2160" s="14">
        <v>5.36003976E8</v>
      </c>
      <c r="H2160" s="14" t="s">
        <v>56</v>
      </c>
      <c r="I2160" s="14" t="s">
        <v>59</v>
      </c>
      <c r="J2160" s="14" t="s">
        <v>199</v>
      </c>
      <c r="K2160" s="14" t="s">
        <v>203</v>
      </c>
      <c r="L2160" s="14" t="s">
        <v>431</v>
      </c>
      <c r="M2160" s="14" t="s">
        <v>431</v>
      </c>
      <c r="N2160" s="14" t="s">
        <v>432</v>
      </c>
      <c r="O2160" s="14">
        <v>0.0</v>
      </c>
      <c r="P2160" s="21">
        <v>0.0</v>
      </c>
      <c r="Q2160" s="22" t="str">
        <f t="shared" ref="Q2160:R2160" si="1265">"+0"</f>
        <v>+0</v>
      </c>
      <c r="R2160" s="18" t="str">
        <f t="shared" si="1265"/>
        <v>+0</v>
      </c>
      <c r="S2160" s="14" t="s">
        <v>260</v>
      </c>
    </row>
    <row r="2161">
      <c r="A2161" s="13">
        <v>45901.0</v>
      </c>
      <c r="B2161" s="14" t="s">
        <v>47</v>
      </c>
      <c r="C2161" s="14" t="s">
        <v>48</v>
      </c>
      <c r="D2161" s="14" t="s">
        <v>121</v>
      </c>
      <c r="E2161" s="14" t="s">
        <v>122</v>
      </c>
      <c r="F2161" s="15" t="s">
        <v>51</v>
      </c>
      <c r="G2161" s="14" t="s">
        <v>123</v>
      </c>
      <c r="H2161" s="14" t="s">
        <v>124</v>
      </c>
      <c r="I2161" s="14" t="s">
        <v>59</v>
      </c>
      <c r="J2161" s="14" t="s">
        <v>200</v>
      </c>
      <c r="K2161" s="14" t="s">
        <v>202</v>
      </c>
      <c r="L2161" s="14" t="s">
        <v>253</v>
      </c>
      <c r="M2161" s="14" t="s">
        <v>347</v>
      </c>
      <c r="N2161" s="14" t="s">
        <v>348</v>
      </c>
      <c r="O2161" s="14">
        <v>13.0</v>
      </c>
      <c r="P2161" s="23">
        <v>0.1429</v>
      </c>
      <c r="Q2161" s="22" t="str">
        <f>"+14.29%"</f>
        <v>+14.29%</v>
      </c>
      <c r="R2161" s="18" t="str">
        <f>"+0.00%"</f>
        <v>+0.00%</v>
      </c>
      <c r="S2161" s="14" t="s">
        <v>1717</v>
      </c>
    </row>
    <row r="2162">
      <c r="A2162" s="13">
        <v>45901.0</v>
      </c>
      <c r="B2162" s="14" t="s">
        <v>47</v>
      </c>
      <c r="C2162" s="14" t="s">
        <v>48</v>
      </c>
      <c r="D2162" s="14" t="s">
        <v>56</v>
      </c>
      <c r="E2162" s="14" t="s">
        <v>57</v>
      </c>
      <c r="F2162" s="15" t="s">
        <v>51</v>
      </c>
      <c r="G2162" s="14" t="s">
        <v>58</v>
      </c>
      <c r="H2162" s="14" t="s">
        <v>56</v>
      </c>
      <c r="I2162" s="14" t="s">
        <v>59</v>
      </c>
      <c r="J2162" s="14" t="s">
        <v>200</v>
      </c>
      <c r="K2162" s="14" t="s">
        <v>223</v>
      </c>
      <c r="L2162" s="14" t="s">
        <v>363</v>
      </c>
      <c r="M2162" s="14" t="s">
        <v>842</v>
      </c>
      <c r="N2162" s="14" t="s">
        <v>843</v>
      </c>
      <c r="O2162" s="14">
        <v>100.0</v>
      </c>
      <c r="P2162" s="21">
        <v>19.0</v>
      </c>
      <c r="Q2162" s="22" t="str">
        <f t="shared" ref="Q2162:R2162" si="1266">"+0"</f>
        <v>+0</v>
      </c>
      <c r="R2162" s="18" t="str">
        <f t="shared" si="1266"/>
        <v>+0</v>
      </c>
      <c r="S2162" s="14" t="s">
        <v>260</v>
      </c>
    </row>
    <row r="2163">
      <c r="A2163" s="13">
        <v>45901.0</v>
      </c>
      <c r="B2163" s="14" t="s">
        <v>47</v>
      </c>
      <c r="C2163" s="14" t="s">
        <v>48</v>
      </c>
      <c r="D2163" s="14" t="s">
        <v>60</v>
      </c>
      <c r="E2163" s="14" t="s">
        <v>61</v>
      </c>
      <c r="F2163" s="15" t="s">
        <v>51</v>
      </c>
      <c r="G2163" s="14" t="s">
        <v>62</v>
      </c>
      <c r="H2163" s="14" t="s">
        <v>60</v>
      </c>
      <c r="I2163" s="14" t="s">
        <v>59</v>
      </c>
      <c r="J2163" s="14" t="s">
        <v>200</v>
      </c>
      <c r="K2163" s="14" t="s">
        <v>227</v>
      </c>
      <c r="L2163" s="14" t="s">
        <v>253</v>
      </c>
      <c r="M2163" s="14" t="s">
        <v>254</v>
      </c>
      <c r="N2163" s="14" t="s">
        <v>255</v>
      </c>
      <c r="O2163" s="14">
        <v>0.0</v>
      </c>
      <c r="P2163" s="23">
        <v>0.0</v>
      </c>
      <c r="Q2163" s="22" t="str">
        <f t="shared" ref="Q2163:R2163" si="1267">"+0.00%"</f>
        <v>+0.00%</v>
      </c>
      <c r="R2163" s="18" t="str">
        <f t="shared" si="1267"/>
        <v>+0.00%</v>
      </c>
      <c r="S2163" s="14" t="s">
        <v>1680</v>
      </c>
    </row>
    <row r="2164">
      <c r="A2164" s="13">
        <v>45901.0</v>
      </c>
      <c r="B2164" s="14" t="s">
        <v>47</v>
      </c>
      <c r="C2164" s="14" t="s">
        <v>48</v>
      </c>
      <c r="D2164" s="14" t="s">
        <v>49</v>
      </c>
      <c r="E2164" s="14" t="s">
        <v>50</v>
      </c>
      <c r="F2164" s="15" t="s">
        <v>51</v>
      </c>
      <c r="G2164" s="14" t="s">
        <v>52</v>
      </c>
      <c r="H2164" s="14" t="s">
        <v>53</v>
      </c>
      <c r="I2164" s="14" t="s">
        <v>54</v>
      </c>
      <c r="J2164" s="14" t="s">
        <v>198</v>
      </c>
      <c r="K2164" s="14" t="s">
        <v>210</v>
      </c>
      <c r="L2164" s="14" t="s">
        <v>278</v>
      </c>
      <c r="M2164" s="14" t="s">
        <v>947</v>
      </c>
      <c r="N2164" s="14" t="s">
        <v>948</v>
      </c>
      <c r="O2164" s="14">
        <v>0.0</v>
      </c>
      <c r="P2164" s="21">
        <v>0.0</v>
      </c>
      <c r="Q2164" s="22" t="str">
        <f t="shared" ref="Q2164:R2164" si="1268">"+0"</f>
        <v>+0</v>
      </c>
      <c r="R2164" s="18" t="str">
        <f t="shared" si="1268"/>
        <v>+0</v>
      </c>
      <c r="S2164" s="14" t="s">
        <v>277</v>
      </c>
    </row>
    <row r="2165">
      <c r="A2165" s="13">
        <v>45901.0</v>
      </c>
      <c r="B2165" s="14" t="s">
        <v>47</v>
      </c>
      <c r="C2165" s="14" t="s">
        <v>48</v>
      </c>
      <c r="D2165" s="14" t="s">
        <v>49</v>
      </c>
      <c r="E2165" s="14" t="s">
        <v>50</v>
      </c>
      <c r="F2165" s="15" t="s">
        <v>51</v>
      </c>
      <c r="G2165" s="14" t="s">
        <v>52</v>
      </c>
      <c r="H2165" s="14" t="s">
        <v>53</v>
      </c>
      <c r="I2165" s="14" t="s">
        <v>54</v>
      </c>
      <c r="J2165" s="14" t="s">
        <v>198</v>
      </c>
      <c r="K2165" s="14" t="s">
        <v>212</v>
      </c>
      <c r="L2165" s="14" t="s">
        <v>249</v>
      </c>
      <c r="M2165" s="14" t="s">
        <v>250</v>
      </c>
      <c r="N2165" s="14" t="s">
        <v>251</v>
      </c>
      <c r="O2165" s="14">
        <v>0.0</v>
      </c>
      <c r="P2165" s="21">
        <v>2.40296326E8</v>
      </c>
      <c r="Q2165" s="22" t="str">
        <f>"+15,650,447"</f>
        <v>+15,650,447</v>
      </c>
      <c r="R2165" s="18" t="str">
        <f>"-239,106,912"</f>
        <v>-239,106,912</v>
      </c>
      <c r="S2165" s="14" t="s">
        <v>1718</v>
      </c>
    </row>
    <row r="2166">
      <c r="A2166" s="13">
        <v>45901.0</v>
      </c>
      <c r="B2166" s="14" t="s">
        <v>47</v>
      </c>
      <c r="C2166" s="14" t="s">
        <v>48</v>
      </c>
      <c r="D2166" s="14" t="s">
        <v>91</v>
      </c>
      <c r="E2166" s="14" t="s">
        <v>92</v>
      </c>
      <c r="F2166" s="15" t="s">
        <v>51</v>
      </c>
      <c r="G2166" s="14" t="s">
        <v>163</v>
      </c>
      <c r="H2166" s="14" t="s">
        <v>91</v>
      </c>
      <c r="I2166" s="14" t="s">
        <v>59</v>
      </c>
      <c r="J2166" s="14" t="s">
        <v>200</v>
      </c>
      <c r="K2166" s="14" t="s">
        <v>227</v>
      </c>
      <c r="L2166" s="14" t="s">
        <v>253</v>
      </c>
      <c r="M2166" s="14" t="s">
        <v>811</v>
      </c>
      <c r="N2166" s="14" t="s">
        <v>812</v>
      </c>
      <c r="O2166" s="14">
        <v>100.0</v>
      </c>
      <c r="P2166" s="23">
        <v>1.0</v>
      </c>
      <c r="Q2166" s="22" t="str">
        <f t="shared" ref="Q2166:R2166" si="1269">"+0.00%"</f>
        <v>+0.00%</v>
      </c>
      <c r="R2166" s="18" t="str">
        <f t="shared" si="1269"/>
        <v>+0.00%</v>
      </c>
      <c r="S2166" s="14" t="s">
        <v>813</v>
      </c>
    </row>
    <row r="2167">
      <c r="A2167" s="13">
        <v>45901.0</v>
      </c>
      <c r="B2167" s="14" t="s">
        <v>47</v>
      </c>
      <c r="C2167" s="14" t="s">
        <v>48</v>
      </c>
      <c r="D2167" s="14" t="s">
        <v>91</v>
      </c>
      <c r="E2167" s="14" t="s">
        <v>92</v>
      </c>
      <c r="F2167" s="14" t="s">
        <v>71</v>
      </c>
      <c r="G2167" s="14">
        <v>5.00008343E8</v>
      </c>
      <c r="H2167" s="14" t="s">
        <v>91</v>
      </c>
      <c r="I2167" s="14" t="s">
        <v>59</v>
      </c>
      <c r="J2167" s="14" t="s">
        <v>199</v>
      </c>
      <c r="K2167" s="14" t="s">
        <v>203</v>
      </c>
      <c r="L2167" s="14" t="s">
        <v>342</v>
      </c>
      <c r="M2167" s="14" t="s">
        <v>342</v>
      </c>
      <c r="N2167" s="14" t="s">
        <v>343</v>
      </c>
      <c r="O2167" s="14">
        <v>100.0</v>
      </c>
      <c r="P2167" s="21">
        <v>163.0</v>
      </c>
      <c r="Q2167" s="22" t="str">
        <f t="shared" ref="Q2167:R2167" si="1270">"+0"</f>
        <v>+0</v>
      </c>
      <c r="R2167" s="18" t="str">
        <f t="shared" si="1270"/>
        <v>+0</v>
      </c>
      <c r="S2167" s="14" t="s">
        <v>260</v>
      </c>
    </row>
    <row r="2168">
      <c r="A2168" s="13">
        <v>45901.0</v>
      </c>
      <c r="B2168" s="14" t="s">
        <v>47</v>
      </c>
      <c r="C2168" s="14" t="s">
        <v>48</v>
      </c>
      <c r="D2168" s="14" t="s">
        <v>63</v>
      </c>
      <c r="E2168" s="14" t="s">
        <v>64</v>
      </c>
      <c r="F2168" s="15" t="s">
        <v>51</v>
      </c>
      <c r="G2168" s="14" t="s">
        <v>65</v>
      </c>
      <c r="H2168" s="14" t="s">
        <v>63</v>
      </c>
      <c r="I2168" s="14" t="s">
        <v>54</v>
      </c>
      <c r="J2168" s="14" t="s">
        <v>198</v>
      </c>
      <c r="K2168" s="14" t="s">
        <v>210</v>
      </c>
      <c r="L2168" s="14" t="s">
        <v>278</v>
      </c>
      <c r="M2168" s="14" t="s">
        <v>839</v>
      </c>
      <c r="N2168" s="14" t="s">
        <v>840</v>
      </c>
      <c r="O2168" s="14">
        <v>24.0</v>
      </c>
      <c r="P2168" s="21">
        <v>1947.0</v>
      </c>
      <c r="Q2168" s="22" t="str">
        <f>"-78"</f>
        <v>-78</v>
      </c>
      <c r="R2168" s="18" t="str">
        <f>"-231"</f>
        <v>-231</v>
      </c>
      <c r="S2168" s="14" t="s">
        <v>1719</v>
      </c>
    </row>
    <row r="2169">
      <c r="A2169" s="13">
        <v>45901.0</v>
      </c>
      <c r="B2169" s="14" t="s">
        <v>47</v>
      </c>
      <c r="C2169" s="14" t="s">
        <v>48</v>
      </c>
      <c r="D2169" s="14" t="s">
        <v>129</v>
      </c>
      <c r="E2169" s="14" t="s">
        <v>130</v>
      </c>
      <c r="F2169" s="15" t="s">
        <v>51</v>
      </c>
      <c r="G2169" s="14" t="s">
        <v>131</v>
      </c>
      <c r="H2169" s="14" t="s">
        <v>129</v>
      </c>
      <c r="I2169" s="14" t="s">
        <v>59</v>
      </c>
      <c r="J2169" s="14" t="s">
        <v>199</v>
      </c>
      <c r="K2169" s="14" t="s">
        <v>206</v>
      </c>
      <c r="L2169" s="14" t="s">
        <v>433</v>
      </c>
      <c r="M2169" s="14" t="s">
        <v>433</v>
      </c>
      <c r="N2169" s="14" t="s">
        <v>434</v>
      </c>
      <c r="O2169" s="14">
        <v>100.0</v>
      </c>
      <c r="P2169" s="21">
        <v>5.0</v>
      </c>
      <c r="Q2169" s="22" t="str">
        <f>"-1"</f>
        <v>-1</v>
      </c>
      <c r="R2169" s="18" t="str">
        <f>"+4"</f>
        <v>+4</v>
      </c>
      <c r="S2169" s="14" t="s">
        <v>383</v>
      </c>
    </row>
    <row r="2170">
      <c r="A2170" s="13">
        <v>45901.0</v>
      </c>
      <c r="B2170" s="14" t="s">
        <v>47</v>
      </c>
      <c r="C2170" s="14" t="s">
        <v>48</v>
      </c>
      <c r="D2170" s="14" t="s">
        <v>108</v>
      </c>
      <c r="E2170" s="14" t="s">
        <v>109</v>
      </c>
      <c r="F2170" s="14" t="s">
        <v>79</v>
      </c>
      <c r="G2170" s="14" t="s">
        <v>153</v>
      </c>
      <c r="H2170" s="14" t="s">
        <v>108</v>
      </c>
      <c r="I2170" s="14" t="s">
        <v>154</v>
      </c>
      <c r="J2170" s="14" t="s">
        <v>200</v>
      </c>
      <c r="K2170" s="14" t="s">
        <v>237</v>
      </c>
      <c r="L2170" s="14" t="s">
        <v>253</v>
      </c>
      <c r="M2170" s="14" t="s">
        <v>1720</v>
      </c>
      <c r="N2170" s="14" t="s">
        <v>1721</v>
      </c>
      <c r="O2170" s="14">
        <v>1.0</v>
      </c>
      <c r="P2170" s="23">
        <v>0.0167</v>
      </c>
      <c r="Q2170" s="22" t="str">
        <f>"-8.33%"</f>
        <v>-8.33%</v>
      </c>
      <c r="S2170" s="14" t="s">
        <v>1722</v>
      </c>
    </row>
    <row r="2171">
      <c r="A2171" s="13">
        <v>45901.0</v>
      </c>
      <c r="B2171" s="14" t="s">
        <v>47</v>
      </c>
      <c r="C2171" s="14" t="s">
        <v>48</v>
      </c>
      <c r="D2171" s="14" t="s">
        <v>77</v>
      </c>
      <c r="E2171" s="14" t="s">
        <v>78</v>
      </c>
      <c r="F2171" s="15" t="s">
        <v>51</v>
      </c>
      <c r="G2171" s="14" t="s">
        <v>128</v>
      </c>
      <c r="H2171" s="14" t="s">
        <v>81</v>
      </c>
      <c r="I2171" s="14" t="s">
        <v>59</v>
      </c>
      <c r="J2171" s="14" t="s">
        <v>200</v>
      </c>
      <c r="K2171" s="14" t="s">
        <v>209</v>
      </c>
      <c r="L2171" s="14" t="s">
        <v>253</v>
      </c>
      <c r="M2171" s="14" t="s">
        <v>402</v>
      </c>
      <c r="N2171" s="14" t="s">
        <v>403</v>
      </c>
      <c r="O2171" s="14">
        <v>1.0</v>
      </c>
      <c r="P2171" s="23">
        <v>0.0</v>
      </c>
      <c r="Q2171" s="22" t="str">
        <f t="shared" ref="Q2171:R2171" si="1271">"+0.00%"</f>
        <v>+0.00%</v>
      </c>
      <c r="R2171" s="18" t="str">
        <f t="shared" si="1271"/>
        <v>+0.00%</v>
      </c>
      <c r="S2171" s="14" t="s">
        <v>1723</v>
      </c>
    </row>
    <row r="2172">
      <c r="A2172" s="13">
        <v>45901.0</v>
      </c>
      <c r="B2172" s="14" t="s">
        <v>47</v>
      </c>
      <c r="C2172" s="14" t="s">
        <v>48</v>
      </c>
      <c r="D2172" s="14" t="s">
        <v>184</v>
      </c>
      <c r="E2172" s="14" t="s">
        <v>185</v>
      </c>
      <c r="F2172" s="15" t="s">
        <v>51</v>
      </c>
      <c r="G2172" s="14" t="s">
        <v>186</v>
      </c>
      <c r="H2172" s="14" t="s">
        <v>187</v>
      </c>
      <c r="I2172" s="14" t="s">
        <v>59</v>
      </c>
      <c r="J2172" s="14" t="s">
        <v>198</v>
      </c>
      <c r="K2172" s="14" t="s">
        <v>210</v>
      </c>
      <c r="L2172" s="14" t="s">
        <v>505</v>
      </c>
      <c r="M2172" s="14" t="s">
        <v>506</v>
      </c>
      <c r="N2172" s="14" t="s">
        <v>507</v>
      </c>
      <c r="O2172" s="14">
        <v>100.0</v>
      </c>
      <c r="P2172" s="21">
        <v>0.0</v>
      </c>
      <c r="Q2172" s="22" t="str">
        <f t="shared" ref="Q2172:R2172" si="1272">"+0"</f>
        <v>+0</v>
      </c>
      <c r="R2172" s="18" t="str">
        <f t="shared" si="1272"/>
        <v>+0</v>
      </c>
      <c r="S2172" s="14" t="s">
        <v>281</v>
      </c>
    </row>
    <row r="2173">
      <c r="A2173" s="13">
        <v>45901.0</v>
      </c>
      <c r="B2173" s="14" t="s">
        <v>47</v>
      </c>
      <c r="C2173" s="14" t="s">
        <v>48</v>
      </c>
      <c r="D2173" s="14" t="s">
        <v>195</v>
      </c>
      <c r="E2173" s="14" t="s">
        <v>196</v>
      </c>
      <c r="F2173" s="14" t="s">
        <v>111</v>
      </c>
      <c r="G2173" s="14">
        <v>5252823.0</v>
      </c>
      <c r="H2173" s="14" t="s">
        <v>197</v>
      </c>
      <c r="I2173" s="14" t="s">
        <v>59</v>
      </c>
      <c r="J2173" s="14" t="s">
        <v>199</v>
      </c>
      <c r="K2173" s="14" t="s">
        <v>203</v>
      </c>
      <c r="L2173" s="14" t="s">
        <v>601</v>
      </c>
      <c r="M2173" s="14" t="s">
        <v>601</v>
      </c>
      <c r="N2173" s="14" t="s">
        <v>602</v>
      </c>
      <c r="O2173" s="14">
        <v>0.0</v>
      </c>
      <c r="P2173" s="21">
        <v>0.0</v>
      </c>
      <c r="Q2173" s="22" t="str">
        <f t="shared" ref="Q2173:R2173" si="1273">"+0"</f>
        <v>+0</v>
      </c>
      <c r="R2173" s="18" t="str">
        <f t="shared" si="1273"/>
        <v>+0</v>
      </c>
      <c r="S2173" s="14" t="s">
        <v>260</v>
      </c>
    </row>
    <row r="2174">
      <c r="A2174" s="13">
        <v>45901.0</v>
      </c>
      <c r="B2174" s="14" t="s">
        <v>47</v>
      </c>
      <c r="C2174" s="14" t="s">
        <v>48</v>
      </c>
      <c r="D2174" s="14" t="s">
        <v>108</v>
      </c>
      <c r="E2174" s="14" t="s">
        <v>109</v>
      </c>
      <c r="F2174" s="15" t="s">
        <v>51</v>
      </c>
      <c r="G2174" s="14" t="s">
        <v>110</v>
      </c>
      <c r="H2174" s="14" t="s">
        <v>108</v>
      </c>
      <c r="I2174" s="14" t="s">
        <v>59</v>
      </c>
      <c r="J2174" s="14" t="s">
        <v>200</v>
      </c>
      <c r="K2174" s="14" t="s">
        <v>213</v>
      </c>
      <c r="L2174" s="14" t="s">
        <v>676</v>
      </c>
      <c r="M2174" s="14" t="s">
        <v>836</v>
      </c>
      <c r="N2174" s="14" t="s">
        <v>837</v>
      </c>
      <c r="O2174" s="14">
        <v>0.0</v>
      </c>
      <c r="P2174" s="23">
        <v>0.0</v>
      </c>
      <c r="Q2174" s="22" t="str">
        <f>"+0.00%"</f>
        <v>+0.00%</v>
      </c>
      <c r="S2174" s="14" t="s">
        <v>1724</v>
      </c>
    </row>
    <row r="2175">
      <c r="A2175" s="13">
        <v>45901.0</v>
      </c>
      <c r="B2175" s="14" t="s">
        <v>47</v>
      </c>
      <c r="C2175" s="14" t="s">
        <v>48</v>
      </c>
      <c r="D2175" s="14" t="s">
        <v>155</v>
      </c>
      <c r="E2175" s="14" t="s">
        <v>156</v>
      </c>
      <c r="F2175" s="15" t="s">
        <v>51</v>
      </c>
      <c r="G2175" s="14" t="s">
        <v>157</v>
      </c>
      <c r="H2175" s="14" t="s">
        <v>155</v>
      </c>
      <c r="I2175" s="14" t="s">
        <v>59</v>
      </c>
      <c r="J2175" s="14" t="s">
        <v>198</v>
      </c>
      <c r="K2175" s="14" t="s">
        <v>207</v>
      </c>
      <c r="L2175" s="14" t="s">
        <v>318</v>
      </c>
      <c r="M2175" s="14" t="s">
        <v>319</v>
      </c>
      <c r="N2175" s="14" t="s">
        <v>320</v>
      </c>
      <c r="O2175" s="14">
        <v>0.0</v>
      </c>
      <c r="P2175" s="21">
        <v>0.0</v>
      </c>
      <c r="Q2175" s="22" t="str">
        <f>"+0"</f>
        <v>+0</v>
      </c>
      <c r="S2175" s="14" t="s">
        <v>281</v>
      </c>
    </row>
    <row r="2176">
      <c r="A2176" s="13">
        <v>45901.0</v>
      </c>
      <c r="B2176" s="14" t="s">
        <v>47</v>
      </c>
      <c r="C2176" s="14" t="s">
        <v>48</v>
      </c>
      <c r="D2176" s="14" t="s">
        <v>93</v>
      </c>
      <c r="E2176" s="14" t="s">
        <v>94</v>
      </c>
      <c r="F2176" s="15" t="s">
        <v>51</v>
      </c>
      <c r="G2176" s="14" t="s">
        <v>191</v>
      </c>
      <c r="H2176" s="14" t="s">
        <v>95</v>
      </c>
      <c r="I2176" s="14" t="s">
        <v>59</v>
      </c>
      <c r="J2176" s="14" t="s">
        <v>200</v>
      </c>
      <c r="K2176" s="14" t="s">
        <v>215</v>
      </c>
      <c r="L2176" s="14" t="s">
        <v>253</v>
      </c>
      <c r="M2176" s="14" t="s">
        <v>1285</v>
      </c>
      <c r="N2176" s="14" t="s">
        <v>1286</v>
      </c>
      <c r="O2176" s="14">
        <v>0.0</v>
      </c>
      <c r="P2176" s="23">
        <v>0.0</v>
      </c>
      <c r="Q2176" s="22" t="str">
        <f t="shared" ref="Q2176:R2176" si="1274">"+0.00%"</f>
        <v>+0.00%</v>
      </c>
      <c r="R2176" s="18" t="str">
        <f t="shared" si="1274"/>
        <v>+0.00%</v>
      </c>
      <c r="S2176" s="14" t="s">
        <v>1725</v>
      </c>
    </row>
    <row r="2177">
      <c r="A2177" s="13">
        <v>45901.0</v>
      </c>
      <c r="B2177" s="14" t="s">
        <v>47</v>
      </c>
      <c r="C2177" s="14" t="s">
        <v>48</v>
      </c>
      <c r="D2177" s="14" t="s">
        <v>82</v>
      </c>
      <c r="E2177" s="14" t="s">
        <v>83</v>
      </c>
      <c r="F2177" s="15" t="s">
        <v>51</v>
      </c>
      <c r="G2177" s="14" t="s">
        <v>84</v>
      </c>
      <c r="H2177" s="14" t="s">
        <v>82</v>
      </c>
      <c r="I2177" s="14" t="s">
        <v>59</v>
      </c>
      <c r="J2177" s="14" t="s">
        <v>200</v>
      </c>
      <c r="K2177" s="14" t="s">
        <v>213</v>
      </c>
      <c r="L2177" s="14" t="s">
        <v>289</v>
      </c>
      <c r="M2177" s="14" t="s">
        <v>684</v>
      </c>
      <c r="N2177" s="14" t="s">
        <v>685</v>
      </c>
      <c r="O2177" s="14">
        <v>0.0</v>
      </c>
      <c r="P2177" s="23">
        <v>0.0</v>
      </c>
      <c r="Q2177" s="22" t="str">
        <f t="shared" ref="Q2177:R2177" si="1275">"+0.00%"</f>
        <v>+0.00%</v>
      </c>
      <c r="R2177" s="18" t="str">
        <f t="shared" si="1275"/>
        <v>+0.00%</v>
      </c>
      <c r="S2177" s="14" t="s">
        <v>285</v>
      </c>
    </row>
    <row r="2178">
      <c r="A2178" s="13">
        <v>45901.0</v>
      </c>
      <c r="B2178" s="14" t="s">
        <v>47</v>
      </c>
      <c r="C2178" s="14" t="s">
        <v>48</v>
      </c>
      <c r="D2178" s="14" t="s">
        <v>103</v>
      </c>
      <c r="E2178" s="14" t="s">
        <v>104</v>
      </c>
      <c r="F2178" s="15" t="s">
        <v>51</v>
      </c>
      <c r="G2178" s="14" t="s">
        <v>105</v>
      </c>
      <c r="H2178" s="14" t="s">
        <v>106</v>
      </c>
      <c r="I2178" s="14" t="s">
        <v>59</v>
      </c>
      <c r="J2178" s="14" t="s">
        <v>198</v>
      </c>
      <c r="K2178" s="14" t="s">
        <v>205</v>
      </c>
      <c r="L2178" s="14" t="s">
        <v>274</v>
      </c>
      <c r="M2178" s="14" t="s">
        <v>387</v>
      </c>
      <c r="N2178" s="14" t="s">
        <v>388</v>
      </c>
      <c r="O2178" s="14">
        <v>100.0</v>
      </c>
      <c r="P2178" s="21">
        <v>1.0</v>
      </c>
      <c r="Q2178" s="22" t="str">
        <f t="shared" ref="Q2178:Q2181" si="1276">"+0"</f>
        <v>+0</v>
      </c>
      <c r="S2178" s="14" t="s">
        <v>281</v>
      </c>
    </row>
    <row r="2179">
      <c r="A2179" s="13">
        <v>45901.0</v>
      </c>
      <c r="B2179" s="14" t="s">
        <v>47</v>
      </c>
      <c r="C2179" s="14" t="s">
        <v>48</v>
      </c>
      <c r="D2179" s="14" t="s">
        <v>73</v>
      </c>
      <c r="E2179" s="14" t="s">
        <v>74</v>
      </c>
      <c r="F2179" s="15" t="s">
        <v>51</v>
      </c>
      <c r="G2179" s="14" t="s">
        <v>75</v>
      </c>
      <c r="H2179" s="14" t="s">
        <v>76</v>
      </c>
      <c r="I2179" s="14" t="s">
        <v>59</v>
      </c>
      <c r="J2179" s="14" t="s">
        <v>198</v>
      </c>
      <c r="K2179" s="14" t="s">
        <v>205</v>
      </c>
      <c r="L2179" s="14" t="s">
        <v>274</v>
      </c>
      <c r="M2179" s="14" t="s">
        <v>738</v>
      </c>
      <c r="N2179" s="14" t="s">
        <v>739</v>
      </c>
      <c r="O2179" s="14">
        <v>0.0</v>
      </c>
      <c r="P2179" s="21">
        <v>0.0</v>
      </c>
      <c r="Q2179" s="22" t="str">
        <f t="shared" si="1276"/>
        <v>+0</v>
      </c>
      <c r="S2179" s="14" t="s">
        <v>281</v>
      </c>
    </row>
    <row r="2180">
      <c r="A2180" s="13">
        <v>45901.0</v>
      </c>
      <c r="B2180" s="14" t="s">
        <v>47</v>
      </c>
      <c r="C2180" s="14" t="s">
        <v>48</v>
      </c>
      <c r="D2180" s="14" t="s">
        <v>103</v>
      </c>
      <c r="E2180" s="14" t="s">
        <v>104</v>
      </c>
      <c r="F2180" s="15" t="s">
        <v>51</v>
      </c>
      <c r="G2180" s="14" t="s">
        <v>105</v>
      </c>
      <c r="H2180" s="14" t="s">
        <v>106</v>
      </c>
      <c r="I2180" s="14" t="s">
        <v>59</v>
      </c>
      <c r="J2180" s="14" t="s">
        <v>200</v>
      </c>
      <c r="K2180" s="14" t="s">
        <v>232</v>
      </c>
      <c r="L2180" s="14" t="s">
        <v>363</v>
      </c>
      <c r="M2180" s="14" t="s">
        <v>842</v>
      </c>
      <c r="N2180" s="14" t="s">
        <v>843</v>
      </c>
      <c r="O2180" s="14">
        <v>100.0</v>
      </c>
      <c r="P2180" s="21">
        <v>12.0</v>
      </c>
      <c r="Q2180" s="22" t="str">
        <f t="shared" si="1276"/>
        <v>+0</v>
      </c>
      <c r="R2180" s="18" t="str">
        <f>"+0"</f>
        <v>+0</v>
      </c>
      <c r="S2180" s="14" t="s">
        <v>260</v>
      </c>
    </row>
    <row r="2181">
      <c r="A2181" s="13">
        <v>45901.0</v>
      </c>
      <c r="B2181" s="14" t="s">
        <v>47</v>
      </c>
      <c r="C2181" s="14" t="s">
        <v>48</v>
      </c>
      <c r="D2181" s="14" t="s">
        <v>136</v>
      </c>
      <c r="E2181" s="14" t="s">
        <v>137</v>
      </c>
      <c r="F2181" s="15" t="s">
        <v>51</v>
      </c>
      <c r="G2181" s="14" t="s">
        <v>138</v>
      </c>
      <c r="H2181" s="14" t="s">
        <v>139</v>
      </c>
      <c r="I2181" s="14" t="s">
        <v>59</v>
      </c>
      <c r="J2181" s="14" t="s">
        <v>198</v>
      </c>
      <c r="K2181" s="14" t="s">
        <v>205</v>
      </c>
      <c r="L2181" s="14" t="s">
        <v>274</v>
      </c>
      <c r="M2181" s="14" t="s">
        <v>425</v>
      </c>
      <c r="N2181" s="14" t="s">
        <v>426</v>
      </c>
      <c r="O2181" s="14">
        <v>0.0</v>
      </c>
      <c r="P2181" s="21">
        <v>0.0</v>
      </c>
      <c r="Q2181" s="22" t="str">
        <f t="shared" si="1276"/>
        <v>+0</v>
      </c>
      <c r="S2181" s="14" t="s">
        <v>281</v>
      </c>
    </row>
    <row r="2182">
      <c r="A2182" s="13">
        <v>45901.0</v>
      </c>
      <c r="B2182" s="14" t="s">
        <v>47</v>
      </c>
      <c r="C2182" s="14" t="s">
        <v>48</v>
      </c>
      <c r="D2182" s="14" t="s">
        <v>149</v>
      </c>
      <c r="E2182" s="14" t="s">
        <v>150</v>
      </c>
      <c r="F2182" s="15" t="s">
        <v>51</v>
      </c>
      <c r="G2182" s="14" t="s">
        <v>151</v>
      </c>
      <c r="H2182" s="14" t="s">
        <v>152</v>
      </c>
      <c r="I2182" s="14" t="s">
        <v>54</v>
      </c>
      <c r="J2182" s="14" t="s">
        <v>200</v>
      </c>
      <c r="K2182" s="14" t="s">
        <v>224</v>
      </c>
      <c r="L2182" s="14" t="s">
        <v>392</v>
      </c>
      <c r="M2182" s="14" t="s">
        <v>1424</v>
      </c>
      <c r="N2182" s="14" t="s">
        <v>1425</v>
      </c>
      <c r="O2182" s="14">
        <v>33.0</v>
      </c>
      <c r="P2182" s="23">
        <v>0.3333</v>
      </c>
      <c r="Q2182" s="22" t="str">
        <f t="shared" ref="Q2182:R2182" si="1277">"-16.67%"</f>
        <v>-16.67%</v>
      </c>
      <c r="R2182" s="18" t="str">
        <f t="shared" si="1277"/>
        <v>-16.67%</v>
      </c>
      <c r="S2182" s="14" t="s">
        <v>1726</v>
      </c>
    </row>
    <row r="2183">
      <c r="A2183" s="13">
        <v>45901.0</v>
      </c>
      <c r="B2183" s="14" t="s">
        <v>47</v>
      </c>
      <c r="C2183" s="14" t="s">
        <v>48</v>
      </c>
      <c r="D2183" s="14" t="s">
        <v>136</v>
      </c>
      <c r="E2183" s="14" t="s">
        <v>137</v>
      </c>
      <c r="F2183" s="15" t="s">
        <v>51</v>
      </c>
      <c r="G2183" s="14" t="s">
        <v>138</v>
      </c>
      <c r="H2183" s="14" t="s">
        <v>139</v>
      </c>
      <c r="I2183" s="14" t="s">
        <v>59</v>
      </c>
      <c r="J2183" s="14" t="s">
        <v>199</v>
      </c>
      <c r="K2183" s="14" t="s">
        <v>206</v>
      </c>
      <c r="L2183" s="14" t="s">
        <v>295</v>
      </c>
      <c r="M2183" s="14" t="s">
        <v>296</v>
      </c>
      <c r="N2183" s="14" t="s">
        <v>297</v>
      </c>
      <c r="O2183" s="14">
        <v>0.0</v>
      </c>
      <c r="P2183" s="21">
        <v>0.0</v>
      </c>
      <c r="Q2183" s="22" t="str">
        <f t="shared" ref="Q2183:R2183" si="1278">"+0"</f>
        <v>+0</v>
      </c>
      <c r="R2183" s="18" t="str">
        <f t="shared" si="1278"/>
        <v>+0</v>
      </c>
      <c r="S2183" s="14" t="s">
        <v>260</v>
      </c>
    </row>
    <row r="2184">
      <c r="A2184" s="13">
        <v>45901.0</v>
      </c>
      <c r="B2184" s="14" t="s">
        <v>47</v>
      </c>
      <c r="C2184" s="14" t="s">
        <v>48</v>
      </c>
      <c r="D2184" s="14" t="s">
        <v>149</v>
      </c>
      <c r="E2184" s="14" t="s">
        <v>150</v>
      </c>
      <c r="F2184" s="15" t="s">
        <v>51</v>
      </c>
      <c r="G2184" s="14" t="s">
        <v>151</v>
      </c>
      <c r="H2184" s="14" t="s">
        <v>152</v>
      </c>
      <c r="I2184" s="14" t="s">
        <v>54</v>
      </c>
      <c r="J2184" s="14" t="s">
        <v>200</v>
      </c>
      <c r="K2184" s="14" t="s">
        <v>223</v>
      </c>
      <c r="L2184" s="14" t="s">
        <v>710</v>
      </c>
      <c r="M2184" s="14" t="s">
        <v>1302</v>
      </c>
      <c r="N2184" s="14" t="s">
        <v>1303</v>
      </c>
      <c r="O2184" s="14">
        <v>15.0</v>
      </c>
      <c r="P2184" s="23">
        <v>0.1532</v>
      </c>
      <c r="Q2184" s="22" t="str">
        <f>"-0.38%"</f>
        <v>-0.38%</v>
      </c>
      <c r="R2184" s="18" t="str">
        <f>"-5.55%"</f>
        <v>-5.55%</v>
      </c>
      <c r="S2184" s="14" t="s">
        <v>1727</v>
      </c>
    </row>
    <row r="2185">
      <c r="A2185" s="13">
        <v>45901.0</v>
      </c>
      <c r="B2185" s="14" t="s">
        <v>47</v>
      </c>
      <c r="C2185" s="14" t="s">
        <v>48</v>
      </c>
      <c r="D2185" s="14" t="s">
        <v>136</v>
      </c>
      <c r="E2185" s="14" t="s">
        <v>137</v>
      </c>
      <c r="F2185" s="15" t="s">
        <v>51</v>
      </c>
      <c r="G2185" s="14" t="s">
        <v>138</v>
      </c>
      <c r="H2185" s="14" t="s">
        <v>139</v>
      </c>
      <c r="I2185" s="14" t="s">
        <v>59</v>
      </c>
      <c r="J2185" s="14" t="s">
        <v>200</v>
      </c>
      <c r="K2185" s="14" t="s">
        <v>227</v>
      </c>
      <c r="L2185" s="14" t="s">
        <v>328</v>
      </c>
      <c r="M2185" s="14" t="s">
        <v>329</v>
      </c>
      <c r="N2185" s="14" t="s">
        <v>330</v>
      </c>
      <c r="O2185" s="14">
        <v>9.0</v>
      </c>
      <c r="P2185" s="21">
        <v>3.0</v>
      </c>
      <c r="Q2185" s="22" t="str">
        <f>"+1"</f>
        <v>+1</v>
      </c>
      <c r="R2185" s="18" t="str">
        <f>"+0"</f>
        <v>+0</v>
      </c>
      <c r="S2185" s="14" t="s">
        <v>260</v>
      </c>
    </row>
    <row r="2186">
      <c r="A2186" s="13">
        <v>45901.0</v>
      </c>
      <c r="B2186" s="14" t="s">
        <v>47</v>
      </c>
      <c r="C2186" s="14" t="s">
        <v>48</v>
      </c>
      <c r="D2186" s="14" t="s">
        <v>149</v>
      </c>
      <c r="E2186" s="14" t="s">
        <v>150</v>
      </c>
      <c r="F2186" s="15" t="s">
        <v>51</v>
      </c>
      <c r="G2186" s="14" t="s">
        <v>151</v>
      </c>
      <c r="H2186" s="14" t="s">
        <v>152</v>
      </c>
      <c r="I2186" s="14" t="s">
        <v>54</v>
      </c>
      <c r="J2186" s="14" t="s">
        <v>200</v>
      </c>
      <c r="K2186" s="14" t="s">
        <v>224</v>
      </c>
      <c r="L2186" s="14" t="s">
        <v>253</v>
      </c>
      <c r="M2186" s="14" t="s">
        <v>1224</v>
      </c>
      <c r="N2186" s="14" t="s">
        <v>1225</v>
      </c>
      <c r="O2186" s="14">
        <v>10.0</v>
      </c>
      <c r="P2186" s="23">
        <v>0.1071</v>
      </c>
      <c r="Q2186" s="22" t="str">
        <f>"+3.31%"</f>
        <v>+3.31%</v>
      </c>
      <c r="R2186" s="18" t="str">
        <f>"+3.57%"</f>
        <v>+3.57%</v>
      </c>
      <c r="S2186" s="14" t="s">
        <v>1728</v>
      </c>
    </row>
    <row r="2187">
      <c r="A2187" s="13">
        <v>45901.0</v>
      </c>
      <c r="B2187" s="14" t="s">
        <v>47</v>
      </c>
      <c r="C2187" s="14" t="s">
        <v>48</v>
      </c>
      <c r="D2187" s="14" t="s">
        <v>149</v>
      </c>
      <c r="E2187" s="14" t="s">
        <v>150</v>
      </c>
      <c r="F2187" s="15" t="s">
        <v>51</v>
      </c>
      <c r="G2187" s="14" t="s">
        <v>151</v>
      </c>
      <c r="H2187" s="14" t="s">
        <v>152</v>
      </c>
      <c r="I2187" s="14" t="s">
        <v>54</v>
      </c>
      <c r="J2187" s="14" t="s">
        <v>200</v>
      </c>
      <c r="K2187" s="14" t="s">
        <v>227</v>
      </c>
      <c r="L2187" s="14" t="s">
        <v>253</v>
      </c>
      <c r="M2187" s="14" t="s">
        <v>254</v>
      </c>
      <c r="N2187" s="14" t="s">
        <v>255</v>
      </c>
      <c r="O2187" s="14">
        <v>25.0</v>
      </c>
      <c r="P2187" s="23">
        <v>0.2522</v>
      </c>
      <c r="Q2187" s="22" t="str">
        <f t="shared" ref="Q2187:R2187" si="1279">"-1.74%"</f>
        <v>-1.74%</v>
      </c>
      <c r="R2187" s="18" t="str">
        <f t="shared" si="1279"/>
        <v>-1.74%</v>
      </c>
      <c r="S2187" s="14" t="s">
        <v>399</v>
      </c>
    </row>
    <row r="2188">
      <c r="A2188" s="13">
        <v>45901.0</v>
      </c>
      <c r="B2188" s="14" t="s">
        <v>47</v>
      </c>
      <c r="C2188" s="14" t="s">
        <v>48</v>
      </c>
      <c r="D2188" s="14" t="s">
        <v>112</v>
      </c>
      <c r="E2188" s="14" t="s">
        <v>113</v>
      </c>
      <c r="F2188" s="15" t="s">
        <v>51</v>
      </c>
      <c r="G2188" s="14" t="s">
        <v>114</v>
      </c>
      <c r="H2188" s="14" t="s">
        <v>112</v>
      </c>
      <c r="I2188" s="14" t="s">
        <v>59</v>
      </c>
      <c r="J2188" s="14" t="s">
        <v>199</v>
      </c>
      <c r="K2188" s="14" t="s">
        <v>203</v>
      </c>
      <c r="L2188" s="14" t="s">
        <v>736</v>
      </c>
      <c r="M2188" s="14" t="s">
        <v>736</v>
      </c>
      <c r="N2188" s="14" t="s">
        <v>737</v>
      </c>
      <c r="O2188" s="14">
        <v>0.0</v>
      </c>
      <c r="P2188" s="21">
        <v>0.0</v>
      </c>
      <c r="Q2188" s="22" t="str">
        <f t="shared" ref="Q2188:R2188" si="1280">"+0"</f>
        <v>+0</v>
      </c>
      <c r="R2188" s="18" t="str">
        <f t="shared" si="1280"/>
        <v>+0</v>
      </c>
      <c r="S2188" s="14" t="s">
        <v>260</v>
      </c>
    </row>
    <row r="2189">
      <c r="A2189" s="13">
        <v>45901.0</v>
      </c>
      <c r="B2189" s="14" t="s">
        <v>47</v>
      </c>
      <c r="C2189" s="14" t="s">
        <v>48</v>
      </c>
      <c r="D2189" s="14" t="s">
        <v>108</v>
      </c>
      <c r="E2189" s="14" t="s">
        <v>109</v>
      </c>
      <c r="F2189" s="15" t="s">
        <v>51</v>
      </c>
      <c r="G2189" s="14" t="s">
        <v>110</v>
      </c>
      <c r="H2189" s="14" t="s">
        <v>108</v>
      </c>
      <c r="I2189" s="14" t="s">
        <v>59</v>
      </c>
      <c r="J2189" s="14" t="s">
        <v>198</v>
      </c>
      <c r="K2189" s="14" t="s">
        <v>205</v>
      </c>
      <c r="L2189" s="14" t="s">
        <v>274</v>
      </c>
      <c r="M2189" s="14" t="s">
        <v>451</v>
      </c>
      <c r="N2189" s="14" t="s">
        <v>452</v>
      </c>
      <c r="O2189" s="14">
        <v>0.0</v>
      </c>
      <c r="P2189" s="21">
        <v>0.0</v>
      </c>
      <c r="Q2189" s="22" t="str">
        <f t="shared" ref="Q2189:Q2193" si="1281">"+0"</f>
        <v>+0</v>
      </c>
      <c r="S2189" s="14" t="s">
        <v>281</v>
      </c>
    </row>
    <row r="2190">
      <c r="A2190" s="13">
        <v>45901.0</v>
      </c>
      <c r="B2190" s="14" t="s">
        <v>47</v>
      </c>
      <c r="C2190" s="14" t="s">
        <v>48</v>
      </c>
      <c r="D2190" s="14" t="s">
        <v>116</v>
      </c>
      <c r="E2190" s="14" t="s">
        <v>117</v>
      </c>
      <c r="F2190" s="15" t="s">
        <v>51</v>
      </c>
      <c r="G2190" s="14" t="s">
        <v>161</v>
      </c>
      <c r="H2190" s="14" t="s">
        <v>116</v>
      </c>
      <c r="I2190" s="14" t="s">
        <v>54</v>
      </c>
      <c r="J2190" s="14" t="s">
        <v>198</v>
      </c>
      <c r="K2190" s="14" t="s">
        <v>210</v>
      </c>
      <c r="L2190" s="14" t="s">
        <v>264</v>
      </c>
      <c r="M2190" s="14" t="s">
        <v>1031</v>
      </c>
      <c r="N2190" s="14" t="s">
        <v>1032</v>
      </c>
      <c r="O2190" s="14">
        <v>0.0</v>
      </c>
      <c r="P2190" s="21">
        <v>0.0</v>
      </c>
      <c r="Q2190" s="22" t="str">
        <f t="shared" si="1281"/>
        <v>+0</v>
      </c>
      <c r="R2190" s="18" t="str">
        <f t="shared" ref="R2190:R2191" si="1282">"+0"</f>
        <v>+0</v>
      </c>
      <c r="S2190" s="14" t="s">
        <v>277</v>
      </c>
    </row>
    <row r="2191">
      <c r="A2191" s="13">
        <v>45901.0</v>
      </c>
      <c r="B2191" s="14" t="s">
        <v>47</v>
      </c>
      <c r="C2191" s="14" t="s">
        <v>48</v>
      </c>
      <c r="D2191" s="14" t="s">
        <v>116</v>
      </c>
      <c r="E2191" s="14" t="s">
        <v>117</v>
      </c>
      <c r="F2191" s="15" t="s">
        <v>51</v>
      </c>
      <c r="G2191" s="14" t="s">
        <v>161</v>
      </c>
      <c r="H2191" s="14" t="s">
        <v>116</v>
      </c>
      <c r="I2191" s="14" t="s">
        <v>54</v>
      </c>
      <c r="J2191" s="14" t="s">
        <v>198</v>
      </c>
      <c r="K2191" s="14" t="s">
        <v>210</v>
      </c>
      <c r="L2191" s="14" t="s">
        <v>278</v>
      </c>
      <c r="M2191" s="14" t="s">
        <v>468</v>
      </c>
      <c r="N2191" s="14" t="s">
        <v>469</v>
      </c>
      <c r="O2191" s="14">
        <v>0.0</v>
      </c>
      <c r="P2191" s="21">
        <v>0.0</v>
      </c>
      <c r="Q2191" s="22" t="str">
        <f t="shared" si="1281"/>
        <v>+0</v>
      </c>
      <c r="R2191" s="18" t="str">
        <f t="shared" si="1282"/>
        <v>+0</v>
      </c>
      <c r="S2191" s="14" t="s">
        <v>277</v>
      </c>
    </row>
    <row r="2192">
      <c r="A2192" s="13">
        <v>45901.0</v>
      </c>
      <c r="B2192" s="14" t="s">
        <v>47</v>
      </c>
      <c r="C2192" s="14" t="s">
        <v>48</v>
      </c>
      <c r="D2192" s="14" t="s">
        <v>77</v>
      </c>
      <c r="E2192" s="14" t="s">
        <v>78</v>
      </c>
      <c r="F2192" s="15" t="s">
        <v>51</v>
      </c>
      <c r="G2192" s="14" t="s">
        <v>128</v>
      </c>
      <c r="H2192" s="14" t="s">
        <v>81</v>
      </c>
      <c r="I2192" s="14" t="s">
        <v>59</v>
      </c>
      <c r="J2192" s="14" t="s">
        <v>198</v>
      </c>
      <c r="K2192" s="14" t="s">
        <v>205</v>
      </c>
      <c r="L2192" s="14" t="s">
        <v>274</v>
      </c>
      <c r="M2192" s="14" t="s">
        <v>448</v>
      </c>
      <c r="N2192" s="14" t="s">
        <v>449</v>
      </c>
      <c r="O2192" s="14">
        <v>100.0</v>
      </c>
      <c r="P2192" s="21">
        <v>3.0</v>
      </c>
      <c r="Q2192" s="22" t="str">
        <f t="shared" si="1281"/>
        <v>+0</v>
      </c>
      <c r="S2192" s="14" t="s">
        <v>450</v>
      </c>
    </row>
    <row r="2193">
      <c r="A2193" s="13">
        <v>45901.0</v>
      </c>
      <c r="B2193" s="14" t="s">
        <v>47</v>
      </c>
      <c r="C2193" s="14" t="s">
        <v>48</v>
      </c>
      <c r="D2193" s="14" t="s">
        <v>158</v>
      </c>
      <c r="E2193" s="14" t="s">
        <v>159</v>
      </c>
      <c r="F2193" s="15" t="s">
        <v>51</v>
      </c>
      <c r="G2193" s="14" t="s">
        <v>160</v>
      </c>
      <c r="H2193" s="14" t="s">
        <v>158</v>
      </c>
      <c r="I2193" s="14" t="s">
        <v>54</v>
      </c>
      <c r="J2193" s="14" t="s">
        <v>198</v>
      </c>
      <c r="K2193" s="14" t="s">
        <v>210</v>
      </c>
      <c r="L2193" s="14" t="s">
        <v>264</v>
      </c>
      <c r="M2193" s="14" t="s">
        <v>989</v>
      </c>
      <c r="N2193" s="14" t="s">
        <v>990</v>
      </c>
      <c r="O2193" s="14">
        <v>0.0</v>
      </c>
      <c r="P2193" s="21">
        <v>0.0</v>
      </c>
      <c r="Q2193" s="22" t="str">
        <f t="shared" si="1281"/>
        <v>+0</v>
      </c>
      <c r="R2193" s="18" t="str">
        <f>"+0"</f>
        <v>+0</v>
      </c>
      <c r="S2193" s="14" t="s">
        <v>277</v>
      </c>
    </row>
    <row r="2194">
      <c r="A2194" s="13">
        <v>45901.0</v>
      </c>
      <c r="B2194" s="14" t="s">
        <v>47</v>
      </c>
      <c r="C2194" s="14" t="s">
        <v>48</v>
      </c>
      <c r="D2194" s="14" t="s">
        <v>116</v>
      </c>
      <c r="E2194" s="14" t="s">
        <v>117</v>
      </c>
      <c r="F2194" s="15" t="s">
        <v>51</v>
      </c>
      <c r="G2194" s="14" t="s">
        <v>161</v>
      </c>
      <c r="H2194" s="14" t="s">
        <v>116</v>
      </c>
      <c r="I2194" s="14" t="s">
        <v>54</v>
      </c>
      <c r="J2194" s="14" t="s">
        <v>200</v>
      </c>
      <c r="K2194" s="14" t="s">
        <v>224</v>
      </c>
      <c r="L2194" s="14" t="s">
        <v>392</v>
      </c>
      <c r="M2194" s="14" t="s">
        <v>754</v>
      </c>
      <c r="N2194" s="14" t="s">
        <v>755</v>
      </c>
      <c r="O2194" s="14">
        <v>0.0</v>
      </c>
      <c r="P2194" s="23">
        <v>0.0</v>
      </c>
      <c r="Q2194" s="22"/>
      <c r="S2194" s="14" t="s">
        <v>1729</v>
      </c>
    </row>
    <row r="2195">
      <c r="A2195" s="13">
        <v>45901.0</v>
      </c>
      <c r="B2195" s="14" t="s">
        <v>47</v>
      </c>
      <c r="C2195" s="14" t="s">
        <v>48</v>
      </c>
      <c r="D2195" s="14" t="s">
        <v>108</v>
      </c>
      <c r="E2195" s="14" t="s">
        <v>109</v>
      </c>
      <c r="F2195" s="14" t="s">
        <v>146</v>
      </c>
      <c r="G2195" s="14" t="s">
        <v>180</v>
      </c>
      <c r="H2195" s="14" t="s">
        <v>108</v>
      </c>
      <c r="I2195" s="14" t="s">
        <v>59</v>
      </c>
      <c r="J2195" s="14" t="s">
        <v>199</v>
      </c>
      <c r="K2195" s="14" t="s">
        <v>208</v>
      </c>
      <c r="L2195" s="14" t="s">
        <v>412</v>
      </c>
      <c r="M2195" s="14" t="s">
        <v>412</v>
      </c>
      <c r="N2195" s="14" t="s">
        <v>413</v>
      </c>
      <c r="O2195" s="14">
        <v>0.0</v>
      </c>
      <c r="P2195" s="21">
        <v>0.0</v>
      </c>
      <c r="Q2195" s="22" t="str">
        <f t="shared" ref="Q2195:Q2197" si="1283">"+0"</f>
        <v>+0</v>
      </c>
      <c r="S2195" s="14" t="s">
        <v>260</v>
      </c>
    </row>
    <row r="2196">
      <c r="A2196" s="13">
        <v>45901.0</v>
      </c>
      <c r="B2196" s="14" t="s">
        <v>47</v>
      </c>
      <c r="C2196" s="14" t="s">
        <v>48</v>
      </c>
      <c r="D2196" s="14" t="s">
        <v>77</v>
      </c>
      <c r="E2196" s="14" t="s">
        <v>78</v>
      </c>
      <c r="F2196" s="15" t="s">
        <v>51</v>
      </c>
      <c r="G2196" s="14" t="s">
        <v>128</v>
      </c>
      <c r="H2196" s="14" t="s">
        <v>81</v>
      </c>
      <c r="I2196" s="14" t="s">
        <v>59</v>
      </c>
      <c r="J2196" s="14" t="s">
        <v>200</v>
      </c>
      <c r="K2196" s="14" t="s">
        <v>223</v>
      </c>
      <c r="L2196" s="14" t="s">
        <v>607</v>
      </c>
      <c r="M2196" s="14" t="s">
        <v>1204</v>
      </c>
      <c r="N2196" s="14" t="s">
        <v>1205</v>
      </c>
      <c r="O2196" s="14">
        <v>0.0</v>
      </c>
      <c r="P2196" s="21">
        <v>0.0</v>
      </c>
      <c r="Q2196" s="22" t="str">
        <f t="shared" si="1283"/>
        <v>+0</v>
      </c>
      <c r="R2196" s="18" t="str">
        <f>"+0"</f>
        <v>+0</v>
      </c>
      <c r="S2196" s="14" t="s">
        <v>260</v>
      </c>
    </row>
    <row r="2197">
      <c r="A2197" s="13">
        <v>45901.0</v>
      </c>
      <c r="B2197" s="14" t="s">
        <v>47</v>
      </c>
      <c r="C2197" s="14" t="s">
        <v>48</v>
      </c>
      <c r="D2197" s="14" t="s">
        <v>168</v>
      </c>
      <c r="E2197" s="14" t="s">
        <v>169</v>
      </c>
      <c r="F2197" s="15" t="s">
        <v>51</v>
      </c>
      <c r="G2197" s="14" t="s">
        <v>170</v>
      </c>
      <c r="H2197" s="14" t="s">
        <v>168</v>
      </c>
      <c r="I2197" s="14" t="s">
        <v>59</v>
      </c>
      <c r="J2197" s="14" t="s">
        <v>198</v>
      </c>
      <c r="K2197" s="14" t="s">
        <v>205</v>
      </c>
      <c r="L2197" s="14" t="s">
        <v>274</v>
      </c>
      <c r="M2197" s="14" t="s">
        <v>451</v>
      </c>
      <c r="N2197" s="14" t="s">
        <v>452</v>
      </c>
      <c r="O2197" s="14">
        <v>0.0</v>
      </c>
      <c r="P2197" s="21">
        <v>0.0</v>
      </c>
      <c r="Q2197" s="22" t="str">
        <f t="shared" si="1283"/>
        <v>+0</v>
      </c>
      <c r="S2197" s="14" t="s">
        <v>281</v>
      </c>
    </row>
    <row r="2198">
      <c r="A2198" s="13">
        <v>45901.0</v>
      </c>
      <c r="B2198" s="14" t="s">
        <v>47</v>
      </c>
      <c r="C2198" s="14" t="s">
        <v>48</v>
      </c>
      <c r="D2198" s="14" t="s">
        <v>155</v>
      </c>
      <c r="E2198" s="14" t="s">
        <v>156</v>
      </c>
      <c r="F2198" s="15" t="s">
        <v>51</v>
      </c>
      <c r="G2198" s="14" t="s">
        <v>157</v>
      </c>
      <c r="H2198" s="14" t="s">
        <v>155</v>
      </c>
      <c r="I2198" s="14" t="s">
        <v>59</v>
      </c>
      <c r="J2198" s="14" t="s">
        <v>200</v>
      </c>
      <c r="K2198" s="14" t="s">
        <v>223</v>
      </c>
      <c r="L2198" s="14" t="s">
        <v>257</v>
      </c>
      <c r="M2198" s="14" t="s">
        <v>493</v>
      </c>
      <c r="N2198" s="14" t="s">
        <v>494</v>
      </c>
      <c r="O2198" s="14">
        <v>0.0</v>
      </c>
      <c r="P2198" s="23">
        <v>-1.0</v>
      </c>
      <c r="Q2198" s="22" t="str">
        <f t="shared" ref="Q2198:R2198" si="1284">"+0.00%"</f>
        <v>+0.00%</v>
      </c>
      <c r="R2198" s="18" t="str">
        <f t="shared" si="1284"/>
        <v>+0.00%</v>
      </c>
      <c r="S2198" s="14" t="s">
        <v>1730</v>
      </c>
    </row>
    <row r="2199">
      <c r="A2199" s="13">
        <v>45901.0</v>
      </c>
      <c r="B2199" s="14" t="s">
        <v>47</v>
      </c>
      <c r="C2199" s="14" t="s">
        <v>48</v>
      </c>
      <c r="D2199" s="14" t="s">
        <v>60</v>
      </c>
      <c r="E2199" s="14" t="s">
        <v>61</v>
      </c>
      <c r="F2199" s="15" t="s">
        <v>51</v>
      </c>
      <c r="G2199" s="14" t="s">
        <v>62</v>
      </c>
      <c r="H2199" s="14" t="s">
        <v>60</v>
      </c>
      <c r="I2199" s="14" t="s">
        <v>59</v>
      </c>
      <c r="J2199" s="14" t="s">
        <v>200</v>
      </c>
      <c r="K2199" s="14" t="s">
        <v>227</v>
      </c>
      <c r="L2199" s="14" t="s">
        <v>253</v>
      </c>
      <c r="M2199" s="14" t="s">
        <v>396</v>
      </c>
      <c r="N2199" s="14" t="s">
        <v>397</v>
      </c>
      <c r="O2199" s="14">
        <v>100.0</v>
      </c>
      <c r="P2199" s="23">
        <v>1.0</v>
      </c>
      <c r="Q2199" s="22" t="str">
        <f t="shared" ref="Q2199:R2199" si="1285">"+0.00%"</f>
        <v>+0.00%</v>
      </c>
      <c r="R2199" s="18" t="str">
        <f t="shared" si="1285"/>
        <v>+0.00%</v>
      </c>
      <c r="S2199" s="14" t="s">
        <v>398</v>
      </c>
    </row>
    <row r="2200">
      <c r="A2200" s="13">
        <v>45901.0</v>
      </c>
      <c r="B2200" s="14" t="s">
        <v>47</v>
      </c>
      <c r="C2200" s="14" t="s">
        <v>48</v>
      </c>
      <c r="D2200" s="14" t="s">
        <v>121</v>
      </c>
      <c r="E2200" s="14" t="s">
        <v>122</v>
      </c>
      <c r="F2200" s="15" t="s">
        <v>51</v>
      </c>
      <c r="G2200" s="14" t="s">
        <v>123</v>
      </c>
      <c r="H2200" s="14" t="s">
        <v>124</v>
      </c>
      <c r="I2200" s="14" t="s">
        <v>59</v>
      </c>
      <c r="J2200" s="14" t="s">
        <v>198</v>
      </c>
      <c r="K2200" s="14" t="s">
        <v>210</v>
      </c>
      <c r="L2200" s="14" t="s">
        <v>264</v>
      </c>
      <c r="M2200" s="14" t="s">
        <v>524</v>
      </c>
      <c r="N2200" s="14" t="s">
        <v>525</v>
      </c>
      <c r="O2200" s="14">
        <v>100.0</v>
      </c>
      <c r="P2200" s="21">
        <v>0.0</v>
      </c>
      <c r="Q2200" s="22" t="str">
        <f>"-9"</f>
        <v>-9</v>
      </c>
      <c r="R2200" s="18" t="str">
        <f>"+0"</f>
        <v>+0</v>
      </c>
      <c r="S2200" s="14" t="s">
        <v>281</v>
      </c>
    </row>
    <row r="2201">
      <c r="A2201" s="13">
        <v>45901.0</v>
      </c>
      <c r="B2201" s="14" t="s">
        <v>47</v>
      </c>
      <c r="C2201" s="14" t="s">
        <v>48</v>
      </c>
      <c r="D2201" s="14" t="s">
        <v>140</v>
      </c>
      <c r="E2201" s="14" t="s">
        <v>141</v>
      </c>
      <c r="F2201" s="15" t="s">
        <v>51</v>
      </c>
      <c r="G2201" s="14" t="s">
        <v>142</v>
      </c>
      <c r="H2201" s="14" t="s">
        <v>140</v>
      </c>
      <c r="I2201" s="14" t="s">
        <v>59</v>
      </c>
      <c r="J2201" s="14" t="s">
        <v>198</v>
      </c>
      <c r="K2201" s="14" t="s">
        <v>205</v>
      </c>
      <c r="L2201" s="14" t="s">
        <v>274</v>
      </c>
      <c r="M2201" s="14" t="s">
        <v>448</v>
      </c>
      <c r="N2201" s="14" t="s">
        <v>449</v>
      </c>
      <c r="O2201" s="14">
        <v>100.0</v>
      </c>
      <c r="P2201" s="21">
        <v>3.0</v>
      </c>
      <c r="Q2201" s="22" t="str">
        <f t="shared" ref="Q2201:Q2204" si="1286">"+0"</f>
        <v>+0</v>
      </c>
      <c r="S2201" s="14" t="s">
        <v>450</v>
      </c>
    </row>
    <row r="2202">
      <c r="A2202" s="13">
        <v>45901.0</v>
      </c>
      <c r="B2202" s="14" t="s">
        <v>47</v>
      </c>
      <c r="C2202" s="14" t="s">
        <v>48</v>
      </c>
      <c r="D2202" s="14" t="s">
        <v>60</v>
      </c>
      <c r="E2202" s="14" t="s">
        <v>61</v>
      </c>
      <c r="F2202" s="15" t="s">
        <v>51</v>
      </c>
      <c r="G2202" s="14" t="s">
        <v>62</v>
      </c>
      <c r="H2202" s="14" t="s">
        <v>60</v>
      </c>
      <c r="I2202" s="14" t="s">
        <v>59</v>
      </c>
      <c r="J2202" s="14" t="s">
        <v>198</v>
      </c>
      <c r="K2202" s="14" t="s">
        <v>205</v>
      </c>
      <c r="L2202" s="14" t="s">
        <v>274</v>
      </c>
      <c r="M2202" s="14" t="s">
        <v>275</v>
      </c>
      <c r="N2202" s="14" t="s">
        <v>276</v>
      </c>
      <c r="O2202" s="14">
        <v>0.0</v>
      </c>
      <c r="P2202" s="21">
        <v>1.0</v>
      </c>
      <c r="Q2202" s="22" t="str">
        <f t="shared" si="1286"/>
        <v>+0</v>
      </c>
      <c r="S2202" s="14" t="s">
        <v>277</v>
      </c>
    </row>
    <row r="2203">
      <c r="A2203" s="13">
        <v>45901.0</v>
      </c>
      <c r="B2203" s="14" t="s">
        <v>47</v>
      </c>
      <c r="C2203" s="14" t="s">
        <v>48</v>
      </c>
      <c r="D2203" s="14" t="s">
        <v>155</v>
      </c>
      <c r="E2203" s="14" t="s">
        <v>156</v>
      </c>
      <c r="F2203" s="15" t="s">
        <v>51</v>
      </c>
      <c r="G2203" s="14" t="s">
        <v>157</v>
      </c>
      <c r="H2203" s="14" t="s">
        <v>155</v>
      </c>
      <c r="I2203" s="14" t="s">
        <v>59</v>
      </c>
      <c r="J2203" s="14" t="s">
        <v>198</v>
      </c>
      <c r="K2203" s="14" t="s">
        <v>205</v>
      </c>
      <c r="L2203" s="14" t="s">
        <v>274</v>
      </c>
      <c r="M2203" s="14" t="s">
        <v>473</v>
      </c>
      <c r="N2203" s="14" t="s">
        <v>474</v>
      </c>
      <c r="O2203" s="14">
        <v>50.0</v>
      </c>
      <c r="P2203" s="21">
        <v>15.0</v>
      </c>
      <c r="Q2203" s="22" t="str">
        <f t="shared" si="1286"/>
        <v>+0</v>
      </c>
      <c r="S2203" s="14" t="s">
        <v>475</v>
      </c>
    </row>
    <row r="2204">
      <c r="A2204" s="13">
        <v>45901.0</v>
      </c>
      <c r="B2204" s="14" t="s">
        <v>47</v>
      </c>
      <c r="C2204" s="14" t="s">
        <v>48</v>
      </c>
      <c r="D2204" s="14" t="s">
        <v>49</v>
      </c>
      <c r="E2204" s="14" t="s">
        <v>50</v>
      </c>
      <c r="F2204" s="15" t="s">
        <v>51</v>
      </c>
      <c r="G2204" s="14" t="s">
        <v>52</v>
      </c>
      <c r="H2204" s="14" t="s">
        <v>53</v>
      </c>
      <c r="I2204" s="14" t="s">
        <v>54</v>
      </c>
      <c r="J2204" s="14" t="s">
        <v>198</v>
      </c>
      <c r="K2204" s="14" t="s">
        <v>210</v>
      </c>
      <c r="L2204" s="14" t="s">
        <v>264</v>
      </c>
      <c r="M2204" s="14" t="s">
        <v>910</v>
      </c>
      <c r="N2204" s="14" t="s">
        <v>911</v>
      </c>
      <c r="O2204" s="14">
        <v>0.0</v>
      </c>
      <c r="P2204" s="21">
        <v>0.0</v>
      </c>
      <c r="Q2204" s="22" t="str">
        <f t="shared" si="1286"/>
        <v>+0</v>
      </c>
      <c r="R2204" s="18" t="str">
        <f>"+0"</f>
        <v>+0</v>
      </c>
      <c r="S2204" s="14" t="s">
        <v>277</v>
      </c>
    </row>
    <row r="2205">
      <c r="A2205" s="13">
        <v>45901.0</v>
      </c>
      <c r="B2205" s="14" t="s">
        <v>47</v>
      </c>
      <c r="C2205" s="14" t="s">
        <v>48</v>
      </c>
      <c r="D2205" s="14" t="s">
        <v>165</v>
      </c>
      <c r="E2205" s="14" t="s">
        <v>166</v>
      </c>
      <c r="F2205" s="15" t="s">
        <v>51</v>
      </c>
      <c r="G2205" s="14" t="s">
        <v>167</v>
      </c>
      <c r="H2205" s="14" t="s">
        <v>165</v>
      </c>
      <c r="I2205" s="14" t="s">
        <v>54</v>
      </c>
      <c r="J2205" s="14" t="s">
        <v>198</v>
      </c>
      <c r="K2205" s="14" t="s">
        <v>212</v>
      </c>
      <c r="L2205" s="14" t="s">
        <v>344</v>
      </c>
      <c r="M2205" s="14" t="s">
        <v>580</v>
      </c>
      <c r="N2205" s="14" t="s">
        <v>581</v>
      </c>
      <c r="O2205" s="14">
        <v>100.0</v>
      </c>
      <c r="P2205" s="21">
        <v>1.0</v>
      </c>
      <c r="Q2205" s="22" t="str">
        <f>"+1"</f>
        <v>+1</v>
      </c>
      <c r="S2205" s="14" t="s">
        <v>281</v>
      </c>
    </row>
    <row r="2206">
      <c r="A2206" s="13">
        <v>45901.0</v>
      </c>
      <c r="B2206" s="14" t="s">
        <v>47</v>
      </c>
      <c r="C2206" s="14" t="s">
        <v>48</v>
      </c>
      <c r="D2206" s="14" t="s">
        <v>49</v>
      </c>
      <c r="E2206" s="14" t="s">
        <v>50</v>
      </c>
      <c r="F2206" s="15" t="s">
        <v>51</v>
      </c>
      <c r="G2206" s="14" t="s">
        <v>52</v>
      </c>
      <c r="H2206" s="14" t="s">
        <v>53</v>
      </c>
      <c r="I2206" s="14" t="s">
        <v>54</v>
      </c>
      <c r="J2206" s="14" t="s">
        <v>199</v>
      </c>
      <c r="K2206" s="14" t="s">
        <v>203</v>
      </c>
      <c r="L2206" s="14" t="s">
        <v>342</v>
      </c>
      <c r="M2206" s="14" t="s">
        <v>342</v>
      </c>
      <c r="N2206" s="14" t="s">
        <v>343</v>
      </c>
      <c r="O2206" s="14">
        <v>100.0</v>
      </c>
      <c r="P2206" s="21">
        <v>6.0</v>
      </c>
      <c r="Q2206" s="22" t="str">
        <f t="shared" ref="Q2206:R2206" si="1287">"+0"</f>
        <v>+0</v>
      </c>
      <c r="R2206" s="18" t="str">
        <f t="shared" si="1287"/>
        <v>+0</v>
      </c>
      <c r="S2206" s="14" t="s">
        <v>260</v>
      </c>
    </row>
    <row r="2207">
      <c r="A2207" s="13">
        <v>45901.0</v>
      </c>
      <c r="B2207" s="14" t="s">
        <v>47</v>
      </c>
      <c r="C2207" s="14" t="s">
        <v>48</v>
      </c>
      <c r="D2207" s="14" t="s">
        <v>49</v>
      </c>
      <c r="E2207" s="14" t="s">
        <v>50</v>
      </c>
      <c r="F2207" s="15" t="s">
        <v>51</v>
      </c>
      <c r="G2207" s="14" t="s">
        <v>52</v>
      </c>
      <c r="H2207" s="14" t="s">
        <v>53</v>
      </c>
      <c r="I2207" s="14" t="s">
        <v>54</v>
      </c>
      <c r="J2207" s="14" t="s">
        <v>198</v>
      </c>
      <c r="K2207" s="14" t="s">
        <v>210</v>
      </c>
      <c r="L2207" s="14" t="s">
        <v>278</v>
      </c>
      <c r="M2207" s="14" t="s">
        <v>839</v>
      </c>
      <c r="N2207" s="14" t="s">
        <v>840</v>
      </c>
      <c r="O2207" s="14">
        <v>41.0</v>
      </c>
      <c r="P2207" s="21">
        <v>1462.0</v>
      </c>
      <c r="Q2207" s="22" t="str">
        <f>"+75"</f>
        <v>+75</v>
      </c>
      <c r="R2207" s="18" t="str">
        <f>"+103"</f>
        <v>+103</v>
      </c>
      <c r="S2207" s="14" t="s">
        <v>1731</v>
      </c>
    </row>
    <row r="2208">
      <c r="A2208" s="13">
        <v>45901.0</v>
      </c>
      <c r="B2208" s="14" t="s">
        <v>47</v>
      </c>
      <c r="C2208" s="14" t="s">
        <v>48</v>
      </c>
      <c r="D2208" s="14" t="s">
        <v>63</v>
      </c>
      <c r="E2208" s="14" t="s">
        <v>64</v>
      </c>
      <c r="F2208" s="15" t="s">
        <v>51</v>
      </c>
      <c r="G2208" s="14" t="s">
        <v>65</v>
      </c>
      <c r="H2208" s="14" t="s">
        <v>63</v>
      </c>
      <c r="I2208" s="14" t="s">
        <v>54</v>
      </c>
      <c r="J2208" s="14" t="s">
        <v>200</v>
      </c>
      <c r="K2208" s="14" t="s">
        <v>213</v>
      </c>
      <c r="L2208" s="14" t="s">
        <v>289</v>
      </c>
      <c r="M2208" s="14" t="s">
        <v>331</v>
      </c>
      <c r="N2208" s="14" t="s">
        <v>332</v>
      </c>
      <c r="O2208" s="14">
        <v>0.0</v>
      </c>
      <c r="P2208" s="23">
        <v>0.0</v>
      </c>
      <c r="Q2208" s="22" t="str">
        <f t="shared" ref="Q2208:R2208" si="1288">"+0.00%"</f>
        <v>+0.00%</v>
      </c>
      <c r="R2208" s="18" t="str">
        <f t="shared" si="1288"/>
        <v>+0.00%</v>
      </c>
      <c r="S2208" s="14" t="s">
        <v>285</v>
      </c>
    </row>
    <row r="2209">
      <c r="A2209" s="13">
        <v>45901.0</v>
      </c>
      <c r="B2209" s="14" t="s">
        <v>47</v>
      </c>
      <c r="C2209" s="14" t="s">
        <v>48</v>
      </c>
      <c r="D2209" s="14" t="s">
        <v>99</v>
      </c>
      <c r="E2209" s="14" t="s">
        <v>100</v>
      </c>
      <c r="F2209" s="15" t="s">
        <v>51</v>
      </c>
      <c r="G2209" s="14" t="s">
        <v>101</v>
      </c>
      <c r="H2209" s="14" t="s">
        <v>102</v>
      </c>
      <c r="I2209" s="14" t="s">
        <v>54</v>
      </c>
      <c r="J2209" s="14" t="s">
        <v>198</v>
      </c>
      <c r="K2209" s="14" t="s">
        <v>210</v>
      </c>
      <c r="L2209" s="14" t="s">
        <v>505</v>
      </c>
      <c r="M2209" s="14" t="s">
        <v>746</v>
      </c>
      <c r="N2209" s="14" t="s">
        <v>747</v>
      </c>
      <c r="O2209" s="14">
        <v>0.0</v>
      </c>
      <c r="P2209" s="21">
        <v>0.0</v>
      </c>
      <c r="Q2209" s="22" t="str">
        <f t="shared" ref="Q2209:R2209" si="1289">"+0"</f>
        <v>+0</v>
      </c>
      <c r="R2209" s="18" t="str">
        <f t="shared" si="1289"/>
        <v>+0</v>
      </c>
      <c r="S2209" s="14" t="s">
        <v>277</v>
      </c>
    </row>
    <row r="2210">
      <c r="A2210" s="13">
        <v>45901.0</v>
      </c>
      <c r="B2210" s="14" t="s">
        <v>47</v>
      </c>
      <c r="C2210" s="14" t="s">
        <v>48</v>
      </c>
      <c r="D2210" s="14" t="s">
        <v>63</v>
      </c>
      <c r="E2210" s="14" t="s">
        <v>64</v>
      </c>
      <c r="F2210" s="15" t="s">
        <v>51</v>
      </c>
      <c r="G2210" s="14" t="s">
        <v>65</v>
      </c>
      <c r="H2210" s="14" t="s">
        <v>63</v>
      </c>
      <c r="I2210" s="14" t="s">
        <v>54</v>
      </c>
      <c r="J2210" s="14" t="s">
        <v>200</v>
      </c>
      <c r="K2210" s="14" t="s">
        <v>213</v>
      </c>
      <c r="L2210" s="14" t="s">
        <v>253</v>
      </c>
      <c r="M2210" s="14" t="s">
        <v>366</v>
      </c>
      <c r="N2210" s="14" t="s">
        <v>367</v>
      </c>
      <c r="O2210" s="14">
        <v>86.0</v>
      </c>
      <c r="P2210" s="23">
        <v>0.863</v>
      </c>
      <c r="Q2210" s="22" t="str">
        <f>"+0.47%"</f>
        <v>+0.47%</v>
      </c>
      <c r="R2210" s="18" t="str">
        <f>"-0.95%"</f>
        <v>-0.95%</v>
      </c>
      <c r="S2210" s="14" t="s">
        <v>1022</v>
      </c>
    </row>
    <row r="2211">
      <c r="A2211" s="13">
        <v>45901.0</v>
      </c>
      <c r="B2211" s="14" t="s">
        <v>47</v>
      </c>
      <c r="C2211" s="14" t="s">
        <v>48</v>
      </c>
      <c r="D2211" s="14" t="s">
        <v>63</v>
      </c>
      <c r="E2211" s="14" t="s">
        <v>64</v>
      </c>
      <c r="F2211" s="15" t="s">
        <v>51</v>
      </c>
      <c r="G2211" s="14" t="s">
        <v>65</v>
      </c>
      <c r="H2211" s="14" t="s">
        <v>63</v>
      </c>
      <c r="I2211" s="14" t="s">
        <v>54</v>
      </c>
      <c r="J2211" s="14" t="s">
        <v>200</v>
      </c>
      <c r="K2211" s="14" t="s">
        <v>211</v>
      </c>
      <c r="L2211" s="14" t="s">
        <v>253</v>
      </c>
      <c r="M2211" s="14" t="s">
        <v>1260</v>
      </c>
      <c r="N2211" s="14" t="s">
        <v>1261</v>
      </c>
      <c r="O2211" s="14">
        <v>0.0</v>
      </c>
      <c r="P2211" s="23">
        <v>0.0</v>
      </c>
      <c r="Q2211" s="22" t="str">
        <f t="shared" ref="Q2211:R2211" si="1290">"+0.00%"</f>
        <v>+0.00%</v>
      </c>
      <c r="R2211" s="18" t="str">
        <f t="shared" si="1290"/>
        <v>+0.00%</v>
      </c>
      <c r="S2211" s="14" t="s">
        <v>371</v>
      </c>
    </row>
    <row r="2212">
      <c r="A2212" s="13">
        <v>45901.0</v>
      </c>
      <c r="B2212" s="14" t="s">
        <v>47</v>
      </c>
      <c r="C2212" s="14" t="s">
        <v>48</v>
      </c>
      <c r="D2212" s="14" t="s">
        <v>99</v>
      </c>
      <c r="E2212" s="14" t="s">
        <v>100</v>
      </c>
      <c r="F2212" s="15" t="s">
        <v>51</v>
      </c>
      <c r="G2212" s="14" t="s">
        <v>101</v>
      </c>
      <c r="H2212" s="14" t="s">
        <v>102</v>
      </c>
      <c r="I2212" s="14" t="s">
        <v>54</v>
      </c>
      <c r="J2212" s="14" t="s">
        <v>199</v>
      </c>
      <c r="K2212" s="14" t="s">
        <v>203</v>
      </c>
      <c r="L2212" s="14" t="s">
        <v>1083</v>
      </c>
      <c r="M2212" s="14" t="s">
        <v>1083</v>
      </c>
      <c r="N2212" s="14" t="s">
        <v>1084</v>
      </c>
      <c r="O2212" s="14">
        <v>100.0</v>
      </c>
      <c r="P2212" s="21">
        <v>1.0</v>
      </c>
      <c r="Q2212" s="22" t="str">
        <f t="shared" ref="Q2212:R2212" si="1291">"+0"</f>
        <v>+0</v>
      </c>
      <c r="R2212" s="18" t="str">
        <f t="shared" si="1291"/>
        <v>+0</v>
      </c>
      <c r="S2212" s="14" t="s">
        <v>260</v>
      </c>
    </row>
    <row r="2213">
      <c r="A2213" s="13">
        <v>45901.0</v>
      </c>
      <c r="B2213" s="14" t="s">
        <v>47</v>
      </c>
      <c r="C2213" s="14" t="s">
        <v>48</v>
      </c>
      <c r="D2213" s="14" t="s">
        <v>99</v>
      </c>
      <c r="E2213" s="14" t="s">
        <v>100</v>
      </c>
      <c r="F2213" s="15" t="s">
        <v>51</v>
      </c>
      <c r="G2213" s="14" t="s">
        <v>101</v>
      </c>
      <c r="H2213" s="14" t="s">
        <v>102</v>
      </c>
      <c r="I2213" s="14" t="s">
        <v>54</v>
      </c>
      <c r="J2213" s="14" t="s">
        <v>200</v>
      </c>
      <c r="K2213" s="14" t="s">
        <v>201</v>
      </c>
      <c r="L2213" s="14" t="s">
        <v>253</v>
      </c>
      <c r="M2213" s="14" t="s">
        <v>538</v>
      </c>
      <c r="N2213" s="14" t="s">
        <v>539</v>
      </c>
      <c r="O2213" s="14">
        <v>46.0</v>
      </c>
      <c r="P2213" s="23">
        <v>0.4692</v>
      </c>
      <c r="Q2213" s="22" t="str">
        <f>"+0.34%"</f>
        <v>+0.34%</v>
      </c>
      <c r="R2213" s="18" t="str">
        <f>"+1.03%"</f>
        <v>+1.03%</v>
      </c>
      <c r="S2213" s="14" t="s">
        <v>1732</v>
      </c>
    </row>
    <row r="2214">
      <c r="A2214" s="13">
        <v>45901.0</v>
      </c>
      <c r="B2214" s="14" t="s">
        <v>47</v>
      </c>
      <c r="C2214" s="14" t="s">
        <v>48</v>
      </c>
      <c r="D2214" s="14" t="s">
        <v>91</v>
      </c>
      <c r="E2214" s="14" t="s">
        <v>92</v>
      </c>
      <c r="F2214" s="14" t="s">
        <v>71</v>
      </c>
      <c r="G2214" s="14">
        <v>7295600.0</v>
      </c>
      <c r="H2214" s="14" t="s">
        <v>91</v>
      </c>
      <c r="I2214" s="14" t="s">
        <v>54</v>
      </c>
      <c r="J2214" s="14" t="s">
        <v>199</v>
      </c>
      <c r="K2214" s="14" t="s">
        <v>203</v>
      </c>
      <c r="L2214" s="14" t="s">
        <v>1095</v>
      </c>
      <c r="M2214" s="14" t="s">
        <v>1095</v>
      </c>
      <c r="N2214" s="14" t="s">
        <v>1096</v>
      </c>
      <c r="O2214" s="14">
        <v>0.0</v>
      </c>
      <c r="P2214" s="21">
        <v>0.0</v>
      </c>
      <c r="Q2214" s="22" t="str">
        <f t="shared" ref="Q2214:R2214" si="1292">"+0"</f>
        <v>+0</v>
      </c>
      <c r="R2214" s="18" t="str">
        <f t="shared" si="1292"/>
        <v>+0</v>
      </c>
      <c r="S2214" s="14" t="s">
        <v>260</v>
      </c>
    </row>
    <row r="2215">
      <c r="A2215" s="13">
        <v>45901.0</v>
      </c>
      <c r="B2215" s="14" t="s">
        <v>47</v>
      </c>
      <c r="C2215" s="14" t="s">
        <v>48</v>
      </c>
      <c r="D2215" s="14" t="s">
        <v>91</v>
      </c>
      <c r="E2215" s="14" t="s">
        <v>92</v>
      </c>
      <c r="F2215" s="14" t="s">
        <v>71</v>
      </c>
      <c r="G2215" s="14">
        <v>5.10001669E8</v>
      </c>
      <c r="H2215" s="14" t="s">
        <v>91</v>
      </c>
      <c r="I2215" s="14" t="s">
        <v>107</v>
      </c>
      <c r="J2215" s="14" t="s">
        <v>199</v>
      </c>
      <c r="K2215" s="14" t="s">
        <v>206</v>
      </c>
      <c r="L2215" s="14" t="s">
        <v>515</v>
      </c>
      <c r="M2215" s="14" t="s">
        <v>515</v>
      </c>
      <c r="N2215" s="14" t="s">
        <v>516</v>
      </c>
      <c r="O2215" s="14">
        <v>25.0</v>
      </c>
      <c r="P2215" s="21">
        <v>1.0</v>
      </c>
      <c r="Q2215" s="22" t="str">
        <f t="shared" ref="Q2215:R2215" si="1293">"+0"</f>
        <v>+0</v>
      </c>
      <c r="R2215" s="18" t="str">
        <f t="shared" si="1293"/>
        <v>+0</v>
      </c>
      <c r="S2215" s="14" t="s">
        <v>383</v>
      </c>
    </row>
    <row r="2216">
      <c r="A2216" s="13">
        <v>45901.0</v>
      </c>
      <c r="B2216" s="14" t="s">
        <v>47</v>
      </c>
      <c r="C2216" s="14" t="s">
        <v>48</v>
      </c>
      <c r="D2216" s="14" t="s">
        <v>91</v>
      </c>
      <c r="E2216" s="14" t="s">
        <v>92</v>
      </c>
      <c r="F2216" s="14" t="s">
        <v>71</v>
      </c>
      <c r="G2216" s="14">
        <v>5.00008343E8</v>
      </c>
      <c r="H2216" s="14" t="s">
        <v>91</v>
      </c>
      <c r="I2216" s="14" t="s">
        <v>59</v>
      </c>
      <c r="J2216" s="14" t="s">
        <v>200</v>
      </c>
      <c r="K2216" s="14" t="s">
        <v>218</v>
      </c>
      <c r="L2216" s="14" t="s">
        <v>253</v>
      </c>
      <c r="M2216" s="14" t="s">
        <v>463</v>
      </c>
      <c r="N2216" s="14" t="s">
        <v>464</v>
      </c>
      <c r="O2216" s="14">
        <v>1.0</v>
      </c>
      <c r="P2216" s="23">
        <v>0.0177</v>
      </c>
      <c r="Q2216" s="22" t="str">
        <f>"+0.17%"</f>
        <v>+0.17%</v>
      </c>
      <c r="R2216" s="18" t="str">
        <f>"+0.49%"</f>
        <v>+0.49%</v>
      </c>
      <c r="S2216" s="14" t="s">
        <v>1391</v>
      </c>
    </row>
    <row r="2217">
      <c r="A2217" s="13">
        <v>45901.0</v>
      </c>
      <c r="B2217" s="14" t="s">
        <v>47</v>
      </c>
      <c r="C2217" s="14" t="s">
        <v>48</v>
      </c>
      <c r="D2217" s="14" t="s">
        <v>82</v>
      </c>
      <c r="E2217" s="14" t="s">
        <v>83</v>
      </c>
      <c r="F2217" s="15" t="s">
        <v>51</v>
      </c>
      <c r="G2217" s="14" t="s">
        <v>84</v>
      </c>
      <c r="H2217" s="14" t="s">
        <v>82</v>
      </c>
      <c r="I2217" s="14" t="s">
        <v>59</v>
      </c>
      <c r="J2217" s="14" t="s">
        <v>200</v>
      </c>
      <c r="K2217" s="14" t="s">
        <v>213</v>
      </c>
      <c r="L2217" s="14" t="s">
        <v>257</v>
      </c>
      <c r="M2217" s="14" t="s">
        <v>258</v>
      </c>
      <c r="N2217" s="14" t="s">
        <v>259</v>
      </c>
      <c r="O2217" s="14">
        <v>100.0</v>
      </c>
      <c r="P2217" s="21">
        <v>30.0</v>
      </c>
      <c r="Q2217" s="22" t="str">
        <f t="shared" ref="Q2217:R2217" si="1294">"+0"</f>
        <v>+0</v>
      </c>
      <c r="R2217" s="18" t="str">
        <f t="shared" si="1294"/>
        <v>+0</v>
      </c>
      <c r="S2217" s="14" t="s">
        <v>260</v>
      </c>
    </row>
    <row r="2218">
      <c r="A2218" s="13">
        <v>45901.0</v>
      </c>
      <c r="B2218" s="14" t="s">
        <v>47</v>
      </c>
      <c r="C2218" s="14" t="s">
        <v>48</v>
      </c>
      <c r="D2218" s="14" t="s">
        <v>192</v>
      </c>
      <c r="E2218" s="14" t="s">
        <v>193</v>
      </c>
      <c r="F2218" s="15" t="s">
        <v>51</v>
      </c>
      <c r="G2218" s="14" t="s">
        <v>194</v>
      </c>
      <c r="H2218" s="14" t="s">
        <v>192</v>
      </c>
      <c r="I2218" s="14" t="s">
        <v>54</v>
      </c>
      <c r="J2218" s="14" t="s">
        <v>199</v>
      </c>
      <c r="K2218" s="14" t="s">
        <v>206</v>
      </c>
      <c r="L2218" s="14" t="s">
        <v>295</v>
      </c>
      <c r="M2218" s="14" t="s">
        <v>461</v>
      </c>
      <c r="N2218" s="14" t="s">
        <v>462</v>
      </c>
      <c r="O2218" s="14">
        <v>0.0</v>
      </c>
      <c r="P2218" s="21">
        <v>0.0</v>
      </c>
      <c r="Q2218" s="22" t="str">
        <f t="shared" ref="Q2218:R2218" si="1295">"+0"</f>
        <v>+0</v>
      </c>
      <c r="R2218" s="18" t="str">
        <f t="shared" si="1295"/>
        <v>+0</v>
      </c>
      <c r="S2218" s="14" t="s">
        <v>260</v>
      </c>
    </row>
    <row r="2219">
      <c r="A2219" s="13">
        <v>45901.0</v>
      </c>
      <c r="B2219" s="14" t="s">
        <v>47</v>
      </c>
      <c r="C2219" s="14" t="s">
        <v>48</v>
      </c>
      <c r="D2219" s="14" t="s">
        <v>93</v>
      </c>
      <c r="E2219" s="14" t="s">
        <v>94</v>
      </c>
      <c r="F2219" s="15" t="s">
        <v>51</v>
      </c>
      <c r="G2219" s="14" t="s">
        <v>191</v>
      </c>
      <c r="H2219" s="14" t="s">
        <v>95</v>
      </c>
      <c r="I2219" s="14" t="s">
        <v>59</v>
      </c>
      <c r="J2219" s="14" t="s">
        <v>199</v>
      </c>
      <c r="K2219" s="14" t="s">
        <v>206</v>
      </c>
      <c r="L2219" s="14" t="s">
        <v>569</v>
      </c>
      <c r="M2219" s="14" t="s">
        <v>569</v>
      </c>
      <c r="N2219" s="14" t="s">
        <v>570</v>
      </c>
      <c r="O2219" s="14">
        <v>0.0</v>
      </c>
      <c r="P2219" s="21">
        <v>0.0</v>
      </c>
      <c r="Q2219" s="22" t="str">
        <f t="shared" ref="Q2219:R2219" si="1296">"+0"</f>
        <v>+0</v>
      </c>
      <c r="R2219" s="18" t="str">
        <f t="shared" si="1296"/>
        <v>+0</v>
      </c>
      <c r="S2219" s="14" t="s">
        <v>383</v>
      </c>
    </row>
    <row r="2220">
      <c r="A2220" s="13">
        <v>45901.0</v>
      </c>
      <c r="B2220" s="14" t="s">
        <v>47</v>
      </c>
      <c r="C2220" s="14" t="s">
        <v>48</v>
      </c>
      <c r="D2220" s="14" t="s">
        <v>66</v>
      </c>
      <c r="E2220" s="14" t="s">
        <v>67</v>
      </c>
      <c r="F2220" s="15" t="s">
        <v>51</v>
      </c>
      <c r="G2220" s="14" t="s">
        <v>68</v>
      </c>
      <c r="H2220" s="14" t="s">
        <v>66</v>
      </c>
      <c r="I2220" s="14" t="s">
        <v>59</v>
      </c>
      <c r="J2220" s="14" t="s">
        <v>198</v>
      </c>
      <c r="K2220" s="14" t="s">
        <v>205</v>
      </c>
      <c r="L2220" s="14" t="s">
        <v>274</v>
      </c>
      <c r="M2220" s="14" t="s">
        <v>575</v>
      </c>
      <c r="N2220" s="14" t="s">
        <v>576</v>
      </c>
      <c r="O2220" s="14">
        <v>100.0</v>
      </c>
      <c r="P2220" s="21">
        <v>90.0</v>
      </c>
      <c r="Q2220" s="22" t="str">
        <f>"+0"</f>
        <v>+0</v>
      </c>
      <c r="S2220" s="14" t="s">
        <v>577</v>
      </c>
    </row>
    <row r="2221">
      <c r="A2221" s="13">
        <v>45901.0</v>
      </c>
      <c r="B2221" s="14" t="s">
        <v>47</v>
      </c>
      <c r="C2221" s="14" t="s">
        <v>48</v>
      </c>
      <c r="D2221" s="14" t="s">
        <v>192</v>
      </c>
      <c r="E2221" s="14" t="s">
        <v>193</v>
      </c>
      <c r="F2221" s="15" t="s">
        <v>51</v>
      </c>
      <c r="G2221" s="14" t="s">
        <v>194</v>
      </c>
      <c r="H2221" s="14" t="s">
        <v>192</v>
      </c>
      <c r="I2221" s="14" t="s">
        <v>54</v>
      </c>
      <c r="J2221" s="14" t="s">
        <v>200</v>
      </c>
      <c r="K2221" s="14" t="s">
        <v>227</v>
      </c>
      <c r="L2221" s="14" t="s">
        <v>270</v>
      </c>
      <c r="M2221" s="14" t="s">
        <v>417</v>
      </c>
      <c r="N2221" s="14" t="s">
        <v>418</v>
      </c>
      <c r="O2221" s="14">
        <v>27.0</v>
      </c>
      <c r="P2221" s="21">
        <v>5.0</v>
      </c>
      <c r="Q2221" s="22" t="str">
        <f>"+3"</f>
        <v>+3</v>
      </c>
      <c r="R2221" s="18" t="str">
        <f>"-2"</f>
        <v>-2</v>
      </c>
      <c r="S2221" s="14" t="s">
        <v>260</v>
      </c>
    </row>
    <row r="2222">
      <c r="A2222" s="13">
        <v>45901.0</v>
      </c>
      <c r="B2222" s="14" t="s">
        <v>47</v>
      </c>
      <c r="C2222" s="14" t="s">
        <v>48</v>
      </c>
      <c r="D2222" s="14" t="s">
        <v>87</v>
      </c>
      <c r="E2222" s="14" t="s">
        <v>88</v>
      </c>
      <c r="F2222" s="15" t="s">
        <v>51</v>
      </c>
      <c r="G2222" s="14" t="s">
        <v>89</v>
      </c>
      <c r="H2222" s="14" t="s">
        <v>90</v>
      </c>
      <c r="I2222" s="14" t="s">
        <v>59</v>
      </c>
      <c r="J2222" s="14" t="s">
        <v>200</v>
      </c>
      <c r="K2222" s="14" t="s">
        <v>223</v>
      </c>
      <c r="L2222" s="14" t="s">
        <v>261</v>
      </c>
      <c r="M2222" s="14" t="s">
        <v>814</v>
      </c>
      <c r="N2222" s="14" t="s">
        <v>815</v>
      </c>
      <c r="O2222" s="14">
        <v>52.0</v>
      </c>
      <c r="P2222" s="23">
        <v>0.0417</v>
      </c>
      <c r="Q2222" s="22" t="str">
        <f>"-11.87%"</f>
        <v>-11.87%</v>
      </c>
      <c r="R2222" s="18" t="str">
        <f>"-10.03%"</f>
        <v>-10.03%</v>
      </c>
      <c r="S2222" s="14" t="s">
        <v>1733</v>
      </c>
    </row>
    <row r="2223">
      <c r="A2223" s="13">
        <v>45901.0</v>
      </c>
      <c r="B2223" s="14" t="s">
        <v>47</v>
      </c>
      <c r="C2223" s="14" t="s">
        <v>48</v>
      </c>
      <c r="D2223" s="14" t="s">
        <v>129</v>
      </c>
      <c r="E2223" s="14" t="s">
        <v>130</v>
      </c>
      <c r="F2223" s="15" t="s">
        <v>51</v>
      </c>
      <c r="G2223" s="14" t="s">
        <v>131</v>
      </c>
      <c r="H2223" s="14" t="s">
        <v>129</v>
      </c>
      <c r="I2223" s="14" t="s">
        <v>59</v>
      </c>
      <c r="J2223" s="14" t="s">
        <v>200</v>
      </c>
      <c r="K2223" s="14" t="s">
        <v>231</v>
      </c>
      <c r="L2223" s="14" t="s">
        <v>512</v>
      </c>
      <c r="M2223" s="14" t="s">
        <v>1511</v>
      </c>
      <c r="N2223" s="14" t="s">
        <v>1512</v>
      </c>
      <c r="O2223" s="14">
        <v>55.0</v>
      </c>
      <c r="P2223" s="23">
        <v>0.1117</v>
      </c>
      <c r="Q2223" s="22" t="str">
        <f>"+9.92%"</f>
        <v>+9.92%</v>
      </c>
      <c r="R2223" s="18" t="str">
        <f>"-21.01%"</f>
        <v>-21.01%</v>
      </c>
      <c r="S2223" s="14" t="s">
        <v>1734</v>
      </c>
    </row>
    <row r="2224">
      <c r="A2224" s="13">
        <v>45901.0</v>
      </c>
      <c r="B2224" s="14" t="s">
        <v>47</v>
      </c>
      <c r="C2224" s="14" t="s">
        <v>48</v>
      </c>
      <c r="D2224" s="14" t="s">
        <v>125</v>
      </c>
      <c r="E2224" s="14" t="s">
        <v>126</v>
      </c>
      <c r="F2224" s="15" t="s">
        <v>51</v>
      </c>
      <c r="G2224" s="14" t="s">
        <v>127</v>
      </c>
      <c r="H2224" s="14" t="s">
        <v>125</v>
      </c>
      <c r="I2224" s="14" t="s">
        <v>59</v>
      </c>
      <c r="J2224" s="14" t="s">
        <v>200</v>
      </c>
      <c r="K2224" s="14" t="s">
        <v>224</v>
      </c>
      <c r="L2224" s="14" t="s">
        <v>392</v>
      </c>
      <c r="M2224" s="14" t="s">
        <v>393</v>
      </c>
      <c r="N2224" s="14" t="s">
        <v>394</v>
      </c>
      <c r="O2224" s="14">
        <v>0.0</v>
      </c>
      <c r="P2224" s="17"/>
      <c r="Q2224" s="22"/>
      <c r="S2224" s="14" t="s">
        <v>1735</v>
      </c>
    </row>
    <row r="2225">
      <c r="A2225" s="13">
        <v>45901.0</v>
      </c>
      <c r="B2225" s="14" t="s">
        <v>47</v>
      </c>
      <c r="C2225" s="14" t="s">
        <v>48</v>
      </c>
      <c r="D2225" s="14" t="s">
        <v>85</v>
      </c>
      <c r="E2225" s="14" t="s">
        <v>86</v>
      </c>
      <c r="F2225" s="14" t="s">
        <v>71</v>
      </c>
      <c r="G2225" s="14">
        <v>88285.0</v>
      </c>
      <c r="H2225" s="14" t="s">
        <v>85</v>
      </c>
      <c r="I2225" s="14" t="s">
        <v>59</v>
      </c>
      <c r="J2225" s="14" t="s">
        <v>199</v>
      </c>
      <c r="K2225" s="14" t="s">
        <v>203</v>
      </c>
      <c r="L2225" s="14" t="s">
        <v>736</v>
      </c>
      <c r="M2225" s="14" t="s">
        <v>736</v>
      </c>
      <c r="N2225" s="14" t="s">
        <v>737</v>
      </c>
      <c r="O2225" s="14">
        <v>0.0</v>
      </c>
      <c r="P2225" s="21">
        <v>0.0</v>
      </c>
      <c r="Q2225" s="22" t="str">
        <f t="shared" ref="Q2225:R2225" si="1297">"+0"</f>
        <v>+0</v>
      </c>
      <c r="R2225" s="18" t="str">
        <f t="shared" si="1297"/>
        <v>+0</v>
      </c>
      <c r="S2225" s="14" t="s">
        <v>260</v>
      </c>
    </row>
    <row r="2226">
      <c r="A2226" s="13">
        <v>45901.0</v>
      </c>
      <c r="B2226" s="14" t="s">
        <v>47</v>
      </c>
      <c r="C2226" s="14" t="s">
        <v>48</v>
      </c>
      <c r="D2226" s="14" t="s">
        <v>96</v>
      </c>
      <c r="E2226" s="14" t="s">
        <v>97</v>
      </c>
      <c r="F2226" s="15" t="s">
        <v>51</v>
      </c>
      <c r="G2226" s="14" t="s">
        <v>98</v>
      </c>
      <c r="H2226" s="14" t="s">
        <v>96</v>
      </c>
      <c r="I2226" s="14" t="s">
        <v>59</v>
      </c>
      <c r="J2226" s="14" t="s">
        <v>199</v>
      </c>
      <c r="K2226" s="14" t="s">
        <v>203</v>
      </c>
      <c r="L2226" s="14" t="s">
        <v>601</v>
      </c>
      <c r="M2226" s="14" t="s">
        <v>601</v>
      </c>
      <c r="N2226" s="14" t="s">
        <v>602</v>
      </c>
      <c r="O2226" s="14">
        <v>0.0</v>
      </c>
      <c r="P2226" s="21">
        <v>0.0</v>
      </c>
      <c r="Q2226" s="22" t="str">
        <f t="shared" ref="Q2226:R2226" si="1298">"+0"</f>
        <v>+0</v>
      </c>
      <c r="R2226" s="18" t="str">
        <f t="shared" si="1298"/>
        <v>+0</v>
      </c>
      <c r="S2226" s="14" t="s">
        <v>260</v>
      </c>
    </row>
    <row r="2227">
      <c r="A2227" s="13">
        <v>45901.0</v>
      </c>
      <c r="B2227" s="14" t="s">
        <v>47</v>
      </c>
      <c r="C2227" s="14" t="s">
        <v>48</v>
      </c>
      <c r="D2227" s="14" t="s">
        <v>96</v>
      </c>
      <c r="E2227" s="14" t="s">
        <v>97</v>
      </c>
      <c r="F2227" s="15" t="s">
        <v>51</v>
      </c>
      <c r="G2227" s="14" t="s">
        <v>98</v>
      </c>
      <c r="H2227" s="14" t="s">
        <v>96</v>
      </c>
      <c r="I2227" s="14" t="s">
        <v>59</v>
      </c>
      <c r="J2227" s="14" t="s">
        <v>198</v>
      </c>
      <c r="K2227" s="14" t="s">
        <v>210</v>
      </c>
      <c r="L2227" s="14" t="s">
        <v>264</v>
      </c>
      <c r="M2227" s="14" t="s">
        <v>524</v>
      </c>
      <c r="N2227" s="14" t="s">
        <v>525</v>
      </c>
      <c r="O2227" s="14">
        <v>100.0</v>
      </c>
      <c r="P2227" s="21">
        <v>0.0</v>
      </c>
      <c r="Q2227" s="22" t="str">
        <f t="shared" ref="Q2227:R2227" si="1299">"+0"</f>
        <v>+0</v>
      </c>
      <c r="R2227" s="18" t="str">
        <f t="shared" si="1299"/>
        <v>+0</v>
      </c>
      <c r="S2227" s="14" t="s">
        <v>281</v>
      </c>
    </row>
    <row r="2228">
      <c r="A2228" s="13">
        <v>45901.0</v>
      </c>
      <c r="B2228" s="14" t="s">
        <v>47</v>
      </c>
      <c r="C2228" s="14" t="s">
        <v>48</v>
      </c>
      <c r="D2228" s="14" t="s">
        <v>140</v>
      </c>
      <c r="E2228" s="14" t="s">
        <v>141</v>
      </c>
      <c r="F2228" s="15" t="s">
        <v>51</v>
      </c>
      <c r="G2228" s="14" t="s">
        <v>142</v>
      </c>
      <c r="H2228" s="14" t="s">
        <v>140</v>
      </c>
      <c r="I2228" s="14" t="s">
        <v>59</v>
      </c>
      <c r="J2228" s="14" t="s">
        <v>199</v>
      </c>
      <c r="K2228" s="14" t="s">
        <v>208</v>
      </c>
      <c r="L2228" s="14" t="s">
        <v>352</v>
      </c>
      <c r="M2228" s="14" t="s">
        <v>352</v>
      </c>
      <c r="N2228" s="14" t="s">
        <v>353</v>
      </c>
      <c r="O2228" s="14">
        <v>90.0</v>
      </c>
      <c r="P2228" s="21">
        <v>4.0</v>
      </c>
      <c r="Q2228" s="22" t="str">
        <f>"+0"</f>
        <v>+0</v>
      </c>
      <c r="R2228" s="18" t="str">
        <f>"+1"</f>
        <v>+1</v>
      </c>
      <c r="S2228" s="14" t="s">
        <v>260</v>
      </c>
    </row>
    <row r="2229">
      <c r="A2229" s="13">
        <v>45901.0</v>
      </c>
      <c r="B2229" s="14" t="s">
        <v>47</v>
      </c>
      <c r="C2229" s="14" t="s">
        <v>48</v>
      </c>
      <c r="D2229" s="14" t="s">
        <v>155</v>
      </c>
      <c r="E2229" s="14" t="s">
        <v>156</v>
      </c>
      <c r="F2229" s="15" t="s">
        <v>51</v>
      </c>
      <c r="G2229" s="14" t="s">
        <v>157</v>
      </c>
      <c r="H2229" s="14" t="s">
        <v>155</v>
      </c>
      <c r="I2229" s="14" t="s">
        <v>59</v>
      </c>
      <c r="J2229" s="14" t="s">
        <v>200</v>
      </c>
      <c r="K2229" s="14" t="s">
        <v>223</v>
      </c>
      <c r="L2229" s="14" t="s">
        <v>363</v>
      </c>
      <c r="M2229" s="14" t="s">
        <v>1043</v>
      </c>
      <c r="N2229" s="14" t="s">
        <v>1044</v>
      </c>
      <c r="O2229" s="14">
        <v>0.0</v>
      </c>
      <c r="P2229" s="17"/>
      <c r="Q2229" s="22"/>
      <c r="S2229" s="14" t="s">
        <v>285</v>
      </c>
    </row>
    <row r="2230">
      <c r="A2230" s="13">
        <v>45901.0</v>
      </c>
      <c r="B2230" s="14" t="s">
        <v>47</v>
      </c>
      <c r="C2230" s="14" t="s">
        <v>48</v>
      </c>
      <c r="D2230" s="14" t="s">
        <v>165</v>
      </c>
      <c r="E2230" s="14" t="s">
        <v>166</v>
      </c>
      <c r="F2230" s="15" t="s">
        <v>51</v>
      </c>
      <c r="G2230" s="14" t="s">
        <v>167</v>
      </c>
      <c r="H2230" s="14" t="s">
        <v>165</v>
      </c>
      <c r="I2230" s="14" t="s">
        <v>54</v>
      </c>
      <c r="J2230" s="14" t="s">
        <v>198</v>
      </c>
      <c r="K2230" s="14" t="s">
        <v>210</v>
      </c>
      <c r="L2230" s="14" t="s">
        <v>264</v>
      </c>
      <c r="M2230" s="14" t="s">
        <v>804</v>
      </c>
      <c r="N2230" s="14" t="s">
        <v>805</v>
      </c>
      <c r="O2230" s="14">
        <v>100.0</v>
      </c>
      <c r="P2230" s="21">
        <v>1.0</v>
      </c>
      <c r="Q2230" s="22" t="str">
        <f>"+0"</f>
        <v>+0</v>
      </c>
      <c r="R2230" s="18" t="str">
        <f>"+1"</f>
        <v>+1</v>
      </c>
      <c r="S2230" s="14" t="s">
        <v>277</v>
      </c>
    </row>
    <row r="2231">
      <c r="A2231" s="13">
        <v>45901.0</v>
      </c>
      <c r="B2231" s="14" t="s">
        <v>47</v>
      </c>
      <c r="C2231" s="14" t="s">
        <v>48</v>
      </c>
      <c r="D2231" s="14" t="s">
        <v>49</v>
      </c>
      <c r="E2231" s="14" t="s">
        <v>50</v>
      </c>
      <c r="F2231" s="15" t="s">
        <v>51</v>
      </c>
      <c r="G2231" s="14" t="s">
        <v>52</v>
      </c>
      <c r="H2231" s="14" t="s">
        <v>53</v>
      </c>
      <c r="I2231" s="14" t="s">
        <v>54</v>
      </c>
      <c r="J2231" s="14" t="s">
        <v>200</v>
      </c>
      <c r="K2231" s="14" t="s">
        <v>213</v>
      </c>
      <c r="L2231" s="14" t="s">
        <v>257</v>
      </c>
      <c r="M2231" s="14" t="s">
        <v>622</v>
      </c>
      <c r="N2231" s="14" t="s">
        <v>623</v>
      </c>
      <c r="O2231" s="14">
        <v>65.0</v>
      </c>
      <c r="P2231" s="23">
        <v>0.3007</v>
      </c>
      <c r="Q2231" s="22" t="str">
        <f>"+36.44%"</f>
        <v>+36.44%</v>
      </c>
      <c r="R2231" s="18" t="str">
        <f>"+130.07%"</f>
        <v>+130.07%</v>
      </c>
      <c r="S2231" s="14" t="s">
        <v>1063</v>
      </c>
    </row>
    <row r="2232">
      <c r="A2232" s="13">
        <v>45901.0</v>
      </c>
      <c r="B2232" s="14" t="s">
        <v>47</v>
      </c>
      <c r="C2232" s="14" t="s">
        <v>48</v>
      </c>
      <c r="D2232" s="14" t="s">
        <v>165</v>
      </c>
      <c r="E2232" s="14" t="s">
        <v>166</v>
      </c>
      <c r="F2232" s="15" t="s">
        <v>51</v>
      </c>
      <c r="G2232" s="14" t="s">
        <v>167</v>
      </c>
      <c r="H2232" s="14" t="s">
        <v>165</v>
      </c>
      <c r="I2232" s="14" t="s">
        <v>54</v>
      </c>
      <c r="J2232" s="14" t="s">
        <v>200</v>
      </c>
      <c r="K2232" s="14" t="s">
        <v>213</v>
      </c>
      <c r="L2232" s="14" t="s">
        <v>307</v>
      </c>
      <c r="M2232" s="14" t="s">
        <v>533</v>
      </c>
      <c r="N2232" s="14" t="s">
        <v>534</v>
      </c>
      <c r="O2232" s="14">
        <v>16.0</v>
      </c>
      <c r="P2232" s="23">
        <v>0.1605</v>
      </c>
      <c r="Q2232" s="22" t="str">
        <f>"-0.45%"</f>
        <v>-0.45%</v>
      </c>
      <c r="R2232" s="18" t="str">
        <f>"-0.00%"</f>
        <v>-0.00%</v>
      </c>
      <c r="S2232" s="14" t="s">
        <v>1666</v>
      </c>
    </row>
    <row r="2233">
      <c r="A2233" s="13">
        <v>45901.0</v>
      </c>
      <c r="B2233" s="14" t="s">
        <v>47</v>
      </c>
      <c r="C2233" s="14" t="s">
        <v>48</v>
      </c>
      <c r="D2233" s="14" t="s">
        <v>91</v>
      </c>
      <c r="E2233" s="14" t="s">
        <v>92</v>
      </c>
      <c r="F2233" s="14" t="s">
        <v>71</v>
      </c>
      <c r="G2233" s="14">
        <v>5.10000484E8</v>
      </c>
      <c r="H2233" s="14" t="s">
        <v>91</v>
      </c>
      <c r="I2233" s="14" t="s">
        <v>54</v>
      </c>
      <c r="J2233" s="14" t="s">
        <v>199</v>
      </c>
      <c r="K2233" s="14" t="s">
        <v>206</v>
      </c>
      <c r="L2233" s="14" t="s">
        <v>295</v>
      </c>
      <c r="M2233" s="14" t="s">
        <v>296</v>
      </c>
      <c r="N2233" s="14" t="s">
        <v>297</v>
      </c>
      <c r="O2233" s="14">
        <v>100.0</v>
      </c>
      <c r="P2233" s="21">
        <v>2.0</v>
      </c>
      <c r="Q2233" s="22" t="str">
        <f t="shared" ref="Q2233:R2233" si="1300">"+0"</f>
        <v>+0</v>
      </c>
      <c r="R2233" s="18" t="str">
        <f t="shared" si="1300"/>
        <v>+0</v>
      </c>
      <c r="S2233" s="14" t="s">
        <v>260</v>
      </c>
    </row>
    <row r="2234">
      <c r="A2234" s="13">
        <v>45901.0</v>
      </c>
      <c r="B2234" s="14" t="s">
        <v>47</v>
      </c>
      <c r="C2234" s="14" t="s">
        <v>48</v>
      </c>
      <c r="D2234" s="14" t="s">
        <v>99</v>
      </c>
      <c r="E2234" s="14" t="s">
        <v>100</v>
      </c>
      <c r="F2234" s="15" t="s">
        <v>51</v>
      </c>
      <c r="G2234" s="14" t="s">
        <v>101</v>
      </c>
      <c r="H2234" s="14" t="s">
        <v>102</v>
      </c>
      <c r="I2234" s="14" t="s">
        <v>54</v>
      </c>
      <c r="J2234" s="14" t="s">
        <v>200</v>
      </c>
      <c r="K2234" s="14" t="s">
        <v>227</v>
      </c>
      <c r="L2234" s="14" t="s">
        <v>721</v>
      </c>
      <c r="M2234" s="14" t="s">
        <v>1060</v>
      </c>
      <c r="N2234" s="14" t="s">
        <v>1061</v>
      </c>
      <c r="O2234" s="14">
        <v>63.0</v>
      </c>
      <c r="P2234" s="23">
        <v>0.2614</v>
      </c>
      <c r="Q2234" s="22" t="str">
        <f>"-73.86%"</f>
        <v>-73.86%</v>
      </c>
      <c r="R2234" s="18" t="str">
        <f>"-55.48%"</f>
        <v>-55.48%</v>
      </c>
      <c r="S2234" s="14" t="s">
        <v>1062</v>
      </c>
    </row>
    <row r="2235">
      <c r="A2235" s="13">
        <v>45901.0</v>
      </c>
      <c r="B2235" s="14" t="s">
        <v>47</v>
      </c>
      <c r="C2235" s="14" t="s">
        <v>48</v>
      </c>
      <c r="D2235" s="14" t="s">
        <v>63</v>
      </c>
      <c r="E2235" s="14" t="s">
        <v>64</v>
      </c>
      <c r="F2235" s="15" t="s">
        <v>51</v>
      </c>
      <c r="G2235" s="14" t="s">
        <v>65</v>
      </c>
      <c r="H2235" s="14" t="s">
        <v>63</v>
      </c>
      <c r="I2235" s="14" t="s">
        <v>54</v>
      </c>
      <c r="J2235" s="14" t="s">
        <v>200</v>
      </c>
      <c r="K2235" s="14" t="s">
        <v>213</v>
      </c>
      <c r="L2235" s="14" t="s">
        <v>289</v>
      </c>
      <c r="M2235" s="14" t="s">
        <v>984</v>
      </c>
      <c r="N2235" s="14" t="s">
        <v>985</v>
      </c>
      <c r="O2235" s="14">
        <v>0.0</v>
      </c>
      <c r="P2235" s="23">
        <v>0.0</v>
      </c>
      <c r="Q2235" s="22" t="str">
        <f t="shared" ref="Q2235:R2235" si="1301">"+0.00%"</f>
        <v>+0.00%</v>
      </c>
      <c r="R2235" s="18" t="str">
        <f t="shared" si="1301"/>
        <v>+0.00%</v>
      </c>
      <c r="S2235" s="14" t="s">
        <v>285</v>
      </c>
    </row>
    <row r="2236">
      <c r="A2236" s="13">
        <v>45901.0</v>
      </c>
      <c r="B2236" s="14" t="s">
        <v>47</v>
      </c>
      <c r="C2236" s="14" t="s">
        <v>48</v>
      </c>
      <c r="D2236" s="14" t="s">
        <v>91</v>
      </c>
      <c r="E2236" s="14" t="s">
        <v>92</v>
      </c>
      <c r="F2236" s="14" t="s">
        <v>71</v>
      </c>
      <c r="G2236" s="14">
        <v>5.10011769E8</v>
      </c>
      <c r="H2236" s="14" t="s">
        <v>91</v>
      </c>
      <c r="I2236" s="14" t="s">
        <v>59</v>
      </c>
      <c r="J2236" s="14" t="s">
        <v>200</v>
      </c>
      <c r="K2236" s="14" t="s">
        <v>218</v>
      </c>
      <c r="L2236" s="14" t="s">
        <v>253</v>
      </c>
      <c r="M2236" s="14" t="s">
        <v>1628</v>
      </c>
      <c r="N2236" s="14" t="s">
        <v>1629</v>
      </c>
      <c r="O2236" s="14">
        <v>4.0</v>
      </c>
      <c r="P2236" s="23">
        <v>0.041</v>
      </c>
      <c r="Q2236" s="22" t="str">
        <f>"+3.05%"</f>
        <v>+3.05%</v>
      </c>
      <c r="R2236" s="18" t="str">
        <f>"+4.10%"</f>
        <v>+4.10%</v>
      </c>
      <c r="S2236" s="14" t="s">
        <v>1736</v>
      </c>
    </row>
    <row r="2237">
      <c r="A2237" s="13">
        <v>45901.0</v>
      </c>
      <c r="B2237" s="14" t="s">
        <v>47</v>
      </c>
      <c r="C2237" s="14" t="s">
        <v>48</v>
      </c>
      <c r="D2237" s="14" t="s">
        <v>63</v>
      </c>
      <c r="E2237" s="14" t="s">
        <v>64</v>
      </c>
      <c r="F2237" s="15" t="s">
        <v>51</v>
      </c>
      <c r="G2237" s="14" t="s">
        <v>65</v>
      </c>
      <c r="H2237" s="14" t="s">
        <v>63</v>
      </c>
      <c r="I2237" s="14" t="s">
        <v>54</v>
      </c>
      <c r="J2237" s="14" t="s">
        <v>200</v>
      </c>
      <c r="K2237" s="14" t="s">
        <v>224</v>
      </c>
      <c r="L2237" s="14" t="s">
        <v>453</v>
      </c>
      <c r="M2237" s="14" t="s">
        <v>716</v>
      </c>
      <c r="N2237" s="14" t="s">
        <v>717</v>
      </c>
      <c r="O2237" s="14">
        <v>0.0</v>
      </c>
      <c r="P2237" s="23">
        <v>0.0</v>
      </c>
      <c r="Q2237" s="22" t="str">
        <f t="shared" ref="Q2237:R2237" si="1302">"+0.00%"</f>
        <v>+0.00%</v>
      </c>
      <c r="R2237" s="18" t="str">
        <f t="shared" si="1302"/>
        <v>+0.00%</v>
      </c>
      <c r="S2237" s="14" t="s">
        <v>718</v>
      </c>
    </row>
    <row r="2238">
      <c r="A2238" s="13">
        <v>45901.0</v>
      </c>
      <c r="B2238" s="14" t="s">
        <v>47</v>
      </c>
      <c r="C2238" s="14" t="s">
        <v>48</v>
      </c>
      <c r="D2238" s="14" t="s">
        <v>184</v>
      </c>
      <c r="E2238" s="14" t="s">
        <v>185</v>
      </c>
      <c r="F2238" s="15" t="s">
        <v>51</v>
      </c>
      <c r="G2238" s="14" t="s">
        <v>186</v>
      </c>
      <c r="H2238" s="14" t="s">
        <v>187</v>
      </c>
      <c r="I2238" s="14" t="s">
        <v>59</v>
      </c>
      <c r="J2238" s="14" t="s">
        <v>199</v>
      </c>
      <c r="K2238" s="14" t="s">
        <v>206</v>
      </c>
      <c r="L2238" s="14" t="s">
        <v>433</v>
      </c>
      <c r="M2238" s="14" t="s">
        <v>433</v>
      </c>
      <c r="N2238" s="14" t="s">
        <v>434</v>
      </c>
      <c r="O2238" s="14">
        <v>75.0</v>
      </c>
      <c r="P2238" s="21">
        <v>4.0</v>
      </c>
      <c r="Q2238" s="22" t="str">
        <f t="shared" ref="Q2238:R2238" si="1303">"+0"</f>
        <v>+0</v>
      </c>
      <c r="R2238" s="18" t="str">
        <f t="shared" si="1303"/>
        <v>+0</v>
      </c>
      <c r="S2238" s="14" t="s">
        <v>383</v>
      </c>
    </row>
    <row r="2239">
      <c r="A2239" s="13">
        <v>45901.0</v>
      </c>
      <c r="B2239" s="14" t="s">
        <v>47</v>
      </c>
      <c r="C2239" s="14" t="s">
        <v>48</v>
      </c>
      <c r="D2239" s="14" t="s">
        <v>93</v>
      </c>
      <c r="E2239" s="14" t="s">
        <v>94</v>
      </c>
      <c r="F2239" s="15" t="s">
        <v>51</v>
      </c>
      <c r="G2239" s="14" t="s">
        <v>191</v>
      </c>
      <c r="H2239" s="14" t="s">
        <v>95</v>
      </c>
      <c r="I2239" s="14" t="s">
        <v>59</v>
      </c>
      <c r="J2239" s="14" t="s">
        <v>200</v>
      </c>
      <c r="K2239" s="14" t="s">
        <v>215</v>
      </c>
      <c r="L2239" s="14" t="s">
        <v>1365</v>
      </c>
      <c r="M2239" s="14" t="s">
        <v>1366</v>
      </c>
      <c r="N2239" s="14" t="s">
        <v>1367</v>
      </c>
      <c r="O2239" s="14">
        <v>37.0</v>
      </c>
      <c r="P2239" s="23">
        <v>-0.2455</v>
      </c>
      <c r="Q2239" s="22" t="str">
        <f>"+37.01%"</f>
        <v>+37.01%</v>
      </c>
      <c r="R2239" s="18" t="str">
        <f>"-124.55%"</f>
        <v>-124.55%</v>
      </c>
      <c r="S2239" s="14" t="s">
        <v>1737</v>
      </c>
    </row>
    <row r="2240">
      <c r="A2240" s="13">
        <v>45901.0</v>
      </c>
      <c r="B2240" s="14" t="s">
        <v>47</v>
      </c>
      <c r="C2240" s="14" t="s">
        <v>48</v>
      </c>
      <c r="D2240" s="14" t="s">
        <v>192</v>
      </c>
      <c r="E2240" s="14" t="s">
        <v>193</v>
      </c>
      <c r="F2240" s="15" t="s">
        <v>51</v>
      </c>
      <c r="G2240" s="14" t="s">
        <v>194</v>
      </c>
      <c r="H2240" s="14" t="s">
        <v>192</v>
      </c>
      <c r="I2240" s="14" t="s">
        <v>54</v>
      </c>
      <c r="J2240" s="14" t="s">
        <v>200</v>
      </c>
      <c r="K2240" s="14" t="s">
        <v>225</v>
      </c>
      <c r="L2240" s="14" t="s">
        <v>253</v>
      </c>
      <c r="M2240" s="14" t="s">
        <v>1593</v>
      </c>
      <c r="N2240" s="14" t="s">
        <v>367</v>
      </c>
      <c r="O2240" s="14">
        <v>100.0</v>
      </c>
      <c r="P2240" s="21">
        <v>1.0</v>
      </c>
      <c r="Q2240" s="22" t="str">
        <f t="shared" ref="Q2240:R2240" si="1304">"+0"</f>
        <v>+0</v>
      </c>
      <c r="R2240" s="18" t="str">
        <f t="shared" si="1304"/>
        <v>+0</v>
      </c>
      <c r="S2240" s="14" t="s">
        <v>260</v>
      </c>
    </row>
    <row r="2241">
      <c r="A2241" s="13">
        <v>45901.0</v>
      </c>
      <c r="B2241" s="14" t="s">
        <v>47</v>
      </c>
      <c r="C2241" s="14" t="s">
        <v>48</v>
      </c>
      <c r="D2241" s="14" t="s">
        <v>192</v>
      </c>
      <c r="E2241" s="14" t="s">
        <v>193</v>
      </c>
      <c r="F2241" s="15" t="s">
        <v>51</v>
      </c>
      <c r="G2241" s="14" t="s">
        <v>194</v>
      </c>
      <c r="H2241" s="14" t="s">
        <v>192</v>
      </c>
      <c r="I2241" s="14" t="s">
        <v>54</v>
      </c>
      <c r="J2241" s="14" t="s">
        <v>200</v>
      </c>
      <c r="K2241" s="14" t="s">
        <v>231</v>
      </c>
      <c r="L2241" s="14" t="s">
        <v>512</v>
      </c>
      <c r="M2241" s="14" t="s">
        <v>1738</v>
      </c>
      <c r="N2241" s="14" t="s">
        <v>1739</v>
      </c>
      <c r="O2241" s="14">
        <v>100.0</v>
      </c>
      <c r="P2241" s="21">
        <v>210273.0</v>
      </c>
      <c r="Q2241" s="22" t="str">
        <f>"+159,190"</f>
        <v>+159,190</v>
      </c>
      <c r="R2241" s="18" t="str">
        <f>"+103,334"</f>
        <v>+103,334</v>
      </c>
      <c r="S2241" s="14" t="s">
        <v>260</v>
      </c>
    </row>
    <row r="2242">
      <c r="A2242" s="13">
        <v>45901.0</v>
      </c>
      <c r="B2242" s="14" t="s">
        <v>47</v>
      </c>
      <c r="C2242" s="14" t="s">
        <v>48</v>
      </c>
      <c r="D2242" s="14" t="s">
        <v>103</v>
      </c>
      <c r="E2242" s="14" t="s">
        <v>104</v>
      </c>
      <c r="F2242" s="15" t="s">
        <v>51</v>
      </c>
      <c r="G2242" s="14" t="s">
        <v>105</v>
      </c>
      <c r="H2242" s="14" t="s">
        <v>106</v>
      </c>
      <c r="I2242" s="14" t="s">
        <v>59</v>
      </c>
      <c r="J2242" s="14" t="s">
        <v>198</v>
      </c>
      <c r="K2242" s="14" t="s">
        <v>205</v>
      </c>
      <c r="L2242" s="14" t="s">
        <v>274</v>
      </c>
      <c r="M2242" s="14" t="s">
        <v>636</v>
      </c>
      <c r="N2242" s="14" t="s">
        <v>637</v>
      </c>
      <c r="O2242" s="14">
        <v>100.0</v>
      </c>
      <c r="P2242" s="21">
        <v>1.0</v>
      </c>
      <c r="Q2242" s="22" t="str">
        <f>"+0"</f>
        <v>+0</v>
      </c>
      <c r="S2242" s="14" t="s">
        <v>281</v>
      </c>
    </row>
    <row r="2243">
      <c r="A2243" s="13">
        <v>45901.0</v>
      </c>
      <c r="B2243" s="14" t="s">
        <v>47</v>
      </c>
      <c r="C2243" s="14" t="s">
        <v>48</v>
      </c>
      <c r="D2243" s="14" t="s">
        <v>143</v>
      </c>
      <c r="E2243" s="14" t="s">
        <v>144</v>
      </c>
      <c r="F2243" s="15" t="s">
        <v>51</v>
      </c>
      <c r="G2243" s="14" t="s">
        <v>145</v>
      </c>
      <c r="H2243" s="14" t="s">
        <v>143</v>
      </c>
      <c r="I2243" s="14" t="s">
        <v>59</v>
      </c>
      <c r="J2243" s="14" t="s">
        <v>200</v>
      </c>
      <c r="K2243" s="14" t="s">
        <v>202</v>
      </c>
      <c r="L2243" s="14" t="s">
        <v>253</v>
      </c>
      <c r="M2243" s="14" t="s">
        <v>874</v>
      </c>
      <c r="N2243" s="14" t="s">
        <v>875</v>
      </c>
      <c r="O2243" s="14">
        <v>34.0</v>
      </c>
      <c r="P2243" s="23">
        <v>0.3478</v>
      </c>
      <c r="Q2243" s="22" t="str">
        <f>"+3.20%"</f>
        <v>+3.20%</v>
      </c>
      <c r="R2243" s="18" t="str">
        <f>"+9.78%"</f>
        <v>+9.78%</v>
      </c>
      <c r="S2243" s="14" t="s">
        <v>1740</v>
      </c>
    </row>
    <row r="2244">
      <c r="A2244" s="13">
        <v>45901.0</v>
      </c>
      <c r="B2244" s="14" t="s">
        <v>47</v>
      </c>
      <c r="C2244" s="14" t="s">
        <v>48</v>
      </c>
      <c r="D2244" s="14" t="s">
        <v>73</v>
      </c>
      <c r="E2244" s="14" t="s">
        <v>74</v>
      </c>
      <c r="F2244" s="15" t="s">
        <v>51</v>
      </c>
      <c r="G2244" s="14" t="s">
        <v>75</v>
      </c>
      <c r="H2244" s="14" t="s">
        <v>76</v>
      </c>
      <c r="I2244" s="14" t="s">
        <v>59</v>
      </c>
      <c r="J2244" s="14" t="s">
        <v>200</v>
      </c>
      <c r="K2244" s="14" t="s">
        <v>232</v>
      </c>
      <c r="L2244" s="14" t="s">
        <v>304</v>
      </c>
      <c r="M2244" s="14" t="s">
        <v>1012</v>
      </c>
      <c r="N2244" s="14" t="s">
        <v>1013</v>
      </c>
      <c r="O2244" s="14">
        <v>0.0</v>
      </c>
      <c r="P2244" s="23">
        <v>0.0</v>
      </c>
      <c r="Q2244" s="22" t="str">
        <f t="shared" ref="Q2244:R2244" si="1305">"+0.00%"</f>
        <v>+0.00%</v>
      </c>
      <c r="R2244" s="18" t="str">
        <f t="shared" si="1305"/>
        <v>+0.00%</v>
      </c>
      <c r="S2244" s="14" t="s">
        <v>285</v>
      </c>
    </row>
    <row r="2245">
      <c r="A2245" s="13">
        <v>45901.0</v>
      </c>
      <c r="B2245" s="14" t="s">
        <v>47</v>
      </c>
      <c r="C2245" s="14" t="s">
        <v>48</v>
      </c>
      <c r="D2245" s="14" t="s">
        <v>103</v>
      </c>
      <c r="E2245" s="14" t="s">
        <v>104</v>
      </c>
      <c r="F2245" s="15" t="s">
        <v>51</v>
      </c>
      <c r="G2245" s="14" t="s">
        <v>105</v>
      </c>
      <c r="H2245" s="14" t="s">
        <v>106</v>
      </c>
      <c r="I2245" s="14" t="s">
        <v>59</v>
      </c>
      <c r="J2245" s="14" t="s">
        <v>200</v>
      </c>
      <c r="K2245" s="14" t="s">
        <v>232</v>
      </c>
      <c r="L2245" s="14" t="s">
        <v>607</v>
      </c>
      <c r="M2245" s="14" t="s">
        <v>1027</v>
      </c>
      <c r="N2245" s="14" t="s">
        <v>1028</v>
      </c>
      <c r="O2245" s="14">
        <v>0.0</v>
      </c>
      <c r="P2245" s="23">
        <v>-1.0</v>
      </c>
      <c r="Q2245" s="22" t="str">
        <f t="shared" ref="Q2245:R2245" si="1306">"+0.00%"</f>
        <v>+0.00%</v>
      </c>
      <c r="R2245" s="18" t="str">
        <f t="shared" si="1306"/>
        <v>+0.00%</v>
      </c>
      <c r="S2245" s="14" t="s">
        <v>1741</v>
      </c>
    </row>
    <row r="2246">
      <c r="A2246" s="13">
        <v>45901.0</v>
      </c>
      <c r="B2246" s="14" t="s">
        <v>47</v>
      </c>
      <c r="C2246" s="14" t="s">
        <v>48</v>
      </c>
      <c r="D2246" s="14" t="s">
        <v>143</v>
      </c>
      <c r="E2246" s="14" t="s">
        <v>144</v>
      </c>
      <c r="F2246" s="15" t="s">
        <v>51</v>
      </c>
      <c r="G2246" s="14" t="s">
        <v>145</v>
      </c>
      <c r="H2246" s="14" t="s">
        <v>143</v>
      </c>
      <c r="I2246" s="14" t="s">
        <v>59</v>
      </c>
      <c r="J2246" s="14" t="s">
        <v>199</v>
      </c>
      <c r="K2246" s="14" t="s">
        <v>206</v>
      </c>
      <c r="L2246" s="14" t="s">
        <v>381</v>
      </c>
      <c r="M2246" s="14" t="s">
        <v>381</v>
      </c>
      <c r="N2246" s="14" t="s">
        <v>382</v>
      </c>
      <c r="O2246" s="14">
        <v>0.0</v>
      </c>
      <c r="P2246" s="21">
        <v>0.0</v>
      </c>
      <c r="Q2246" s="22" t="str">
        <f t="shared" ref="Q2246:R2246" si="1307">"+0"</f>
        <v>+0</v>
      </c>
      <c r="R2246" s="18" t="str">
        <f t="shared" si="1307"/>
        <v>+0</v>
      </c>
      <c r="S2246" s="14" t="s">
        <v>383</v>
      </c>
    </row>
    <row r="2247">
      <c r="A2247" s="13">
        <v>45901.0</v>
      </c>
      <c r="B2247" s="14" t="s">
        <v>47</v>
      </c>
      <c r="C2247" s="14" t="s">
        <v>48</v>
      </c>
      <c r="D2247" s="14" t="s">
        <v>143</v>
      </c>
      <c r="E2247" s="14" t="s">
        <v>144</v>
      </c>
      <c r="F2247" s="15" t="s">
        <v>51</v>
      </c>
      <c r="G2247" s="14" t="s">
        <v>145</v>
      </c>
      <c r="H2247" s="14" t="s">
        <v>143</v>
      </c>
      <c r="I2247" s="14" t="s">
        <v>59</v>
      </c>
      <c r="J2247" s="14" t="s">
        <v>200</v>
      </c>
      <c r="K2247" s="14" t="s">
        <v>232</v>
      </c>
      <c r="L2247" s="14" t="s">
        <v>261</v>
      </c>
      <c r="M2247" s="14" t="s">
        <v>864</v>
      </c>
      <c r="N2247" s="14" t="s">
        <v>865</v>
      </c>
      <c r="O2247" s="14">
        <v>0.0</v>
      </c>
      <c r="P2247" s="23">
        <v>0.0</v>
      </c>
      <c r="Q2247" s="22" t="str">
        <f t="shared" ref="Q2247:R2247" si="1308">"+0.00%"</f>
        <v>+0.00%</v>
      </c>
      <c r="R2247" s="18" t="str">
        <f t="shared" si="1308"/>
        <v>+0.00%</v>
      </c>
      <c r="S2247" s="14" t="s">
        <v>285</v>
      </c>
    </row>
    <row r="2248">
      <c r="A2248" s="13">
        <v>45901.0</v>
      </c>
      <c r="B2248" s="14" t="s">
        <v>47</v>
      </c>
      <c r="C2248" s="14" t="s">
        <v>48</v>
      </c>
      <c r="D2248" s="14" t="s">
        <v>149</v>
      </c>
      <c r="E2248" s="14" t="s">
        <v>150</v>
      </c>
      <c r="F2248" s="15" t="s">
        <v>51</v>
      </c>
      <c r="G2248" s="14" t="s">
        <v>151</v>
      </c>
      <c r="H2248" s="14" t="s">
        <v>152</v>
      </c>
      <c r="I2248" s="14" t="s">
        <v>54</v>
      </c>
      <c r="J2248" s="14" t="s">
        <v>200</v>
      </c>
      <c r="K2248" s="14" t="s">
        <v>211</v>
      </c>
      <c r="L2248" s="14" t="s">
        <v>253</v>
      </c>
      <c r="M2248" s="14" t="s">
        <v>1024</v>
      </c>
      <c r="N2248" s="14" t="s">
        <v>1025</v>
      </c>
      <c r="O2248" s="14">
        <v>27.0</v>
      </c>
      <c r="P2248" s="23">
        <v>0.2732</v>
      </c>
      <c r="Q2248" s="22" t="str">
        <f>"-12.52%"</f>
        <v>-12.52%</v>
      </c>
      <c r="R2248" s="18" t="str">
        <f>"-33.78%"</f>
        <v>-33.78%</v>
      </c>
      <c r="S2248" s="14" t="s">
        <v>1742</v>
      </c>
    </row>
    <row r="2249">
      <c r="A2249" s="13">
        <v>45901.0</v>
      </c>
      <c r="B2249" s="14" t="s">
        <v>47</v>
      </c>
      <c r="C2249" s="14" t="s">
        <v>48</v>
      </c>
      <c r="D2249" s="14" t="s">
        <v>149</v>
      </c>
      <c r="E2249" s="14" t="s">
        <v>150</v>
      </c>
      <c r="F2249" s="15" t="s">
        <v>51</v>
      </c>
      <c r="G2249" s="14" t="s">
        <v>151</v>
      </c>
      <c r="H2249" s="14" t="s">
        <v>152</v>
      </c>
      <c r="I2249" s="14" t="s">
        <v>54</v>
      </c>
      <c r="J2249" s="14" t="s">
        <v>200</v>
      </c>
      <c r="K2249" s="14" t="s">
        <v>223</v>
      </c>
      <c r="L2249" s="14" t="s">
        <v>676</v>
      </c>
      <c r="M2249" s="14" t="s">
        <v>677</v>
      </c>
      <c r="N2249" s="14" t="s">
        <v>678</v>
      </c>
      <c r="O2249" s="14">
        <v>0.0</v>
      </c>
      <c r="P2249" s="23">
        <v>0.0</v>
      </c>
      <c r="Q2249" s="22" t="str">
        <f t="shared" ref="Q2249:R2249" si="1309">"+0.00%"</f>
        <v>+0.00%</v>
      </c>
      <c r="R2249" s="18" t="str">
        <f t="shared" si="1309"/>
        <v>+0.00%</v>
      </c>
      <c r="S2249" s="14" t="s">
        <v>285</v>
      </c>
    </row>
    <row r="2250">
      <c r="A2250" s="13">
        <v>45901.0</v>
      </c>
      <c r="B2250" s="14" t="s">
        <v>47</v>
      </c>
      <c r="C2250" s="14" t="s">
        <v>48</v>
      </c>
      <c r="D2250" s="14" t="s">
        <v>149</v>
      </c>
      <c r="E2250" s="14" t="s">
        <v>150</v>
      </c>
      <c r="F2250" s="15" t="s">
        <v>51</v>
      </c>
      <c r="G2250" s="14" t="s">
        <v>151</v>
      </c>
      <c r="H2250" s="14" t="s">
        <v>152</v>
      </c>
      <c r="I2250" s="14" t="s">
        <v>54</v>
      </c>
      <c r="J2250" s="14" t="s">
        <v>200</v>
      </c>
      <c r="K2250" s="14" t="s">
        <v>222</v>
      </c>
      <c r="L2250" s="14" t="s">
        <v>337</v>
      </c>
      <c r="M2250" s="14" t="s">
        <v>338</v>
      </c>
      <c r="N2250" s="14" t="s">
        <v>339</v>
      </c>
      <c r="O2250" s="14">
        <v>100.0</v>
      </c>
      <c r="P2250" s="21">
        <v>1.0</v>
      </c>
      <c r="Q2250" s="22" t="str">
        <f t="shared" ref="Q2250:R2250" si="1310">"+1"</f>
        <v>+1</v>
      </c>
      <c r="R2250" s="18" t="str">
        <f t="shared" si="1310"/>
        <v>+1</v>
      </c>
      <c r="S2250" s="14" t="s">
        <v>260</v>
      </c>
    </row>
    <row r="2251">
      <c r="A2251" s="13">
        <v>45901.0</v>
      </c>
      <c r="B2251" s="14" t="s">
        <v>47</v>
      </c>
      <c r="C2251" s="14" t="s">
        <v>48</v>
      </c>
      <c r="D2251" s="14" t="s">
        <v>87</v>
      </c>
      <c r="E2251" s="14" t="s">
        <v>88</v>
      </c>
      <c r="F2251" s="15" t="s">
        <v>51</v>
      </c>
      <c r="G2251" s="14" t="s">
        <v>89</v>
      </c>
      <c r="H2251" s="14" t="s">
        <v>90</v>
      </c>
      <c r="I2251" s="14" t="s">
        <v>59</v>
      </c>
      <c r="J2251" s="14" t="s">
        <v>199</v>
      </c>
      <c r="K2251" s="14" t="s">
        <v>206</v>
      </c>
      <c r="L2251" s="14" t="s">
        <v>433</v>
      </c>
      <c r="M2251" s="14" t="s">
        <v>433</v>
      </c>
      <c r="N2251" s="14" t="s">
        <v>434</v>
      </c>
      <c r="O2251" s="14">
        <v>100.0</v>
      </c>
      <c r="P2251" s="21">
        <v>20.0</v>
      </c>
      <c r="Q2251" s="22" t="str">
        <f>"+2"</f>
        <v>+2</v>
      </c>
      <c r="R2251" s="18" t="str">
        <f>"+8"</f>
        <v>+8</v>
      </c>
      <c r="S2251" s="14" t="s">
        <v>383</v>
      </c>
    </row>
    <row r="2252">
      <c r="A2252" s="13">
        <v>45901.0</v>
      </c>
      <c r="B2252" s="14" t="s">
        <v>47</v>
      </c>
      <c r="C2252" s="14" t="s">
        <v>48</v>
      </c>
      <c r="D2252" s="14" t="s">
        <v>69</v>
      </c>
      <c r="E2252" s="14" t="s">
        <v>70</v>
      </c>
      <c r="F2252" s="15" t="s">
        <v>51</v>
      </c>
      <c r="G2252" s="14" t="s">
        <v>115</v>
      </c>
      <c r="H2252" s="14" t="s">
        <v>72</v>
      </c>
      <c r="I2252" s="14" t="s">
        <v>54</v>
      </c>
      <c r="J2252" s="14" t="s">
        <v>200</v>
      </c>
      <c r="K2252" s="14" t="s">
        <v>213</v>
      </c>
      <c r="L2252" s="14" t="s">
        <v>289</v>
      </c>
      <c r="M2252" s="14" t="s">
        <v>290</v>
      </c>
      <c r="N2252" s="14" t="s">
        <v>291</v>
      </c>
      <c r="O2252" s="14">
        <v>0.0</v>
      </c>
      <c r="P2252" s="23">
        <v>0.0</v>
      </c>
      <c r="Q2252" s="22" t="str">
        <f t="shared" ref="Q2252:R2252" si="1311">"+0.00%"</f>
        <v>+0.00%</v>
      </c>
      <c r="R2252" s="18" t="str">
        <f t="shared" si="1311"/>
        <v>+0.00%</v>
      </c>
      <c r="S2252" s="14" t="s">
        <v>285</v>
      </c>
    </row>
    <row r="2253">
      <c r="A2253" s="13">
        <v>45901.0</v>
      </c>
      <c r="B2253" s="14" t="s">
        <v>47</v>
      </c>
      <c r="C2253" s="14" t="s">
        <v>48</v>
      </c>
      <c r="D2253" s="14" t="s">
        <v>69</v>
      </c>
      <c r="E2253" s="14" t="s">
        <v>70</v>
      </c>
      <c r="F2253" s="15" t="s">
        <v>51</v>
      </c>
      <c r="G2253" s="14" t="s">
        <v>115</v>
      </c>
      <c r="H2253" s="14" t="s">
        <v>72</v>
      </c>
      <c r="I2253" s="14" t="s">
        <v>54</v>
      </c>
      <c r="J2253" s="14" t="s">
        <v>198</v>
      </c>
      <c r="K2253" s="14" t="s">
        <v>205</v>
      </c>
      <c r="L2253" s="14" t="s">
        <v>274</v>
      </c>
      <c r="M2253" s="14" t="s">
        <v>696</v>
      </c>
      <c r="N2253" s="14" t="s">
        <v>697</v>
      </c>
      <c r="O2253" s="14">
        <v>100.0</v>
      </c>
      <c r="P2253" s="21">
        <v>1.0</v>
      </c>
      <c r="Q2253" s="22" t="str">
        <f>"+0"</f>
        <v>+0</v>
      </c>
      <c r="S2253" s="14" t="s">
        <v>281</v>
      </c>
    </row>
    <row r="2254">
      <c r="A2254" s="13">
        <v>45901.0</v>
      </c>
      <c r="B2254" s="14" t="s">
        <v>47</v>
      </c>
      <c r="C2254" s="14" t="s">
        <v>48</v>
      </c>
      <c r="D2254" s="14" t="s">
        <v>69</v>
      </c>
      <c r="E2254" s="14" t="s">
        <v>70</v>
      </c>
      <c r="F2254" s="14" t="s">
        <v>71</v>
      </c>
      <c r="G2254" s="14">
        <v>1.00002092E8</v>
      </c>
      <c r="H2254" s="14" t="s">
        <v>72</v>
      </c>
      <c r="I2254" s="14" t="s">
        <v>54</v>
      </c>
      <c r="J2254" s="14" t="s">
        <v>200</v>
      </c>
      <c r="K2254" s="14" t="s">
        <v>218</v>
      </c>
      <c r="L2254" s="14" t="s">
        <v>253</v>
      </c>
      <c r="M2254" s="14" t="s">
        <v>784</v>
      </c>
      <c r="N2254" s="14" t="s">
        <v>785</v>
      </c>
      <c r="O2254" s="14">
        <v>89.0</v>
      </c>
      <c r="P2254" s="23">
        <v>0.8912</v>
      </c>
      <c r="Q2254" s="22" t="str">
        <f>"+9.16%"</f>
        <v>+9.16%</v>
      </c>
      <c r="R2254" s="18" t="str">
        <f>"+27.79%"</f>
        <v>+27.79%</v>
      </c>
      <c r="S2254" s="14" t="s">
        <v>1290</v>
      </c>
    </row>
    <row r="2255">
      <c r="A2255" s="13">
        <v>45901.0</v>
      </c>
      <c r="B2255" s="14" t="s">
        <v>47</v>
      </c>
      <c r="C2255" s="14" t="s">
        <v>48</v>
      </c>
      <c r="D2255" s="14" t="s">
        <v>69</v>
      </c>
      <c r="E2255" s="14" t="s">
        <v>70</v>
      </c>
      <c r="F2255" s="15" t="s">
        <v>51</v>
      </c>
      <c r="G2255" s="14" t="s">
        <v>115</v>
      </c>
      <c r="H2255" s="14" t="s">
        <v>72</v>
      </c>
      <c r="I2255" s="14" t="s">
        <v>54</v>
      </c>
      <c r="J2255" s="14" t="s">
        <v>199</v>
      </c>
      <c r="K2255" s="14" t="s">
        <v>206</v>
      </c>
      <c r="L2255" s="14" t="s">
        <v>515</v>
      </c>
      <c r="M2255" s="14" t="s">
        <v>515</v>
      </c>
      <c r="N2255" s="14" t="s">
        <v>516</v>
      </c>
      <c r="O2255" s="14">
        <v>0.0</v>
      </c>
      <c r="P2255" s="21">
        <v>0.0</v>
      </c>
      <c r="Q2255" s="22" t="str">
        <f t="shared" ref="Q2255:R2255" si="1312">"+0"</f>
        <v>+0</v>
      </c>
      <c r="R2255" s="18" t="str">
        <f t="shared" si="1312"/>
        <v>+0</v>
      </c>
      <c r="S2255" s="14" t="s">
        <v>383</v>
      </c>
    </row>
    <row r="2256">
      <c r="A2256" s="13">
        <v>45901.0</v>
      </c>
      <c r="B2256" s="14" t="s">
        <v>47</v>
      </c>
      <c r="C2256" s="14" t="s">
        <v>48</v>
      </c>
      <c r="D2256" s="14" t="s">
        <v>69</v>
      </c>
      <c r="E2256" s="14" t="s">
        <v>70</v>
      </c>
      <c r="F2256" s="15" t="s">
        <v>51</v>
      </c>
      <c r="G2256" s="14" t="s">
        <v>115</v>
      </c>
      <c r="H2256" s="14" t="s">
        <v>72</v>
      </c>
      <c r="I2256" s="14" t="s">
        <v>54</v>
      </c>
      <c r="J2256" s="14" t="s">
        <v>198</v>
      </c>
      <c r="K2256" s="14" t="s">
        <v>210</v>
      </c>
      <c r="L2256" s="14" t="s">
        <v>505</v>
      </c>
      <c r="M2256" s="14" t="s">
        <v>1097</v>
      </c>
      <c r="N2256" s="14" t="s">
        <v>1098</v>
      </c>
      <c r="O2256" s="14">
        <v>0.0</v>
      </c>
      <c r="P2256" s="21">
        <v>0.0</v>
      </c>
      <c r="Q2256" s="22" t="str">
        <f t="shared" ref="Q2256:R2256" si="1313">"+0"</f>
        <v>+0</v>
      </c>
      <c r="R2256" s="18" t="str">
        <f t="shared" si="1313"/>
        <v>+0</v>
      </c>
      <c r="S2256" s="14" t="s">
        <v>277</v>
      </c>
    </row>
    <row r="2257">
      <c r="A2257" s="13">
        <v>45901.0</v>
      </c>
      <c r="B2257" s="14" t="s">
        <v>47</v>
      </c>
      <c r="C2257" s="14" t="s">
        <v>48</v>
      </c>
      <c r="D2257" s="14" t="s">
        <v>174</v>
      </c>
      <c r="E2257" s="14" t="s">
        <v>175</v>
      </c>
      <c r="F2257" s="15" t="s">
        <v>51</v>
      </c>
      <c r="G2257" s="14" t="s">
        <v>176</v>
      </c>
      <c r="H2257" s="14" t="s">
        <v>174</v>
      </c>
      <c r="I2257" s="14" t="s">
        <v>59</v>
      </c>
      <c r="J2257" s="14" t="s">
        <v>199</v>
      </c>
      <c r="K2257" s="14" t="s">
        <v>206</v>
      </c>
      <c r="L2257" s="14" t="s">
        <v>295</v>
      </c>
      <c r="M2257" s="14" t="s">
        <v>296</v>
      </c>
      <c r="N2257" s="14" t="s">
        <v>297</v>
      </c>
      <c r="O2257" s="14">
        <v>0.0</v>
      </c>
      <c r="P2257" s="21">
        <v>0.0</v>
      </c>
      <c r="Q2257" s="22" t="str">
        <f t="shared" ref="Q2257:R2257" si="1314">"+0"</f>
        <v>+0</v>
      </c>
      <c r="R2257" s="18" t="str">
        <f t="shared" si="1314"/>
        <v>+0</v>
      </c>
      <c r="S2257" s="14" t="s">
        <v>260</v>
      </c>
    </row>
    <row r="2258">
      <c r="A2258" s="13">
        <v>45901.0</v>
      </c>
      <c r="B2258" s="14" t="s">
        <v>47</v>
      </c>
      <c r="C2258" s="14" t="s">
        <v>48</v>
      </c>
      <c r="D2258" s="14" t="s">
        <v>108</v>
      </c>
      <c r="E2258" s="14" t="s">
        <v>109</v>
      </c>
      <c r="F2258" s="15" t="s">
        <v>51</v>
      </c>
      <c r="G2258" s="14" t="s">
        <v>110</v>
      </c>
      <c r="H2258" s="14" t="s">
        <v>108</v>
      </c>
      <c r="I2258" s="14" t="s">
        <v>59</v>
      </c>
      <c r="J2258" s="14" t="s">
        <v>198</v>
      </c>
      <c r="K2258" s="14" t="s">
        <v>210</v>
      </c>
      <c r="L2258" s="14" t="s">
        <v>278</v>
      </c>
      <c r="M2258" s="14" t="s">
        <v>839</v>
      </c>
      <c r="N2258" s="14" t="s">
        <v>840</v>
      </c>
      <c r="O2258" s="14">
        <v>26.0</v>
      </c>
      <c r="P2258" s="21">
        <v>1893.0</v>
      </c>
      <c r="Q2258" s="22" t="str">
        <f>"-177"</f>
        <v>-177</v>
      </c>
      <c r="R2258" s="18" t="str">
        <f>"+765"</f>
        <v>+765</v>
      </c>
      <c r="S2258" s="14" t="s">
        <v>1743</v>
      </c>
    </row>
    <row r="2259">
      <c r="A2259" s="13">
        <v>45901.0</v>
      </c>
      <c r="B2259" s="14" t="s">
        <v>47</v>
      </c>
      <c r="C2259" s="14" t="s">
        <v>48</v>
      </c>
      <c r="D2259" s="14" t="s">
        <v>116</v>
      </c>
      <c r="E2259" s="14" t="s">
        <v>117</v>
      </c>
      <c r="F2259" s="14" t="s">
        <v>111</v>
      </c>
      <c r="G2259" s="14">
        <v>5298600.0</v>
      </c>
      <c r="H2259" s="14" t="s">
        <v>116</v>
      </c>
      <c r="I2259" s="14" t="s">
        <v>59</v>
      </c>
      <c r="J2259" s="14" t="s">
        <v>199</v>
      </c>
      <c r="K2259" s="14" t="s">
        <v>206</v>
      </c>
      <c r="L2259" s="14" t="s">
        <v>295</v>
      </c>
      <c r="M2259" s="14" t="s">
        <v>461</v>
      </c>
      <c r="N2259" s="14" t="s">
        <v>462</v>
      </c>
      <c r="O2259" s="14">
        <v>0.0</v>
      </c>
      <c r="P2259" s="21">
        <v>0.0</v>
      </c>
      <c r="Q2259" s="22" t="str">
        <f t="shared" ref="Q2259:R2259" si="1315">"+0"</f>
        <v>+0</v>
      </c>
      <c r="R2259" s="18" t="str">
        <f t="shared" si="1315"/>
        <v>+0</v>
      </c>
      <c r="S2259" s="14" t="s">
        <v>260</v>
      </c>
    </row>
    <row r="2260">
      <c r="A2260" s="13">
        <v>45901.0</v>
      </c>
      <c r="B2260" s="14" t="s">
        <v>47</v>
      </c>
      <c r="C2260" s="14" t="s">
        <v>48</v>
      </c>
      <c r="D2260" s="14" t="s">
        <v>116</v>
      </c>
      <c r="E2260" s="14" t="s">
        <v>117</v>
      </c>
      <c r="F2260" s="15" t="s">
        <v>51</v>
      </c>
      <c r="G2260" s="14" t="s">
        <v>161</v>
      </c>
      <c r="H2260" s="14" t="s">
        <v>116</v>
      </c>
      <c r="I2260" s="14" t="s">
        <v>54</v>
      </c>
      <c r="J2260" s="14" t="s">
        <v>198</v>
      </c>
      <c r="K2260" s="14" t="s">
        <v>210</v>
      </c>
      <c r="L2260" s="14" t="s">
        <v>264</v>
      </c>
      <c r="M2260" s="14" t="s">
        <v>265</v>
      </c>
      <c r="N2260" s="14" t="s">
        <v>266</v>
      </c>
      <c r="O2260" s="14">
        <v>75.0</v>
      </c>
      <c r="P2260" s="21">
        <v>53.0</v>
      </c>
      <c r="Q2260" s="22" t="str">
        <f>"+5"</f>
        <v>+5</v>
      </c>
      <c r="R2260" s="18" t="str">
        <f>"-187"</f>
        <v>-187</v>
      </c>
      <c r="S2260" s="14" t="s">
        <v>1744</v>
      </c>
    </row>
    <row r="2261">
      <c r="A2261" s="13">
        <v>45901.0</v>
      </c>
      <c r="B2261" s="14" t="s">
        <v>47</v>
      </c>
      <c r="C2261" s="14" t="s">
        <v>48</v>
      </c>
      <c r="D2261" s="14" t="s">
        <v>158</v>
      </c>
      <c r="E2261" s="14" t="s">
        <v>159</v>
      </c>
      <c r="F2261" s="15" t="s">
        <v>51</v>
      </c>
      <c r="G2261" s="14" t="s">
        <v>160</v>
      </c>
      <c r="H2261" s="14" t="s">
        <v>158</v>
      </c>
      <c r="I2261" s="14" t="s">
        <v>54</v>
      </c>
      <c r="J2261" s="14" t="s">
        <v>200</v>
      </c>
      <c r="K2261" s="14" t="s">
        <v>201</v>
      </c>
      <c r="L2261" s="14" t="s">
        <v>253</v>
      </c>
      <c r="M2261" s="14" t="s">
        <v>538</v>
      </c>
      <c r="N2261" s="14" t="s">
        <v>539</v>
      </c>
      <c r="O2261" s="14">
        <v>1.0</v>
      </c>
      <c r="P2261" s="23">
        <v>0.0044</v>
      </c>
      <c r="Q2261" s="22" t="str">
        <f>"-0.02%"</f>
        <v>-0.02%</v>
      </c>
      <c r="R2261" s="18" t="str">
        <f>"-0.05%"</f>
        <v>-0.05%</v>
      </c>
      <c r="S2261" s="14" t="s">
        <v>1732</v>
      </c>
    </row>
    <row r="2262">
      <c r="A2262" s="13">
        <v>45901.0</v>
      </c>
      <c r="B2262" s="14" t="s">
        <v>47</v>
      </c>
      <c r="C2262" s="14" t="s">
        <v>48</v>
      </c>
      <c r="D2262" s="14" t="s">
        <v>181</v>
      </c>
      <c r="E2262" s="14" t="s">
        <v>182</v>
      </c>
      <c r="F2262" s="15" t="s">
        <v>51</v>
      </c>
      <c r="G2262" s="14" t="s">
        <v>183</v>
      </c>
      <c r="H2262" s="14" t="s">
        <v>181</v>
      </c>
      <c r="I2262" s="14" t="s">
        <v>59</v>
      </c>
      <c r="J2262" s="14" t="s">
        <v>200</v>
      </c>
      <c r="K2262" s="14" t="s">
        <v>209</v>
      </c>
      <c r="L2262" s="14" t="s">
        <v>253</v>
      </c>
      <c r="M2262" s="14" t="s">
        <v>402</v>
      </c>
      <c r="N2262" s="14" t="s">
        <v>403</v>
      </c>
      <c r="O2262" s="14">
        <v>1.0</v>
      </c>
      <c r="P2262" s="23">
        <v>0.0</v>
      </c>
      <c r="Q2262" s="22" t="str">
        <f t="shared" ref="Q2262:R2262" si="1316">"+0.00%"</f>
        <v>+0.00%</v>
      </c>
      <c r="R2262" s="18" t="str">
        <f t="shared" si="1316"/>
        <v>+0.00%</v>
      </c>
      <c r="S2262" s="14" t="s">
        <v>1745</v>
      </c>
    </row>
    <row r="2263">
      <c r="A2263" s="13">
        <v>45901.0</v>
      </c>
      <c r="B2263" s="14" t="s">
        <v>47</v>
      </c>
      <c r="C2263" s="14" t="s">
        <v>48</v>
      </c>
      <c r="D2263" s="14" t="s">
        <v>60</v>
      </c>
      <c r="E2263" s="14" t="s">
        <v>61</v>
      </c>
      <c r="F2263" s="15" t="s">
        <v>51</v>
      </c>
      <c r="G2263" s="14" t="s">
        <v>62</v>
      </c>
      <c r="H2263" s="14" t="s">
        <v>60</v>
      </c>
      <c r="I2263" s="14" t="s">
        <v>59</v>
      </c>
      <c r="J2263" s="14" t="s">
        <v>200</v>
      </c>
      <c r="K2263" s="14" t="s">
        <v>227</v>
      </c>
      <c r="L2263" s="14" t="s">
        <v>253</v>
      </c>
      <c r="M2263" s="14" t="s">
        <v>811</v>
      </c>
      <c r="N2263" s="14" t="s">
        <v>812</v>
      </c>
      <c r="O2263" s="14">
        <v>100.0</v>
      </c>
      <c r="P2263" s="23">
        <v>1.0</v>
      </c>
      <c r="Q2263" s="22" t="str">
        <f t="shared" ref="Q2263:R2263" si="1317">"+0.00%"</f>
        <v>+0.00%</v>
      </c>
      <c r="R2263" s="18" t="str">
        <f t="shared" si="1317"/>
        <v>+0.00%</v>
      </c>
      <c r="S2263" s="14" t="s">
        <v>398</v>
      </c>
    </row>
    <row r="2264">
      <c r="A2264" s="13">
        <v>45901.0</v>
      </c>
      <c r="B2264" s="14" t="s">
        <v>47</v>
      </c>
      <c r="C2264" s="14" t="s">
        <v>48</v>
      </c>
      <c r="D2264" s="14" t="s">
        <v>140</v>
      </c>
      <c r="E2264" s="14" t="s">
        <v>141</v>
      </c>
      <c r="F2264" s="15" t="s">
        <v>51</v>
      </c>
      <c r="G2264" s="14" t="s">
        <v>142</v>
      </c>
      <c r="H2264" s="14" t="s">
        <v>140</v>
      </c>
      <c r="I2264" s="14" t="s">
        <v>59</v>
      </c>
      <c r="J2264" s="14" t="s">
        <v>200</v>
      </c>
      <c r="K2264" s="14" t="s">
        <v>204</v>
      </c>
      <c r="L2264" s="14" t="s">
        <v>253</v>
      </c>
      <c r="M2264" s="14" t="s">
        <v>490</v>
      </c>
      <c r="N2264" s="14" t="s">
        <v>491</v>
      </c>
      <c r="O2264" s="14">
        <v>0.0</v>
      </c>
      <c r="P2264" s="23">
        <v>0.0</v>
      </c>
      <c r="Q2264" s="22" t="str">
        <f t="shared" ref="Q2264:R2264" si="1318">"+0.00%"</f>
        <v>+0.00%</v>
      </c>
      <c r="R2264" s="18" t="str">
        <f t="shared" si="1318"/>
        <v>+0.00%</v>
      </c>
      <c r="S2264" s="14" t="s">
        <v>492</v>
      </c>
    </row>
    <row r="2265">
      <c r="A2265" s="13">
        <v>45901.0</v>
      </c>
      <c r="B2265" s="14" t="s">
        <v>47</v>
      </c>
      <c r="C2265" s="14" t="s">
        <v>48</v>
      </c>
      <c r="D2265" s="14" t="s">
        <v>49</v>
      </c>
      <c r="E2265" s="14" t="s">
        <v>50</v>
      </c>
      <c r="F2265" s="15" t="s">
        <v>51</v>
      </c>
      <c r="G2265" s="14" t="s">
        <v>52</v>
      </c>
      <c r="H2265" s="14" t="s">
        <v>53</v>
      </c>
      <c r="I2265" s="14" t="s">
        <v>54</v>
      </c>
      <c r="J2265" s="14" t="s">
        <v>200</v>
      </c>
      <c r="K2265" s="14" t="s">
        <v>224</v>
      </c>
      <c r="L2265" s="14" t="s">
        <v>427</v>
      </c>
      <c r="M2265" s="14" t="s">
        <v>921</v>
      </c>
      <c r="N2265" s="14" t="s">
        <v>922</v>
      </c>
      <c r="O2265" s="14">
        <v>0.0</v>
      </c>
      <c r="P2265" s="23">
        <v>0.0</v>
      </c>
      <c r="Q2265" s="22" t="str">
        <f t="shared" ref="Q2265:R2265" si="1319">"+0.00%"</f>
        <v>+0.00%</v>
      </c>
      <c r="R2265" s="18" t="str">
        <f t="shared" si="1319"/>
        <v>+0.00%</v>
      </c>
      <c r="S2265" s="14" t="s">
        <v>923</v>
      </c>
    </row>
    <row r="2266">
      <c r="A2266" s="13">
        <v>45901.0</v>
      </c>
      <c r="B2266" s="14" t="s">
        <v>47</v>
      </c>
      <c r="C2266" s="14" t="s">
        <v>48</v>
      </c>
      <c r="D2266" s="14" t="s">
        <v>165</v>
      </c>
      <c r="E2266" s="14" t="s">
        <v>166</v>
      </c>
      <c r="F2266" s="15" t="s">
        <v>51</v>
      </c>
      <c r="G2266" s="14" t="s">
        <v>167</v>
      </c>
      <c r="H2266" s="14" t="s">
        <v>165</v>
      </c>
      <c r="I2266" s="14" t="s">
        <v>54</v>
      </c>
      <c r="J2266" s="14" t="s">
        <v>198</v>
      </c>
      <c r="K2266" s="14" t="s">
        <v>205</v>
      </c>
      <c r="L2266" s="14" t="s">
        <v>274</v>
      </c>
      <c r="M2266" s="14" t="s">
        <v>791</v>
      </c>
      <c r="N2266" s="14" t="s">
        <v>792</v>
      </c>
      <c r="O2266" s="14">
        <v>100.0</v>
      </c>
      <c r="P2266" s="21">
        <v>5.0</v>
      </c>
      <c r="Q2266" s="22" t="str">
        <f>"+0"</f>
        <v>+0</v>
      </c>
      <c r="S2266" s="14" t="s">
        <v>260</v>
      </c>
    </row>
    <row r="2267">
      <c r="A2267" s="13">
        <v>45901.0</v>
      </c>
      <c r="B2267" s="14" t="s">
        <v>47</v>
      </c>
      <c r="C2267" s="14" t="s">
        <v>48</v>
      </c>
      <c r="D2267" s="14" t="s">
        <v>49</v>
      </c>
      <c r="E2267" s="14" t="s">
        <v>50</v>
      </c>
      <c r="F2267" s="15" t="s">
        <v>51</v>
      </c>
      <c r="G2267" s="14" t="s">
        <v>52</v>
      </c>
      <c r="H2267" s="14" t="s">
        <v>53</v>
      </c>
      <c r="I2267" s="14" t="s">
        <v>54</v>
      </c>
      <c r="J2267" s="14" t="s">
        <v>198</v>
      </c>
      <c r="K2267" s="14" t="s">
        <v>210</v>
      </c>
      <c r="L2267" s="14" t="s">
        <v>264</v>
      </c>
      <c r="M2267" s="14" t="s">
        <v>804</v>
      </c>
      <c r="N2267" s="14" t="s">
        <v>805</v>
      </c>
      <c r="O2267" s="14">
        <v>0.0</v>
      </c>
      <c r="P2267" s="21">
        <v>0.0</v>
      </c>
      <c r="Q2267" s="22" t="str">
        <f>"-1"</f>
        <v>-1</v>
      </c>
      <c r="R2267" s="18" t="str">
        <f>"+0"</f>
        <v>+0</v>
      </c>
      <c r="S2267" s="14" t="s">
        <v>277</v>
      </c>
    </row>
    <row r="2268">
      <c r="A2268" s="13">
        <v>45901.0</v>
      </c>
      <c r="B2268" s="14" t="s">
        <v>47</v>
      </c>
      <c r="C2268" s="14" t="s">
        <v>48</v>
      </c>
      <c r="D2268" s="14" t="s">
        <v>165</v>
      </c>
      <c r="E2268" s="14" t="s">
        <v>166</v>
      </c>
      <c r="F2268" s="15" t="s">
        <v>51</v>
      </c>
      <c r="G2268" s="14" t="s">
        <v>167</v>
      </c>
      <c r="H2268" s="14" t="s">
        <v>165</v>
      </c>
      <c r="I2268" s="14" t="s">
        <v>54</v>
      </c>
      <c r="J2268" s="14" t="s">
        <v>198</v>
      </c>
      <c r="K2268" s="14" t="s">
        <v>210</v>
      </c>
      <c r="L2268" s="14" t="s">
        <v>505</v>
      </c>
      <c r="M2268" s="14" t="s">
        <v>746</v>
      </c>
      <c r="N2268" s="14" t="s">
        <v>747</v>
      </c>
      <c r="O2268" s="14">
        <v>0.0</v>
      </c>
      <c r="P2268" s="21">
        <v>0.0</v>
      </c>
      <c r="Q2268" s="22" t="str">
        <f t="shared" ref="Q2268:R2268" si="1320">"+0"</f>
        <v>+0</v>
      </c>
      <c r="R2268" s="18" t="str">
        <f t="shared" si="1320"/>
        <v>+0</v>
      </c>
      <c r="S2268" s="14" t="s">
        <v>277</v>
      </c>
    </row>
    <row r="2269">
      <c r="A2269" s="13">
        <v>45901.0</v>
      </c>
      <c r="B2269" s="14" t="s">
        <v>47</v>
      </c>
      <c r="C2269" s="14" t="s">
        <v>48</v>
      </c>
      <c r="D2269" s="14" t="s">
        <v>91</v>
      </c>
      <c r="E2269" s="14" t="s">
        <v>92</v>
      </c>
      <c r="F2269" s="15" t="s">
        <v>51</v>
      </c>
      <c r="G2269" s="14" t="s">
        <v>163</v>
      </c>
      <c r="H2269" s="14" t="s">
        <v>91</v>
      </c>
      <c r="I2269" s="14" t="s">
        <v>59</v>
      </c>
      <c r="J2269" s="14" t="s">
        <v>199</v>
      </c>
      <c r="K2269" s="14" t="s">
        <v>203</v>
      </c>
      <c r="L2269" s="14" t="s">
        <v>725</v>
      </c>
      <c r="M2269" s="14" t="s">
        <v>725</v>
      </c>
      <c r="N2269" s="14" t="s">
        <v>726</v>
      </c>
      <c r="O2269" s="14">
        <v>0.0</v>
      </c>
      <c r="P2269" s="21">
        <v>0.0</v>
      </c>
      <c r="Q2269" s="22" t="str">
        <f t="shared" ref="Q2269:R2269" si="1321">"+0"</f>
        <v>+0</v>
      </c>
      <c r="R2269" s="18" t="str">
        <f t="shared" si="1321"/>
        <v>+0</v>
      </c>
      <c r="S2269" s="14" t="s">
        <v>260</v>
      </c>
    </row>
    <row r="2270">
      <c r="A2270" s="13">
        <v>45901.0</v>
      </c>
      <c r="B2270" s="14" t="s">
        <v>47</v>
      </c>
      <c r="C2270" s="14" t="s">
        <v>48</v>
      </c>
      <c r="D2270" s="14" t="s">
        <v>91</v>
      </c>
      <c r="E2270" s="14" t="s">
        <v>92</v>
      </c>
      <c r="F2270" s="14" t="s">
        <v>71</v>
      </c>
      <c r="G2270" s="14">
        <v>1.00004432E8</v>
      </c>
      <c r="H2270" s="14" t="s">
        <v>91</v>
      </c>
      <c r="I2270" s="14" t="s">
        <v>59</v>
      </c>
      <c r="J2270" s="14" t="s">
        <v>199</v>
      </c>
      <c r="K2270" s="14" t="s">
        <v>206</v>
      </c>
      <c r="L2270" s="14" t="s">
        <v>295</v>
      </c>
      <c r="M2270" s="14" t="s">
        <v>529</v>
      </c>
      <c r="N2270" s="14" t="s">
        <v>530</v>
      </c>
      <c r="O2270" s="14">
        <v>100.0</v>
      </c>
      <c r="P2270" s="21">
        <v>20.0</v>
      </c>
      <c r="Q2270" s="22" t="str">
        <f t="shared" ref="Q2270:R2270" si="1322">"+0"</f>
        <v>+0</v>
      </c>
      <c r="R2270" s="18" t="str">
        <f t="shared" si="1322"/>
        <v>+0</v>
      </c>
      <c r="S2270" s="14" t="s">
        <v>260</v>
      </c>
    </row>
    <row r="2271">
      <c r="A2271" s="13">
        <v>45901.0</v>
      </c>
      <c r="B2271" s="14" t="s">
        <v>47</v>
      </c>
      <c r="C2271" s="14" t="s">
        <v>48</v>
      </c>
      <c r="D2271" s="14" t="s">
        <v>118</v>
      </c>
      <c r="E2271" s="14" t="s">
        <v>119</v>
      </c>
      <c r="F2271" s="15" t="s">
        <v>51</v>
      </c>
      <c r="G2271" s="14" t="s">
        <v>120</v>
      </c>
      <c r="H2271" s="14" t="s">
        <v>118</v>
      </c>
      <c r="I2271" s="14" t="s">
        <v>59</v>
      </c>
      <c r="J2271" s="14" t="s">
        <v>198</v>
      </c>
      <c r="K2271" s="14" t="s">
        <v>212</v>
      </c>
      <c r="L2271" s="14" t="s">
        <v>344</v>
      </c>
      <c r="M2271" s="14" t="s">
        <v>580</v>
      </c>
      <c r="N2271" s="14" t="s">
        <v>581</v>
      </c>
      <c r="O2271" s="14">
        <v>100.0</v>
      </c>
      <c r="P2271" s="21">
        <v>1.0</v>
      </c>
      <c r="Q2271" s="22" t="str">
        <f>"+1"</f>
        <v>+1</v>
      </c>
      <c r="S2271" s="14" t="s">
        <v>281</v>
      </c>
    </row>
    <row r="2272">
      <c r="A2272" s="13">
        <v>45901.0</v>
      </c>
      <c r="B2272" s="14" t="s">
        <v>47</v>
      </c>
      <c r="C2272" s="14" t="s">
        <v>48</v>
      </c>
      <c r="D2272" s="14" t="s">
        <v>99</v>
      </c>
      <c r="E2272" s="14" t="s">
        <v>100</v>
      </c>
      <c r="F2272" s="15" t="s">
        <v>51</v>
      </c>
      <c r="G2272" s="14" t="s">
        <v>101</v>
      </c>
      <c r="H2272" s="14" t="s">
        <v>102</v>
      </c>
      <c r="I2272" s="14" t="s">
        <v>54</v>
      </c>
      <c r="J2272" s="14" t="s">
        <v>198</v>
      </c>
      <c r="K2272" s="14" t="s">
        <v>207</v>
      </c>
      <c r="L2272" s="14" t="s">
        <v>648</v>
      </c>
      <c r="M2272" s="14" t="s">
        <v>649</v>
      </c>
      <c r="N2272" s="14" t="s">
        <v>650</v>
      </c>
      <c r="O2272" s="14">
        <v>100.0</v>
      </c>
      <c r="P2272" s="21">
        <v>1.0</v>
      </c>
      <c r="Q2272" s="22" t="str">
        <f>"+0"</f>
        <v>+0</v>
      </c>
      <c r="S2272" s="14" t="s">
        <v>281</v>
      </c>
    </row>
    <row r="2273">
      <c r="A2273" s="13">
        <v>45901.0</v>
      </c>
      <c r="B2273" s="14" t="s">
        <v>47</v>
      </c>
      <c r="C2273" s="14" t="s">
        <v>48</v>
      </c>
      <c r="D2273" s="14" t="s">
        <v>91</v>
      </c>
      <c r="E2273" s="14" t="s">
        <v>92</v>
      </c>
      <c r="F2273" s="15" t="s">
        <v>51</v>
      </c>
      <c r="G2273" s="14" t="s">
        <v>163</v>
      </c>
      <c r="H2273" s="14" t="s">
        <v>91</v>
      </c>
      <c r="I2273" s="14" t="s">
        <v>59</v>
      </c>
      <c r="J2273" s="14" t="s">
        <v>200</v>
      </c>
      <c r="K2273" s="14" t="s">
        <v>223</v>
      </c>
      <c r="L2273" s="14" t="s">
        <v>286</v>
      </c>
      <c r="M2273" s="14" t="s">
        <v>369</v>
      </c>
      <c r="N2273" s="14" t="s">
        <v>370</v>
      </c>
      <c r="O2273" s="14">
        <v>0.0</v>
      </c>
      <c r="P2273" s="23">
        <v>0.0</v>
      </c>
      <c r="Q2273" s="22" t="str">
        <f t="shared" ref="Q2273:R2273" si="1323">"+0.00%"</f>
        <v>+0.00%</v>
      </c>
      <c r="R2273" s="18" t="str">
        <f t="shared" si="1323"/>
        <v>+0.00%</v>
      </c>
      <c r="S2273" s="14" t="s">
        <v>371</v>
      </c>
    </row>
    <row r="2274">
      <c r="A2274" s="13">
        <v>45901.0</v>
      </c>
      <c r="B2274" s="14" t="s">
        <v>47</v>
      </c>
      <c r="C2274" s="14" t="s">
        <v>48</v>
      </c>
      <c r="D2274" s="14" t="s">
        <v>91</v>
      </c>
      <c r="E2274" s="14" t="s">
        <v>92</v>
      </c>
      <c r="F2274" s="14" t="s">
        <v>79</v>
      </c>
      <c r="G2274" s="14" t="s">
        <v>164</v>
      </c>
      <c r="H2274" s="14" t="s">
        <v>91</v>
      </c>
      <c r="I2274" s="14" t="s">
        <v>154</v>
      </c>
      <c r="J2274" s="14" t="s">
        <v>198</v>
      </c>
      <c r="K2274" s="14" t="s">
        <v>210</v>
      </c>
      <c r="L2274" s="14" t="s">
        <v>458</v>
      </c>
      <c r="M2274" s="14" t="s">
        <v>955</v>
      </c>
      <c r="N2274" s="14" t="s">
        <v>956</v>
      </c>
      <c r="O2274" s="14">
        <v>100.0</v>
      </c>
      <c r="P2274" s="21">
        <v>0.0</v>
      </c>
      <c r="Q2274" s="22" t="str">
        <f t="shared" ref="Q2274:Q2275" si="1324">"+0"</f>
        <v>+0</v>
      </c>
      <c r="S2274" s="14" t="s">
        <v>277</v>
      </c>
    </row>
    <row r="2275">
      <c r="A2275" s="13">
        <v>45901.0</v>
      </c>
      <c r="B2275" s="14" t="s">
        <v>47</v>
      </c>
      <c r="C2275" s="14" t="s">
        <v>48</v>
      </c>
      <c r="D2275" s="14" t="s">
        <v>66</v>
      </c>
      <c r="E2275" s="14" t="s">
        <v>67</v>
      </c>
      <c r="F2275" s="15" t="s">
        <v>51</v>
      </c>
      <c r="G2275" s="14" t="s">
        <v>68</v>
      </c>
      <c r="H2275" s="14" t="s">
        <v>66</v>
      </c>
      <c r="I2275" s="14" t="s">
        <v>59</v>
      </c>
      <c r="J2275" s="14" t="s">
        <v>200</v>
      </c>
      <c r="K2275" s="14" t="s">
        <v>223</v>
      </c>
      <c r="L2275" s="14" t="s">
        <v>607</v>
      </c>
      <c r="M2275" s="14" t="s">
        <v>765</v>
      </c>
      <c r="N2275" s="14" t="s">
        <v>766</v>
      </c>
      <c r="O2275" s="14">
        <v>100.0</v>
      </c>
      <c r="P2275" s="21">
        <v>69.0</v>
      </c>
      <c r="Q2275" s="22" t="str">
        <f t="shared" si="1324"/>
        <v>+0</v>
      </c>
      <c r="R2275" s="18" t="str">
        <f>"+0"</f>
        <v>+0</v>
      </c>
      <c r="S2275" s="14" t="s">
        <v>260</v>
      </c>
    </row>
    <row r="2276">
      <c r="A2276" s="13">
        <v>45901.0</v>
      </c>
      <c r="B2276" s="14" t="s">
        <v>47</v>
      </c>
      <c r="C2276" s="14" t="s">
        <v>48</v>
      </c>
      <c r="D2276" s="14" t="s">
        <v>93</v>
      </c>
      <c r="E2276" s="14" t="s">
        <v>94</v>
      </c>
      <c r="F2276" s="15" t="s">
        <v>51</v>
      </c>
      <c r="G2276" s="14" t="s">
        <v>191</v>
      </c>
      <c r="H2276" s="14" t="s">
        <v>95</v>
      </c>
      <c r="I2276" s="14" t="s">
        <v>59</v>
      </c>
      <c r="J2276" s="14" t="s">
        <v>200</v>
      </c>
      <c r="K2276" s="14" t="s">
        <v>215</v>
      </c>
      <c r="L2276" s="14" t="s">
        <v>253</v>
      </c>
      <c r="M2276" s="14" t="s">
        <v>969</v>
      </c>
      <c r="N2276" s="14" t="s">
        <v>970</v>
      </c>
      <c r="O2276" s="14">
        <v>4.0</v>
      </c>
      <c r="P2276" s="23">
        <v>0.0405</v>
      </c>
      <c r="Q2276" s="22" t="str">
        <f>"+0.06%"</f>
        <v>+0.06%</v>
      </c>
      <c r="R2276" s="18" t="str">
        <f>"+2.22%"</f>
        <v>+2.22%</v>
      </c>
      <c r="S2276" s="14" t="s">
        <v>1746</v>
      </c>
    </row>
    <row r="2277">
      <c r="A2277" s="13">
        <v>45901.0</v>
      </c>
      <c r="B2277" s="14" t="s">
        <v>47</v>
      </c>
      <c r="C2277" s="14" t="s">
        <v>48</v>
      </c>
      <c r="D2277" s="14" t="s">
        <v>73</v>
      </c>
      <c r="E2277" s="14" t="s">
        <v>74</v>
      </c>
      <c r="F2277" s="15" t="s">
        <v>51</v>
      </c>
      <c r="G2277" s="14" t="s">
        <v>75</v>
      </c>
      <c r="H2277" s="14" t="s">
        <v>76</v>
      </c>
      <c r="I2277" s="14" t="s">
        <v>59</v>
      </c>
      <c r="J2277" s="14" t="s">
        <v>200</v>
      </c>
      <c r="K2277" s="14" t="s">
        <v>232</v>
      </c>
      <c r="L2277" s="14" t="s">
        <v>705</v>
      </c>
      <c r="M2277" s="14" t="s">
        <v>706</v>
      </c>
      <c r="N2277" s="14" t="s">
        <v>707</v>
      </c>
      <c r="O2277" s="14">
        <v>0.0</v>
      </c>
      <c r="P2277" s="21">
        <v>0.0</v>
      </c>
      <c r="Q2277" s="22" t="str">
        <f t="shared" ref="Q2277:R2277" si="1325">"+0"</f>
        <v>+0</v>
      </c>
      <c r="R2277" s="18" t="str">
        <f t="shared" si="1325"/>
        <v>+0</v>
      </c>
      <c r="S2277" s="14" t="s">
        <v>260</v>
      </c>
    </row>
    <row r="2278">
      <c r="A2278" s="13">
        <v>45901.0</v>
      </c>
      <c r="B2278" s="14" t="s">
        <v>47</v>
      </c>
      <c r="C2278" s="14" t="s">
        <v>48</v>
      </c>
      <c r="D2278" s="14" t="s">
        <v>143</v>
      </c>
      <c r="E2278" s="14" t="s">
        <v>144</v>
      </c>
      <c r="F2278" s="15" t="s">
        <v>51</v>
      </c>
      <c r="G2278" s="14" t="s">
        <v>145</v>
      </c>
      <c r="H2278" s="14" t="s">
        <v>143</v>
      </c>
      <c r="I2278" s="14" t="s">
        <v>59</v>
      </c>
      <c r="J2278" s="14" t="s">
        <v>200</v>
      </c>
      <c r="K2278" s="14" t="s">
        <v>227</v>
      </c>
      <c r="L2278" s="14" t="s">
        <v>270</v>
      </c>
      <c r="M2278" s="14" t="s">
        <v>271</v>
      </c>
      <c r="N2278" s="14" t="s">
        <v>272</v>
      </c>
      <c r="O2278" s="14">
        <v>0.0</v>
      </c>
      <c r="P2278" s="23">
        <v>-1.0</v>
      </c>
      <c r="Q2278" s="22" t="str">
        <f t="shared" ref="Q2278:R2278" si="1326">"+0.00%"</f>
        <v>+0.00%</v>
      </c>
      <c r="R2278" s="18" t="str">
        <f t="shared" si="1326"/>
        <v>+0.00%</v>
      </c>
      <c r="S2278" s="14" t="s">
        <v>273</v>
      </c>
    </row>
    <row r="2279">
      <c r="A2279" s="13">
        <v>45901.0</v>
      </c>
      <c r="B2279" s="14" t="s">
        <v>47</v>
      </c>
      <c r="C2279" s="14" t="s">
        <v>48</v>
      </c>
      <c r="D2279" s="14" t="s">
        <v>73</v>
      </c>
      <c r="E2279" s="14" t="s">
        <v>74</v>
      </c>
      <c r="F2279" s="15" t="s">
        <v>51</v>
      </c>
      <c r="G2279" s="14" t="s">
        <v>75</v>
      </c>
      <c r="H2279" s="14" t="s">
        <v>76</v>
      </c>
      <c r="I2279" s="14" t="s">
        <v>59</v>
      </c>
      <c r="J2279" s="14" t="s">
        <v>200</v>
      </c>
      <c r="K2279" s="14" t="s">
        <v>232</v>
      </c>
      <c r="L2279" s="14" t="s">
        <v>286</v>
      </c>
      <c r="M2279" s="14" t="s">
        <v>656</v>
      </c>
      <c r="N2279" s="14" t="s">
        <v>657</v>
      </c>
      <c r="O2279" s="14">
        <v>0.0</v>
      </c>
      <c r="P2279" s="23">
        <v>0.0</v>
      </c>
      <c r="Q2279" s="22" t="str">
        <f t="shared" ref="Q2279:R2279" si="1327">"+0.00%"</f>
        <v>+0.00%</v>
      </c>
      <c r="R2279" s="18" t="str">
        <f t="shared" si="1327"/>
        <v>+0.00%</v>
      </c>
      <c r="S2279" s="14" t="s">
        <v>285</v>
      </c>
    </row>
    <row r="2280">
      <c r="A2280" s="13">
        <v>45901.0</v>
      </c>
      <c r="B2280" s="14" t="s">
        <v>47</v>
      </c>
      <c r="C2280" s="14" t="s">
        <v>48</v>
      </c>
      <c r="D2280" s="14" t="s">
        <v>103</v>
      </c>
      <c r="E2280" s="14" t="s">
        <v>104</v>
      </c>
      <c r="F2280" s="15" t="s">
        <v>51</v>
      </c>
      <c r="G2280" s="14" t="s">
        <v>105</v>
      </c>
      <c r="H2280" s="14" t="s">
        <v>106</v>
      </c>
      <c r="I2280" s="14" t="s">
        <v>59</v>
      </c>
      <c r="J2280" s="14" t="s">
        <v>200</v>
      </c>
      <c r="K2280" s="14" t="s">
        <v>232</v>
      </c>
      <c r="L2280" s="14" t="s">
        <v>261</v>
      </c>
      <c r="M2280" s="14" t="s">
        <v>262</v>
      </c>
      <c r="N2280" s="14" t="s">
        <v>263</v>
      </c>
      <c r="O2280" s="14">
        <v>0.0</v>
      </c>
      <c r="P2280" s="21">
        <v>0.0</v>
      </c>
      <c r="Q2280" s="22" t="str">
        <f t="shared" ref="Q2280:R2280" si="1328">"+0"</f>
        <v>+0</v>
      </c>
      <c r="R2280" s="18" t="str">
        <f t="shared" si="1328"/>
        <v>+0</v>
      </c>
      <c r="S2280" s="14" t="s">
        <v>260</v>
      </c>
    </row>
    <row r="2281">
      <c r="A2281" s="13">
        <v>45901.0</v>
      </c>
      <c r="B2281" s="14" t="s">
        <v>47</v>
      </c>
      <c r="C2281" s="14" t="s">
        <v>48</v>
      </c>
      <c r="D2281" s="14" t="s">
        <v>149</v>
      </c>
      <c r="E2281" s="14" t="s">
        <v>150</v>
      </c>
      <c r="F2281" s="15" t="s">
        <v>51</v>
      </c>
      <c r="G2281" s="14" t="s">
        <v>151</v>
      </c>
      <c r="H2281" s="14" t="s">
        <v>152</v>
      </c>
      <c r="I2281" s="14" t="s">
        <v>54</v>
      </c>
      <c r="J2281" s="14" t="s">
        <v>200</v>
      </c>
      <c r="K2281" s="14" t="s">
        <v>228</v>
      </c>
      <c r="L2281" s="14" t="s">
        <v>253</v>
      </c>
      <c r="M2281" s="14" t="s">
        <v>1165</v>
      </c>
      <c r="N2281" s="14" t="s">
        <v>1166</v>
      </c>
      <c r="O2281" s="14">
        <v>100.0</v>
      </c>
      <c r="P2281" s="23">
        <v>1.0</v>
      </c>
      <c r="Q2281" s="22" t="str">
        <f t="shared" ref="Q2281:R2281" si="1329">"+0.00%"</f>
        <v>+0.00%</v>
      </c>
      <c r="R2281" s="18" t="str">
        <f t="shared" si="1329"/>
        <v>+0.00%</v>
      </c>
      <c r="S2281" s="14" t="s">
        <v>1747</v>
      </c>
    </row>
    <row r="2282">
      <c r="A2282" s="13">
        <v>45901.0</v>
      </c>
      <c r="B2282" s="14" t="s">
        <v>47</v>
      </c>
      <c r="C2282" s="14" t="s">
        <v>48</v>
      </c>
      <c r="D2282" s="14" t="s">
        <v>85</v>
      </c>
      <c r="E2282" s="14" t="s">
        <v>86</v>
      </c>
      <c r="F2282" s="14" t="s">
        <v>146</v>
      </c>
      <c r="G2282" s="14" t="s">
        <v>162</v>
      </c>
      <c r="H2282" s="14" t="s">
        <v>85</v>
      </c>
      <c r="I2282" s="14" t="s">
        <v>107</v>
      </c>
      <c r="J2282" s="14" t="s">
        <v>199</v>
      </c>
      <c r="K2282" s="14" t="s">
        <v>206</v>
      </c>
      <c r="L2282" s="14" t="s">
        <v>295</v>
      </c>
      <c r="M2282" s="14" t="s">
        <v>296</v>
      </c>
      <c r="N2282" s="14" t="s">
        <v>297</v>
      </c>
      <c r="O2282" s="14">
        <v>0.0</v>
      </c>
      <c r="P2282" s="21">
        <v>0.0</v>
      </c>
      <c r="Q2282" s="22" t="str">
        <f t="shared" ref="Q2282:R2282" si="1330">"+0"</f>
        <v>+0</v>
      </c>
      <c r="R2282" s="18" t="str">
        <f t="shared" si="1330"/>
        <v>+0</v>
      </c>
      <c r="S2282" s="14" t="s">
        <v>260</v>
      </c>
    </row>
    <row r="2283">
      <c r="A2283" s="13">
        <v>45901.0</v>
      </c>
      <c r="B2283" s="14" t="s">
        <v>47</v>
      </c>
      <c r="C2283" s="14" t="s">
        <v>48</v>
      </c>
      <c r="D2283" s="14" t="s">
        <v>85</v>
      </c>
      <c r="E2283" s="14" t="s">
        <v>86</v>
      </c>
      <c r="F2283" s="14" t="s">
        <v>71</v>
      </c>
      <c r="G2283" s="14">
        <v>88285.0</v>
      </c>
      <c r="H2283" s="14" t="s">
        <v>85</v>
      </c>
      <c r="I2283" s="14" t="s">
        <v>59</v>
      </c>
      <c r="J2283" s="14" t="s">
        <v>199</v>
      </c>
      <c r="K2283" s="14" t="s">
        <v>203</v>
      </c>
      <c r="L2283" s="14" t="s">
        <v>601</v>
      </c>
      <c r="M2283" s="14" t="s">
        <v>601</v>
      </c>
      <c r="N2283" s="14" t="s">
        <v>602</v>
      </c>
      <c r="O2283" s="14">
        <v>0.0</v>
      </c>
      <c r="P2283" s="21">
        <v>0.0</v>
      </c>
      <c r="Q2283" s="22" t="str">
        <f t="shared" ref="Q2283:R2283" si="1331">"+0"</f>
        <v>+0</v>
      </c>
      <c r="R2283" s="18" t="str">
        <f t="shared" si="1331"/>
        <v>+0</v>
      </c>
      <c r="S2283" s="14" t="s">
        <v>260</v>
      </c>
    </row>
    <row r="2284">
      <c r="A2284" s="13">
        <v>45901.0</v>
      </c>
      <c r="B2284" s="14" t="s">
        <v>47</v>
      </c>
      <c r="C2284" s="14" t="s">
        <v>48</v>
      </c>
      <c r="D2284" s="14" t="s">
        <v>85</v>
      </c>
      <c r="E2284" s="14" t="s">
        <v>86</v>
      </c>
      <c r="F2284" s="15" t="s">
        <v>51</v>
      </c>
      <c r="G2284" s="14" t="s">
        <v>148</v>
      </c>
      <c r="H2284" s="14" t="s">
        <v>85</v>
      </c>
      <c r="I2284" s="14" t="s">
        <v>59</v>
      </c>
      <c r="J2284" s="14" t="s">
        <v>199</v>
      </c>
      <c r="K2284" s="14" t="s">
        <v>208</v>
      </c>
      <c r="L2284" s="14" t="s">
        <v>412</v>
      </c>
      <c r="M2284" s="14" t="s">
        <v>412</v>
      </c>
      <c r="N2284" s="14" t="s">
        <v>413</v>
      </c>
      <c r="O2284" s="14">
        <v>0.0</v>
      </c>
      <c r="P2284" s="21">
        <v>0.0</v>
      </c>
      <c r="Q2284" s="22" t="str">
        <f t="shared" ref="Q2284:R2284" si="1332">"+0"</f>
        <v>+0</v>
      </c>
      <c r="R2284" s="18" t="str">
        <f t="shared" si="1332"/>
        <v>+0</v>
      </c>
      <c r="S2284" s="14" t="s">
        <v>260</v>
      </c>
    </row>
    <row r="2285">
      <c r="A2285" s="13">
        <v>45901.0</v>
      </c>
      <c r="B2285" s="14" t="s">
        <v>47</v>
      </c>
      <c r="C2285" s="14" t="s">
        <v>48</v>
      </c>
      <c r="D2285" s="14" t="s">
        <v>158</v>
      </c>
      <c r="E2285" s="14" t="s">
        <v>159</v>
      </c>
      <c r="F2285" s="15" t="s">
        <v>51</v>
      </c>
      <c r="G2285" s="14" t="s">
        <v>160</v>
      </c>
      <c r="H2285" s="14" t="s">
        <v>158</v>
      </c>
      <c r="I2285" s="14" t="s">
        <v>54</v>
      </c>
      <c r="J2285" s="14" t="s">
        <v>198</v>
      </c>
      <c r="K2285" s="14" t="s">
        <v>205</v>
      </c>
      <c r="L2285" s="14" t="s">
        <v>274</v>
      </c>
      <c r="M2285" s="14" t="s">
        <v>354</v>
      </c>
      <c r="N2285" s="14" t="s">
        <v>355</v>
      </c>
      <c r="O2285" s="14">
        <v>28.0</v>
      </c>
      <c r="P2285" s="21">
        <v>10.0</v>
      </c>
      <c r="Q2285" s="22" t="str">
        <f>"+0"</f>
        <v>+0</v>
      </c>
      <c r="S2285" s="14" t="s">
        <v>356</v>
      </c>
    </row>
    <row r="2286">
      <c r="A2286" s="13">
        <v>45901.0</v>
      </c>
      <c r="B2286" s="14" t="s">
        <v>47</v>
      </c>
      <c r="C2286" s="14" t="s">
        <v>48</v>
      </c>
      <c r="D2286" s="14" t="s">
        <v>158</v>
      </c>
      <c r="E2286" s="14" t="s">
        <v>159</v>
      </c>
      <c r="F2286" s="15" t="s">
        <v>51</v>
      </c>
      <c r="G2286" s="14" t="s">
        <v>160</v>
      </c>
      <c r="H2286" s="14" t="s">
        <v>158</v>
      </c>
      <c r="I2286" s="14" t="s">
        <v>54</v>
      </c>
      <c r="J2286" s="14" t="s">
        <v>200</v>
      </c>
      <c r="K2286" s="14" t="s">
        <v>224</v>
      </c>
      <c r="L2286" s="14" t="s">
        <v>392</v>
      </c>
      <c r="M2286" s="14" t="s">
        <v>754</v>
      </c>
      <c r="N2286" s="14" t="s">
        <v>755</v>
      </c>
      <c r="O2286" s="14">
        <v>0.0</v>
      </c>
      <c r="P2286" s="17"/>
      <c r="Q2286" s="22"/>
      <c r="S2286" s="14" t="s">
        <v>1748</v>
      </c>
    </row>
    <row r="2287">
      <c r="A2287" s="13">
        <v>45901.0</v>
      </c>
      <c r="B2287" s="14" t="s">
        <v>47</v>
      </c>
      <c r="C2287" s="14" t="s">
        <v>48</v>
      </c>
      <c r="D2287" s="14" t="s">
        <v>116</v>
      </c>
      <c r="E2287" s="14" t="s">
        <v>117</v>
      </c>
      <c r="F2287" s="15" t="s">
        <v>51</v>
      </c>
      <c r="G2287" s="14" t="s">
        <v>161</v>
      </c>
      <c r="H2287" s="14" t="s">
        <v>116</v>
      </c>
      <c r="I2287" s="14" t="s">
        <v>54</v>
      </c>
      <c r="J2287" s="14" t="s">
        <v>200</v>
      </c>
      <c r="K2287" s="14" t="s">
        <v>224</v>
      </c>
      <c r="L2287" s="14" t="s">
        <v>594</v>
      </c>
      <c r="M2287" s="14" t="s">
        <v>595</v>
      </c>
      <c r="N2287" s="14" t="s">
        <v>596</v>
      </c>
      <c r="O2287" s="14">
        <v>0.0</v>
      </c>
      <c r="P2287" s="23">
        <v>0.0</v>
      </c>
      <c r="Q2287" s="22"/>
      <c r="S2287" s="14" t="s">
        <v>1749</v>
      </c>
    </row>
    <row r="2288">
      <c r="A2288" s="13">
        <v>45901.0</v>
      </c>
      <c r="B2288" s="14" t="s">
        <v>47</v>
      </c>
      <c r="C2288" s="14" t="s">
        <v>48</v>
      </c>
      <c r="D2288" s="14" t="s">
        <v>56</v>
      </c>
      <c r="E2288" s="14" t="s">
        <v>57</v>
      </c>
      <c r="F2288" s="15" t="s">
        <v>51</v>
      </c>
      <c r="G2288" s="14" t="s">
        <v>58</v>
      </c>
      <c r="H2288" s="14" t="s">
        <v>56</v>
      </c>
      <c r="I2288" s="14" t="s">
        <v>59</v>
      </c>
      <c r="J2288" s="14" t="s">
        <v>200</v>
      </c>
      <c r="K2288" s="14" t="s">
        <v>227</v>
      </c>
      <c r="L2288" s="14" t="s">
        <v>270</v>
      </c>
      <c r="M2288" s="14" t="s">
        <v>417</v>
      </c>
      <c r="N2288" s="14" t="s">
        <v>418</v>
      </c>
      <c r="O2288" s="14">
        <v>50.0</v>
      </c>
      <c r="P2288" s="21">
        <v>1.0</v>
      </c>
      <c r="Q2288" s="22" t="str">
        <f t="shared" ref="Q2288:R2288" si="1333">"+1"</f>
        <v>+1</v>
      </c>
      <c r="R2288" s="18" t="str">
        <f t="shared" si="1333"/>
        <v>+1</v>
      </c>
      <c r="S2288" s="14" t="s">
        <v>260</v>
      </c>
    </row>
    <row r="2289">
      <c r="A2289" s="13">
        <v>45901.0</v>
      </c>
      <c r="B2289" s="14" t="s">
        <v>47</v>
      </c>
      <c r="C2289" s="14" t="s">
        <v>48</v>
      </c>
      <c r="D2289" s="14" t="s">
        <v>155</v>
      </c>
      <c r="E2289" s="14" t="s">
        <v>156</v>
      </c>
      <c r="F2289" s="15" t="s">
        <v>51</v>
      </c>
      <c r="G2289" s="14" t="s">
        <v>157</v>
      </c>
      <c r="H2289" s="14" t="s">
        <v>155</v>
      </c>
      <c r="I2289" s="14" t="s">
        <v>59</v>
      </c>
      <c r="J2289" s="14" t="s">
        <v>199</v>
      </c>
      <c r="K2289" s="14" t="s">
        <v>206</v>
      </c>
      <c r="L2289" s="14" t="s">
        <v>295</v>
      </c>
      <c r="M2289" s="14" t="s">
        <v>651</v>
      </c>
      <c r="N2289" s="14" t="s">
        <v>652</v>
      </c>
      <c r="O2289" s="14">
        <v>0.0</v>
      </c>
      <c r="P2289" s="21">
        <v>0.0</v>
      </c>
      <c r="Q2289" s="22" t="str">
        <f t="shared" ref="Q2289:R2289" si="1334">"+0"</f>
        <v>+0</v>
      </c>
      <c r="R2289" s="18" t="str">
        <f t="shared" si="1334"/>
        <v>+0</v>
      </c>
      <c r="S2289" s="14" t="s">
        <v>260</v>
      </c>
    </row>
    <row r="2290">
      <c r="A2290" s="13">
        <v>45901.0</v>
      </c>
      <c r="B2290" s="14" t="s">
        <v>47</v>
      </c>
      <c r="C2290" s="14" t="s">
        <v>48</v>
      </c>
      <c r="D2290" s="14" t="s">
        <v>155</v>
      </c>
      <c r="E2290" s="14" t="s">
        <v>156</v>
      </c>
      <c r="F2290" s="15" t="s">
        <v>51</v>
      </c>
      <c r="G2290" s="14" t="s">
        <v>157</v>
      </c>
      <c r="H2290" s="14" t="s">
        <v>155</v>
      </c>
      <c r="I2290" s="14" t="s">
        <v>59</v>
      </c>
      <c r="J2290" s="14" t="s">
        <v>200</v>
      </c>
      <c r="K2290" s="14" t="s">
        <v>223</v>
      </c>
      <c r="L2290" s="14" t="s">
        <v>307</v>
      </c>
      <c r="M2290" s="14" t="s">
        <v>502</v>
      </c>
      <c r="N2290" s="14" t="s">
        <v>503</v>
      </c>
      <c r="O2290" s="14">
        <v>0.0</v>
      </c>
      <c r="P2290" s="17"/>
      <c r="Q2290" s="22"/>
      <c r="S2290" s="14" t="s">
        <v>1750</v>
      </c>
    </row>
    <row r="2291">
      <c r="A2291" s="13">
        <v>45901.0</v>
      </c>
      <c r="B2291" s="14" t="s">
        <v>47</v>
      </c>
      <c r="C2291" s="14" t="s">
        <v>48</v>
      </c>
      <c r="D2291" s="14" t="s">
        <v>140</v>
      </c>
      <c r="E2291" s="14" t="s">
        <v>141</v>
      </c>
      <c r="F2291" s="15" t="s">
        <v>51</v>
      </c>
      <c r="G2291" s="14" t="s">
        <v>142</v>
      </c>
      <c r="H2291" s="14" t="s">
        <v>140</v>
      </c>
      <c r="I2291" s="14" t="s">
        <v>59</v>
      </c>
      <c r="J2291" s="14" t="s">
        <v>200</v>
      </c>
      <c r="K2291" s="14" t="s">
        <v>213</v>
      </c>
      <c r="L2291" s="14" t="s">
        <v>307</v>
      </c>
      <c r="M2291" s="14" t="s">
        <v>308</v>
      </c>
      <c r="N2291" s="14" t="s">
        <v>309</v>
      </c>
      <c r="O2291" s="14">
        <v>0.0</v>
      </c>
      <c r="P2291" s="23">
        <v>0.0</v>
      </c>
      <c r="Q2291" s="22" t="str">
        <f t="shared" ref="Q2291:R2291" si="1335">"+0.00%"</f>
        <v>+0.00%</v>
      </c>
      <c r="R2291" s="18" t="str">
        <f t="shared" si="1335"/>
        <v>+0.00%</v>
      </c>
      <c r="S2291" s="14" t="s">
        <v>285</v>
      </c>
    </row>
    <row r="2292">
      <c r="A2292" s="13">
        <v>45901.0</v>
      </c>
      <c r="B2292" s="14" t="s">
        <v>47</v>
      </c>
      <c r="C2292" s="14" t="s">
        <v>48</v>
      </c>
      <c r="D2292" s="14" t="s">
        <v>91</v>
      </c>
      <c r="E2292" s="14" t="s">
        <v>92</v>
      </c>
      <c r="F2292" s="15" t="s">
        <v>51</v>
      </c>
      <c r="G2292" s="14" t="s">
        <v>163</v>
      </c>
      <c r="H2292" s="14" t="s">
        <v>91</v>
      </c>
      <c r="I2292" s="14" t="s">
        <v>59</v>
      </c>
      <c r="J2292" s="14" t="s">
        <v>198</v>
      </c>
      <c r="K2292" s="14" t="s">
        <v>205</v>
      </c>
      <c r="L2292" s="14" t="s">
        <v>274</v>
      </c>
      <c r="M2292" s="14" t="s">
        <v>791</v>
      </c>
      <c r="N2292" s="14" t="s">
        <v>792</v>
      </c>
      <c r="O2292" s="14">
        <v>100.0</v>
      </c>
      <c r="P2292" s="21">
        <v>5.0</v>
      </c>
      <c r="Q2292" s="22" t="str">
        <f t="shared" ref="Q2292:Q2297" si="1336">"+0"</f>
        <v>+0</v>
      </c>
      <c r="S2292" s="14" t="s">
        <v>260</v>
      </c>
    </row>
    <row r="2293">
      <c r="A2293" s="13">
        <v>45901.0</v>
      </c>
      <c r="B2293" s="14" t="s">
        <v>47</v>
      </c>
      <c r="C2293" s="14" t="s">
        <v>48</v>
      </c>
      <c r="D2293" s="14" t="s">
        <v>99</v>
      </c>
      <c r="E2293" s="14" t="s">
        <v>100</v>
      </c>
      <c r="F2293" s="15" t="s">
        <v>51</v>
      </c>
      <c r="G2293" s="14" t="s">
        <v>101</v>
      </c>
      <c r="H2293" s="14" t="s">
        <v>102</v>
      </c>
      <c r="I2293" s="14" t="s">
        <v>54</v>
      </c>
      <c r="J2293" s="14" t="s">
        <v>198</v>
      </c>
      <c r="K2293" s="14" t="s">
        <v>210</v>
      </c>
      <c r="L2293" s="14" t="s">
        <v>505</v>
      </c>
      <c r="M2293" s="14" t="s">
        <v>1020</v>
      </c>
      <c r="N2293" s="14" t="s">
        <v>1021</v>
      </c>
      <c r="O2293" s="14">
        <v>0.0</v>
      </c>
      <c r="P2293" s="21">
        <v>0.0</v>
      </c>
      <c r="Q2293" s="22" t="str">
        <f t="shared" si="1336"/>
        <v>+0</v>
      </c>
      <c r="R2293" s="18" t="str">
        <f t="shared" ref="R2293:R2296" si="1337">"+0"</f>
        <v>+0</v>
      </c>
      <c r="S2293" s="14" t="s">
        <v>277</v>
      </c>
    </row>
    <row r="2294">
      <c r="A2294" s="13">
        <v>45901.0</v>
      </c>
      <c r="B2294" s="14" t="s">
        <v>47</v>
      </c>
      <c r="C2294" s="14" t="s">
        <v>48</v>
      </c>
      <c r="D2294" s="14" t="s">
        <v>177</v>
      </c>
      <c r="E2294" s="14" t="s">
        <v>178</v>
      </c>
      <c r="F2294" s="14" t="s">
        <v>146</v>
      </c>
      <c r="G2294" s="14" t="s">
        <v>179</v>
      </c>
      <c r="H2294" s="14" t="s">
        <v>177</v>
      </c>
      <c r="I2294" s="14" t="s">
        <v>107</v>
      </c>
      <c r="J2294" s="14" t="s">
        <v>200</v>
      </c>
      <c r="K2294" s="14" t="s">
        <v>226</v>
      </c>
      <c r="L2294" s="14" t="s">
        <v>633</v>
      </c>
      <c r="M2294" s="14" t="s">
        <v>1751</v>
      </c>
      <c r="N2294" s="14" t="s">
        <v>1752</v>
      </c>
      <c r="O2294" s="14">
        <v>0.0</v>
      </c>
      <c r="P2294" s="21">
        <v>0.0</v>
      </c>
      <c r="Q2294" s="22" t="str">
        <f t="shared" si="1336"/>
        <v>+0</v>
      </c>
      <c r="R2294" s="18" t="str">
        <f t="shared" si="1337"/>
        <v>+0</v>
      </c>
      <c r="S2294" s="14" t="s">
        <v>260</v>
      </c>
    </row>
    <row r="2295">
      <c r="A2295" s="13">
        <v>45901.0</v>
      </c>
      <c r="B2295" s="14" t="s">
        <v>47</v>
      </c>
      <c r="C2295" s="14" t="s">
        <v>48</v>
      </c>
      <c r="D2295" s="14" t="s">
        <v>66</v>
      </c>
      <c r="E2295" s="14" t="s">
        <v>67</v>
      </c>
      <c r="F2295" s="15" t="s">
        <v>51</v>
      </c>
      <c r="G2295" s="14" t="s">
        <v>68</v>
      </c>
      <c r="H2295" s="14" t="s">
        <v>66</v>
      </c>
      <c r="I2295" s="14" t="s">
        <v>59</v>
      </c>
      <c r="J2295" s="14" t="s">
        <v>200</v>
      </c>
      <c r="K2295" s="14" t="s">
        <v>231</v>
      </c>
      <c r="L2295" s="14" t="s">
        <v>512</v>
      </c>
      <c r="M2295" s="14" t="s">
        <v>1672</v>
      </c>
      <c r="N2295" s="14" t="s">
        <v>1673</v>
      </c>
      <c r="O2295" s="14">
        <v>0.0</v>
      </c>
      <c r="P2295" s="21">
        <v>0.0</v>
      </c>
      <c r="Q2295" s="22" t="str">
        <f t="shared" si="1336"/>
        <v>+0</v>
      </c>
      <c r="R2295" s="18" t="str">
        <f t="shared" si="1337"/>
        <v>+0</v>
      </c>
      <c r="S2295" s="14" t="s">
        <v>260</v>
      </c>
    </row>
    <row r="2296">
      <c r="A2296" s="13">
        <v>45901.0</v>
      </c>
      <c r="B2296" s="14" t="s">
        <v>47</v>
      </c>
      <c r="C2296" s="14" t="s">
        <v>48</v>
      </c>
      <c r="D2296" s="14" t="s">
        <v>192</v>
      </c>
      <c r="E2296" s="14" t="s">
        <v>193</v>
      </c>
      <c r="F2296" s="15" t="s">
        <v>51</v>
      </c>
      <c r="G2296" s="14" t="s">
        <v>194</v>
      </c>
      <c r="H2296" s="14" t="s">
        <v>192</v>
      </c>
      <c r="I2296" s="14" t="s">
        <v>54</v>
      </c>
      <c r="J2296" s="14" t="s">
        <v>198</v>
      </c>
      <c r="K2296" s="14" t="s">
        <v>210</v>
      </c>
      <c r="L2296" s="14" t="s">
        <v>264</v>
      </c>
      <c r="M2296" s="14" t="s">
        <v>641</v>
      </c>
      <c r="N2296" s="14" t="s">
        <v>642</v>
      </c>
      <c r="O2296" s="14">
        <v>0.0</v>
      </c>
      <c r="P2296" s="21">
        <v>0.0</v>
      </c>
      <c r="Q2296" s="22" t="str">
        <f t="shared" si="1336"/>
        <v>+0</v>
      </c>
      <c r="R2296" s="18" t="str">
        <f t="shared" si="1337"/>
        <v>+0</v>
      </c>
      <c r="S2296" s="14" t="s">
        <v>277</v>
      </c>
    </row>
    <row r="2297">
      <c r="A2297" s="13">
        <v>45901.0</v>
      </c>
      <c r="B2297" s="14" t="s">
        <v>47</v>
      </c>
      <c r="C2297" s="14" t="s">
        <v>48</v>
      </c>
      <c r="D2297" s="14" t="s">
        <v>192</v>
      </c>
      <c r="E2297" s="14" t="s">
        <v>193</v>
      </c>
      <c r="F2297" s="15" t="s">
        <v>51</v>
      </c>
      <c r="G2297" s="14" t="s">
        <v>194</v>
      </c>
      <c r="H2297" s="14" t="s">
        <v>192</v>
      </c>
      <c r="I2297" s="14" t="s">
        <v>54</v>
      </c>
      <c r="J2297" s="14" t="s">
        <v>198</v>
      </c>
      <c r="K2297" s="14" t="s">
        <v>207</v>
      </c>
      <c r="L2297" s="14" t="s">
        <v>648</v>
      </c>
      <c r="M2297" s="14" t="s">
        <v>649</v>
      </c>
      <c r="N2297" s="14" t="s">
        <v>650</v>
      </c>
      <c r="O2297" s="14">
        <v>100.0</v>
      </c>
      <c r="P2297" s="21">
        <v>1.0</v>
      </c>
      <c r="Q2297" s="22" t="str">
        <f t="shared" si="1336"/>
        <v>+0</v>
      </c>
      <c r="S2297" s="14" t="s">
        <v>281</v>
      </c>
    </row>
    <row r="2298">
      <c r="A2298" s="13">
        <v>45901.0</v>
      </c>
      <c r="B2298" s="14" t="s">
        <v>47</v>
      </c>
      <c r="C2298" s="14" t="s">
        <v>48</v>
      </c>
      <c r="D2298" s="14" t="s">
        <v>82</v>
      </c>
      <c r="E2298" s="14" t="s">
        <v>83</v>
      </c>
      <c r="F2298" s="15" t="s">
        <v>51</v>
      </c>
      <c r="G2298" s="14" t="s">
        <v>84</v>
      </c>
      <c r="H2298" s="14" t="s">
        <v>82</v>
      </c>
      <c r="I2298" s="14" t="s">
        <v>59</v>
      </c>
      <c r="J2298" s="14" t="s">
        <v>198</v>
      </c>
      <c r="K2298" s="14" t="s">
        <v>210</v>
      </c>
      <c r="L2298" s="14" t="s">
        <v>505</v>
      </c>
      <c r="M2298" s="14" t="s">
        <v>506</v>
      </c>
      <c r="N2298" s="14" t="s">
        <v>507</v>
      </c>
      <c r="O2298" s="14">
        <v>100.0</v>
      </c>
      <c r="P2298" s="21">
        <v>0.0</v>
      </c>
      <c r="Q2298" s="22" t="str">
        <f>"-1"</f>
        <v>-1</v>
      </c>
      <c r="R2298" s="18" t="str">
        <f>"-3"</f>
        <v>-3</v>
      </c>
      <c r="S2298" s="14" t="s">
        <v>281</v>
      </c>
    </row>
    <row r="2299">
      <c r="A2299" s="13">
        <v>45901.0</v>
      </c>
      <c r="B2299" s="14" t="s">
        <v>47</v>
      </c>
      <c r="C2299" s="14" t="s">
        <v>48</v>
      </c>
      <c r="D2299" s="14" t="s">
        <v>192</v>
      </c>
      <c r="E2299" s="14" t="s">
        <v>193</v>
      </c>
      <c r="F2299" s="15" t="s">
        <v>51</v>
      </c>
      <c r="G2299" s="14" t="s">
        <v>194</v>
      </c>
      <c r="H2299" s="14" t="s">
        <v>192</v>
      </c>
      <c r="I2299" s="14" t="s">
        <v>54</v>
      </c>
      <c r="J2299" s="14" t="s">
        <v>198</v>
      </c>
      <c r="K2299" s="14" t="s">
        <v>212</v>
      </c>
      <c r="L2299" s="14" t="s">
        <v>249</v>
      </c>
      <c r="M2299" s="14" t="s">
        <v>1346</v>
      </c>
      <c r="N2299" s="14" t="s">
        <v>1347</v>
      </c>
      <c r="O2299" s="14">
        <v>0.0</v>
      </c>
      <c r="P2299" s="21">
        <v>0.0</v>
      </c>
      <c r="Q2299" s="22" t="str">
        <f t="shared" ref="Q2299:R2299" si="1338">"+0"</f>
        <v>+0</v>
      </c>
      <c r="R2299" s="18" t="str">
        <f t="shared" si="1338"/>
        <v>+0</v>
      </c>
      <c r="S2299" s="14" t="s">
        <v>277</v>
      </c>
    </row>
    <row r="2300">
      <c r="A2300" s="13">
        <v>45901.0</v>
      </c>
      <c r="B2300" s="14" t="s">
        <v>47</v>
      </c>
      <c r="C2300" s="14" t="s">
        <v>48</v>
      </c>
      <c r="D2300" s="14" t="s">
        <v>73</v>
      </c>
      <c r="E2300" s="14" t="s">
        <v>74</v>
      </c>
      <c r="F2300" s="15" t="s">
        <v>51</v>
      </c>
      <c r="G2300" s="14" t="s">
        <v>75</v>
      </c>
      <c r="H2300" s="14" t="s">
        <v>76</v>
      </c>
      <c r="I2300" s="14" t="s">
        <v>59</v>
      </c>
      <c r="J2300" s="14" t="s">
        <v>200</v>
      </c>
      <c r="K2300" s="14" t="s">
        <v>232</v>
      </c>
      <c r="L2300" s="14" t="s">
        <v>304</v>
      </c>
      <c r="M2300" s="14" t="s">
        <v>305</v>
      </c>
      <c r="N2300" s="14" t="s">
        <v>306</v>
      </c>
      <c r="O2300" s="14">
        <v>0.0</v>
      </c>
      <c r="P2300" s="21">
        <v>0.0</v>
      </c>
      <c r="Q2300" s="22" t="str">
        <f t="shared" ref="Q2300:R2300" si="1339">"+0"</f>
        <v>+0</v>
      </c>
      <c r="R2300" s="18" t="str">
        <f t="shared" si="1339"/>
        <v>+0</v>
      </c>
      <c r="S2300" s="14" t="s">
        <v>260</v>
      </c>
    </row>
    <row r="2301">
      <c r="A2301" s="13">
        <v>45901.0</v>
      </c>
      <c r="B2301" s="14" t="s">
        <v>47</v>
      </c>
      <c r="C2301" s="14" t="s">
        <v>48</v>
      </c>
      <c r="D2301" s="14" t="s">
        <v>73</v>
      </c>
      <c r="E2301" s="14" t="s">
        <v>74</v>
      </c>
      <c r="F2301" s="15" t="s">
        <v>51</v>
      </c>
      <c r="G2301" s="14" t="s">
        <v>75</v>
      </c>
      <c r="H2301" s="14" t="s">
        <v>76</v>
      </c>
      <c r="I2301" s="14" t="s">
        <v>59</v>
      </c>
      <c r="J2301" s="14" t="s">
        <v>200</v>
      </c>
      <c r="K2301" s="14" t="s">
        <v>227</v>
      </c>
      <c r="L2301" s="14" t="s">
        <v>270</v>
      </c>
      <c r="M2301" s="14" t="s">
        <v>321</v>
      </c>
      <c r="N2301" s="14" t="s">
        <v>322</v>
      </c>
      <c r="O2301" s="14">
        <v>0.0</v>
      </c>
      <c r="P2301" s="23">
        <v>-1.0</v>
      </c>
      <c r="Q2301" s="22" t="str">
        <f t="shared" ref="Q2301:R2301" si="1340">"+0.00%"</f>
        <v>+0.00%</v>
      </c>
      <c r="R2301" s="18" t="str">
        <f t="shared" si="1340"/>
        <v>+0.00%</v>
      </c>
      <c r="S2301" s="14" t="s">
        <v>323</v>
      </c>
    </row>
    <row r="2302">
      <c r="A2302" s="13">
        <v>45901.0</v>
      </c>
      <c r="B2302" s="14" t="s">
        <v>47</v>
      </c>
      <c r="C2302" s="14" t="s">
        <v>48</v>
      </c>
      <c r="D2302" s="14" t="s">
        <v>129</v>
      </c>
      <c r="E2302" s="14" t="s">
        <v>130</v>
      </c>
      <c r="F2302" s="15" t="s">
        <v>51</v>
      </c>
      <c r="G2302" s="14" t="s">
        <v>131</v>
      </c>
      <c r="H2302" s="14" t="s">
        <v>129</v>
      </c>
      <c r="I2302" s="14" t="s">
        <v>59</v>
      </c>
      <c r="J2302" s="14" t="s">
        <v>200</v>
      </c>
      <c r="K2302" s="14" t="s">
        <v>231</v>
      </c>
      <c r="L2302" s="14" t="s">
        <v>512</v>
      </c>
      <c r="M2302" s="14" t="s">
        <v>714</v>
      </c>
      <c r="N2302" s="14" t="s">
        <v>715</v>
      </c>
      <c r="O2302" s="14">
        <v>0.0</v>
      </c>
      <c r="P2302" s="21">
        <v>0.0</v>
      </c>
      <c r="Q2302" s="22" t="str">
        <f t="shared" ref="Q2302:R2302" si="1341">"+0"</f>
        <v>+0</v>
      </c>
      <c r="R2302" s="18" t="str">
        <f t="shared" si="1341"/>
        <v>+0</v>
      </c>
      <c r="S2302" s="14" t="s">
        <v>260</v>
      </c>
    </row>
    <row r="2303">
      <c r="A2303" s="13">
        <v>45901.0</v>
      </c>
      <c r="B2303" s="14" t="s">
        <v>47</v>
      </c>
      <c r="C2303" s="14" t="s">
        <v>48</v>
      </c>
      <c r="D2303" s="14" t="s">
        <v>87</v>
      </c>
      <c r="E2303" s="14" t="s">
        <v>88</v>
      </c>
      <c r="F2303" s="15" t="s">
        <v>51</v>
      </c>
      <c r="G2303" s="14" t="s">
        <v>89</v>
      </c>
      <c r="H2303" s="14" t="s">
        <v>90</v>
      </c>
      <c r="I2303" s="14" t="s">
        <v>59</v>
      </c>
      <c r="J2303" s="14" t="s">
        <v>200</v>
      </c>
      <c r="K2303" s="14" t="s">
        <v>246</v>
      </c>
      <c r="L2303" s="14" t="s">
        <v>292</v>
      </c>
      <c r="M2303" s="14" t="s">
        <v>904</v>
      </c>
      <c r="N2303" s="14" t="s">
        <v>905</v>
      </c>
      <c r="O2303" s="14">
        <v>0.0</v>
      </c>
      <c r="P2303" s="21">
        <v>0.0</v>
      </c>
      <c r="Q2303" s="22" t="str">
        <f t="shared" ref="Q2303:R2303" si="1342">"+0"</f>
        <v>+0</v>
      </c>
      <c r="R2303" s="18" t="str">
        <f t="shared" si="1342"/>
        <v>+0</v>
      </c>
      <c r="S2303" s="14" t="s">
        <v>260</v>
      </c>
    </row>
    <row r="2304">
      <c r="A2304" s="13">
        <v>45901.0</v>
      </c>
      <c r="B2304" s="14" t="s">
        <v>47</v>
      </c>
      <c r="C2304" s="14" t="s">
        <v>48</v>
      </c>
      <c r="D2304" s="14" t="s">
        <v>87</v>
      </c>
      <c r="E2304" s="14" t="s">
        <v>88</v>
      </c>
      <c r="F2304" s="15" t="s">
        <v>51</v>
      </c>
      <c r="G2304" s="14" t="s">
        <v>89</v>
      </c>
      <c r="H2304" s="14" t="s">
        <v>90</v>
      </c>
      <c r="I2304" s="14" t="s">
        <v>59</v>
      </c>
      <c r="J2304" s="14" t="s">
        <v>200</v>
      </c>
      <c r="K2304" s="14" t="s">
        <v>211</v>
      </c>
      <c r="L2304" s="14" t="s">
        <v>253</v>
      </c>
      <c r="M2304" s="14" t="s">
        <v>1260</v>
      </c>
      <c r="N2304" s="14" t="s">
        <v>1261</v>
      </c>
      <c r="O2304" s="14">
        <v>0.0</v>
      </c>
      <c r="P2304" s="23">
        <v>0.0</v>
      </c>
      <c r="Q2304" s="22" t="str">
        <f t="shared" ref="Q2304:R2304" si="1343">"+0.00%"</f>
        <v>+0.00%</v>
      </c>
      <c r="R2304" s="18" t="str">
        <f t="shared" si="1343"/>
        <v>+0.00%</v>
      </c>
      <c r="S2304" s="14" t="s">
        <v>371</v>
      </c>
    </row>
    <row r="2305">
      <c r="A2305" s="13">
        <v>45901.0</v>
      </c>
      <c r="B2305" s="14" t="s">
        <v>47</v>
      </c>
      <c r="C2305" s="14" t="s">
        <v>48</v>
      </c>
      <c r="D2305" s="14" t="s">
        <v>136</v>
      </c>
      <c r="E2305" s="14" t="s">
        <v>137</v>
      </c>
      <c r="F2305" s="15" t="s">
        <v>51</v>
      </c>
      <c r="G2305" s="14" t="s">
        <v>138</v>
      </c>
      <c r="H2305" s="14" t="s">
        <v>139</v>
      </c>
      <c r="I2305" s="14" t="s">
        <v>59</v>
      </c>
      <c r="J2305" s="14" t="s">
        <v>200</v>
      </c>
      <c r="K2305" s="14" t="s">
        <v>227</v>
      </c>
      <c r="L2305" s="14" t="s">
        <v>721</v>
      </c>
      <c r="M2305" s="14" t="s">
        <v>722</v>
      </c>
      <c r="N2305" s="14" t="s">
        <v>723</v>
      </c>
      <c r="O2305" s="14">
        <v>42.0</v>
      </c>
      <c r="P2305" s="23">
        <v>-0.1411</v>
      </c>
      <c r="Q2305" s="22" t="str">
        <f>"-2.90%"</f>
        <v>-2.90%</v>
      </c>
      <c r="R2305" s="18" t="str">
        <f>"-29.33%"</f>
        <v>-29.33%</v>
      </c>
      <c r="S2305" s="14" t="s">
        <v>724</v>
      </c>
    </row>
    <row r="2306">
      <c r="A2306" s="13">
        <v>45901.0</v>
      </c>
      <c r="B2306" s="14" t="s">
        <v>47</v>
      </c>
      <c r="C2306" s="14" t="s">
        <v>48</v>
      </c>
      <c r="D2306" s="14" t="s">
        <v>149</v>
      </c>
      <c r="E2306" s="14" t="s">
        <v>150</v>
      </c>
      <c r="F2306" s="15" t="s">
        <v>51</v>
      </c>
      <c r="G2306" s="14" t="s">
        <v>151</v>
      </c>
      <c r="H2306" s="14" t="s">
        <v>152</v>
      </c>
      <c r="I2306" s="14" t="s">
        <v>54</v>
      </c>
      <c r="J2306" s="14" t="s">
        <v>198</v>
      </c>
      <c r="K2306" s="14" t="s">
        <v>210</v>
      </c>
      <c r="L2306" s="14" t="s">
        <v>505</v>
      </c>
      <c r="M2306" s="14" t="s">
        <v>831</v>
      </c>
      <c r="N2306" s="14" t="s">
        <v>832</v>
      </c>
      <c r="O2306" s="14">
        <v>100.0</v>
      </c>
      <c r="P2306" s="21">
        <v>1.0</v>
      </c>
      <c r="Q2306" s="22" t="str">
        <f t="shared" ref="Q2306:Q2309" si="1344">"+0"</f>
        <v>+0</v>
      </c>
      <c r="R2306" s="18" t="str">
        <f>"+1"</f>
        <v>+1</v>
      </c>
      <c r="S2306" s="14" t="s">
        <v>277</v>
      </c>
    </row>
    <row r="2307">
      <c r="A2307" s="13">
        <v>45901.0</v>
      </c>
      <c r="B2307" s="14" t="s">
        <v>47</v>
      </c>
      <c r="C2307" s="14" t="s">
        <v>48</v>
      </c>
      <c r="D2307" s="14" t="s">
        <v>69</v>
      </c>
      <c r="E2307" s="14" t="s">
        <v>70</v>
      </c>
      <c r="F2307" s="15" t="s">
        <v>51</v>
      </c>
      <c r="G2307" s="14" t="s">
        <v>115</v>
      </c>
      <c r="H2307" s="14" t="s">
        <v>72</v>
      </c>
      <c r="I2307" s="14" t="s">
        <v>54</v>
      </c>
      <c r="J2307" s="14" t="s">
        <v>198</v>
      </c>
      <c r="K2307" s="14" t="s">
        <v>205</v>
      </c>
      <c r="L2307" s="14" t="s">
        <v>274</v>
      </c>
      <c r="M2307" s="14" t="s">
        <v>354</v>
      </c>
      <c r="N2307" s="14" t="s">
        <v>355</v>
      </c>
      <c r="O2307" s="14">
        <v>50.0</v>
      </c>
      <c r="P2307" s="21">
        <v>5.0</v>
      </c>
      <c r="Q2307" s="22" t="str">
        <f t="shared" si="1344"/>
        <v>+0</v>
      </c>
      <c r="S2307" s="14" t="s">
        <v>356</v>
      </c>
    </row>
    <row r="2308">
      <c r="A2308" s="13">
        <v>45901.0</v>
      </c>
      <c r="B2308" s="14" t="s">
        <v>47</v>
      </c>
      <c r="C2308" s="14" t="s">
        <v>48</v>
      </c>
      <c r="D2308" s="14" t="s">
        <v>85</v>
      </c>
      <c r="E2308" s="14" t="s">
        <v>86</v>
      </c>
      <c r="F2308" s="15" t="s">
        <v>51</v>
      </c>
      <c r="G2308" s="14" t="s">
        <v>148</v>
      </c>
      <c r="H2308" s="14" t="s">
        <v>85</v>
      </c>
      <c r="I2308" s="14" t="s">
        <v>59</v>
      </c>
      <c r="J2308" s="14" t="s">
        <v>198</v>
      </c>
      <c r="K2308" s="14" t="s">
        <v>205</v>
      </c>
      <c r="L2308" s="14" t="s">
        <v>274</v>
      </c>
      <c r="M2308" s="14" t="s">
        <v>387</v>
      </c>
      <c r="N2308" s="14" t="s">
        <v>388</v>
      </c>
      <c r="O2308" s="14">
        <v>100.0</v>
      </c>
      <c r="P2308" s="21">
        <v>1.0</v>
      </c>
      <c r="Q2308" s="22" t="str">
        <f t="shared" si="1344"/>
        <v>+0</v>
      </c>
      <c r="S2308" s="14" t="s">
        <v>281</v>
      </c>
    </row>
    <row r="2309">
      <c r="A2309" s="13">
        <v>45901.0</v>
      </c>
      <c r="B2309" s="14" t="s">
        <v>47</v>
      </c>
      <c r="C2309" s="14" t="s">
        <v>48</v>
      </c>
      <c r="D2309" s="14" t="s">
        <v>96</v>
      </c>
      <c r="E2309" s="14" t="s">
        <v>97</v>
      </c>
      <c r="F2309" s="15" t="s">
        <v>51</v>
      </c>
      <c r="G2309" s="14" t="s">
        <v>98</v>
      </c>
      <c r="H2309" s="14" t="s">
        <v>96</v>
      </c>
      <c r="I2309" s="14" t="s">
        <v>59</v>
      </c>
      <c r="J2309" s="14" t="s">
        <v>199</v>
      </c>
      <c r="K2309" s="14" t="s">
        <v>206</v>
      </c>
      <c r="L2309" s="14" t="s">
        <v>295</v>
      </c>
      <c r="M2309" s="14" t="s">
        <v>986</v>
      </c>
      <c r="N2309" s="14" t="s">
        <v>987</v>
      </c>
      <c r="O2309" s="14">
        <v>0.0</v>
      </c>
      <c r="P2309" s="21">
        <v>0.0</v>
      </c>
      <c r="Q2309" s="22" t="str">
        <f t="shared" si="1344"/>
        <v>+0</v>
      </c>
      <c r="R2309" s="18" t="str">
        <f>"+0"</f>
        <v>+0</v>
      </c>
      <c r="S2309" s="14" t="s">
        <v>260</v>
      </c>
    </row>
    <row r="2310">
      <c r="A2310" s="13">
        <v>45901.0</v>
      </c>
      <c r="B2310" s="14" t="s">
        <v>47</v>
      </c>
      <c r="C2310" s="14" t="s">
        <v>48</v>
      </c>
      <c r="D2310" s="14" t="s">
        <v>69</v>
      </c>
      <c r="E2310" s="14" t="s">
        <v>70</v>
      </c>
      <c r="F2310" s="15" t="s">
        <v>51</v>
      </c>
      <c r="G2310" s="14" t="s">
        <v>115</v>
      </c>
      <c r="H2310" s="14" t="s">
        <v>72</v>
      </c>
      <c r="I2310" s="14" t="s">
        <v>54</v>
      </c>
      <c r="J2310" s="14" t="s">
        <v>200</v>
      </c>
      <c r="K2310" s="14" t="s">
        <v>211</v>
      </c>
      <c r="L2310" s="14" t="s">
        <v>991</v>
      </c>
      <c r="M2310" s="14" t="s">
        <v>1649</v>
      </c>
      <c r="N2310" s="14" t="s">
        <v>1650</v>
      </c>
      <c r="O2310" s="14">
        <v>46.0</v>
      </c>
      <c r="P2310" s="23">
        <v>-0.0647</v>
      </c>
      <c r="Q2310" s="22" t="str">
        <f>"-1.13%"</f>
        <v>-1.13%</v>
      </c>
      <c r="R2310" s="18" t="str">
        <f>"-18.51%"</f>
        <v>-18.51%</v>
      </c>
      <c r="S2310" s="14" t="s">
        <v>336</v>
      </c>
    </row>
    <row r="2311">
      <c r="A2311" s="13">
        <v>45901.0</v>
      </c>
      <c r="B2311" s="14" t="s">
        <v>47</v>
      </c>
      <c r="C2311" s="14" t="s">
        <v>48</v>
      </c>
      <c r="D2311" s="14" t="s">
        <v>108</v>
      </c>
      <c r="E2311" s="14" t="s">
        <v>109</v>
      </c>
      <c r="F2311" s="15" t="s">
        <v>51</v>
      </c>
      <c r="G2311" s="14" t="s">
        <v>110</v>
      </c>
      <c r="H2311" s="14" t="s">
        <v>108</v>
      </c>
      <c r="I2311" s="14" t="s">
        <v>59</v>
      </c>
      <c r="J2311" s="14" t="s">
        <v>200</v>
      </c>
      <c r="K2311" s="14" t="s">
        <v>222</v>
      </c>
      <c r="L2311" s="14" t="s">
        <v>301</v>
      </c>
      <c r="M2311" s="14" t="s">
        <v>302</v>
      </c>
      <c r="N2311" s="14" t="s">
        <v>303</v>
      </c>
      <c r="O2311" s="14">
        <v>0.0</v>
      </c>
      <c r="P2311" s="21">
        <v>0.0</v>
      </c>
      <c r="Q2311" s="22" t="str">
        <f t="shared" ref="Q2311:R2311" si="1345">"+0"</f>
        <v>+0</v>
      </c>
      <c r="R2311" s="18" t="str">
        <f t="shared" si="1345"/>
        <v>+0</v>
      </c>
      <c r="S2311" s="14" t="s">
        <v>260</v>
      </c>
    </row>
    <row r="2312">
      <c r="A2312" s="13">
        <v>45901.0</v>
      </c>
      <c r="B2312" s="14" t="s">
        <v>47</v>
      </c>
      <c r="C2312" s="14" t="s">
        <v>48</v>
      </c>
      <c r="D2312" s="14" t="s">
        <v>116</v>
      </c>
      <c r="E2312" s="14" t="s">
        <v>117</v>
      </c>
      <c r="F2312" s="15" t="s">
        <v>51</v>
      </c>
      <c r="G2312" s="14" t="s">
        <v>161</v>
      </c>
      <c r="H2312" s="14" t="s">
        <v>116</v>
      </c>
      <c r="I2312" s="14" t="s">
        <v>54</v>
      </c>
      <c r="J2312" s="14" t="s">
        <v>198</v>
      </c>
      <c r="K2312" s="14" t="s">
        <v>210</v>
      </c>
      <c r="L2312" s="14" t="s">
        <v>264</v>
      </c>
      <c r="M2312" s="14" t="s">
        <v>524</v>
      </c>
      <c r="N2312" s="14" t="s">
        <v>525</v>
      </c>
      <c r="O2312" s="14">
        <v>0.0</v>
      </c>
      <c r="P2312" s="21">
        <v>10.0</v>
      </c>
      <c r="Q2312" s="22" t="str">
        <f>"-30"</f>
        <v>-30</v>
      </c>
      <c r="R2312" s="18" t="str">
        <f>"+1"</f>
        <v>+1</v>
      </c>
      <c r="S2312" s="14" t="s">
        <v>356</v>
      </c>
    </row>
    <row r="2313">
      <c r="A2313" s="13">
        <v>45901.0</v>
      </c>
      <c r="B2313" s="14" t="s">
        <v>47</v>
      </c>
      <c r="C2313" s="14" t="s">
        <v>48</v>
      </c>
      <c r="D2313" s="14" t="s">
        <v>77</v>
      </c>
      <c r="E2313" s="14" t="s">
        <v>78</v>
      </c>
      <c r="F2313" s="14" t="s">
        <v>71</v>
      </c>
      <c r="G2313" s="14">
        <v>5.36009043E8</v>
      </c>
      <c r="H2313" s="14" t="s">
        <v>81</v>
      </c>
      <c r="J2313" s="14" t="s">
        <v>200</v>
      </c>
      <c r="K2313" s="14" t="s">
        <v>218</v>
      </c>
      <c r="L2313" s="14" t="s">
        <v>253</v>
      </c>
      <c r="M2313" s="14" t="s">
        <v>1628</v>
      </c>
      <c r="N2313" s="14" t="s">
        <v>1629</v>
      </c>
      <c r="O2313" s="14">
        <v>1.0</v>
      </c>
      <c r="P2313" s="23">
        <v>0.0042</v>
      </c>
      <c r="Q2313" s="22" t="str">
        <f>"+0.28%"</f>
        <v>+0.28%</v>
      </c>
      <c r="S2313" s="14" t="s">
        <v>923</v>
      </c>
    </row>
    <row r="2314">
      <c r="A2314" s="13">
        <v>45901.0</v>
      </c>
      <c r="B2314" s="14" t="s">
        <v>47</v>
      </c>
      <c r="C2314" s="14" t="s">
        <v>48</v>
      </c>
      <c r="D2314" s="14" t="s">
        <v>174</v>
      </c>
      <c r="E2314" s="14" t="s">
        <v>175</v>
      </c>
      <c r="F2314" s="15" t="s">
        <v>51</v>
      </c>
      <c r="G2314" s="14" t="s">
        <v>176</v>
      </c>
      <c r="H2314" s="14" t="s">
        <v>174</v>
      </c>
      <c r="I2314" s="14" t="s">
        <v>59</v>
      </c>
      <c r="J2314" s="14" t="s">
        <v>200</v>
      </c>
      <c r="K2314" s="14" t="s">
        <v>213</v>
      </c>
      <c r="L2314" s="14" t="s">
        <v>289</v>
      </c>
      <c r="M2314" s="14" t="s">
        <v>384</v>
      </c>
      <c r="N2314" s="14" t="s">
        <v>385</v>
      </c>
      <c r="O2314" s="14">
        <v>72.0</v>
      </c>
      <c r="P2314" s="23">
        <v>0.7259</v>
      </c>
      <c r="Q2314" s="22" t="str">
        <f>"+1.04%"</f>
        <v>+1.04%</v>
      </c>
      <c r="R2314" s="18" t="str">
        <f>"-2.05%"</f>
        <v>-2.05%</v>
      </c>
      <c r="S2314" s="14" t="s">
        <v>1753</v>
      </c>
    </row>
    <row r="2315">
      <c r="A2315" s="13">
        <v>45901.0</v>
      </c>
      <c r="B2315" s="14" t="s">
        <v>47</v>
      </c>
      <c r="C2315" s="14" t="s">
        <v>48</v>
      </c>
      <c r="D2315" s="14" t="s">
        <v>116</v>
      </c>
      <c r="E2315" s="14" t="s">
        <v>117</v>
      </c>
      <c r="F2315" s="15" t="s">
        <v>51</v>
      </c>
      <c r="G2315" s="14" t="s">
        <v>161</v>
      </c>
      <c r="H2315" s="14" t="s">
        <v>116</v>
      </c>
      <c r="I2315" s="14" t="s">
        <v>54</v>
      </c>
      <c r="J2315" s="14" t="s">
        <v>198</v>
      </c>
      <c r="K2315" s="14" t="s">
        <v>210</v>
      </c>
      <c r="L2315" s="14" t="s">
        <v>264</v>
      </c>
      <c r="M2315" s="14" t="s">
        <v>470</v>
      </c>
      <c r="N2315" s="14" t="s">
        <v>471</v>
      </c>
      <c r="O2315" s="14">
        <v>0.0</v>
      </c>
      <c r="P2315" s="21">
        <v>1163.0</v>
      </c>
      <c r="Q2315" s="22" t="str">
        <f>"+126"</f>
        <v>+126</v>
      </c>
      <c r="R2315" s="18" t="str">
        <f>"+786"</f>
        <v>+786</v>
      </c>
      <c r="S2315" s="14" t="s">
        <v>1754</v>
      </c>
    </row>
    <row r="2316">
      <c r="A2316" s="13">
        <v>45901.0</v>
      </c>
      <c r="B2316" s="14" t="s">
        <v>47</v>
      </c>
      <c r="C2316" s="14" t="s">
        <v>48</v>
      </c>
      <c r="D2316" s="14" t="s">
        <v>158</v>
      </c>
      <c r="E2316" s="14" t="s">
        <v>159</v>
      </c>
      <c r="F2316" s="15" t="s">
        <v>51</v>
      </c>
      <c r="G2316" s="14" t="s">
        <v>160</v>
      </c>
      <c r="H2316" s="14" t="s">
        <v>158</v>
      </c>
      <c r="I2316" s="14" t="s">
        <v>54</v>
      </c>
      <c r="J2316" s="14" t="s">
        <v>198</v>
      </c>
      <c r="K2316" s="14" t="s">
        <v>210</v>
      </c>
      <c r="L2316" s="14" t="s">
        <v>505</v>
      </c>
      <c r="M2316" s="14" t="s">
        <v>1475</v>
      </c>
      <c r="N2316" s="14" t="s">
        <v>1476</v>
      </c>
      <c r="O2316" s="14">
        <v>0.0</v>
      </c>
      <c r="P2316" s="21">
        <v>0.0</v>
      </c>
      <c r="Q2316" s="22" t="str">
        <f t="shared" ref="Q2316:R2316" si="1346">"+0"</f>
        <v>+0</v>
      </c>
      <c r="R2316" s="18" t="str">
        <f t="shared" si="1346"/>
        <v>+0</v>
      </c>
      <c r="S2316" s="14" t="s">
        <v>277</v>
      </c>
    </row>
    <row r="2317">
      <c r="A2317" s="13">
        <v>45901.0</v>
      </c>
      <c r="B2317" s="14" t="s">
        <v>47</v>
      </c>
      <c r="C2317" s="14" t="s">
        <v>48</v>
      </c>
      <c r="D2317" s="14" t="s">
        <v>77</v>
      </c>
      <c r="E2317" s="14" t="s">
        <v>78</v>
      </c>
      <c r="F2317" s="15" t="s">
        <v>51</v>
      </c>
      <c r="G2317" s="14" t="s">
        <v>128</v>
      </c>
      <c r="H2317" s="14" t="s">
        <v>81</v>
      </c>
      <c r="I2317" s="14" t="s">
        <v>59</v>
      </c>
      <c r="J2317" s="14" t="s">
        <v>199</v>
      </c>
      <c r="K2317" s="14" t="s">
        <v>203</v>
      </c>
      <c r="L2317" s="14" t="s">
        <v>431</v>
      </c>
      <c r="M2317" s="14" t="s">
        <v>431</v>
      </c>
      <c r="N2317" s="14" t="s">
        <v>432</v>
      </c>
      <c r="O2317" s="14">
        <v>0.0</v>
      </c>
      <c r="P2317" s="21">
        <v>0.0</v>
      </c>
      <c r="Q2317" s="22" t="str">
        <f t="shared" ref="Q2317:R2317" si="1347">"+0"</f>
        <v>+0</v>
      </c>
      <c r="R2317" s="18" t="str">
        <f t="shared" si="1347"/>
        <v>+0</v>
      </c>
      <c r="S2317" s="14" t="s">
        <v>260</v>
      </c>
    </row>
    <row r="2318">
      <c r="A2318" s="13">
        <v>45901.0</v>
      </c>
      <c r="B2318" s="14" t="s">
        <v>47</v>
      </c>
      <c r="C2318" s="14" t="s">
        <v>48</v>
      </c>
      <c r="D2318" s="14" t="s">
        <v>60</v>
      </c>
      <c r="E2318" s="14" t="s">
        <v>61</v>
      </c>
      <c r="F2318" s="15" t="s">
        <v>51</v>
      </c>
      <c r="G2318" s="14" t="s">
        <v>62</v>
      </c>
      <c r="H2318" s="14" t="s">
        <v>60</v>
      </c>
      <c r="I2318" s="14" t="s">
        <v>59</v>
      </c>
      <c r="J2318" s="14" t="s">
        <v>200</v>
      </c>
      <c r="K2318" s="14" t="s">
        <v>223</v>
      </c>
      <c r="L2318" s="14" t="s">
        <v>363</v>
      </c>
      <c r="M2318" s="14" t="s">
        <v>842</v>
      </c>
      <c r="N2318" s="14" t="s">
        <v>843</v>
      </c>
      <c r="O2318" s="14">
        <v>100.0</v>
      </c>
      <c r="P2318" s="21">
        <v>15.0</v>
      </c>
      <c r="Q2318" s="22" t="str">
        <f t="shared" ref="Q2318:R2318" si="1348">"+0"</f>
        <v>+0</v>
      </c>
      <c r="R2318" s="18" t="str">
        <f t="shared" si="1348"/>
        <v>+0</v>
      </c>
      <c r="S2318" s="14" t="s">
        <v>260</v>
      </c>
    </row>
    <row r="2319">
      <c r="A2319" s="13">
        <v>45901.0</v>
      </c>
      <c r="B2319" s="14" t="s">
        <v>47</v>
      </c>
      <c r="C2319" s="14" t="s">
        <v>48</v>
      </c>
      <c r="D2319" s="14" t="s">
        <v>181</v>
      </c>
      <c r="E2319" s="14" t="s">
        <v>182</v>
      </c>
      <c r="F2319" s="15" t="s">
        <v>51</v>
      </c>
      <c r="G2319" s="14" t="s">
        <v>183</v>
      </c>
      <c r="H2319" s="14" t="s">
        <v>181</v>
      </c>
      <c r="I2319" s="14" t="s">
        <v>59</v>
      </c>
      <c r="J2319" s="14" t="s">
        <v>200</v>
      </c>
      <c r="K2319" s="14" t="s">
        <v>227</v>
      </c>
      <c r="L2319" s="14" t="s">
        <v>270</v>
      </c>
      <c r="M2319" s="14" t="s">
        <v>271</v>
      </c>
      <c r="N2319" s="14" t="s">
        <v>272</v>
      </c>
      <c r="O2319" s="14">
        <v>0.0</v>
      </c>
      <c r="P2319" s="23">
        <v>-1.0</v>
      </c>
      <c r="Q2319" s="22" t="str">
        <f t="shared" ref="Q2319:R2319" si="1349">"+0.00%"</f>
        <v>+0.00%</v>
      </c>
      <c r="R2319" s="18" t="str">
        <f t="shared" si="1349"/>
        <v>+0.00%</v>
      </c>
      <c r="S2319" s="14" t="s">
        <v>273</v>
      </c>
    </row>
    <row r="2320">
      <c r="A2320" s="13">
        <v>45901.0</v>
      </c>
      <c r="B2320" s="14" t="s">
        <v>47</v>
      </c>
      <c r="C2320" s="14" t="s">
        <v>48</v>
      </c>
      <c r="D2320" s="14" t="s">
        <v>60</v>
      </c>
      <c r="E2320" s="14" t="s">
        <v>61</v>
      </c>
      <c r="F2320" s="15" t="s">
        <v>51</v>
      </c>
      <c r="G2320" s="14" t="s">
        <v>62</v>
      </c>
      <c r="H2320" s="14" t="s">
        <v>60</v>
      </c>
      <c r="I2320" s="14" t="s">
        <v>59</v>
      </c>
      <c r="J2320" s="14" t="s">
        <v>200</v>
      </c>
      <c r="K2320" s="14" t="s">
        <v>223</v>
      </c>
      <c r="L2320" s="14" t="s">
        <v>710</v>
      </c>
      <c r="M2320" s="14" t="s">
        <v>806</v>
      </c>
      <c r="N2320" s="14" t="s">
        <v>807</v>
      </c>
      <c r="O2320" s="14">
        <v>0.0</v>
      </c>
      <c r="P2320" s="23">
        <v>0.0</v>
      </c>
      <c r="Q2320" s="22" t="str">
        <f t="shared" ref="Q2320:R2320" si="1350">"+0.00%"</f>
        <v>+0.00%</v>
      </c>
      <c r="R2320" s="18" t="str">
        <f t="shared" si="1350"/>
        <v>+0.00%</v>
      </c>
      <c r="S2320" s="14" t="s">
        <v>285</v>
      </c>
    </row>
    <row r="2321">
      <c r="A2321" s="13">
        <v>45901.0</v>
      </c>
      <c r="B2321" s="14" t="s">
        <v>47</v>
      </c>
      <c r="C2321" s="14" t="s">
        <v>48</v>
      </c>
      <c r="D2321" s="14" t="s">
        <v>60</v>
      </c>
      <c r="E2321" s="14" t="s">
        <v>61</v>
      </c>
      <c r="F2321" s="15" t="s">
        <v>51</v>
      </c>
      <c r="G2321" s="14" t="s">
        <v>62</v>
      </c>
      <c r="H2321" s="14" t="s">
        <v>60</v>
      </c>
      <c r="I2321" s="14" t="s">
        <v>59</v>
      </c>
      <c r="J2321" s="14" t="s">
        <v>200</v>
      </c>
      <c r="K2321" s="14" t="s">
        <v>216</v>
      </c>
      <c r="L2321" s="14" t="s">
        <v>1580</v>
      </c>
      <c r="M2321" s="14" t="s">
        <v>1581</v>
      </c>
      <c r="N2321" s="14" t="s">
        <v>1582</v>
      </c>
      <c r="O2321" s="14">
        <v>0.0</v>
      </c>
      <c r="P2321" s="21">
        <v>0.0</v>
      </c>
      <c r="Q2321" s="22" t="str">
        <f t="shared" ref="Q2321:R2321" si="1351">"+0"</f>
        <v>+0</v>
      </c>
      <c r="R2321" s="18" t="str">
        <f t="shared" si="1351"/>
        <v>+0</v>
      </c>
      <c r="S2321" s="14" t="s">
        <v>260</v>
      </c>
    </row>
    <row r="2322">
      <c r="A2322" s="13">
        <v>45901.0</v>
      </c>
      <c r="B2322" s="14" t="s">
        <v>47</v>
      </c>
      <c r="C2322" s="14" t="s">
        <v>48</v>
      </c>
      <c r="D2322" s="14" t="s">
        <v>56</v>
      </c>
      <c r="E2322" s="14" t="s">
        <v>57</v>
      </c>
      <c r="F2322" s="15" t="s">
        <v>51</v>
      </c>
      <c r="G2322" s="14" t="s">
        <v>58</v>
      </c>
      <c r="H2322" s="14" t="s">
        <v>56</v>
      </c>
      <c r="I2322" s="14" t="s">
        <v>59</v>
      </c>
      <c r="J2322" s="14" t="s">
        <v>199</v>
      </c>
      <c r="K2322" s="14" t="s">
        <v>203</v>
      </c>
      <c r="L2322" s="14" t="s">
        <v>725</v>
      </c>
      <c r="M2322" s="14" t="s">
        <v>725</v>
      </c>
      <c r="N2322" s="14" t="s">
        <v>726</v>
      </c>
      <c r="O2322" s="14">
        <v>0.0</v>
      </c>
      <c r="P2322" s="21">
        <v>0.0</v>
      </c>
      <c r="Q2322" s="22" t="str">
        <f t="shared" ref="Q2322:R2322" si="1352">"+0"</f>
        <v>+0</v>
      </c>
      <c r="R2322" s="18" t="str">
        <f t="shared" si="1352"/>
        <v>+0</v>
      </c>
      <c r="S2322" s="14" t="s">
        <v>260</v>
      </c>
    </row>
    <row r="2323">
      <c r="A2323" s="13">
        <v>45901.0</v>
      </c>
      <c r="B2323" s="14" t="s">
        <v>47</v>
      </c>
      <c r="C2323" s="14" t="s">
        <v>48</v>
      </c>
      <c r="D2323" s="14" t="s">
        <v>121</v>
      </c>
      <c r="E2323" s="14" t="s">
        <v>122</v>
      </c>
      <c r="F2323" s="15" t="s">
        <v>51</v>
      </c>
      <c r="G2323" s="14" t="s">
        <v>123</v>
      </c>
      <c r="H2323" s="14" t="s">
        <v>124</v>
      </c>
      <c r="I2323" s="14" t="s">
        <v>59</v>
      </c>
      <c r="J2323" s="14" t="s">
        <v>200</v>
      </c>
      <c r="K2323" s="14" t="s">
        <v>232</v>
      </c>
      <c r="L2323" s="14" t="s">
        <v>487</v>
      </c>
      <c r="M2323" s="14" t="s">
        <v>1015</v>
      </c>
      <c r="N2323" s="14" t="s">
        <v>1016</v>
      </c>
      <c r="O2323" s="14">
        <v>0.0</v>
      </c>
      <c r="P2323" s="23">
        <v>0.0</v>
      </c>
      <c r="Q2323" s="22" t="str">
        <f t="shared" ref="Q2323:R2323" si="1353">"+0.00%"</f>
        <v>+0.00%</v>
      </c>
      <c r="R2323" s="18" t="str">
        <f t="shared" si="1353"/>
        <v>+0.00%</v>
      </c>
      <c r="S2323" s="14" t="s">
        <v>285</v>
      </c>
    </row>
    <row r="2324">
      <c r="A2324" s="13">
        <v>45901.0</v>
      </c>
      <c r="B2324" s="14" t="s">
        <v>47</v>
      </c>
      <c r="C2324" s="14" t="s">
        <v>48</v>
      </c>
      <c r="D2324" s="14" t="s">
        <v>168</v>
      </c>
      <c r="E2324" s="14" t="s">
        <v>169</v>
      </c>
      <c r="F2324" s="15" t="s">
        <v>51</v>
      </c>
      <c r="G2324" s="14" t="s">
        <v>170</v>
      </c>
      <c r="H2324" s="14" t="s">
        <v>168</v>
      </c>
      <c r="I2324" s="14" t="s">
        <v>59</v>
      </c>
      <c r="J2324" s="14" t="s">
        <v>198</v>
      </c>
      <c r="K2324" s="14" t="s">
        <v>210</v>
      </c>
      <c r="L2324" s="14" t="s">
        <v>278</v>
      </c>
      <c r="M2324" s="14" t="s">
        <v>279</v>
      </c>
      <c r="N2324" s="14" t="s">
        <v>280</v>
      </c>
      <c r="O2324" s="14">
        <v>100.0</v>
      </c>
      <c r="P2324" s="21">
        <v>0.0</v>
      </c>
      <c r="Q2324" s="22" t="str">
        <f t="shared" ref="Q2324:R2324" si="1354">"+0"</f>
        <v>+0</v>
      </c>
      <c r="R2324" s="18" t="str">
        <f t="shared" si="1354"/>
        <v>+0</v>
      </c>
      <c r="S2324" s="14" t="s">
        <v>281</v>
      </c>
    </row>
    <row r="2325">
      <c r="A2325" s="13">
        <v>45901.0</v>
      </c>
      <c r="B2325" s="14" t="s">
        <v>47</v>
      </c>
      <c r="C2325" s="14" t="s">
        <v>48</v>
      </c>
      <c r="D2325" s="14" t="s">
        <v>165</v>
      </c>
      <c r="E2325" s="14" t="s">
        <v>166</v>
      </c>
      <c r="F2325" s="15" t="s">
        <v>51</v>
      </c>
      <c r="G2325" s="14" t="s">
        <v>167</v>
      </c>
      <c r="H2325" s="14" t="s">
        <v>165</v>
      </c>
      <c r="I2325" s="14" t="s">
        <v>54</v>
      </c>
      <c r="J2325" s="14" t="s">
        <v>200</v>
      </c>
      <c r="K2325" s="14" t="s">
        <v>219</v>
      </c>
      <c r="L2325" s="14" t="s">
        <v>253</v>
      </c>
      <c r="M2325" s="14" t="s">
        <v>899</v>
      </c>
      <c r="N2325" s="14" t="s">
        <v>900</v>
      </c>
      <c r="O2325" s="14">
        <v>100.0</v>
      </c>
      <c r="P2325" s="23">
        <v>0.0</v>
      </c>
      <c r="Q2325" s="22" t="str">
        <f t="shared" ref="Q2325:R2325" si="1355">"+0.00%"</f>
        <v>+0.00%</v>
      </c>
      <c r="R2325" s="18" t="str">
        <f t="shared" si="1355"/>
        <v>+0.00%</v>
      </c>
      <c r="S2325" s="14" t="s">
        <v>285</v>
      </c>
    </row>
    <row r="2326">
      <c r="A2326" s="13">
        <v>45901.0</v>
      </c>
      <c r="B2326" s="14" t="s">
        <v>47</v>
      </c>
      <c r="C2326" s="14" t="s">
        <v>48</v>
      </c>
      <c r="D2326" s="14" t="s">
        <v>165</v>
      </c>
      <c r="E2326" s="14" t="s">
        <v>166</v>
      </c>
      <c r="F2326" s="15" t="s">
        <v>51</v>
      </c>
      <c r="G2326" s="14" t="s">
        <v>167</v>
      </c>
      <c r="H2326" s="14" t="s">
        <v>165</v>
      </c>
      <c r="I2326" s="14" t="s">
        <v>54</v>
      </c>
      <c r="J2326" s="14" t="s">
        <v>198</v>
      </c>
      <c r="K2326" s="14" t="s">
        <v>210</v>
      </c>
      <c r="L2326" s="14" t="s">
        <v>505</v>
      </c>
      <c r="M2326" s="14" t="s">
        <v>1020</v>
      </c>
      <c r="N2326" s="14" t="s">
        <v>1021</v>
      </c>
      <c r="O2326" s="14">
        <v>0.0</v>
      </c>
      <c r="P2326" s="21">
        <v>0.0</v>
      </c>
      <c r="Q2326" s="22" t="str">
        <f t="shared" ref="Q2326:R2326" si="1356">"+0"</f>
        <v>+0</v>
      </c>
      <c r="R2326" s="18" t="str">
        <f t="shared" si="1356"/>
        <v>+0</v>
      </c>
      <c r="S2326" s="14" t="s">
        <v>277</v>
      </c>
    </row>
    <row r="2327">
      <c r="A2327" s="13">
        <v>45901.0</v>
      </c>
      <c r="B2327" s="14" t="s">
        <v>47</v>
      </c>
      <c r="C2327" s="14" t="s">
        <v>48</v>
      </c>
      <c r="D2327" s="14" t="s">
        <v>63</v>
      </c>
      <c r="E2327" s="14" t="s">
        <v>64</v>
      </c>
      <c r="F2327" s="15" t="s">
        <v>51</v>
      </c>
      <c r="G2327" s="14" t="s">
        <v>65</v>
      </c>
      <c r="H2327" s="14" t="s">
        <v>63</v>
      </c>
      <c r="I2327" s="14" t="s">
        <v>54</v>
      </c>
      <c r="J2327" s="14" t="s">
        <v>198</v>
      </c>
      <c r="K2327" s="14" t="s">
        <v>210</v>
      </c>
      <c r="L2327" s="14" t="s">
        <v>458</v>
      </c>
      <c r="M2327" s="14" t="s">
        <v>1401</v>
      </c>
      <c r="N2327" s="14" t="s">
        <v>1402</v>
      </c>
      <c r="O2327" s="14">
        <v>0.0</v>
      </c>
      <c r="P2327" s="21">
        <v>0.0</v>
      </c>
      <c r="Q2327" s="22" t="str">
        <f t="shared" ref="Q2327:R2327" si="1357">"+0"</f>
        <v>+0</v>
      </c>
      <c r="R2327" s="18" t="str">
        <f t="shared" si="1357"/>
        <v>+0</v>
      </c>
      <c r="S2327" s="14" t="s">
        <v>277</v>
      </c>
    </row>
    <row r="2328">
      <c r="A2328" s="13">
        <v>45901.0</v>
      </c>
      <c r="B2328" s="14" t="s">
        <v>47</v>
      </c>
      <c r="C2328" s="14" t="s">
        <v>48</v>
      </c>
      <c r="D2328" s="14" t="s">
        <v>91</v>
      </c>
      <c r="E2328" s="14" t="s">
        <v>92</v>
      </c>
      <c r="F2328" s="14" t="s">
        <v>71</v>
      </c>
      <c r="G2328" s="14">
        <v>1.00005882E8</v>
      </c>
      <c r="H2328" s="14" t="s">
        <v>91</v>
      </c>
      <c r="I2328" s="14" t="s">
        <v>59</v>
      </c>
      <c r="J2328" s="14" t="s">
        <v>200</v>
      </c>
      <c r="K2328" s="14" t="s">
        <v>218</v>
      </c>
      <c r="L2328" s="14" t="s">
        <v>253</v>
      </c>
      <c r="M2328" s="14" t="s">
        <v>1628</v>
      </c>
      <c r="N2328" s="14" t="s">
        <v>1629</v>
      </c>
      <c r="O2328" s="14">
        <v>77.0</v>
      </c>
      <c r="P2328" s="23">
        <v>0.7786</v>
      </c>
      <c r="Q2328" s="22" t="str">
        <f>"+0.02%"</f>
        <v>+0.02%</v>
      </c>
      <c r="R2328" s="18" t="str">
        <f>"-21.39%"</f>
        <v>-21.39%</v>
      </c>
      <c r="S2328" s="14" t="s">
        <v>1755</v>
      </c>
    </row>
    <row r="2329">
      <c r="A2329" s="13">
        <v>45901.0</v>
      </c>
      <c r="B2329" s="14" t="s">
        <v>47</v>
      </c>
      <c r="C2329" s="14" t="s">
        <v>48</v>
      </c>
      <c r="D2329" s="14" t="s">
        <v>91</v>
      </c>
      <c r="E2329" s="14" t="s">
        <v>92</v>
      </c>
      <c r="F2329" s="15" t="s">
        <v>51</v>
      </c>
      <c r="G2329" s="14" t="s">
        <v>163</v>
      </c>
      <c r="H2329" s="14" t="s">
        <v>91</v>
      </c>
      <c r="I2329" s="14" t="s">
        <v>59</v>
      </c>
      <c r="J2329" s="14" t="s">
        <v>200</v>
      </c>
      <c r="K2329" s="14" t="s">
        <v>223</v>
      </c>
      <c r="L2329" s="14" t="s">
        <v>286</v>
      </c>
      <c r="M2329" s="14" t="s">
        <v>588</v>
      </c>
      <c r="N2329" s="14" t="s">
        <v>589</v>
      </c>
      <c r="O2329" s="14">
        <v>0.0</v>
      </c>
      <c r="P2329" s="23">
        <v>0.0</v>
      </c>
      <c r="Q2329" s="22" t="str">
        <f t="shared" ref="Q2329:R2329" si="1358">"+0.00%"</f>
        <v>+0.00%</v>
      </c>
      <c r="R2329" s="18" t="str">
        <f t="shared" si="1358"/>
        <v>+0.00%</v>
      </c>
      <c r="S2329" s="14" t="s">
        <v>285</v>
      </c>
    </row>
    <row r="2330">
      <c r="A2330" s="13">
        <v>45901.0</v>
      </c>
      <c r="B2330" s="14" t="s">
        <v>47</v>
      </c>
      <c r="C2330" s="14" t="s">
        <v>48</v>
      </c>
      <c r="D2330" s="14" t="s">
        <v>63</v>
      </c>
      <c r="E2330" s="14" t="s">
        <v>64</v>
      </c>
      <c r="F2330" s="15" t="s">
        <v>51</v>
      </c>
      <c r="G2330" s="14" t="s">
        <v>65</v>
      </c>
      <c r="H2330" s="14" t="s">
        <v>63</v>
      </c>
      <c r="I2330" s="14" t="s">
        <v>54</v>
      </c>
      <c r="J2330" s="14" t="s">
        <v>200</v>
      </c>
      <c r="K2330" s="14" t="s">
        <v>224</v>
      </c>
      <c r="L2330" s="14" t="s">
        <v>964</v>
      </c>
      <c r="M2330" s="14" t="s">
        <v>1288</v>
      </c>
      <c r="N2330" s="14" t="s">
        <v>1289</v>
      </c>
      <c r="O2330" s="14">
        <v>3.0</v>
      </c>
      <c r="P2330" s="23">
        <v>0.0357</v>
      </c>
      <c r="Q2330" s="22" t="str">
        <f>"+3.57%"</f>
        <v>+3.57%</v>
      </c>
      <c r="R2330" s="18" t="str">
        <f>"-0.97%"</f>
        <v>-0.97%</v>
      </c>
      <c r="S2330" s="14" t="s">
        <v>1756</v>
      </c>
    </row>
    <row r="2331">
      <c r="A2331" s="13">
        <v>45901.0</v>
      </c>
      <c r="B2331" s="14" t="s">
        <v>47</v>
      </c>
      <c r="C2331" s="14" t="s">
        <v>48</v>
      </c>
      <c r="D2331" s="14" t="s">
        <v>99</v>
      </c>
      <c r="E2331" s="14" t="s">
        <v>100</v>
      </c>
      <c r="F2331" s="15" t="s">
        <v>51</v>
      </c>
      <c r="G2331" s="14" t="s">
        <v>101</v>
      </c>
      <c r="H2331" s="14" t="s">
        <v>102</v>
      </c>
      <c r="I2331" s="14" t="s">
        <v>54</v>
      </c>
      <c r="J2331" s="14" t="s">
        <v>200</v>
      </c>
      <c r="K2331" s="14" t="s">
        <v>227</v>
      </c>
      <c r="L2331" s="14" t="s">
        <v>270</v>
      </c>
      <c r="M2331" s="14" t="s">
        <v>321</v>
      </c>
      <c r="N2331" s="14" t="s">
        <v>322</v>
      </c>
      <c r="O2331" s="14">
        <v>49.0</v>
      </c>
      <c r="P2331" s="23">
        <v>-0.0095</v>
      </c>
      <c r="Q2331" s="22" t="str">
        <f>"+50.30%"</f>
        <v>+50.30%</v>
      </c>
      <c r="R2331" s="18" t="str">
        <f>"+10.97%"</f>
        <v>+10.97%</v>
      </c>
      <c r="S2331" s="14" t="s">
        <v>323</v>
      </c>
    </row>
    <row r="2332">
      <c r="A2332" s="13">
        <v>45901.0</v>
      </c>
      <c r="B2332" s="14" t="s">
        <v>47</v>
      </c>
      <c r="C2332" s="14" t="s">
        <v>48</v>
      </c>
      <c r="D2332" s="14" t="s">
        <v>192</v>
      </c>
      <c r="E2332" s="14" t="s">
        <v>193</v>
      </c>
      <c r="F2332" s="15" t="s">
        <v>51</v>
      </c>
      <c r="G2332" s="14" t="s">
        <v>194</v>
      </c>
      <c r="H2332" s="14" t="s">
        <v>192</v>
      </c>
      <c r="I2332" s="14" t="s">
        <v>54</v>
      </c>
      <c r="J2332" s="14" t="s">
        <v>199</v>
      </c>
      <c r="K2332" s="14" t="s">
        <v>203</v>
      </c>
      <c r="L2332" s="14" t="s">
        <v>1183</v>
      </c>
      <c r="M2332" s="14" t="s">
        <v>1184</v>
      </c>
      <c r="N2332" s="14" t="s">
        <v>1185</v>
      </c>
      <c r="O2332" s="14">
        <v>3.0</v>
      </c>
      <c r="P2332" s="23">
        <v>0.0377</v>
      </c>
      <c r="Q2332" s="22" t="str">
        <f t="shared" ref="Q2332:Q2333" si="1359">"+0.00%"</f>
        <v>+0.00%</v>
      </c>
      <c r="R2332" s="18" t="str">
        <f>"+0.20%"</f>
        <v>+0.20%</v>
      </c>
      <c r="S2332" s="14" t="s">
        <v>371</v>
      </c>
    </row>
    <row r="2333">
      <c r="A2333" s="13">
        <v>45901.0</v>
      </c>
      <c r="B2333" s="14" t="s">
        <v>47</v>
      </c>
      <c r="C2333" s="14" t="s">
        <v>48</v>
      </c>
      <c r="D2333" s="14" t="s">
        <v>132</v>
      </c>
      <c r="E2333" s="14" t="s">
        <v>133</v>
      </c>
      <c r="F2333" s="15" t="s">
        <v>51</v>
      </c>
      <c r="G2333" s="14" t="s">
        <v>134</v>
      </c>
      <c r="H2333" s="14" t="s">
        <v>135</v>
      </c>
      <c r="I2333" s="14" t="s">
        <v>59</v>
      </c>
      <c r="J2333" s="14" t="s">
        <v>200</v>
      </c>
      <c r="K2333" s="14" t="s">
        <v>213</v>
      </c>
      <c r="L2333" s="14" t="s">
        <v>289</v>
      </c>
      <c r="M2333" s="14" t="s">
        <v>384</v>
      </c>
      <c r="N2333" s="14" t="s">
        <v>385</v>
      </c>
      <c r="O2333" s="14">
        <v>0.0</v>
      </c>
      <c r="P2333" s="23">
        <v>0.0</v>
      </c>
      <c r="Q2333" s="22" t="str">
        <f t="shared" si="1359"/>
        <v>+0.00%</v>
      </c>
      <c r="R2333" s="18" t="str">
        <f>"+0.00%"</f>
        <v>+0.00%</v>
      </c>
      <c r="S2333" s="14" t="s">
        <v>1757</v>
      </c>
    </row>
    <row r="2334">
      <c r="A2334" s="13">
        <v>45901.0</v>
      </c>
      <c r="B2334" s="14" t="s">
        <v>47</v>
      </c>
      <c r="C2334" s="14" t="s">
        <v>48</v>
      </c>
      <c r="D2334" s="14" t="s">
        <v>103</v>
      </c>
      <c r="E2334" s="14" t="s">
        <v>104</v>
      </c>
      <c r="F2334" s="15" t="s">
        <v>51</v>
      </c>
      <c r="G2334" s="14" t="s">
        <v>105</v>
      </c>
      <c r="H2334" s="14" t="s">
        <v>106</v>
      </c>
      <c r="I2334" s="14" t="s">
        <v>59</v>
      </c>
      <c r="J2334" s="14" t="s">
        <v>200</v>
      </c>
      <c r="K2334" s="14" t="s">
        <v>232</v>
      </c>
      <c r="L2334" s="14" t="s">
        <v>304</v>
      </c>
      <c r="M2334" s="14" t="s">
        <v>305</v>
      </c>
      <c r="N2334" s="14" t="s">
        <v>306</v>
      </c>
      <c r="O2334" s="14">
        <v>0.0</v>
      </c>
      <c r="P2334" s="21">
        <v>0.0</v>
      </c>
      <c r="Q2334" s="22" t="str">
        <f t="shared" ref="Q2334:R2334" si="1360">"+0"</f>
        <v>+0</v>
      </c>
      <c r="R2334" s="18" t="str">
        <f t="shared" si="1360"/>
        <v>+0</v>
      </c>
      <c r="S2334" s="14" t="s">
        <v>260</v>
      </c>
    </row>
    <row r="2335">
      <c r="A2335" s="13">
        <v>45901.0</v>
      </c>
      <c r="B2335" s="14" t="s">
        <v>47</v>
      </c>
      <c r="C2335" s="14" t="s">
        <v>48</v>
      </c>
      <c r="D2335" s="14" t="s">
        <v>149</v>
      </c>
      <c r="E2335" s="14" t="s">
        <v>150</v>
      </c>
      <c r="F2335" s="15" t="s">
        <v>51</v>
      </c>
      <c r="G2335" s="14" t="s">
        <v>151</v>
      </c>
      <c r="H2335" s="14" t="s">
        <v>152</v>
      </c>
      <c r="I2335" s="14" t="s">
        <v>54</v>
      </c>
      <c r="J2335" s="14" t="s">
        <v>200</v>
      </c>
      <c r="K2335" s="14" t="s">
        <v>223</v>
      </c>
      <c r="L2335" s="14" t="s">
        <v>607</v>
      </c>
      <c r="M2335" s="14" t="s">
        <v>608</v>
      </c>
      <c r="N2335" s="14" t="s">
        <v>609</v>
      </c>
      <c r="O2335" s="14">
        <v>1.0</v>
      </c>
      <c r="P2335" s="23">
        <v>3.0E-4</v>
      </c>
      <c r="Q2335" s="22" t="str">
        <f>"-0.00%"</f>
        <v>-0.00%</v>
      </c>
      <c r="R2335" s="18" t="str">
        <f>"+0.00%"</f>
        <v>+0.00%</v>
      </c>
      <c r="S2335" s="14" t="s">
        <v>1758</v>
      </c>
    </row>
    <row r="2336">
      <c r="A2336" s="13">
        <v>45901.0</v>
      </c>
      <c r="B2336" s="14" t="s">
        <v>47</v>
      </c>
      <c r="C2336" s="14" t="s">
        <v>48</v>
      </c>
      <c r="D2336" s="14" t="s">
        <v>149</v>
      </c>
      <c r="E2336" s="14" t="s">
        <v>150</v>
      </c>
      <c r="F2336" s="15" t="s">
        <v>51</v>
      </c>
      <c r="G2336" s="14" t="s">
        <v>151</v>
      </c>
      <c r="H2336" s="14" t="s">
        <v>152</v>
      </c>
      <c r="I2336" s="14" t="s">
        <v>54</v>
      </c>
      <c r="J2336" s="14" t="s">
        <v>198</v>
      </c>
      <c r="K2336" s="14" t="s">
        <v>210</v>
      </c>
      <c r="L2336" s="14" t="s">
        <v>458</v>
      </c>
      <c r="M2336" s="14" t="s">
        <v>744</v>
      </c>
      <c r="N2336" s="14" t="s">
        <v>745</v>
      </c>
      <c r="O2336" s="14">
        <v>100.0</v>
      </c>
      <c r="P2336" s="21">
        <v>3.0</v>
      </c>
      <c r="Q2336" s="22" t="str">
        <f t="shared" ref="Q2336:R2336" si="1361">"+2"</f>
        <v>+2</v>
      </c>
      <c r="R2336" s="18" t="str">
        <f t="shared" si="1361"/>
        <v>+2</v>
      </c>
      <c r="S2336" s="14" t="s">
        <v>277</v>
      </c>
    </row>
    <row r="2337">
      <c r="A2337" s="13">
        <v>45901.0</v>
      </c>
      <c r="B2337" s="14" t="s">
        <v>47</v>
      </c>
      <c r="C2337" s="14" t="s">
        <v>48</v>
      </c>
      <c r="D2337" s="14" t="s">
        <v>149</v>
      </c>
      <c r="E2337" s="14" t="s">
        <v>150</v>
      </c>
      <c r="F2337" s="15" t="s">
        <v>51</v>
      </c>
      <c r="G2337" s="14" t="s">
        <v>151</v>
      </c>
      <c r="H2337" s="14" t="s">
        <v>152</v>
      </c>
      <c r="I2337" s="14" t="s">
        <v>54</v>
      </c>
      <c r="J2337" s="14" t="s">
        <v>200</v>
      </c>
      <c r="K2337" s="14" t="s">
        <v>223</v>
      </c>
      <c r="L2337" s="14" t="s">
        <v>286</v>
      </c>
      <c r="M2337" s="14" t="s">
        <v>625</v>
      </c>
      <c r="N2337" s="14" t="s">
        <v>626</v>
      </c>
      <c r="O2337" s="14">
        <v>73.0</v>
      </c>
      <c r="P2337" s="23">
        <v>0.7323</v>
      </c>
      <c r="Q2337" s="22" t="str">
        <f>"-1.43%"</f>
        <v>-1.43%</v>
      </c>
      <c r="R2337" s="18" t="str">
        <f>"-1.18%"</f>
        <v>-1.18%</v>
      </c>
      <c r="S2337" s="14" t="s">
        <v>1759</v>
      </c>
    </row>
    <row r="2338">
      <c r="A2338" s="13">
        <v>45901.0</v>
      </c>
      <c r="B2338" s="14" t="s">
        <v>47</v>
      </c>
      <c r="C2338" s="14" t="s">
        <v>48</v>
      </c>
      <c r="D2338" s="14" t="s">
        <v>87</v>
      </c>
      <c r="E2338" s="14" t="s">
        <v>88</v>
      </c>
      <c r="F2338" s="15" t="s">
        <v>51</v>
      </c>
      <c r="G2338" s="14" t="s">
        <v>89</v>
      </c>
      <c r="H2338" s="14" t="s">
        <v>90</v>
      </c>
      <c r="I2338" s="14" t="s">
        <v>59</v>
      </c>
      <c r="J2338" s="14" t="s">
        <v>200</v>
      </c>
      <c r="K2338" s="14" t="s">
        <v>223</v>
      </c>
      <c r="L2338" s="14" t="s">
        <v>289</v>
      </c>
      <c r="M2338" s="14" t="s">
        <v>331</v>
      </c>
      <c r="N2338" s="14" t="s">
        <v>332</v>
      </c>
      <c r="O2338" s="14">
        <v>0.0</v>
      </c>
      <c r="P2338" s="23">
        <v>0.0</v>
      </c>
      <c r="Q2338" s="22" t="str">
        <f t="shared" ref="Q2338:R2338" si="1362">"+0.00%"</f>
        <v>+0.00%</v>
      </c>
      <c r="R2338" s="18" t="str">
        <f t="shared" si="1362"/>
        <v>+0.00%</v>
      </c>
      <c r="S2338" s="14" t="s">
        <v>285</v>
      </c>
    </row>
    <row r="2339">
      <c r="A2339" s="13">
        <v>45901.0</v>
      </c>
      <c r="B2339" s="14" t="s">
        <v>47</v>
      </c>
      <c r="C2339" s="14" t="s">
        <v>48</v>
      </c>
      <c r="D2339" s="14" t="s">
        <v>149</v>
      </c>
      <c r="E2339" s="14" t="s">
        <v>150</v>
      </c>
      <c r="F2339" s="15" t="s">
        <v>51</v>
      </c>
      <c r="G2339" s="14" t="s">
        <v>151</v>
      </c>
      <c r="H2339" s="14" t="s">
        <v>152</v>
      </c>
      <c r="I2339" s="14" t="s">
        <v>54</v>
      </c>
      <c r="J2339" s="14" t="s">
        <v>198</v>
      </c>
      <c r="K2339" s="14" t="s">
        <v>210</v>
      </c>
      <c r="L2339" s="14" t="s">
        <v>264</v>
      </c>
      <c r="M2339" s="14" t="s">
        <v>943</v>
      </c>
      <c r="N2339" s="14" t="s">
        <v>944</v>
      </c>
      <c r="O2339" s="14">
        <v>0.0</v>
      </c>
      <c r="P2339" s="21">
        <v>0.0</v>
      </c>
      <c r="Q2339" s="22" t="str">
        <f t="shared" ref="Q2339:R2339" si="1363">"+0"</f>
        <v>+0</v>
      </c>
      <c r="R2339" s="18" t="str">
        <f t="shared" si="1363"/>
        <v>+0</v>
      </c>
      <c r="S2339" s="14" t="s">
        <v>277</v>
      </c>
    </row>
    <row r="2340">
      <c r="A2340" s="13">
        <v>45901.0</v>
      </c>
      <c r="B2340" s="14" t="s">
        <v>47</v>
      </c>
      <c r="C2340" s="14" t="s">
        <v>48</v>
      </c>
      <c r="D2340" s="14" t="s">
        <v>136</v>
      </c>
      <c r="E2340" s="14" t="s">
        <v>137</v>
      </c>
      <c r="F2340" s="15" t="s">
        <v>51</v>
      </c>
      <c r="G2340" s="14" t="s">
        <v>138</v>
      </c>
      <c r="H2340" s="14" t="s">
        <v>139</v>
      </c>
      <c r="I2340" s="14" t="s">
        <v>59</v>
      </c>
      <c r="J2340" s="14" t="s">
        <v>200</v>
      </c>
      <c r="K2340" s="14" t="s">
        <v>213</v>
      </c>
      <c r="L2340" s="14" t="s">
        <v>289</v>
      </c>
      <c r="M2340" s="14" t="s">
        <v>331</v>
      </c>
      <c r="N2340" s="14" t="s">
        <v>332</v>
      </c>
      <c r="O2340" s="14">
        <v>0.0</v>
      </c>
      <c r="P2340" s="23">
        <v>0.0</v>
      </c>
      <c r="Q2340" s="22" t="str">
        <f t="shared" ref="Q2340:R2340" si="1364">"+0.00%"</f>
        <v>+0.00%</v>
      </c>
      <c r="R2340" s="18" t="str">
        <f t="shared" si="1364"/>
        <v>+0.00%</v>
      </c>
      <c r="S2340" s="14" t="s">
        <v>285</v>
      </c>
    </row>
    <row r="2341">
      <c r="A2341" s="13">
        <v>45901.0</v>
      </c>
      <c r="B2341" s="14" t="s">
        <v>47</v>
      </c>
      <c r="C2341" s="14" t="s">
        <v>48</v>
      </c>
      <c r="D2341" s="14" t="s">
        <v>96</v>
      </c>
      <c r="E2341" s="14" t="s">
        <v>97</v>
      </c>
      <c r="F2341" s="15" t="s">
        <v>51</v>
      </c>
      <c r="G2341" s="14" t="s">
        <v>98</v>
      </c>
      <c r="H2341" s="14" t="s">
        <v>96</v>
      </c>
      <c r="I2341" s="14" t="s">
        <v>59</v>
      </c>
      <c r="J2341" s="14" t="s">
        <v>200</v>
      </c>
      <c r="K2341" s="14" t="s">
        <v>223</v>
      </c>
      <c r="L2341" s="14" t="s">
        <v>289</v>
      </c>
      <c r="M2341" s="14" t="s">
        <v>984</v>
      </c>
      <c r="N2341" s="14" t="s">
        <v>985</v>
      </c>
      <c r="O2341" s="14">
        <v>0.0</v>
      </c>
      <c r="P2341" s="23">
        <v>0.0</v>
      </c>
      <c r="Q2341" s="22" t="str">
        <f t="shared" ref="Q2341:R2341" si="1365">"+0.00%"</f>
        <v>+0.00%</v>
      </c>
      <c r="R2341" s="18" t="str">
        <f t="shared" si="1365"/>
        <v>+0.00%</v>
      </c>
      <c r="S2341" s="14" t="s">
        <v>285</v>
      </c>
    </row>
    <row r="2342">
      <c r="A2342" s="13">
        <v>45901.0</v>
      </c>
      <c r="B2342" s="14" t="s">
        <v>47</v>
      </c>
      <c r="C2342" s="14" t="s">
        <v>48</v>
      </c>
      <c r="D2342" s="14" t="s">
        <v>158</v>
      </c>
      <c r="E2342" s="14" t="s">
        <v>159</v>
      </c>
      <c r="F2342" s="15" t="s">
        <v>51</v>
      </c>
      <c r="G2342" s="14" t="s">
        <v>160</v>
      </c>
      <c r="H2342" s="14" t="s">
        <v>158</v>
      </c>
      <c r="I2342" s="14" t="s">
        <v>54</v>
      </c>
      <c r="J2342" s="14" t="s">
        <v>198</v>
      </c>
      <c r="K2342" s="14" t="s">
        <v>205</v>
      </c>
      <c r="L2342" s="14" t="s">
        <v>274</v>
      </c>
      <c r="M2342" s="14" t="s">
        <v>482</v>
      </c>
      <c r="N2342" s="14" t="s">
        <v>483</v>
      </c>
      <c r="O2342" s="14">
        <v>100.0</v>
      </c>
      <c r="P2342" s="21">
        <v>8.0</v>
      </c>
      <c r="Q2342" s="22" t="str">
        <f t="shared" ref="Q2342:Q2345" si="1366">"+0"</f>
        <v>+0</v>
      </c>
      <c r="S2342" s="14" t="s">
        <v>484</v>
      </c>
    </row>
    <row r="2343">
      <c r="A2343" s="13">
        <v>45901.0</v>
      </c>
      <c r="B2343" s="14" t="s">
        <v>47</v>
      </c>
      <c r="C2343" s="14" t="s">
        <v>48</v>
      </c>
      <c r="D2343" s="14" t="s">
        <v>108</v>
      </c>
      <c r="E2343" s="14" t="s">
        <v>109</v>
      </c>
      <c r="F2343" s="15" t="s">
        <v>51</v>
      </c>
      <c r="G2343" s="14" t="s">
        <v>110</v>
      </c>
      <c r="H2343" s="14" t="s">
        <v>108</v>
      </c>
      <c r="I2343" s="14" t="s">
        <v>59</v>
      </c>
      <c r="J2343" s="14" t="s">
        <v>198</v>
      </c>
      <c r="K2343" s="14" t="s">
        <v>205</v>
      </c>
      <c r="L2343" s="14" t="s">
        <v>274</v>
      </c>
      <c r="M2343" s="14" t="s">
        <v>575</v>
      </c>
      <c r="N2343" s="14" t="s">
        <v>576</v>
      </c>
      <c r="O2343" s="14">
        <v>100.0</v>
      </c>
      <c r="P2343" s="21">
        <v>90.0</v>
      </c>
      <c r="Q2343" s="22" t="str">
        <f t="shared" si="1366"/>
        <v>+0</v>
      </c>
      <c r="S2343" s="14" t="s">
        <v>577</v>
      </c>
    </row>
    <row r="2344">
      <c r="A2344" s="13">
        <v>45901.0</v>
      </c>
      <c r="B2344" s="14" t="s">
        <v>47</v>
      </c>
      <c r="C2344" s="14" t="s">
        <v>48</v>
      </c>
      <c r="D2344" s="14" t="s">
        <v>108</v>
      </c>
      <c r="E2344" s="14" t="s">
        <v>109</v>
      </c>
      <c r="F2344" s="14" t="s">
        <v>79</v>
      </c>
      <c r="G2344" s="14" t="s">
        <v>153</v>
      </c>
      <c r="H2344" s="14" t="s">
        <v>108</v>
      </c>
      <c r="I2344" s="14" t="s">
        <v>154</v>
      </c>
      <c r="J2344" s="14" t="s">
        <v>198</v>
      </c>
      <c r="K2344" s="14" t="s">
        <v>210</v>
      </c>
      <c r="L2344" s="14" t="s">
        <v>505</v>
      </c>
      <c r="M2344" s="14" t="s">
        <v>1431</v>
      </c>
      <c r="N2344" s="14" t="s">
        <v>1432</v>
      </c>
      <c r="O2344" s="14">
        <v>100.0</v>
      </c>
      <c r="P2344" s="21">
        <v>0.0</v>
      </c>
      <c r="Q2344" s="22" t="str">
        <f t="shared" si="1366"/>
        <v>+0</v>
      </c>
      <c r="S2344" s="14" t="s">
        <v>277</v>
      </c>
    </row>
    <row r="2345">
      <c r="A2345" s="13">
        <v>45901.0</v>
      </c>
      <c r="B2345" s="14" t="s">
        <v>47</v>
      </c>
      <c r="C2345" s="14" t="s">
        <v>48</v>
      </c>
      <c r="D2345" s="14" t="s">
        <v>116</v>
      </c>
      <c r="E2345" s="14" t="s">
        <v>117</v>
      </c>
      <c r="F2345" s="15" t="s">
        <v>51</v>
      </c>
      <c r="G2345" s="14" t="s">
        <v>161</v>
      </c>
      <c r="H2345" s="14" t="s">
        <v>116</v>
      </c>
      <c r="I2345" s="14" t="s">
        <v>54</v>
      </c>
      <c r="J2345" s="14" t="s">
        <v>200</v>
      </c>
      <c r="K2345" s="14" t="s">
        <v>213</v>
      </c>
      <c r="L2345" s="14" t="s">
        <v>359</v>
      </c>
      <c r="M2345" s="14" t="s">
        <v>519</v>
      </c>
      <c r="N2345" s="14" t="s">
        <v>520</v>
      </c>
      <c r="O2345" s="14">
        <v>0.0</v>
      </c>
      <c r="P2345" s="21">
        <v>0.0</v>
      </c>
      <c r="Q2345" s="22" t="str">
        <f t="shared" si="1366"/>
        <v>+0</v>
      </c>
      <c r="R2345" s="18" t="str">
        <f>"+0"</f>
        <v>+0</v>
      </c>
      <c r="S2345" s="14" t="s">
        <v>260</v>
      </c>
    </row>
    <row r="2346">
      <c r="A2346" s="13">
        <v>45901.0</v>
      </c>
      <c r="B2346" s="14" t="s">
        <v>47</v>
      </c>
      <c r="C2346" s="14" t="s">
        <v>48</v>
      </c>
      <c r="D2346" s="14" t="s">
        <v>158</v>
      </c>
      <c r="E2346" s="14" t="s">
        <v>159</v>
      </c>
      <c r="F2346" s="15" t="s">
        <v>51</v>
      </c>
      <c r="G2346" s="14" t="s">
        <v>160</v>
      </c>
      <c r="H2346" s="14" t="s">
        <v>158</v>
      </c>
      <c r="I2346" s="14" t="s">
        <v>54</v>
      </c>
      <c r="J2346" s="14" t="s">
        <v>200</v>
      </c>
      <c r="K2346" s="14" t="s">
        <v>224</v>
      </c>
      <c r="L2346" s="14" t="s">
        <v>594</v>
      </c>
      <c r="M2346" s="14" t="s">
        <v>595</v>
      </c>
      <c r="N2346" s="14" t="s">
        <v>596</v>
      </c>
      <c r="O2346" s="14">
        <v>0.0</v>
      </c>
      <c r="P2346" s="17"/>
      <c r="Q2346" s="22"/>
      <c r="S2346" s="14" t="s">
        <v>1760</v>
      </c>
    </row>
    <row r="2347">
      <c r="A2347" s="13">
        <v>45901.0</v>
      </c>
      <c r="B2347" s="14" t="s">
        <v>47</v>
      </c>
      <c r="C2347" s="14" t="s">
        <v>48</v>
      </c>
      <c r="D2347" s="14" t="s">
        <v>112</v>
      </c>
      <c r="E2347" s="14" t="s">
        <v>113</v>
      </c>
      <c r="F2347" s="15" t="s">
        <v>51</v>
      </c>
      <c r="G2347" s="14" t="s">
        <v>114</v>
      </c>
      <c r="H2347" s="14" t="s">
        <v>112</v>
      </c>
      <c r="I2347" s="14" t="s">
        <v>59</v>
      </c>
      <c r="J2347" s="14" t="s">
        <v>198</v>
      </c>
      <c r="K2347" s="14" t="s">
        <v>205</v>
      </c>
      <c r="L2347" s="14" t="s">
        <v>274</v>
      </c>
      <c r="M2347" s="14" t="s">
        <v>791</v>
      </c>
      <c r="N2347" s="14" t="s">
        <v>792</v>
      </c>
      <c r="O2347" s="14">
        <v>50.0</v>
      </c>
      <c r="P2347" s="21">
        <v>1.0</v>
      </c>
      <c r="Q2347" s="22" t="str">
        <f t="shared" ref="Q2347:Q2348" si="1367">"+0"</f>
        <v>+0</v>
      </c>
      <c r="S2347" s="14" t="s">
        <v>260</v>
      </c>
    </row>
    <row r="2348">
      <c r="A2348" s="13">
        <v>45901.0</v>
      </c>
      <c r="B2348" s="14" t="s">
        <v>47</v>
      </c>
      <c r="C2348" s="14" t="s">
        <v>48</v>
      </c>
      <c r="D2348" s="14" t="s">
        <v>108</v>
      </c>
      <c r="E2348" s="14" t="s">
        <v>109</v>
      </c>
      <c r="F2348" s="15" t="s">
        <v>51</v>
      </c>
      <c r="G2348" s="14" t="s">
        <v>110</v>
      </c>
      <c r="H2348" s="14" t="s">
        <v>108</v>
      </c>
      <c r="I2348" s="14" t="s">
        <v>59</v>
      </c>
      <c r="J2348" s="14" t="s">
        <v>199</v>
      </c>
      <c r="K2348" s="14" t="s">
        <v>203</v>
      </c>
      <c r="L2348" s="14" t="s">
        <v>342</v>
      </c>
      <c r="M2348" s="14" t="s">
        <v>342</v>
      </c>
      <c r="N2348" s="14" t="s">
        <v>343</v>
      </c>
      <c r="O2348" s="14">
        <v>0.0</v>
      </c>
      <c r="P2348" s="21">
        <v>0.0</v>
      </c>
      <c r="Q2348" s="22" t="str">
        <f t="shared" si="1367"/>
        <v>+0</v>
      </c>
      <c r="R2348" s="18" t="str">
        <f>"+0"</f>
        <v>+0</v>
      </c>
      <c r="S2348" s="14" t="s">
        <v>260</v>
      </c>
    </row>
    <row r="2349">
      <c r="A2349" s="13">
        <v>45901.0</v>
      </c>
      <c r="B2349" s="14" t="s">
        <v>47</v>
      </c>
      <c r="C2349" s="14" t="s">
        <v>48</v>
      </c>
      <c r="D2349" s="14" t="s">
        <v>158</v>
      </c>
      <c r="E2349" s="14" t="s">
        <v>159</v>
      </c>
      <c r="F2349" s="15" t="s">
        <v>51</v>
      </c>
      <c r="G2349" s="14" t="s">
        <v>160</v>
      </c>
      <c r="H2349" s="14" t="s">
        <v>158</v>
      </c>
      <c r="I2349" s="14" t="s">
        <v>54</v>
      </c>
      <c r="J2349" s="14" t="s">
        <v>200</v>
      </c>
      <c r="K2349" s="14" t="s">
        <v>224</v>
      </c>
      <c r="L2349" s="14" t="s">
        <v>392</v>
      </c>
      <c r="M2349" s="14" t="s">
        <v>826</v>
      </c>
      <c r="N2349" s="14" t="s">
        <v>827</v>
      </c>
      <c r="O2349" s="14">
        <v>0.0</v>
      </c>
      <c r="P2349" s="17"/>
      <c r="Q2349" s="22"/>
      <c r="S2349" s="14" t="s">
        <v>1761</v>
      </c>
    </row>
    <row r="2350">
      <c r="A2350" s="13">
        <v>45901.0</v>
      </c>
      <c r="B2350" s="14" t="s">
        <v>47</v>
      </c>
      <c r="C2350" s="14" t="s">
        <v>48</v>
      </c>
      <c r="D2350" s="14" t="s">
        <v>108</v>
      </c>
      <c r="E2350" s="14" t="s">
        <v>109</v>
      </c>
      <c r="F2350" s="15" t="s">
        <v>51</v>
      </c>
      <c r="G2350" s="14" t="s">
        <v>110</v>
      </c>
      <c r="H2350" s="14" t="s">
        <v>108</v>
      </c>
      <c r="I2350" s="14" t="s">
        <v>59</v>
      </c>
      <c r="J2350" s="14" t="s">
        <v>200</v>
      </c>
      <c r="K2350" s="14" t="s">
        <v>227</v>
      </c>
      <c r="L2350" s="14" t="s">
        <v>270</v>
      </c>
      <c r="M2350" s="14" t="s">
        <v>321</v>
      </c>
      <c r="N2350" s="14" t="s">
        <v>322</v>
      </c>
      <c r="O2350" s="14">
        <v>0.0</v>
      </c>
      <c r="P2350" s="23">
        <v>-1.0</v>
      </c>
      <c r="Q2350" s="22" t="str">
        <f t="shared" ref="Q2350:R2350" si="1368">"+0.00%"</f>
        <v>+0.00%</v>
      </c>
      <c r="R2350" s="18" t="str">
        <f t="shared" si="1368"/>
        <v>+0.00%</v>
      </c>
      <c r="S2350" s="14" t="s">
        <v>323</v>
      </c>
    </row>
    <row r="2351">
      <c r="A2351" s="13">
        <v>45901.0</v>
      </c>
      <c r="B2351" s="14" t="s">
        <v>47</v>
      </c>
      <c r="C2351" s="14" t="s">
        <v>48</v>
      </c>
      <c r="D2351" s="14" t="s">
        <v>121</v>
      </c>
      <c r="E2351" s="14" t="s">
        <v>122</v>
      </c>
      <c r="F2351" s="15" t="s">
        <v>51</v>
      </c>
      <c r="G2351" s="14" t="s">
        <v>123</v>
      </c>
      <c r="H2351" s="14" t="s">
        <v>124</v>
      </c>
      <c r="I2351" s="14" t="s">
        <v>59</v>
      </c>
      <c r="J2351" s="14" t="s">
        <v>200</v>
      </c>
      <c r="K2351" s="14" t="s">
        <v>227</v>
      </c>
      <c r="L2351" s="14" t="s">
        <v>253</v>
      </c>
      <c r="M2351" s="14" t="s">
        <v>254</v>
      </c>
      <c r="N2351" s="14" t="s">
        <v>255</v>
      </c>
      <c r="O2351" s="14">
        <v>0.0</v>
      </c>
      <c r="P2351" s="23">
        <v>0.0</v>
      </c>
      <c r="Q2351" s="22" t="str">
        <f t="shared" ref="Q2351:R2351" si="1369">"+0.00%"</f>
        <v>+0.00%</v>
      </c>
      <c r="R2351" s="18" t="str">
        <f t="shared" si="1369"/>
        <v>+0.00%</v>
      </c>
      <c r="S2351" s="14" t="s">
        <v>256</v>
      </c>
    </row>
    <row r="2352">
      <c r="A2352" s="13">
        <v>45901.0</v>
      </c>
      <c r="B2352" s="14" t="s">
        <v>47</v>
      </c>
      <c r="C2352" s="14" t="s">
        <v>48</v>
      </c>
      <c r="D2352" s="14" t="s">
        <v>168</v>
      </c>
      <c r="E2352" s="14" t="s">
        <v>169</v>
      </c>
      <c r="F2352" s="15" t="s">
        <v>51</v>
      </c>
      <c r="G2352" s="14" t="s">
        <v>170</v>
      </c>
      <c r="H2352" s="14" t="s">
        <v>168</v>
      </c>
      <c r="I2352" s="14" t="s">
        <v>59</v>
      </c>
      <c r="J2352" s="14" t="s">
        <v>198</v>
      </c>
      <c r="K2352" s="14" t="s">
        <v>205</v>
      </c>
      <c r="L2352" s="14" t="s">
        <v>274</v>
      </c>
      <c r="M2352" s="14" t="s">
        <v>425</v>
      </c>
      <c r="N2352" s="14" t="s">
        <v>426</v>
      </c>
      <c r="O2352" s="14">
        <v>0.0</v>
      </c>
      <c r="P2352" s="21">
        <v>0.0</v>
      </c>
      <c r="Q2352" s="22" t="str">
        <f t="shared" ref="Q2352:Q2354" si="1370">"+0"</f>
        <v>+0</v>
      </c>
      <c r="S2352" s="14" t="s">
        <v>281</v>
      </c>
    </row>
    <row r="2353">
      <c r="A2353" s="13">
        <v>45901.0</v>
      </c>
      <c r="B2353" s="14" t="s">
        <v>47</v>
      </c>
      <c r="C2353" s="14" t="s">
        <v>48</v>
      </c>
      <c r="D2353" s="14" t="s">
        <v>181</v>
      </c>
      <c r="E2353" s="14" t="s">
        <v>182</v>
      </c>
      <c r="F2353" s="15" t="s">
        <v>51</v>
      </c>
      <c r="G2353" s="14" t="s">
        <v>183</v>
      </c>
      <c r="H2353" s="14" t="s">
        <v>181</v>
      </c>
      <c r="I2353" s="14" t="s">
        <v>59</v>
      </c>
      <c r="J2353" s="14" t="s">
        <v>198</v>
      </c>
      <c r="K2353" s="14" t="s">
        <v>205</v>
      </c>
      <c r="L2353" s="14" t="s">
        <v>274</v>
      </c>
      <c r="M2353" s="14" t="s">
        <v>425</v>
      </c>
      <c r="N2353" s="14" t="s">
        <v>426</v>
      </c>
      <c r="O2353" s="14">
        <v>0.0</v>
      </c>
      <c r="P2353" s="21">
        <v>0.0</v>
      </c>
      <c r="Q2353" s="22" t="str">
        <f t="shared" si="1370"/>
        <v>+0</v>
      </c>
      <c r="S2353" s="14" t="s">
        <v>281</v>
      </c>
    </row>
    <row r="2354">
      <c r="A2354" s="13">
        <v>45901.0</v>
      </c>
      <c r="B2354" s="14" t="s">
        <v>47</v>
      </c>
      <c r="C2354" s="14" t="s">
        <v>48</v>
      </c>
      <c r="D2354" s="14" t="s">
        <v>181</v>
      </c>
      <c r="E2354" s="14" t="s">
        <v>182</v>
      </c>
      <c r="F2354" s="15" t="s">
        <v>51</v>
      </c>
      <c r="G2354" s="14" t="s">
        <v>183</v>
      </c>
      <c r="H2354" s="14" t="s">
        <v>181</v>
      </c>
      <c r="I2354" s="14" t="s">
        <v>59</v>
      </c>
      <c r="J2354" s="14" t="s">
        <v>200</v>
      </c>
      <c r="K2354" s="14" t="s">
        <v>232</v>
      </c>
      <c r="L2354" s="14" t="s">
        <v>487</v>
      </c>
      <c r="M2354" s="14" t="s">
        <v>1415</v>
      </c>
      <c r="N2354" s="14" t="s">
        <v>1416</v>
      </c>
      <c r="O2354" s="14">
        <v>0.0</v>
      </c>
      <c r="P2354" s="21">
        <v>0.0</v>
      </c>
      <c r="Q2354" s="22" t="str">
        <f t="shared" si="1370"/>
        <v>+0</v>
      </c>
      <c r="R2354" s="18" t="str">
        <f>"+0"</f>
        <v>+0</v>
      </c>
      <c r="S2354" s="14" t="s">
        <v>260</v>
      </c>
    </row>
    <row r="2355">
      <c r="A2355" s="13">
        <v>45901.0</v>
      </c>
      <c r="B2355" s="14" t="s">
        <v>47</v>
      </c>
      <c r="C2355" s="14" t="s">
        <v>48</v>
      </c>
      <c r="D2355" s="14" t="s">
        <v>155</v>
      </c>
      <c r="E2355" s="14" t="s">
        <v>156</v>
      </c>
      <c r="F2355" s="15" t="s">
        <v>51</v>
      </c>
      <c r="G2355" s="14" t="s">
        <v>157</v>
      </c>
      <c r="H2355" s="14" t="s">
        <v>155</v>
      </c>
      <c r="I2355" s="14" t="s">
        <v>59</v>
      </c>
      <c r="J2355" s="14" t="s">
        <v>200</v>
      </c>
      <c r="K2355" s="14" t="s">
        <v>223</v>
      </c>
      <c r="L2355" s="14" t="s">
        <v>607</v>
      </c>
      <c r="M2355" s="14" t="s">
        <v>758</v>
      </c>
      <c r="N2355" s="14" t="s">
        <v>759</v>
      </c>
      <c r="O2355" s="14">
        <v>0.0</v>
      </c>
      <c r="P2355" s="23">
        <v>-1.0</v>
      </c>
      <c r="Q2355" s="22" t="str">
        <f t="shared" ref="Q2355:R2355" si="1371">"+0.00%"</f>
        <v>+0.00%</v>
      </c>
      <c r="R2355" s="18" t="str">
        <f t="shared" si="1371"/>
        <v>+0.00%</v>
      </c>
      <c r="S2355" s="14" t="s">
        <v>1299</v>
      </c>
    </row>
    <row r="2356">
      <c r="A2356" s="13">
        <v>45901.0</v>
      </c>
      <c r="B2356" s="14" t="s">
        <v>47</v>
      </c>
      <c r="C2356" s="14" t="s">
        <v>48</v>
      </c>
      <c r="D2356" s="14" t="s">
        <v>165</v>
      </c>
      <c r="E2356" s="14" t="s">
        <v>166</v>
      </c>
      <c r="F2356" s="15" t="s">
        <v>51</v>
      </c>
      <c r="G2356" s="14" t="s">
        <v>167</v>
      </c>
      <c r="H2356" s="14" t="s">
        <v>165</v>
      </c>
      <c r="I2356" s="14" t="s">
        <v>54</v>
      </c>
      <c r="J2356" s="14" t="s">
        <v>200</v>
      </c>
      <c r="K2356" s="14" t="s">
        <v>211</v>
      </c>
      <c r="L2356" s="14" t="s">
        <v>253</v>
      </c>
      <c r="M2356" s="14" t="s">
        <v>1247</v>
      </c>
      <c r="N2356" s="14" t="s">
        <v>1248</v>
      </c>
      <c r="O2356" s="14">
        <v>0.0</v>
      </c>
      <c r="P2356" s="23">
        <v>0.0</v>
      </c>
      <c r="Q2356" s="22" t="str">
        <f t="shared" ref="Q2356:R2356" si="1372">"+0.00%"</f>
        <v>+0.00%</v>
      </c>
      <c r="R2356" s="18" t="str">
        <f t="shared" si="1372"/>
        <v>+0.00%</v>
      </c>
      <c r="S2356" s="14" t="s">
        <v>1762</v>
      </c>
    </row>
    <row r="2357">
      <c r="A2357" s="13">
        <v>45901.0</v>
      </c>
      <c r="B2357" s="14" t="s">
        <v>47</v>
      </c>
      <c r="C2357" s="14" t="s">
        <v>48</v>
      </c>
      <c r="D2357" s="14" t="s">
        <v>49</v>
      </c>
      <c r="E2357" s="14" t="s">
        <v>50</v>
      </c>
      <c r="F2357" s="15" t="s">
        <v>51</v>
      </c>
      <c r="G2357" s="14" t="s">
        <v>52</v>
      </c>
      <c r="H2357" s="14" t="s">
        <v>53</v>
      </c>
      <c r="I2357" s="14" t="s">
        <v>54</v>
      </c>
      <c r="J2357" s="14" t="s">
        <v>198</v>
      </c>
      <c r="K2357" s="14" t="s">
        <v>210</v>
      </c>
      <c r="L2357" s="14" t="s">
        <v>458</v>
      </c>
      <c r="M2357" s="14" t="s">
        <v>1230</v>
      </c>
      <c r="N2357" s="14" t="s">
        <v>1231</v>
      </c>
      <c r="O2357" s="14">
        <v>0.0</v>
      </c>
      <c r="P2357" s="21">
        <v>0.0</v>
      </c>
      <c r="Q2357" s="22" t="str">
        <f t="shared" ref="Q2357:R2357" si="1373">"+0"</f>
        <v>+0</v>
      </c>
      <c r="R2357" s="18" t="str">
        <f t="shared" si="1373"/>
        <v>+0</v>
      </c>
      <c r="S2357" s="14" t="s">
        <v>277</v>
      </c>
    </row>
    <row r="2358">
      <c r="A2358" s="13">
        <v>45901.0</v>
      </c>
      <c r="B2358" s="14" t="s">
        <v>47</v>
      </c>
      <c r="C2358" s="14" t="s">
        <v>48</v>
      </c>
      <c r="D2358" s="14" t="s">
        <v>63</v>
      </c>
      <c r="E2358" s="14" t="s">
        <v>64</v>
      </c>
      <c r="F2358" s="15" t="s">
        <v>51</v>
      </c>
      <c r="G2358" s="14" t="s">
        <v>65</v>
      </c>
      <c r="H2358" s="14" t="s">
        <v>63</v>
      </c>
      <c r="I2358" s="14" t="s">
        <v>54</v>
      </c>
      <c r="J2358" s="14" t="s">
        <v>199</v>
      </c>
      <c r="K2358" s="14" t="s">
        <v>206</v>
      </c>
      <c r="L2358" s="14" t="s">
        <v>295</v>
      </c>
      <c r="M2358" s="14" t="s">
        <v>296</v>
      </c>
      <c r="N2358" s="14" t="s">
        <v>297</v>
      </c>
      <c r="O2358" s="14">
        <v>0.0</v>
      </c>
      <c r="P2358" s="21">
        <v>0.0</v>
      </c>
      <c r="Q2358" s="22" t="str">
        <f t="shared" ref="Q2358:R2358" si="1374">"+0"</f>
        <v>+0</v>
      </c>
      <c r="R2358" s="18" t="str">
        <f t="shared" si="1374"/>
        <v>+0</v>
      </c>
      <c r="S2358" s="14" t="s">
        <v>260</v>
      </c>
    </row>
    <row r="2359">
      <c r="A2359" s="13">
        <v>45901.0</v>
      </c>
      <c r="B2359" s="14" t="s">
        <v>47</v>
      </c>
      <c r="C2359" s="14" t="s">
        <v>48</v>
      </c>
      <c r="D2359" s="14" t="s">
        <v>91</v>
      </c>
      <c r="E2359" s="14" t="s">
        <v>92</v>
      </c>
      <c r="F2359" s="14" t="s">
        <v>71</v>
      </c>
      <c r="G2359" s="14">
        <v>1.00005882E8</v>
      </c>
      <c r="H2359" s="14" t="s">
        <v>91</v>
      </c>
      <c r="I2359" s="14" t="s">
        <v>59</v>
      </c>
      <c r="J2359" s="14" t="s">
        <v>199</v>
      </c>
      <c r="K2359" s="14" t="s">
        <v>206</v>
      </c>
      <c r="L2359" s="14" t="s">
        <v>295</v>
      </c>
      <c r="M2359" s="14" t="s">
        <v>986</v>
      </c>
      <c r="N2359" s="14" t="s">
        <v>987</v>
      </c>
      <c r="O2359" s="14">
        <v>0.0</v>
      </c>
      <c r="P2359" s="21">
        <v>0.0</v>
      </c>
      <c r="Q2359" s="22" t="str">
        <f t="shared" ref="Q2359:R2359" si="1375">"-6"</f>
        <v>-6</v>
      </c>
      <c r="R2359" s="18" t="str">
        <f t="shared" si="1375"/>
        <v>-6</v>
      </c>
      <c r="S2359" s="14" t="s">
        <v>260</v>
      </c>
    </row>
    <row r="2360">
      <c r="A2360" s="13">
        <v>45901.0</v>
      </c>
      <c r="B2360" s="14" t="s">
        <v>47</v>
      </c>
      <c r="C2360" s="14" t="s">
        <v>48</v>
      </c>
      <c r="D2360" s="14" t="s">
        <v>69</v>
      </c>
      <c r="E2360" s="14" t="s">
        <v>70</v>
      </c>
      <c r="F2360" s="14" t="s">
        <v>71</v>
      </c>
      <c r="G2360" s="14">
        <v>1.00002092E8</v>
      </c>
      <c r="H2360" s="14" t="s">
        <v>72</v>
      </c>
      <c r="I2360" s="14" t="s">
        <v>54</v>
      </c>
      <c r="J2360" s="14" t="s">
        <v>199</v>
      </c>
      <c r="K2360" s="14" t="s">
        <v>206</v>
      </c>
      <c r="L2360" s="14" t="s">
        <v>381</v>
      </c>
      <c r="M2360" s="14" t="s">
        <v>381</v>
      </c>
      <c r="N2360" s="14" t="s">
        <v>382</v>
      </c>
      <c r="O2360" s="14">
        <v>0.0</v>
      </c>
      <c r="P2360" s="21">
        <v>0.0</v>
      </c>
      <c r="Q2360" s="22" t="str">
        <f t="shared" ref="Q2360:R2360" si="1376">"+0"</f>
        <v>+0</v>
      </c>
      <c r="R2360" s="18" t="str">
        <f t="shared" si="1376"/>
        <v>+0</v>
      </c>
      <c r="S2360" s="14" t="s">
        <v>383</v>
      </c>
    </row>
    <row r="2361">
      <c r="A2361" s="13">
        <v>45901.0</v>
      </c>
      <c r="B2361" s="14" t="s">
        <v>47</v>
      </c>
      <c r="C2361" s="14" t="s">
        <v>48</v>
      </c>
      <c r="D2361" s="14" t="s">
        <v>91</v>
      </c>
      <c r="E2361" s="14" t="s">
        <v>92</v>
      </c>
      <c r="F2361" s="15" t="s">
        <v>51</v>
      </c>
      <c r="G2361" s="14" t="s">
        <v>163</v>
      </c>
      <c r="H2361" s="14" t="s">
        <v>91</v>
      </c>
      <c r="I2361" s="14" t="s">
        <v>59</v>
      </c>
      <c r="J2361" s="14" t="s">
        <v>198</v>
      </c>
      <c r="K2361" s="14" t="s">
        <v>212</v>
      </c>
      <c r="L2361" s="14" t="s">
        <v>344</v>
      </c>
      <c r="M2361" s="14" t="s">
        <v>580</v>
      </c>
      <c r="N2361" s="14" t="s">
        <v>581</v>
      </c>
      <c r="O2361" s="14">
        <v>100.0</v>
      </c>
      <c r="P2361" s="21">
        <v>1.0</v>
      </c>
      <c r="Q2361" s="22" t="str">
        <f>"+1"</f>
        <v>+1</v>
      </c>
      <c r="S2361" s="14" t="s">
        <v>281</v>
      </c>
    </row>
    <row r="2362">
      <c r="A2362" s="13">
        <v>45901.0</v>
      </c>
      <c r="B2362" s="14" t="s">
        <v>47</v>
      </c>
      <c r="C2362" s="14" t="s">
        <v>48</v>
      </c>
      <c r="D2362" s="14" t="s">
        <v>112</v>
      </c>
      <c r="E2362" s="14" t="s">
        <v>113</v>
      </c>
      <c r="F2362" s="15" t="s">
        <v>51</v>
      </c>
      <c r="G2362" s="14" t="s">
        <v>114</v>
      </c>
      <c r="H2362" s="14" t="s">
        <v>112</v>
      </c>
      <c r="I2362" s="14" t="s">
        <v>59</v>
      </c>
      <c r="J2362" s="14" t="s">
        <v>200</v>
      </c>
      <c r="K2362" s="14" t="s">
        <v>213</v>
      </c>
      <c r="L2362" s="14" t="s">
        <v>676</v>
      </c>
      <c r="M2362" s="14" t="s">
        <v>836</v>
      </c>
      <c r="N2362" s="14" t="s">
        <v>837</v>
      </c>
      <c r="O2362" s="14">
        <v>0.0</v>
      </c>
      <c r="P2362" s="23">
        <v>0.0</v>
      </c>
      <c r="Q2362" s="22" t="str">
        <f t="shared" ref="Q2362:R2362" si="1377">"+0.00%"</f>
        <v>+0.00%</v>
      </c>
      <c r="R2362" s="18" t="str">
        <f t="shared" si="1377"/>
        <v>+0.00%</v>
      </c>
      <c r="S2362" s="14" t="s">
        <v>1763</v>
      </c>
    </row>
    <row r="2363">
      <c r="A2363" s="13">
        <v>45901.0</v>
      </c>
      <c r="B2363" s="14" t="s">
        <v>47</v>
      </c>
      <c r="C2363" s="14" t="s">
        <v>48</v>
      </c>
      <c r="D2363" s="14" t="s">
        <v>158</v>
      </c>
      <c r="E2363" s="14" t="s">
        <v>159</v>
      </c>
      <c r="F2363" s="15" t="s">
        <v>51</v>
      </c>
      <c r="G2363" s="14" t="s">
        <v>160</v>
      </c>
      <c r="H2363" s="14" t="s">
        <v>158</v>
      </c>
      <c r="I2363" s="14" t="s">
        <v>54</v>
      </c>
      <c r="J2363" s="14" t="s">
        <v>198</v>
      </c>
      <c r="K2363" s="14" t="s">
        <v>210</v>
      </c>
      <c r="L2363" s="14" t="s">
        <v>264</v>
      </c>
      <c r="M2363" s="14" t="s">
        <v>930</v>
      </c>
      <c r="N2363" s="14" t="s">
        <v>931</v>
      </c>
      <c r="O2363" s="14">
        <v>0.0</v>
      </c>
      <c r="P2363" s="21">
        <v>0.0</v>
      </c>
      <c r="Q2363" s="22" t="str">
        <f t="shared" ref="Q2363:R2363" si="1378">"+0"</f>
        <v>+0</v>
      </c>
      <c r="R2363" s="18" t="str">
        <f t="shared" si="1378"/>
        <v>+0</v>
      </c>
      <c r="S2363" s="14" t="s">
        <v>277</v>
      </c>
    </row>
    <row r="2364">
      <c r="A2364" s="13">
        <v>45901.0</v>
      </c>
      <c r="B2364" s="14" t="s">
        <v>47</v>
      </c>
      <c r="C2364" s="14" t="s">
        <v>48</v>
      </c>
      <c r="D2364" s="14" t="s">
        <v>149</v>
      </c>
      <c r="E2364" s="14" t="s">
        <v>150</v>
      </c>
      <c r="F2364" s="15" t="s">
        <v>51</v>
      </c>
      <c r="G2364" s="14" t="s">
        <v>151</v>
      </c>
      <c r="H2364" s="14" t="s">
        <v>152</v>
      </c>
      <c r="I2364" s="14" t="s">
        <v>54</v>
      </c>
      <c r="J2364" s="14" t="s">
        <v>200</v>
      </c>
      <c r="K2364" s="14" t="s">
        <v>223</v>
      </c>
      <c r="L2364" s="14" t="s">
        <v>422</v>
      </c>
      <c r="M2364" s="14" t="s">
        <v>423</v>
      </c>
      <c r="N2364" s="14" t="s">
        <v>424</v>
      </c>
      <c r="O2364" s="14">
        <v>100.0</v>
      </c>
      <c r="P2364" s="21">
        <v>10.0</v>
      </c>
      <c r="Q2364" s="22" t="str">
        <f t="shared" ref="Q2364:R2364" si="1379">"+0"</f>
        <v>+0</v>
      </c>
      <c r="R2364" s="18" t="str">
        <f t="shared" si="1379"/>
        <v>+0</v>
      </c>
      <c r="S2364" s="14" t="s">
        <v>260</v>
      </c>
    </row>
    <row r="2365">
      <c r="A2365" s="13">
        <v>45901.0</v>
      </c>
      <c r="B2365" s="14" t="s">
        <v>47</v>
      </c>
      <c r="C2365" s="14" t="s">
        <v>48</v>
      </c>
      <c r="D2365" s="14" t="s">
        <v>149</v>
      </c>
      <c r="E2365" s="14" t="s">
        <v>150</v>
      </c>
      <c r="F2365" s="15" t="s">
        <v>51</v>
      </c>
      <c r="G2365" s="14" t="s">
        <v>151</v>
      </c>
      <c r="H2365" s="14" t="s">
        <v>152</v>
      </c>
      <c r="I2365" s="14" t="s">
        <v>54</v>
      </c>
      <c r="J2365" s="14" t="s">
        <v>200</v>
      </c>
      <c r="K2365" s="14" t="s">
        <v>214</v>
      </c>
      <c r="L2365" s="14" t="s">
        <v>253</v>
      </c>
      <c r="M2365" s="14" t="s">
        <v>389</v>
      </c>
      <c r="N2365" s="14" t="s">
        <v>390</v>
      </c>
      <c r="O2365" s="14">
        <v>35.0</v>
      </c>
      <c r="P2365" s="23">
        <v>0.3514</v>
      </c>
      <c r="Q2365" s="22" t="str">
        <f>"+1.80%"</f>
        <v>+1.80%</v>
      </c>
      <c r="R2365" s="18" t="str">
        <f>"+2.78%"</f>
        <v>+2.78%</v>
      </c>
      <c r="S2365" s="14" t="s">
        <v>1764</v>
      </c>
    </row>
    <row r="2366">
      <c r="A2366" s="13">
        <v>45901.0</v>
      </c>
      <c r="B2366" s="14" t="s">
        <v>47</v>
      </c>
      <c r="C2366" s="14" t="s">
        <v>48</v>
      </c>
      <c r="D2366" s="14" t="s">
        <v>168</v>
      </c>
      <c r="E2366" s="14" t="s">
        <v>169</v>
      </c>
      <c r="F2366" s="15" t="s">
        <v>51</v>
      </c>
      <c r="G2366" s="14" t="s">
        <v>170</v>
      </c>
      <c r="H2366" s="14" t="s">
        <v>168</v>
      </c>
      <c r="I2366" s="14" t="s">
        <v>59</v>
      </c>
      <c r="J2366" s="14" t="s">
        <v>199</v>
      </c>
      <c r="K2366" s="14" t="s">
        <v>206</v>
      </c>
      <c r="L2366" s="14" t="s">
        <v>433</v>
      </c>
      <c r="M2366" s="14" t="s">
        <v>433</v>
      </c>
      <c r="N2366" s="14" t="s">
        <v>434</v>
      </c>
      <c r="O2366" s="14">
        <v>0.0</v>
      </c>
      <c r="P2366" s="21">
        <v>0.0</v>
      </c>
      <c r="Q2366" s="22" t="str">
        <f t="shared" ref="Q2366:R2366" si="1380">"+0"</f>
        <v>+0</v>
      </c>
      <c r="R2366" s="18" t="str">
        <f t="shared" si="1380"/>
        <v>+0</v>
      </c>
      <c r="S2366" s="14" t="s">
        <v>383</v>
      </c>
    </row>
    <row r="2367">
      <c r="A2367" s="13">
        <v>45901.0</v>
      </c>
      <c r="B2367" s="14" t="s">
        <v>47</v>
      </c>
      <c r="C2367" s="14" t="s">
        <v>48</v>
      </c>
      <c r="D2367" s="14" t="s">
        <v>87</v>
      </c>
      <c r="E2367" s="14" t="s">
        <v>88</v>
      </c>
      <c r="F2367" s="14" t="s">
        <v>71</v>
      </c>
      <c r="G2367" s="14">
        <v>5.46000941E8</v>
      </c>
      <c r="H2367" s="14" t="s">
        <v>90</v>
      </c>
      <c r="I2367" s="14" t="s">
        <v>107</v>
      </c>
      <c r="J2367" s="14" t="s">
        <v>199</v>
      </c>
      <c r="K2367" s="14" t="s">
        <v>206</v>
      </c>
      <c r="L2367" s="14" t="s">
        <v>381</v>
      </c>
      <c r="M2367" s="14" t="s">
        <v>381</v>
      </c>
      <c r="N2367" s="14" t="s">
        <v>382</v>
      </c>
      <c r="O2367" s="14">
        <v>0.0</v>
      </c>
      <c r="P2367" s="21">
        <v>0.0</v>
      </c>
      <c r="Q2367" s="22" t="str">
        <f t="shared" ref="Q2367:R2367" si="1381">"+0"</f>
        <v>+0</v>
      </c>
      <c r="R2367" s="18" t="str">
        <f t="shared" si="1381"/>
        <v>+0</v>
      </c>
      <c r="S2367" s="14" t="s">
        <v>383</v>
      </c>
    </row>
    <row r="2368">
      <c r="A2368" s="13">
        <v>45901.0</v>
      </c>
      <c r="B2368" s="14" t="s">
        <v>47</v>
      </c>
      <c r="C2368" s="14" t="s">
        <v>48</v>
      </c>
      <c r="D2368" s="14" t="s">
        <v>91</v>
      </c>
      <c r="E2368" s="14" t="s">
        <v>92</v>
      </c>
      <c r="F2368" s="14" t="s">
        <v>71</v>
      </c>
      <c r="G2368" s="14">
        <v>5.10000484E8</v>
      </c>
      <c r="H2368" s="14" t="s">
        <v>91</v>
      </c>
      <c r="I2368" s="14" t="s">
        <v>54</v>
      </c>
      <c r="J2368" s="14" t="s">
        <v>199</v>
      </c>
      <c r="K2368" s="14" t="s">
        <v>208</v>
      </c>
      <c r="L2368" s="14" t="s">
        <v>412</v>
      </c>
      <c r="M2368" s="14" t="s">
        <v>412</v>
      </c>
      <c r="N2368" s="14" t="s">
        <v>413</v>
      </c>
      <c r="O2368" s="14">
        <v>100.0</v>
      </c>
      <c r="P2368" s="21">
        <v>14.0</v>
      </c>
      <c r="Q2368" s="22" t="str">
        <f t="shared" ref="Q2368:R2368" si="1382">"+1"</f>
        <v>+1</v>
      </c>
      <c r="R2368" s="18" t="str">
        <f t="shared" si="1382"/>
        <v>+1</v>
      </c>
      <c r="S2368" s="14" t="s">
        <v>260</v>
      </c>
    </row>
    <row r="2369">
      <c r="A2369" s="13">
        <v>45901.0</v>
      </c>
      <c r="B2369" s="14" t="s">
        <v>47</v>
      </c>
      <c r="C2369" s="14" t="s">
        <v>48</v>
      </c>
      <c r="D2369" s="14" t="s">
        <v>192</v>
      </c>
      <c r="E2369" s="14" t="s">
        <v>193</v>
      </c>
      <c r="F2369" s="15" t="s">
        <v>51</v>
      </c>
      <c r="G2369" s="14" t="s">
        <v>194</v>
      </c>
      <c r="H2369" s="14" t="s">
        <v>192</v>
      </c>
      <c r="I2369" s="14" t="s">
        <v>54</v>
      </c>
      <c r="J2369" s="14" t="s">
        <v>200</v>
      </c>
      <c r="K2369" s="14" t="s">
        <v>223</v>
      </c>
      <c r="L2369" s="14" t="s">
        <v>487</v>
      </c>
      <c r="M2369" s="14" t="s">
        <v>1015</v>
      </c>
      <c r="N2369" s="14" t="s">
        <v>1016</v>
      </c>
      <c r="O2369" s="14">
        <v>100.0</v>
      </c>
      <c r="P2369" s="23">
        <v>8.0E-4</v>
      </c>
      <c r="Q2369" s="22" t="str">
        <f>"+0.08%"</f>
        <v>+0.08%</v>
      </c>
      <c r="R2369" s="18" t="str">
        <f>"+0.04%"</f>
        <v>+0.04%</v>
      </c>
      <c r="S2369" s="14" t="s">
        <v>285</v>
      </c>
    </row>
    <row r="2370">
      <c r="A2370" s="13">
        <v>45901.0</v>
      </c>
      <c r="B2370" s="14" t="s">
        <v>47</v>
      </c>
      <c r="C2370" s="14" t="s">
        <v>48</v>
      </c>
      <c r="D2370" s="14" t="s">
        <v>129</v>
      </c>
      <c r="E2370" s="14" t="s">
        <v>130</v>
      </c>
      <c r="F2370" s="15" t="s">
        <v>51</v>
      </c>
      <c r="G2370" s="14" t="s">
        <v>131</v>
      </c>
      <c r="H2370" s="14" t="s">
        <v>129</v>
      </c>
      <c r="I2370" s="14" t="s">
        <v>59</v>
      </c>
      <c r="J2370" s="14" t="s">
        <v>200</v>
      </c>
      <c r="K2370" s="14" t="s">
        <v>231</v>
      </c>
      <c r="L2370" s="14" t="s">
        <v>512</v>
      </c>
      <c r="M2370" s="14" t="s">
        <v>1651</v>
      </c>
      <c r="N2370" s="14" t="s">
        <v>1652</v>
      </c>
      <c r="O2370" s="14">
        <v>0.0</v>
      </c>
      <c r="P2370" s="21">
        <v>0.0</v>
      </c>
      <c r="Q2370" s="22" t="str">
        <f t="shared" ref="Q2370:R2370" si="1383">"+0"</f>
        <v>+0</v>
      </c>
      <c r="R2370" s="18" t="str">
        <f t="shared" si="1383"/>
        <v>+0</v>
      </c>
      <c r="S2370" s="14" t="s">
        <v>260</v>
      </c>
    </row>
    <row r="2371">
      <c r="A2371" s="13">
        <v>45901.0</v>
      </c>
      <c r="B2371" s="14" t="s">
        <v>47</v>
      </c>
      <c r="C2371" s="14" t="s">
        <v>48</v>
      </c>
      <c r="D2371" s="14" t="s">
        <v>171</v>
      </c>
      <c r="E2371" s="14" t="s">
        <v>172</v>
      </c>
      <c r="F2371" s="15" t="s">
        <v>51</v>
      </c>
      <c r="G2371" s="14" t="s">
        <v>173</v>
      </c>
      <c r="H2371" s="14" t="s">
        <v>171</v>
      </c>
      <c r="I2371" s="14" t="s">
        <v>59</v>
      </c>
      <c r="J2371" s="14" t="s">
        <v>199</v>
      </c>
      <c r="K2371" s="14" t="s">
        <v>203</v>
      </c>
      <c r="L2371" s="14" t="s">
        <v>340</v>
      </c>
      <c r="M2371" s="14" t="s">
        <v>340</v>
      </c>
      <c r="N2371" s="14" t="s">
        <v>341</v>
      </c>
      <c r="O2371" s="14">
        <v>0.0</v>
      </c>
      <c r="P2371" s="21">
        <v>0.0</v>
      </c>
      <c r="Q2371" s="22" t="str">
        <f t="shared" ref="Q2371:R2371" si="1384">"+0"</f>
        <v>+0</v>
      </c>
      <c r="R2371" s="18" t="str">
        <f t="shared" si="1384"/>
        <v>+0</v>
      </c>
      <c r="S2371" s="14" t="s">
        <v>260</v>
      </c>
    </row>
    <row r="2372">
      <c r="A2372" s="13">
        <v>45901.0</v>
      </c>
      <c r="B2372" s="14" t="s">
        <v>47</v>
      </c>
      <c r="C2372" s="14" t="s">
        <v>48</v>
      </c>
      <c r="D2372" s="14" t="s">
        <v>192</v>
      </c>
      <c r="E2372" s="14" t="s">
        <v>193</v>
      </c>
      <c r="F2372" s="15" t="s">
        <v>51</v>
      </c>
      <c r="G2372" s="14" t="s">
        <v>194</v>
      </c>
      <c r="H2372" s="14" t="s">
        <v>192</v>
      </c>
      <c r="I2372" s="14" t="s">
        <v>54</v>
      </c>
      <c r="J2372" s="14" t="s">
        <v>198</v>
      </c>
      <c r="K2372" s="14" t="s">
        <v>210</v>
      </c>
      <c r="L2372" s="14" t="s">
        <v>278</v>
      </c>
      <c r="M2372" s="14" t="s">
        <v>1485</v>
      </c>
      <c r="N2372" s="14" t="s">
        <v>1486</v>
      </c>
      <c r="O2372" s="14">
        <v>0.0</v>
      </c>
      <c r="P2372" s="21">
        <v>0.0</v>
      </c>
      <c r="Q2372" s="22" t="str">
        <f t="shared" ref="Q2372:R2372" si="1385">"+0"</f>
        <v>+0</v>
      </c>
      <c r="R2372" s="18" t="str">
        <f t="shared" si="1385"/>
        <v>+0</v>
      </c>
      <c r="S2372" s="14" t="s">
        <v>277</v>
      </c>
    </row>
    <row r="2373">
      <c r="A2373" s="13">
        <v>45901.0</v>
      </c>
      <c r="B2373" s="14" t="s">
        <v>47</v>
      </c>
      <c r="C2373" s="14" t="s">
        <v>48</v>
      </c>
      <c r="D2373" s="14" t="s">
        <v>93</v>
      </c>
      <c r="E2373" s="14" t="s">
        <v>94</v>
      </c>
      <c r="F2373" s="15" t="s">
        <v>51</v>
      </c>
      <c r="G2373" s="14" t="s">
        <v>191</v>
      </c>
      <c r="H2373" s="14" t="s">
        <v>95</v>
      </c>
      <c r="I2373" s="14" t="s">
        <v>59</v>
      </c>
      <c r="J2373" s="14" t="s">
        <v>198</v>
      </c>
      <c r="K2373" s="14" t="s">
        <v>205</v>
      </c>
      <c r="L2373" s="14" t="s">
        <v>274</v>
      </c>
      <c r="M2373" s="14" t="s">
        <v>482</v>
      </c>
      <c r="N2373" s="14" t="s">
        <v>483</v>
      </c>
      <c r="O2373" s="14">
        <v>100.0</v>
      </c>
      <c r="P2373" s="21">
        <v>8.0</v>
      </c>
      <c r="Q2373" s="22" t="str">
        <f>"+0"</f>
        <v>+0</v>
      </c>
      <c r="S2373" s="14" t="s">
        <v>484</v>
      </c>
    </row>
    <row r="2374">
      <c r="A2374" s="13">
        <v>45901.0</v>
      </c>
      <c r="B2374" s="14" t="s">
        <v>47</v>
      </c>
      <c r="C2374" s="14" t="s">
        <v>48</v>
      </c>
      <c r="D2374" s="14" t="s">
        <v>73</v>
      </c>
      <c r="E2374" s="14" t="s">
        <v>74</v>
      </c>
      <c r="F2374" s="15" t="s">
        <v>51</v>
      </c>
      <c r="G2374" s="14" t="s">
        <v>75</v>
      </c>
      <c r="H2374" s="14" t="s">
        <v>76</v>
      </c>
      <c r="I2374" s="14" t="s">
        <v>59</v>
      </c>
      <c r="J2374" s="14" t="s">
        <v>200</v>
      </c>
      <c r="K2374" s="14" t="s">
        <v>232</v>
      </c>
      <c r="L2374" s="14" t="s">
        <v>261</v>
      </c>
      <c r="M2374" s="14" t="s">
        <v>864</v>
      </c>
      <c r="N2374" s="14" t="s">
        <v>865</v>
      </c>
      <c r="O2374" s="14">
        <v>0.0</v>
      </c>
      <c r="P2374" s="23">
        <v>0.0</v>
      </c>
      <c r="Q2374" s="22" t="str">
        <f t="shared" ref="Q2374:R2374" si="1386">"+0.00%"</f>
        <v>+0.00%</v>
      </c>
      <c r="R2374" s="18" t="str">
        <f t="shared" si="1386"/>
        <v>+0.00%</v>
      </c>
      <c r="S2374" s="14" t="s">
        <v>285</v>
      </c>
    </row>
    <row r="2375">
      <c r="A2375" s="13">
        <v>45901.0</v>
      </c>
      <c r="B2375" s="14" t="s">
        <v>47</v>
      </c>
      <c r="C2375" s="14" t="s">
        <v>48</v>
      </c>
      <c r="D2375" s="14" t="s">
        <v>87</v>
      </c>
      <c r="E2375" s="14" t="s">
        <v>88</v>
      </c>
      <c r="F2375" s="15" t="s">
        <v>51</v>
      </c>
      <c r="G2375" s="14" t="s">
        <v>89</v>
      </c>
      <c r="H2375" s="14" t="s">
        <v>90</v>
      </c>
      <c r="I2375" s="14" t="s">
        <v>59</v>
      </c>
      <c r="J2375" s="14" t="s">
        <v>200</v>
      </c>
      <c r="K2375" s="14" t="s">
        <v>223</v>
      </c>
      <c r="L2375" s="14" t="s">
        <v>487</v>
      </c>
      <c r="M2375" s="14" t="s">
        <v>1415</v>
      </c>
      <c r="N2375" s="14" t="s">
        <v>1416</v>
      </c>
      <c r="O2375" s="14">
        <v>100.0</v>
      </c>
      <c r="P2375" s="21">
        <v>23098.0</v>
      </c>
      <c r="Q2375" s="22" t="str">
        <f>"+273"</f>
        <v>+273</v>
      </c>
      <c r="R2375" s="18" t="str">
        <f>"+1,108"</f>
        <v>+1,108</v>
      </c>
      <c r="S2375" s="14" t="s">
        <v>260</v>
      </c>
    </row>
    <row r="2376">
      <c r="A2376" s="13">
        <v>45901.0</v>
      </c>
      <c r="B2376" s="14" t="s">
        <v>47</v>
      </c>
      <c r="C2376" s="14" t="s">
        <v>48</v>
      </c>
      <c r="D2376" s="14" t="s">
        <v>149</v>
      </c>
      <c r="E2376" s="14" t="s">
        <v>150</v>
      </c>
      <c r="F2376" s="15" t="s">
        <v>51</v>
      </c>
      <c r="G2376" s="14" t="s">
        <v>151</v>
      </c>
      <c r="H2376" s="14" t="s">
        <v>152</v>
      </c>
      <c r="I2376" s="14" t="s">
        <v>54</v>
      </c>
      <c r="J2376" s="14" t="s">
        <v>198</v>
      </c>
      <c r="K2376" s="14" t="s">
        <v>212</v>
      </c>
      <c r="L2376" s="14" t="s">
        <v>249</v>
      </c>
      <c r="M2376" s="14" t="s">
        <v>598</v>
      </c>
      <c r="N2376" s="14" t="s">
        <v>599</v>
      </c>
      <c r="O2376" s="14">
        <v>89.0</v>
      </c>
      <c r="P2376" s="21">
        <v>9106.0</v>
      </c>
      <c r="Q2376" s="22" t="str">
        <f>"-318"</f>
        <v>-318</v>
      </c>
      <c r="R2376" s="18" t="str">
        <f>"-14"</f>
        <v>-14</v>
      </c>
      <c r="S2376" s="14" t="s">
        <v>1765</v>
      </c>
    </row>
    <row r="2377">
      <c r="A2377" s="13">
        <v>45901.0</v>
      </c>
      <c r="B2377" s="14" t="s">
        <v>47</v>
      </c>
      <c r="C2377" s="14" t="s">
        <v>48</v>
      </c>
      <c r="D2377" s="14" t="s">
        <v>149</v>
      </c>
      <c r="E2377" s="14" t="s">
        <v>150</v>
      </c>
      <c r="F2377" s="15" t="s">
        <v>51</v>
      </c>
      <c r="G2377" s="14" t="s">
        <v>151</v>
      </c>
      <c r="H2377" s="14" t="s">
        <v>152</v>
      </c>
      <c r="I2377" s="14" t="s">
        <v>54</v>
      </c>
      <c r="J2377" s="14" t="s">
        <v>200</v>
      </c>
      <c r="K2377" s="14" t="s">
        <v>223</v>
      </c>
      <c r="L2377" s="14" t="s">
        <v>676</v>
      </c>
      <c r="M2377" s="14" t="s">
        <v>858</v>
      </c>
      <c r="N2377" s="14" t="s">
        <v>859</v>
      </c>
      <c r="O2377" s="14">
        <v>48.0</v>
      </c>
      <c r="P2377" s="23">
        <v>-0.04</v>
      </c>
      <c r="Q2377" s="22" t="str">
        <f t="shared" ref="Q2377:R2377" si="1387">"+96.00%"</f>
        <v>+96.00%</v>
      </c>
      <c r="R2377" s="18" t="str">
        <f t="shared" si="1387"/>
        <v>+96.00%</v>
      </c>
      <c r="S2377" s="14" t="s">
        <v>1766</v>
      </c>
    </row>
    <row r="2378">
      <c r="A2378" s="13">
        <v>45901.0</v>
      </c>
      <c r="B2378" s="14" t="s">
        <v>47</v>
      </c>
      <c r="C2378" s="14" t="s">
        <v>48</v>
      </c>
      <c r="D2378" s="14" t="s">
        <v>96</v>
      </c>
      <c r="E2378" s="14" t="s">
        <v>97</v>
      </c>
      <c r="F2378" s="15" t="s">
        <v>51</v>
      </c>
      <c r="G2378" s="14" t="s">
        <v>98</v>
      </c>
      <c r="H2378" s="14" t="s">
        <v>96</v>
      </c>
      <c r="I2378" s="14" t="s">
        <v>59</v>
      </c>
      <c r="J2378" s="14" t="s">
        <v>200</v>
      </c>
      <c r="K2378" s="14" t="s">
        <v>223</v>
      </c>
      <c r="L2378" s="14" t="s">
        <v>304</v>
      </c>
      <c r="M2378" s="14" t="s">
        <v>702</v>
      </c>
      <c r="N2378" s="14" t="s">
        <v>703</v>
      </c>
      <c r="O2378" s="14">
        <v>0.0</v>
      </c>
      <c r="P2378" s="23">
        <v>0.0</v>
      </c>
      <c r="Q2378" s="22" t="str">
        <f t="shared" ref="Q2378:R2378" si="1388">"+0.00%"</f>
        <v>+0.00%</v>
      </c>
      <c r="R2378" s="18" t="str">
        <f t="shared" si="1388"/>
        <v>+0.00%</v>
      </c>
      <c r="S2378" s="14" t="s">
        <v>285</v>
      </c>
    </row>
    <row r="2379">
      <c r="A2379" s="13">
        <v>45901.0</v>
      </c>
      <c r="B2379" s="14" t="s">
        <v>47</v>
      </c>
      <c r="C2379" s="14" t="s">
        <v>48</v>
      </c>
      <c r="D2379" s="14" t="s">
        <v>96</v>
      </c>
      <c r="E2379" s="14" t="s">
        <v>97</v>
      </c>
      <c r="F2379" s="15" t="s">
        <v>51</v>
      </c>
      <c r="G2379" s="14" t="s">
        <v>98</v>
      </c>
      <c r="H2379" s="14" t="s">
        <v>96</v>
      </c>
      <c r="I2379" s="14" t="s">
        <v>59</v>
      </c>
      <c r="J2379" s="14" t="s">
        <v>200</v>
      </c>
      <c r="K2379" s="14" t="s">
        <v>223</v>
      </c>
      <c r="L2379" s="14" t="s">
        <v>282</v>
      </c>
      <c r="M2379" s="14" t="s">
        <v>914</v>
      </c>
      <c r="N2379" s="14" t="s">
        <v>915</v>
      </c>
      <c r="O2379" s="14">
        <v>0.0</v>
      </c>
      <c r="P2379" s="21">
        <v>0.0</v>
      </c>
      <c r="Q2379" s="22" t="str">
        <f t="shared" ref="Q2379:R2379" si="1389">"+0"</f>
        <v>+0</v>
      </c>
      <c r="R2379" s="18" t="str">
        <f t="shared" si="1389"/>
        <v>+0</v>
      </c>
      <c r="S2379" s="14" t="s">
        <v>260</v>
      </c>
    </row>
    <row r="2380">
      <c r="A2380" s="13">
        <v>45901.0</v>
      </c>
      <c r="B2380" s="14" t="s">
        <v>47</v>
      </c>
      <c r="C2380" s="14" t="s">
        <v>48</v>
      </c>
      <c r="D2380" s="14" t="s">
        <v>96</v>
      </c>
      <c r="E2380" s="14" t="s">
        <v>97</v>
      </c>
      <c r="F2380" s="15" t="s">
        <v>51</v>
      </c>
      <c r="G2380" s="14" t="s">
        <v>98</v>
      </c>
      <c r="H2380" s="14" t="s">
        <v>96</v>
      </c>
      <c r="I2380" s="14" t="s">
        <v>59</v>
      </c>
      <c r="J2380" s="14" t="s">
        <v>200</v>
      </c>
      <c r="K2380" s="14" t="s">
        <v>223</v>
      </c>
      <c r="L2380" s="14" t="s">
        <v>257</v>
      </c>
      <c r="M2380" s="14" t="s">
        <v>298</v>
      </c>
      <c r="N2380" s="14" t="s">
        <v>299</v>
      </c>
      <c r="O2380" s="14">
        <v>0.0</v>
      </c>
      <c r="P2380" s="23">
        <v>0.0</v>
      </c>
      <c r="Q2380" s="22" t="str">
        <f t="shared" ref="Q2380:R2380" si="1390">"+0.00%"</f>
        <v>+0.00%</v>
      </c>
      <c r="R2380" s="18" t="str">
        <f t="shared" si="1390"/>
        <v>+0.00%</v>
      </c>
      <c r="S2380" s="14" t="s">
        <v>1767</v>
      </c>
    </row>
    <row r="2381">
      <c r="A2381" s="13">
        <v>45901.0</v>
      </c>
      <c r="B2381" s="14" t="s">
        <v>47</v>
      </c>
      <c r="C2381" s="14" t="s">
        <v>48</v>
      </c>
      <c r="D2381" s="14" t="s">
        <v>125</v>
      </c>
      <c r="E2381" s="14" t="s">
        <v>126</v>
      </c>
      <c r="F2381" s="15" t="s">
        <v>51</v>
      </c>
      <c r="G2381" s="14" t="s">
        <v>127</v>
      </c>
      <c r="H2381" s="14" t="s">
        <v>125</v>
      </c>
      <c r="I2381" s="14" t="s">
        <v>59</v>
      </c>
      <c r="J2381" s="14" t="s">
        <v>198</v>
      </c>
      <c r="K2381" s="14" t="s">
        <v>205</v>
      </c>
      <c r="L2381" s="14" t="s">
        <v>274</v>
      </c>
      <c r="M2381" s="14" t="s">
        <v>451</v>
      </c>
      <c r="N2381" s="14" t="s">
        <v>452</v>
      </c>
      <c r="O2381" s="14">
        <v>0.0</v>
      </c>
      <c r="P2381" s="21">
        <v>0.0</v>
      </c>
      <c r="Q2381" s="22" t="str">
        <f t="shared" ref="Q2381:Q2383" si="1391">"+0"</f>
        <v>+0</v>
      </c>
      <c r="S2381" s="14" t="s">
        <v>281</v>
      </c>
    </row>
    <row r="2382">
      <c r="A2382" s="13">
        <v>45901.0</v>
      </c>
      <c r="B2382" s="14" t="s">
        <v>47</v>
      </c>
      <c r="C2382" s="14" t="s">
        <v>48</v>
      </c>
      <c r="D2382" s="14" t="s">
        <v>96</v>
      </c>
      <c r="E2382" s="14" t="s">
        <v>97</v>
      </c>
      <c r="F2382" s="15" t="s">
        <v>51</v>
      </c>
      <c r="G2382" s="14" t="s">
        <v>98</v>
      </c>
      <c r="H2382" s="14" t="s">
        <v>96</v>
      </c>
      <c r="I2382" s="14" t="s">
        <v>59</v>
      </c>
      <c r="J2382" s="14" t="s">
        <v>198</v>
      </c>
      <c r="K2382" s="14" t="s">
        <v>210</v>
      </c>
      <c r="L2382" s="14" t="s">
        <v>264</v>
      </c>
      <c r="M2382" s="14" t="s">
        <v>407</v>
      </c>
      <c r="N2382" s="14" t="s">
        <v>408</v>
      </c>
      <c r="O2382" s="14">
        <v>100.0</v>
      </c>
      <c r="P2382" s="21">
        <v>0.0</v>
      </c>
      <c r="Q2382" s="22" t="str">
        <f t="shared" si="1391"/>
        <v>+0</v>
      </c>
      <c r="R2382" s="18" t="str">
        <f t="shared" ref="R2382:R2383" si="1392">"+0"</f>
        <v>+0</v>
      </c>
      <c r="S2382" s="14" t="s">
        <v>281</v>
      </c>
    </row>
    <row r="2383">
      <c r="A2383" s="13">
        <v>45901.0</v>
      </c>
      <c r="B2383" s="14" t="s">
        <v>47</v>
      </c>
      <c r="C2383" s="14" t="s">
        <v>48</v>
      </c>
      <c r="D2383" s="14" t="s">
        <v>85</v>
      </c>
      <c r="E2383" s="14" t="s">
        <v>86</v>
      </c>
      <c r="F2383" s="14" t="s">
        <v>146</v>
      </c>
      <c r="G2383" s="14" t="s">
        <v>162</v>
      </c>
      <c r="H2383" s="14" t="s">
        <v>85</v>
      </c>
      <c r="I2383" s="14" t="s">
        <v>107</v>
      </c>
      <c r="J2383" s="14" t="s">
        <v>199</v>
      </c>
      <c r="K2383" s="14" t="s">
        <v>206</v>
      </c>
      <c r="L2383" s="14" t="s">
        <v>295</v>
      </c>
      <c r="M2383" s="14" t="s">
        <v>529</v>
      </c>
      <c r="N2383" s="14" t="s">
        <v>530</v>
      </c>
      <c r="O2383" s="14">
        <v>100.0</v>
      </c>
      <c r="P2383" s="21">
        <v>1.0</v>
      </c>
      <c r="Q2383" s="22" t="str">
        <f t="shared" si="1391"/>
        <v>+0</v>
      </c>
      <c r="R2383" s="18" t="str">
        <f t="shared" si="1392"/>
        <v>+0</v>
      </c>
      <c r="S2383" s="14" t="s">
        <v>260</v>
      </c>
    </row>
    <row r="2384">
      <c r="A2384" s="13">
        <v>45901.0</v>
      </c>
      <c r="B2384" s="14" t="s">
        <v>47</v>
      </c>
      <c r="C2384" s="14" t="s">
        <v>48</v>
      </c>
      <c r="D2384" s="14" t="s">
        <v>174</v>
      </c>
      <c r="E2384" s="14" t="s">
        <v>175</v>
      </c>
      <c r="F2384" s="15" t="s">
        <v>51</v>
      </c>
      <c r="G2384" s="14" t="s">
        <v>176</v>
      </c>
      <c r="H2384" s="14" t="s">
        <v>174</v>
      </c>
      <c r="I2384" s="14" t="s">
        <v>59</v>
      </c>
      <c r="J2384" s="14" t="s">
        <v>200</v>
      </c>
      <c r="K2384" s="14" t="s">
        <v>204</v>
      </c>
      <c r="L2384" s="14" t="s">
        <v>253</v>
      </c>
      <c r="M2384" s="14" t="s">
        <v>844</v>
      </c>
      <c r="N2384" s="14" t="s">
        <v>845</v>
      </c>
      <c r="O2384" s="14">
        <v>0.0</v>
      </c>
      <c r="P2384" s="17"/>
      <c r="Q2384" s="22"/>
      <c r="S2384" s="14" t="s">
        <v>846</v>
      </c>
    </row>
    <row r="2385">
      <c r="A2385" s="13">
        <v>45901.0</v>
      </c>
      <c r="B2385" s="14" t="s">
        <v>47</v>
      </c>
      <c r="C2385" s="14" t="s">
        <v>48</v>
      </c>
      <c r="D2385" s="14" t="s">
        <v>158</v>
      </c>
      <c r="E2385" s="14" t="s">
        <v>159</v>
      </c>
      <c r="F2385" s="15" t="s">
        <v>51</v>
      </c>
      <c r="G2385" s="14" t="s">
        <v>160</v>
      </c>
      <c r="H2385" s="14" t="s">
        <v>158</v>
      </c>
      <c r="I2385" s="14" t="s">
        <v>54</v>
      </c>
      <c r="J2385" s="14" t="s">
        <v>199</v>
      </c>
      <c r="K2385" s="14" t="s">
        <v>206</v>
      </c>
      <c r="L2385" s="14" t="s">
        <v>295</v>
      </c>
      <c r="M2385" s="14" t="s">
        <v>461</v>
      </c>
      <c r="N2385" s="14" t="s">
        <v>462</v>
      </c>
      <c r="O2385" s="14">
        <v>0.0</v>
      </c>
      <c r="P2385" s="21">
        <v>0.0</v>
      </c>
      <c r="Q2385" s="22" t="str">
        <f t="shared" ref="Q2385:R2385" si="1393">"+0"</f>
        <v>+0</v>
      </c>
      <c r="R2385" s="18" t="str">
        <f t="shared" si="1393"/>
        <v>+0</v>
      </c>
      <c r="S2385" s="14" t="s">
        <v>260</v>
      </c>
    </row>
    <row r="2386">
      <c r="A2386" s="13">
        <v>45901.0</v>
      </c>
      <c r="B2386" s="14" t="s">
        <v>47</v>
      </c>
      <c r="C2386" s="14" t="s">
        <v>48</v>
      </c>
      <c r="D2386" s="14" t="s">
        <v>108</v>
      </c>
      <c r="E2386" s="14" t="s">
        <v>109</v>
      </c>
      <c r="F2386" s="15" t="s">
        <v>51</v>
      </c>
      <c r="G2386" s="14" t="s">
        <v>110</v>
      </c>
      <c r="H2386" s="14" t="s">
        <v>108</v>
      </c>
      <c r="I2386" s="14" t="s">
        <v>59</v>
      </c>
      <c r="J2386" s="14" t="s">
        <v>200</v>
      </c>
      <c r="K2386" s="14" t="s">
        <v>213</v>
      </c>
      <c r="L2386" s="14" t="s">
        <v>307</v>
      </c>
      <c r="M2386" s="14" t="s">
        <v>308</v>
      </c>
      <c r="N2386" s="14" t="s">
        <v>309</v>
      </c>
      <c r="O2386" s="14">
        <v>0.0</v>
      </c>
      <c r="P2386" s="23">
        <v>0.0</v>
      </c>
      <c r="Q2386" s="22" t="str">
        <f>"+0.00%"</f>
        <v>+0.00%</v>
      </c>
      <c r="S2386" s="14" t="s">
        <v>285</v>
      </c>
    </row>
    <row r="2387">
      <c r="A2387" s="13">
        <v>45901.0</v>
      </c>
      <c r="B2387" s="14" t="s">
        <v>47</v>
      </c>
      <c r="C2387" s="14" t="s">
        <v>48</v>
      </c>
      <c r="D2387" s="14" t="s">
        <v>158</v>
      </c>
      <c r="E2387" s="14" t="s">
        <v>159</v>
      </c>
      <c r="F2387" s="15" t="s">
        <v>51</v>
      </c>
      <c r="G2387" s="14" t="s">
        <v>160</v>
      </c>
      <c r="H2387" s="14" t="s">
        <v>158</v>
      </c>
      <c r="I2387" s="14" t="s">
        <v>54</v>
      </c>
      <c r="J2387" s="14" t="s">
        <v>200</v>
      </c>
      <c r="K2387" s="14" t="s">
        <v>201</v>
      </c>
      <c r="L2387" s="14" t="s">
        <v>253</v>
      </c>
      <c r="M2387" s="14" t="s">
        <v>585</v>
      </c>
      <c r="N2387" s="14" t="s">
        <v>586</v>
      </c>
      <c r="O2387" s="14">
        <v>1.0</v>
      </c>
      <c r="P2387" s="23">
        <v>0.0038</v>
      </c>
      <c r="Q2387" s="22" t="str">
        <f>"+0.02%"</f>
        <v>+0.02%</v>
      </c>
      <c r="R2387" s="18" t="str">
        <f>"+0.04%"</f>
        <v>+0.04%</v>
      </c>
      <c r="S2387" s="14" t="s">
        <v>587</v>
      </c>
    </row>
    <row r="2388">
      <c r="A2388" s="13">
        <v>45901.0</v>
      </c>
      <c r="B2388" s="14" t="s">
        <v>47</v>
      </c>
      <c r="C2388" s="14" t="s">
        <v>48</v>
      </c>
      <c r="D2388" s="14" t="s">
        <v>77</v>
      </c>
      <c r="E2388" s="14" t="s">
        <v>78</v>
      </c>
      <c r="F2388" s="15" t="s">
        <v>51</v>
      </c>
      <c r="G2388" s="14" t="s">
        <v>128</v>
      </c>
      <c r="H2388" s="14" t="s">
        <v>81</v>
      </c>
      <c r="I2388" s="14" t="s">
        <v>59</v>
      </c>
      <c r="J2388" s="14" t="s">
        <v>200</v>
      </c>
      <c r="K2388" s="14" t="s">
        <v>223</v>
      </c>
      <c r="L2388" s="14" t="s">
        <v>676</v>
      </c>
      <c r="M2388" s="14" t="s">
        <v>677</v>
      </c>
      <c r="N2388" s="14" t="s">
        <v>678</v>
      </c>
      <c r="O2388" s="14">
        <v>0.0</v>
      </c>
      <c r="P2388" s="23">
        <v>0.0</v>
      </c>
      <c r="Q2388" s="22" t="str">
        <f t="shared" ref="Q2388:R2388" si="1394">"+0.00%"</f>
        <v>+0.00%</v>
      </c>
      <c r="R2388" s="18" t="str">
        <f t="shared" si="1394"/>
        <v>+0.00%</v>
      </c>
      <c r="S2388" s="14" t="s">
        <v>285</v>
      </c>
    </row>
    <row r="2389">
      <c r="A2389" s="13">
        <v>45901.0</v>
      </c>
      <c r="B2389" s="14" t="s">
        <v>47</v>
      </c>
      <c r="C2389" s="14" t="s">
        <v>48</v>
      </c>
      <c r="D2389" s="14" t="s">
        <v>116</v>
      </c>
      <c r="E2389" s="14" t="s">
        <v>117</v>
      </c>
      <c r="F2389" s="14" t="s">
        <v>111</v>
      </c>
      <c r="G2389" s="14">
        <v>5298600.0</v>
      </c>
      <c r="H2389" s="14" t="s">
        <v>116</v>
      </c>
      <c r="I2389" s="14" t="s">
        <v>59</v>
      </c>
      <c r="J2389" s="14" t="s">
        <v>200</v>
      </c>
      <c r="K2389" s="14" t="s">
        <v>221</v>
      </c>
      <c r="L2389" s="14" t="s">
        <v>253</v>
      </c>
      <c r="M2389" s="14" t="s">
        <v>1768</v>
      </c>
      <c r="N2389" s="14" t="s">
        <v>1769</v>
      </c>
      <c r="O2389" s="14">
        <v>56.0</v>
      </c>
      <c r="P2389" s="23">
        <v>0.5625</v>
      </c>
      <c r="Q2389" s="22" t="str">
        <f>"+0.00%"</f>
        <v>+0.00%</v>
      </c>
      <c r="R2389" s="18" t="str">
        <f>"-9.93%"</f>
        <v>-9.93%</v>
      </c>
      <c r="S2389" s="14" t="s">
        <v>1116</v>
      </c>
    </row>
    <row r="2390">
      <c r="A2390" s="13">
        <v>45901.0</v>
      </c>
      <c r="B2390" s="14" t="s">
        <v>47</v>
      </c>
      <c r="C2390" s="14" t="s">
        <v>48</v>
      </c>
      <c r="D2390" s="14" t="s">
        <v>108</v>
      </c>
      <c r="E2390" s="14" t="s">
        <v>109</v>
      </c>
      <c r="F2390" s="14" t="s">
        <v>79</v>
      </c>
      <c r="G2390" s="14" t="s">
        <v>153</v>
      </c>
      <c r="H2390" s="14" t="s">
        <v>108</v>
      </c>
      <c r="I2390" s="14" t="s">
        <v>154</v>
      </c>
      <c r="J2390" s="14" t="s">
        <v>198</v>
      </c>
      <c r="K2390" s="14" t="s">
        <v>210</v>
      </c>
      <c r="L2390" s="14" t="s">
        <v>505</v>
      </c>
      <c r="M2390" s="14" t="s">
        <v>1494</v>
      </c>
      <c r="N2390" s="14" t="s">
        <v>1495</v>
      </c>
      <c r="O2390" s="14">
        <v>100.0</v>
      </c>
      <c r="P2390" s="21">
        <v>0.0</v>
      </c>
      <c r="Q2390" s="22" t="str">
        <f t="shared" ref="Q2390:Q2392" si="1395">"+0"</f>
        <v>+0</v>
      </c>
      <c r="S2390" s="14" t="s">
        <v>277</v>
      </c>
    </row>
    <row r="2391">
      <c r="A2391" s="13">
        <v>45901.0</v>
      </c>
      <c r="B2391" s="14" t="s">
        <v>47</v>
      </c>
      <c r="C2391" s="14" t="s">
        <v>48</v>
      </c>
      <c r="D2391" s="14" t="s">
        <v>155</v>
      </c>
      <c r="E2391" s="14" t="s">
        <v>156</v>
      </c>
      <c r="F2391" s="15" t="s">
        <v>51</v>
      </c>
      <c r="G2391" s="14" t="s">
        <v>157</v>
      </c>
      <c r="H2391" s="14" t="s">
        <v>155</v>
      </c>
      <c r="I2391" s="14" t="s">
        <v>59</v>
      </c>
      <c r="J2391" s="14" t="s">
        <v>198</v>
      </c>
      <c r="K2391" s="14" t="s">
        <v>205</v>
      </c>
      <c r="L2391" s="14" t="s">
        <v>274</v>
      </c>
      <c r="M2391" s="14" t="s">
        <v>451</v>
      </c>
      <c r="N2391" s="14" t="s">
        <v>452</v>
      </c>
      <c r="O2391" s="14">
        <v>0.0</v>
      </c>
      <c r="P2391" s="21">
        <v>0.0</v>
      </c>
      <c r="Q2391" s="22" t="str">
        <f t="shared" si="1395"/>
        <v>+0</v>
      </c>
      <c r="S2391" s="14" t="s">
        <v>281</v>
      </c>
    </row>
    <row r="2392">
      <c r="A2392" s="13">
        <v>45901.0</v>
      </c>
      <c r="B2392" s="14" t="s">
        <v>47</v>
      </c>
      <c r="C2392" s="14" t="s">
        <v>48</v>
      </c>
      <c r="D2392" s="14" t="s">
        <v>155</v>
      </c>
      <c r="E2392" s="14" t="s">
        <v>156</v>
      </c>
      <c r="F2392" s="15" t="s">
        <v>51</v>
      </c>
      <c r="G2392" s="14" t="s">
        <v>157</v>
      </c>
      <c r="H2392" s="14" t="s">
        <v>155</v>
      </c>
      <c r="I2392" s="14" t="s">
        <v>59</v>
      </c>
      <c r="J2392" s="14" t="s">
        <v>198</v>
      </c>
      <c r="K2392" s="14" t="s">
        <v>205</v>
      </c>
      <c r="L2392" s="14" t="s">
        <v>274</v>
      </c>
      <c r="M2392" s="14" t="s">
        <v>425</v>
      </c>
      <c r="N2392" s="14" t="s">
        <v>426</v>
      </c>
      <c r="O2392" s="14">
        <v>0.0</v>
      </c>
      <c r="P2392" s="21">
        <v>0.0</v>
      </c>
      <c r="Q2392" s="22" t="str">
        <f t="shared" si="1395"/>
        <v>+0</v>
      </c>
      <c r="S2392" s="14" t="s">
        <v>281</v>
      </c>
    </row>
    <row r="2393">
      <c r="A2393" s="13">
        <v>45901.0</v>
      </c>
      <c r="B2393" s="14" t="s">
        <v>47</v>
      </c>
      <c r="C2393" s="14" t="s">
        <v>48</v>
      </c>
      <c r="D2393" s="14" t="s">
        <v>181</v>
      </c>
      <c r="E2393" s="14" t="s">
        <v>182</v>
      </c>
      <c r="F2393" s="15" t="s">
        <v>51</v>
      </c>
      <c r="G2393" s="14" t="s">
        <v>183</v>
      </c>
      <c r="H2393" s="14" t="s">
        <v>181</v>
      </c>
      <c r="I2393" s="14" t="s">
        <v>59</v>
      </c>
      <c r="J2393" s="14" t="s">
        <v>200</v>
      </c>
      <c r="K2393" s="14" t="s">
        <v>232</v>
      </c>
      <c r="L2393" s="14" t="s">
        <v>261</v>
      </c>
      <c r="M2393" s="14" t="s">
        <v>1338</v>
      </c>
      <c r="N2393" s="14" t="s">
        <v>1339</v>
      </c>
      <c r="O2393" s="14">
        <v>0.0</v>
      </c>
      <c r="P2393" s="23">
        <v>0.0</v>
      </c>
      <c r="Q2393" s="22" t="str">
        <f t="shared" ref="Q2393:R2393" si="1396">"+0.00%"</f>
        <v>+0.00%</v>
      </c>
      <c r="R2393" s="18" t="str">
        <f t="shared" si="1396"/>
        <v>+0.00%</v>
      </c>
      <c r="S2393" s="14" t="s">
        <v>285</v>
      </c>
    </row>
    <row r="2394">
      <c r="A2394" s="13">
        <v>45901.0</v>
      </c>
      <c r="B2394" s="14" t="s">
        <v>47</v>
      </c>
      <c r="C2394" s="14" t="s">
        <v>48</v>
      </c>
      <c r="D2394" s="14" t="s">
        <v>56</v>
      </c>
      <c r="E2394" s="14" t="s">
        <v>57</v>
      </c>
      <c r="F2394" s="15" t="s">
        <v>51</v>
      </c>
      <c r="G2394" s="14" t="s">
        <v>58</v>
      </c>
      <c r="H2394" s="14" t="s">
        <v>56</v>
      </c>
      <c r="I2394" s="14" t="s">
        <v>59</v>
      </c>
      <c r="J2394" s="14" t="s">
        <v>200</v>
      </c>
      <c r="K2394" s="14" t="s">
        <v>223</v>
      </c>
      <c r="L2394" s="14" t="s">
        <v>257</v>
      </c>
      <c r="M2394" s="14" t="s">
        <v>493</v>
      </c>
      <c r="N2394" s="14" t="s">
        <v>494</v>
      </c>
      <c r="O2394" s="14">
        <v>100.0</v>
      </c>
      <c r="P2394" s="23">
        <v>1.0</v>
      </c>
      <c r="Q2394" s="22" t="str">
        <f t="shared" ref="Q2394:R2394" si="1397">"+0.00%"</f>
        <v>+0.00%</v>
      </c>
      <c r="R2394" s="18" t="str">
        <f t="shared" si="1397"/>
        <v>+0.00%</v>
      </c>
      <c r="S2394" s="14" t="s">
        <v>1770</v>
      </c>
    </row>
    <row r="2395">
      <c r="A2395" s="13">
        <v>45901.0</v>
      </c>
      <c r="B2395" s="14" t="s">
        <v>47</v>
      </c>
      <c r="C2395" s="14" t="s">
        <v>48</v>
      </c>
      <c r="D2395" s="14" t="s">
        <v>49</v>
      </c>
      <c r="E2395" s="14" t="s">
        <v>50</v>
      </c>
      <c r="F2395" s="15" t="s">
        <v>51</v>
      </c>
      <c r="G2395" s="14" t="s">
        <v>52</v>
      </c>
      <c r="H2395" s="14" t="s">
        <v>53</v>
      </c>
      <c r="I2395" s="14" t="s">
        <v>54</v>
      </c>
      <c r="J2395" s="14" t="s">
        <v>199</v>
      </c>
      <c r="K2395" s="14" t="s">
        <v>203</v>
      </c>
      <c r="L2395" s="14" t="s">
        <v>1095</v>
      </c>
      <c r="M2395" s="14" t="s">
        <v>1095</v>
      </c>
      <c r="N2395" s="14" t="s">
        <v>1096</v>
      </c>
      <c r="O2395" s="14">
        <v>100.0</v>
      </c>
      <c r="P2395" s="21">
        <v>1.0</v>
      </c>
      <c r="Q2395" s="22" t="str">
        <f t="shared" ref="Q2395:R2395" si="1398">"+0"</f>
        <v>+0</v>
      </c>
      <c r="R2395" s="18" t="str">
        <f t="shared" si="1398"/>
        <v>+0</v>
      </c>
      <c r="S2395" s="14" t="s">
        <v>260</v>
      </c>
    </row>
    <row r="2396">
      <c r="A2396" s="13">
        <v>45901.0</v>
      </c>
      <c r="B2396" s="14" t="s">
        <v>47</v>
      </c>
      <c r="C2396" s="14" t="s">
        <v>48</v>
      </c>
      <c r="D2396" s="14" t="s">
        <v>118</v>
      </c>
      <c r="E2396" s="14" t="s">
        <v>119</v>
      </c>
      <c r="F2396" s="15" t="s">
        <v>51</v>
      </c>
      <c r="G2396" s="14" t="s">
        <v>120</v>
      </c>
      <c r="H2396" s="14" t="s">
        <v>118</v>
      </c>
      <c r="I2396" s="14" t="s">
        <v>59</v>
      </c>
      <c r="J2396" s="14" t="s">
        <v>199</v>
      </c>
      <c r="K2396" s="14" t="s">
        <v>206</v>
      </c>
      <c r="L2396" s="14" t="s">
        <v>295</v>
      </c>
      <c r="M2396" s="14" t="s">
        <v>529</v>
      </c>
      <c r="N2396" s="14" t="s">
        <v>530</v>
      </c>
      <c r="O2396" s="14">
        <v>0.0</v>
      </c>
      <c r="P2396" s="21">
        <v>0.0</v>
      </c>
      <c r="Q2396" s="22" t="str">
        <f t="shared" ref="Q2396:R2396" si="1399">"+0"</f>
        <v>+0</v>
      </c>
      <c r="R2396" s="18" t="str">
        <f t="shared" si="1399"/>
        <v>+0</v>
      </c>
      <c r="S2396" s="14" t="s">
        <v>260</v>
      </c>
    </row>
    <row r="2397">
      <c r="A2397" s="13">
        <v>45901.0</v>
      </c>
      <c r="B2397" s="14" t="s">
        <v>47</v>
      </c>
      <c r="C2397" s="14" t="s">
        <v>48</v>
      </c>
      <c r="D2397" s="14" t="s">
        <v>63</v>
      </c>
      <c r="E2397" s="14" t="s">
        <v>64</v>
      </c>
      <c r="F2397" s="15" t="s">
        <v>51</v>
      </c>
      <c r="G2397" s="14" t="s">
        <v>65</v>
      </c>
      <c r="H2397" s="14" t="s">
        <v>63</v>
      </c>
      <c r="I2397" s="14" t="s">
        <v>54</v>
      </c>
      <c r="J2397" s="14" t="s">
        <v>198</v>
      </c>
      <c r="K2397" s="14" t="s">
        <v>210</v>
      </c>
      <c r="L2397" s="14" t="s">
        <v>264</v>
      </c>
      <c r="M2397" s="14" t="s">
        <v>1068</v>
      </c>
      <c r="N2397" s="14" t="s">
        <v>1069</v>
      </c>
      <c r="O2397" s="14">
        <v>0.0</v>
      </c>
      <c r="P2397" s="21">
        <v>0.0</v>
      </c>
      <c r="Q2397" s="22" t="str">
        <f t="shared" ref="Q2397:R2397" si="1400">"+0"</f>
        <v>+0</v>
      </c>
      <c r="R2397" s="18" t="str">
        <f t="shared" si="1400"/>
        <v>+0</v>
      </c>
      <c r="S2397" s="14" t="s">
        <v>277</v>
      </c>
    </row>
    <row r="2398">
      <c r="A2398" s="13">
        <v>45901.0</v>
      </c>
      <c r="B2398" s="14" t="s">
        <v>47</v>
      </c>
      <c r="C2398" s="14" t="s">
        <v>48</v>
      </c>
      <c r="D2398" s="14" t="s">
        <v>91</v>
      </c>
      <c r="E2398" s="14" t="s">
        <v>92</v>
      </c>
      <c r="F2398" s="14" t="s">
        <v>146</v>
      </c>
      <c r="G2398" s="14" t="s">
        <v>147</v>
      </c>
      <c r="H2398" s="14" t="s">
        <v>91</v>
      </c>
      <c r="I2398" s="14" t="s">
        <v>107</v>
      </c>
      <c r="J2398" s="14" t="s">
        <v>199</v>
      </c>
      <c r="K2398" s="14" t="s">
        <v>206</v>
      </c>
      <c r="L2398" s="14" t="s">
        <v>569</v>
      </c>
      <c r="M2398" s="14" t="s">
        <v>569</v>
      </c>
      <c r="N2398" s="14" t="s">
        <v>570</v>
      </c>
      <c r="O2398" s="14">
        <v>100.0</v>
      </c>
      <c r="P2398" s="21">
        <v>10.0</v>
      </c>
      <c r="Q2398" s="22" t="str">
        <f>"-2"</f>
        <v>-2</v>
      </c>
      <c r="R2398" s="18" t="str">
        <f>"-7"</f>
        <v>-7</v>
      </c>
      <c r="S2398" s="14" t="s">
        <v>383</v>
      </c>
    </row>
    <row r="2399">
      <c r="A2399" s="13">
        <v>45901.0</v>
      </c>
      <c r="B2399" s="14" t="s">
        <v>47</v>
      </c>
      <c r="C2399" s="14" t="s">
        <v>48</v>
      </c>
      <c r="D2399" s="14" t="s">
        <v>91</v>
      </c>
      <c r="E2399" s="14" t="s">
        <v>92</v>
      </c>
      <c r="F2399" s="14" t="s">
        <v>71</v>
      </c>
      <c r="G2399" s="14">
        <v>1.00005882E8</v>
      </c>
      <c r="H2399" s="14" t="s">
        <v>91</v>
      </c>
      <c r="I2399" s="14" t="s">
        <v>59</v>
      </c>
      <c r="J2399" s="14" t="s">
        <v>200</v>
      </c>
      <c r="K2399" s="14" t="s">
        <v>218</v>
      </c>
      <c r="L2399" s="14" t="s">
        <v>253</v>
      </c>
      <c r="M2399" s="14" t="s">
        <v>463</v>
      </c>
      <c r="N2399" s="14" t="s">
        <v>464</v>
      </c>
      <c r="O2399" s="14">
        <v>1.0</v>
      </c>
      <c r="P2399" s="23">
        <v>0.0029</v>
      </c>
      <c r="Q2399" s="22" t="str">
        <f>"+0.04%"</f>
        <v>+0.04%</v>
      </c>
      <c r="R2399" s="18" t="str">
        <f>"+0.05%"</f>
        <v>+0.05%</v>
      </c>
      <c r="S2399" s="14" t="s">
        <v>1390</v>
      </c>
    </row>
    <row r="2400">
      <c r="A2400" s="13">
        <v>45901.0</v>
      </c>
      <c r="B2400" s="14" t="s">
        <v>47</v>
      </c>
      <c r="C2400" s="14" t="s">
        <v>48</v>
      </c>
      <c r="D2400" s="14" t="s">
        <v>108</v>
      </c>
      <c r="E2400" s="14" t="s">
        <v>109</v>
      </c>
      <c r="F2400" s="15" t="s">
        <v>51</v>
      </c>
      <c r="G2400" s="14" t="s">
        <v>110</v>
      </c>
      <c r="H2400" s="14" t="s">
        <v>108</v>
      </c>
      <c r="I2400" s="14" t="s">
        <v>59</v>
      </c>
      <c r="J2400" s="14" t="s">
        <v>200</v>
      </c>
      <c r="K2400" s="14" t="s">
        <v>202</v>
      </c>
      <c r="L2400" s="14" t="s">
        <v>253</v>
      </c>
      <c r="M2400" s="14" t="s">
        <v>874</v>
      </c>
      <c r="N2400" s="14" t="s">
        <v>875</v>
      </c>
      <c r="O2400" s="14">
        <v>49.0</v>
      </c>
      <c r="P2400" s="23">
        <v>0.5</v>
      </c>
      <c r="Q2400" s="22"/>
      <c r="S2400" s="14" t="s">
        <v>1771</v>
      </c>
    </row>
    <row r="2401">
      <c r="A2401" s="13">
        <v>45901.0</v>
      </c>
      <c r="B2401" s="14" t="s">
        <v>47</v>
      </c>
      <c r="C2401" s="14" t="s">
        <v>48</v>
      </c>
      <c r="D2401" s="14" t="s">
        <v>93</v>
      </c>
      <c r="E2401" s="14" t="s">
        <v>94</v>
      </c>
      <c r="F2401" s="14" t="s">
        <v>71</v>
      </c>
      <c r="G2401" s="14">
        <v>5.36001438E8</v>
      </c>
      <c r="H2401" s="14" t="s">
        <v>95</v>
      </c>
      <c r="I2401" s="14" t="s">
        <v>59</v>
      </c>
      <c r="J2401" s="14" t="s">
        <v>199</v>
      </c>
      <c r="K2401" s="14" t="s">
        <v>206</v>
      </c>
      <c r="L2401" s="14" t="s">
        <v>295</v>
      </c>
      <c r="M2401" s="14" t="s">
        <v>296</v>
      </c>
      <c r="N2401" s="14" t="s">
        <v>297</v>
      </c>
      <c r="O2401" s="14">
        <v>0.0</v>
      </c>
      <c r="P2401" s="21">
        <v>0.0</v>
      </c>
      <c r="Q2401" s="22" t="str">
        <f t="shared" ref="Q2401:R2401" si="1401">"+0"</f>
        <v>+0</v>
      </c>
      <c r="R2401" s="18" t="str">
        <f t="shared" si="1401"/>
        <v>+0</v>
      </c>
      <c r="S2401" s="14" t="s">
        <v>260</v>
      </c>
    </row>
    <row r="2402">
      <c r="A2402" s="13">
        <v>45901.0</v>
      </c>
      <c r="B2402" s="14" t="s">
        <v>47</v>
      </c>
      <c r="C2402" s="14" t="s">
        <v>48</v>
      </c>
      <c r="D2402" s="14" t="s">
        <v>184</v>
      </c>
      <c r="E2402" s="14" t="s">
        <v>185</v>
      </c>
      <c r="F2402" s="15" t="s">
        <v>51</v>
      </c>
      <c r="G2402" s="14" t="s">
        <v>186</v>
      </c>
      <c r="H2402" s="14" t="s">
        <v>187</v>
      </c>
      <c r="I2402" s="14" t="s">
        <v>59</v>
      </c>
      <c r="J2402" s="14" t="s">
        <v>199</v>
      </c>
      <c r="K2402" s="14" t="s">
        <v>203</v>
      </c>
      <c r="L2402" s="14" t="s">
        <v>601</v>
      </c>
      <c r="M2402" s="14" t="s">
        <v>601</v>
      </c>
      <c r="N2402" s="14" t="s">
        <v>602</v>
      </c>
      <c r="O2402" s="14">
        <v>0.0</v>
      </c>
      <c r="P2402" s="21">
        <v>0.0</v>
      </c>
      <c r="Q2402" s="22" t="str">
        <f t="shared" ref="Q2402:R2402" si="1402">"+0"</f>
        <v>+0</v>
      </c>
      <c r="R2402" s="18" t="str">
        <f t="shared" si="1402"/>
        <v>+0</v>
      </c>
      <c r="S2402" s="14" t="s">
        <v>260</v>
      </c>
    </row>
    <row r="2403">
      <c r="A2403" s="13">
        <v>45901.0</v>
      </c>
      <c r="B2403" s="14" t="s">
        <v>47</v>
      </c>
      <c r="C2403" s="14" t="s">
        <v>48</v>
      </c>
      <c r="D2403" s="14" t="s">
        <v>73</v>
      </c>
      <c r="E2403" s="14" t="s">
        <v>74</v>
      </c>
      <c r="F2403" s="15" t="s">
        <v>51</v>
      </c>
      <c r="G2403" s="14" t="s">
        <v>75</v>
      </c>
      <c r="H2403" s="14" t="s">
        <v>76</v>
      </c>
      <c r="I2403" s="14" t="s">
        <v>59</v>
      </c>
      <c r="J2403" s="14" t="s">
        <v>200</v>
      </c>
      <c r="K2403" s="14" t="s">
        <v>232</v>
      </c>
      <c r="L2403" s="14" t="s">
        <v>710</v>
      </c>
      <c r="M2403" s="14" t="s">
        <v>1302</v>
      </c>
      <c r="N2403" s="14" t="s">
        <v>1303</v>
      </c>
      <c r="O2403" s="14">
        <v>0.0</v>
      </c>
      <c r="P2403" s="23">
        <v>0.0</v>
      </c>
      <c r="Q2403" s="22" t="str">
        <f t="shared" ref="Q2403:R2403" si="1403">"+0.00%"</f>
        <v>+0.00%</v>
      </c>
      <c r="R2403" s="18" t="str">
        <f t="shared" si="1403"/>
        <v>+0.00%</v>
      </c>
      <c r="S2403" s="14" t="s">
        <v>1772</v>
      </c>
    </row>
    <row r="2404">
      <c r="A2404" s="13">
        <v>45901.0</v>
      </c>
      <c r="B2404" s="14" t="s">
        <v>47</v>
      </c>
      <c r="C2404" s="14" t="s">
        <v>48</v>
      </c>
      <c r="D2404" s="14" t="s">
        <v>73</v>
      </c>
      <c r="E2404" s="14" t="s">
        <v>74</v>
      </c>
      <c r="F2404" s="15" t="s">
        <v>51</v>
      </c>
      <c r="G2404" s="14" t="s">
        <v>75</v>
      </c>
      <c r="H2404" s="14" t="s">
        <v>76</v>
      </c>
      <c r="I2404" s="14" t="s">
        <v>59</v>
      </c>
      <c r="J2404" s="14" t="s">
        <v>200</v>
      </c>
      <c r="K2404" s="14" t="s">
        <v>232</v>
      </c>
      <c r="L2404" s="14" t="s">
        <v>375</v>
      </c>
      <c r="M2404" s="14" t="s">
        <v>376</v>
      </c>
      <c r="N2404" s="14" t="s">
        <v>377</v>
      </c>
      <c r="O2404" s="14">
        <v>0.0</v>
      </c>
      <c r="P2404" s="23">
        <v>0.0</v>
      </c>
      <c r="Q2404" s="22" t="str">
        <f t="shared" ref="Q2404:R2404" si="1404">"+0.00%"</f>
        <v>+0.00%</v>
      </c>
      <c r="R2404" s="18" t="str">
        <f t="shared" si="1404"/>
        <v>+0.00%</v>
      </c>
      <c r="S2404" s="14" t="s">
        <v>1773</v>
      </c>
    </row>
    <row r="2405">
      <c r="A2405" s="13">
        <v>45901.0</v>
      </c>
      <c r="B2405" s="14" t="s">
        <v>47</v>
      </c>
      <c r="C2405" s="14" t="s">
        <v>48</v>
      </c>
      <c r="D2405" s="14" t="s">
        <v>87</v>
      </c>
      <c r="E2405" s="14" t="s">
        <v>88</v>
      </c>
      <c r="F2405" s="15" t="s">
        <v>51</v>
      </c>
      <c r="G2405" s="14" t="s">
        <v>89</v>
      </c>
      <c r="H2405" s="14" t="s">
        <v>90</v>
      </c>
      <c r="I2405" s="14" t="s">
        <v>59</v>
      </c>
      <c r="J2405" s="14" t="s">
        <v>199</v>
      </c>
      <c r="K2405" s="14" t="s">
        <v>203</v>
      </c>
      <c r="L2405" s="14" t="s">
        <v>340</v>
      </c>
      <c r="M2405" s="14" t="s">
        <v>340</v>
      </c>
      <c r="N2405" s="14" t="s">
        <v>341</v>
      </c>
      <c r="O2405" s="14">
        <v>0.0</v>
      </c>
      <c r="P2405" s="21">
        <v>0.0</v>
      </c>
      <c r="Q2405" s="22" t="str">
        <f t="shared" ref="Q2405:R2405" si="1405">"+0"</f>
        <v>+0</v>
      </c>
      <c r="R2405" s="18" t="str">
        <f t="shared" si="1405"/>
        <v>+0</v>
      </c>
      <c r="S2405" s="14" t="s">
        <v>260</v>
      </c>
    </row>
    <row r="2406">
      <c r="A2406" s="13">
        <v>45901.0</v>
      </c>
      <c r="B2406" s="14" t="s">
        <v>47</v>
      </c>
      <c r="C2406" s="14" t="s">
        <v>48</v>
      </c>
      <c r="D2406" s="14" t="s">
        <v>149</v>
      </c>
      <c r="E2406" s="14" t="s">
        <v>150</v>
      </c>
      <c r="F2406" s="15" t="s">
        <v>51</v>
      </c>
      <c r="G2406" s="14" t="s">
        <v>151</v>
      </c>
      <c r="H2406" s="14" t="s">
        <v>152</v>
      </c>
      <c r="I2406" s="14" t="s">
        <v>54</v>
      </c>
      <c r="J2406" s="14" t="s">
        <v>200</v>
      </c>
      <c r="K2406" s="14" t="s">
        <v>223</v>
      </c>
      <c r="L2406" s="14" t="s">
        <v>304</v>
      </c>
      <c r="M2406" s="14" t="s">
        <v>688</v>
      </c>
      <c r="N2406" s="14" t="s">
        <v>689</v>
      </c>
      <c r="O2406" s="14">
        <v>4.0</v>
      </c>
      <c r="P2406" s="23">
        <v>0.0449</v>
      </c>
      <c r="Q2406" s="22" t="str">
        <f>"-0.45%"</f>
        <v>-0.45%</v>
      </c>
      <c r="R2406" s="18" t="str">
        <f>"+0.20%"</f>
        <v>+0.20%</v>
      </c>
      <c r="S2406" s="14" t="s">
        <v>1774</v>
      </c>
    </row>
    <row r="2407">
      <c r="A2407" s="13">
        <v>45901.0</v>
      </c>
      <c r="B2407" s="14" t="s">
        <v>47</v>
      </c>
      <c r="C2407" s="14" t="s">
        <v>48</v>
      </c>
      <c r="D2407" s="14" t="s">
        <v>87</v>
      </c>
      <c r="E2407" s="14" t="s">
        <v>88</v>
      </c>
      <c r="F2407" s="15" t="s">
        <v>51</v>
      </c>
      <c r="G2407" s="14" t="s">
        <v>89</v>
      </c>
      <c r="H2407" s="14" t="s">
        <v>90</v>
      </c>
      <c r="I2407" s="14" t="s">
        <v>59</v>
      </c>
      <c r="J2407" s="14" t="s">
        <v>198</v>
      </c>
      <c r="K2407" s="14" t="s">
        <v>205</v>
      </c>
      <c r="L2407" s="14" t="s">
        <v>274</v>
      </c>
      <c r="M2407" s="14" t="s">
        <v>425</v>
      </c>
      <c r="N2407" s="14" t="s">
        <v>426</v>
      </c>
      <c r="O2407" s="14">
        <v>0.0</v>
      </c>
      <c r="P2407" s="21">
        <v>0.0</v>
      </c>
      <c r="Q2407" s="22" t="str">
        <f>"+0"</f>
        <v>+0</v>
      </c>
      <c r="S2407" s="14" t="s">
        <v>281</v>
      </c>
    </row>
    <row r="2408">
      <c r="A2408" s="13">
        <v>45901.0</v>
      </c>
      <c r="B2408" s="14" t="s">
        <v>47</v>
      </c>
      <c r="C2408" s="14" t="s">
        <v>48</v>
      </c>
      <c r="D2408" s="14" t="s">
        <v>87</v>
      </c>
      <c r="E2408" s="14" t="s">
        <v>88</v>
      </c>
      <c r="F2408" s="15" t="s">
        <v>51</v>
      </c>
      <c r="G2408" s="14" t="s">
        <v>89</v>
      </c>
      <c r="H2408" s="14" t="s">
        <v>90</v>
      </c>
      <c r="I2408" s="14" t="s">
        <v>59</v>
      </c>
      <c r="J2408" s="14" t="s">
        <v>200</v>
      </c>
      <c r="K2408" s="14" t="s">
        <v>223</v>
      </c>
      <c r="L2408" s="14" t="s">
        <v>607</v>
      </c>
      <c r="M2408" s="14" t="s">
        <v>869</v>
      </c>
      <c r="N2408" s="14" t="s">
        <v>870</v>
      </c>
      <c r="O2408" s="14">
        <v>31.0</v>
      </c>
      <c r="P2408" s="23">
        <v>-0.3672</v>
      </c>
      <c r="Q2408" s="22" t="str">
        <f>"+47.69%"</f>
        <v>+47.69%</v>
      </c>
      <c r="R2408" s="18" t="str">
        <f>"-75.98%"</f>
        <v>-75.98%</v>
      </c>
      <c r="S2408" s="14" t="s">
        <v>1775</v>
      </c>
    </row>
    <row r="2409">
      <c r="A2409" s="13">
        <v>45901.0</v>
      </c>
      <c r="B2409" s="14" t="s">
        <v>47</v>
      </c>
      <c r="C2409" s="14" t="s">
        <v>48</v>
      </c>
      <c r="D2409" s="14" t="s">
        <v>69</v>
      </c>
      <c r="E2409" s="14" t="s">
        <v>70</v>
      </c>
      <c r="F2409" s="15" t="s">
        <v>51</v>
      </c>
      <c r="G2409" s="14" t="s">
        <v>115</v>
      </c>
      <c r="H2409" s="14" t="s">
        <v>72</v>
      </c>
      <c r="I2409" s="14" t="s">
        <v>54</v>
      </c>
      <c r="J2409" s="14" t="s">
        <v>200</v>
      </c>
      <c r="K2409" s="14" t="s">
        <v>213</v>
      </c>
      <c r="L2409" s="14" t="s">
        <v>307</v>
      </c>
      <c r="M2409" s="14" t="s">
        <v>1176</v>
      </c>
      <c r="N2409" s="14" t="s">
        <v>1177</v>
      </c>
      <c r="O2409" s="14">
        <v>0.0</v>
      </c>
      <c r="P2409" s="23">
        <v>0.0</v>
      </c>
      <c r="Q2409" s="22" t="str">
        <f t="shared" ref="Q2409:R2409" si="1406">"+0.00%"</f>
        <v>+0.00%</v>
      </c>
      <c r="R2409" s="18" t="str">
        <f t="shared" si="1406"/>
        <v>+0.00%</v>
      </c>
      <c r="S2409" s="14" t="s">
        <v>285</v>
      </c>
    </row>
    <row r="2410">
      <c r="A2410" s="13">
        <v>45901.0</v>
      </c>
      <c r="B2410" s="14" t="s">
        <v>47</v>
      </c>
      <c r="C2410" s="14" t="s">
        <v>48</v>
      </c>
      <c r="D2410" s="14" t="s">
        <v>125</v>
      </c>
      <c r="E2410" s="14" t="s">
        <v>126</v>
      </c>
      <c r="F2410" s="15" t="s">
        <v>51</v>
      </c>
      <c r="G2410" s="14" t="s">
        <v>127</v>
      </c>
      <c r="H2410" s="14" t="s">
        <v>125</v>
      </c>
      <c r="I2410" s="14" t="s">
        <v>59</v>
      </c>
      <c r="J2410" s="14" t="s">
        <v>200</v>
      </c>
      <c r="K2410" s="14" t="s">
        <v>232</v>
      </c>
      <c r="L2410" s="14" t="s">
        <v>607</v>
      </c>
      <c r="M2410" s="14" t="s">
        <v>1035</v>
      </c>
      <c r="N2410" s="14" t="s">
        <v>1036</v>
      </c>
      <c r="O2410" s="14">
        <v>0.0</v>
      </c>
      <c r="P2410" s="23">
        <v>0.0</v>
      </c>
      <c r="Q2410" s="22" t="str">
        <f t="shared" ref="Q2410:R2410" si="1407">"+0.00%"</f>
        <v>+0.00%</v>
      </c>
      <c r="R2410" s="18" t="str">
        <f t="shared" si="1407"/>
        <v>+0.00%</v>
      </c>
      <c r="S2410" s="14" t="s">
        <v>1776</v>
      </c>
    </row>
    <row r="2411">
      <c r="A2411" s="13">
        <v>45901.0</v>
      </c>
      <c r="B2411" s="14" t="s">
        <v>47</v>
      </c>
      <c r="C2411" s="14" t="s">
        <v>48</v>
      </c>
      <c r="D2411" s="14" t="s">
        <v>96</v>
      </c>
      <c r="E2411" s="14" t="s">
        <v>97</v>
      </c>
      <c r="F2411" s="15" t="s">
        <v>51</v>
      </c>
      <c r="G2411" s="14" t="s">
        <v>98</v>
      </c>
      <c r="H2411" s="14" t="s">
        <v>96</v>
      </c>
      <c r="I2411" s="14" t="s">
        <v>59</v>
      </c>
      <c r="J2411" s="14" t="s">
        <v>198</v>
      </c>
      <c r="K2411" s="14" t="s">
        <v>205</v>
      </c>
      <c r="L2411" s="14" t="s">
        <v>274</v>
      </c>
      <c r="M2411" s="14" t="s">
        <v>575</v>
      </c>
      <c r="N2411" s="14" t="s">
        <v>576</v>
      </c>
      <c r="O2411" s="14">
        <v>100.0</v>
      </c>
      <c r="P2411" s="21">
        <v>90.0</v>
      </c>
      <c r="Q2411" s="22" t="str">
        <f t="shared" ref="Q2411:Q2418" si="1408">"+0"</f>
        <v>+0</v>
      </c>
      <c r="S2411" s="14" t="s">
        <v>577</v>
      </c>
    </row>
    <row r="2412">
      <c r="A2412" s="13">
        <v>45901.0</v>
      </c>
      <c r="B2412" s="14" t="s">
        <v>47</v>
      </c>
      <c r="C2412" s="14" t="s">
        <v>48</v>
      </c>
      <c r="D2412" s="14" t="s">
        <v>77</v>
      </c>
      <c r="E2412" s="14" t="s">
        <v>78</v>
      </c>
      <c r="F2412" s="15" t="s">
        <v>51</v>
      </c>
      <c r="G2412" s="14" t="s">
        <v>128</v>
      </c>
      <c r="H2412" s="14" t="s">
        <v>81</v>
      </c>
      <c r="I2412" s="14" t="s">
        <v>59</v>
      </c>
      <c r="J2412" s="14" t="s">
        <v>200</v>
      </c>
      <c r="K2412" s="14" t="s">
        <v>223</v>
      </c>
      <c r="L2412" s="14" t="s">
        <v>359</v>
      </c>
      <c r="M2412" s="14" t="s">
        <v>628</v>
      </c>
      <c r="N2412" s="14" t="s">
        <v>629</v>
      </c>
      <c r="O2412" s="14">
        <v>0.0</v>
      </c>
      <c r="P2412" s="21">
        <v>0.0</v>
      </c>
      <c r="Q2412" s="22" t="str">
        <f t="shared" si="1408"/>
        <v>+0</v>
      </c>
      <c r="R2412" s="18" t="str">
        <f t="shared" ref="R2412:R2416" si="1409">"+0"</f>
        <v>+0</v>
      </c>
      <c r="S2412" s="14" t="s">
        <v>260</v>
      </c>
    </row>
    <row r="2413">
      <c r="A2413" s="13">
        <v>45901.0</v>
      </c>
      <c r="B2413" s="14" t="s">
        <v>47</v>
      </c>
      <c r="C2413" s="14" t="s">
        <v>48</v>
      </c>
      <c r="D2413" s="14" t="s">
        <v>108</v>
      </c>
      <c r="E2413" s="14" t="s">
        <v>109</v>
      </c>
      <c r="F2413" s="15" t="s">
        <v>51</v>
      </c>
      <c r="G2413" s="14" t="s">
        <v>110</v>
      </c>
      <c r="H2413" s="14" t="s">
        <v>108</v>
      </c>
      <c r="I2413" s="14" t="s">
        <v>59</v>
      </c>
      <c r="J2413" s="14" t="s">
        <v>198</v>
      </c>
      <c r="K2413" s="14" t="s">
        <v>210</v>
      </c>
      <c r="L2413" s="14" t="s">
        <v>264</v>
      </c>
      <c r="M2413" s="14" t="s">
        <v>357</v>
      </c>
      <c r="N2413" s="14" t="s">
        <v>358</v>
      </c>
      <c r="O2413" s="14">
        <v>100.0</v>
      </c>
      <c r="P2413" s="21">
        <v>0.0</v>
      </c>
      <c r="Q2413" s="22" t="str">
        <f t="shared" si="1408"/>
        <v>+0</v>
      </c>
      <c r="R2413" s="18" t="str">
        <f t="shared" si="1409"/>
        <v>+0</v>
      </c>
      <c r="S2413" s="14" t="s">
        <v>281</v>
      </c>
    </row>
    <row r="2414">
      <c r="A2414" s="13">
        <v>45901.0</v>
      </c>
      <c r="B2414" s="14" t="s">
        <v>47</v>
      </c>
      <c r="C2414" s="14" t="s">
        <v>48</v>
      </c>
      <c r="D2414" s="14" t="s">
        <v>158</v>
      </c>
      <c r="E2414" s="14" t="s">
        <v>159</v>
      </c>
      <c r="F2414" s="15" t="s">
        <v>51</v>
      </c>
      <c r="G2414" s="14" t="s">
        <v>160</v>
      </c>
      <c r="H2414" s="14" t="s">
        <v>158</v>
      </c>
      <c r="I2414" s="14" t="s">
        <v>54</v>
      </c>
      <c r="J2414" s="14" t="s">
        <v>198</v>
      </c>
      <c r="K2414" s="14" t="s">
        <v>210</v>
      </c>
      <c r="L2414" s="14" t="s">
        <v>505</v>
      </c>
      <c r="M2414" s="14" t="s">
        <v>506</v>
      </c>
      <c r="N2414" s="14" t="s">
        <v>507</v>
      </c>
      <c r="O2414" s="14">
        <v>100.0</v>
      </c>
      <c r="P2414" s="21">
        <v>0.0</v>
      </c>
      <c r="Q2414" s="22" t="str">
        <f t="shared" si="1408"/>
        <v>+0</v>
      </c>
      <c r="R2414" s="18" t="str">
        <f t="shared" si="1409"/>
        <v>+0</v>
      </c>
      <c r="S2414" s="14" t="s">
        <v>281</v>
      </c>
    </row>
    <row r="2415">
      <c r="A2415" s="13">
        <v>45901.0</v>
      </c>
      <c r="B2415" s="14" t="s">
        <v>47</v>
      </c>
      <c r="C2415" s="14" t="s">
        <v>48</v>
      </c>
      <c r="D2415" s="14" t="s">
        <v>116</v>
      </c>
      <c r="E2415" s="14" t="s">
        <v>117</v>
      </c>
      <c r="F2415" s="15" t="s">
        <v>51</v>
      </c>
      <c r="G2415" s="14" t="s">
        <v>161</v>
      </c>
      <c r="H2415" s="14" t="s">
        <v>116</v>
      </c>
      <c r="I2415" s="14" t="s">
        <v>54</v>
      </c>
      <c r="J2415" s="14" t="s">
        <v>198</v>
      </c>
      <c r="K2415" s="14" t="s">
        <v>210</v>
      </c>
      <c r="L2415" s="14" t="s">
        <v>278</v>
      </c>
      <c r="M2415" s="14" t="s">
        <v>1485</v>
      </c>
      <c r="N2415" s="14" t="s">
        <v>1486</v>
      </c>
      <c r="O2415" s="14">
        <v>0.0</v>
      </c>
      <c r="P2415" s="21">
        <v>0.0</v>
      </c>
      <c r="Q2415" s="22" t="str">
        <f t="shared" si="1408"/>
        <v>+0</v>
      </c>
      <c r="R2415" s="18" t="str">
        <f t="shared" si="1409"/>
        <v>+0</v>
      </c>
      <c r="S2415" s="14" t="s">
        <v>277</v>
      </c>
    </row>
    <row r="2416">
      <c r="A2416" s="13">
        <v>45901.0</v>
      </c>
      <c r="B2416" s="14" t="s">
        <v>47</v>
      </c>
      <c r="C2416" s="14" t="s">
        <v>48</v>
      </c>
      <c r="D2416" s="14" t="s">
        <v>116</v>
      </c>
      <c r="E2416" s="14" t="s">
        <v>117</v>
      </c>
      <c r="F2416" s="15" t="s">
        <v>51</v>
      </c>
      <c r="G2416" s="14" t="s">
        <v>161</v>
      </c>
      <c r="H2416" s="14" t="s">
        <v>116</v>
      </c>
      <c r="I2416" s="14" t="s">
        <v>54</v>
      </c>
      <c r="J2416" s="14" t="s">
        <v>200</v>
      </c>
      <c r="K2416" s="14" t="s">
        <v>222</v>
      </c>
      <c r="L2416" s="14" t="s">
        <v>301</v>
      </c>
      <c r="M2416" s="14" t="s">
        <v>302</v>
      </c>
      <c r="N2416" s="14" t="s">
        <v>303</v>
      </c>
      <c r="O2416" s="14">
        <v>0.0</v>
      </c>
      <c r="P2416" s="21">
        <v>0.0</v>
      </c>
      <c r="Q2416" s="22" t="str">
        <f t="shared" si="1408"/>
        <v>+0</v>
      </c>
      <c r="R2416" s="18" t="str">
        <f t="shared" si="1409"/>
        <v>+0</v>
      </c>
      <c r="S2416" s="14" t="s">
        <v>260</v>
      </c>
    </row>
    <row r="2417">
      <c r="A2417" s="13">
        <v>45901.0</v>
      </c>
      <c r="B2417" s="14" t="s">
        <v>47</v>
      </c>
      <c r="C2417" s="14" t="s">
        <v>48</v>
      </c>
      <c r="D2417" s="14" t="s">
        <v>116</v>
      </c>
      <c r="E2417" s="14" t="s">
        <v>117</v>
      </c>
      <c r="F2417" s="15" t="s">
        <v>51</v>
      </c>
      <c r="G2417" s="14" t="s">
        <v>161</v>
      </c>
      <c r="H2417" s="14" t="s">
        <v>116</v>
      </c>
      <c r="I2417" s="14" t="s">
        <v>54</v>
      </c>
      <c r="J2417" s="14" t="s">
        <v>198</v>
      </c>
      <c r="K2417" s="14" t="s">
        <v>205</v>
      </c>
      <c r="L2417" s="14" t="s">
        <v>274</v>
      </c>
      <c r="M2417" s="14" t="s">
        <v>482</v>
      </c>
      <c r="N2417" s="14" t="s">
        <v>483</v>
      </c>
      <c r="O2417" s="14">
        <v>100.0</v>
      </c>
      <c r="P2417" s="21">
        <v>8.0</v>
      </c>
      <c r="Q2417" s="22" t="str">
        <f t="shared" si="1408"/>
        <v>+0</v>
      </c>
      <c r="S2417" s="14" t="s">
        <v>484</v>
      </c>
    </row>
    <row r="2418">
      <c r="A2418" s="13">
        <v>45901.0</v>
      </c>
      <c r="B2418" s="14" t="s">
        <v>47</v>
      </c>
      <c r="C2418" s="14" t="s">
        <v>48</v>
      </c>
      <c r="D2418" s="14" t="s">
        <v>108</v>
      </c>
      <c r="E2418" s="14" t="s">
        <v>109</v>
      </c>
      <c r="F2418" s="14" t="s">
        <v>79</v>
      </c>
      <c r="G2418" s="14" t="s">
        <v>153</v>
      </c>
      <c r="H2418" s="14" t="s">
        <v>108</v>
      </c>
      <c r="I2418" s="14" t="s">
        <v>154</v>
      </c>
      <c r="J2418" s="14" t="s">
        <v>199</v>
      </c>
      <c r="K2418" s="14" t="s">
        <v>206</v>
      </c>
      <c r="L2418" s="14" t="s">
        <v>569</v>
      </c>
      <c r="M2418" s="14" t="s">
        <v>569</v>
      </c>
      <c r="N2418" s="14" t="s">
        <v>570</v>
      </c>
      <c r="O2418" s="14">
        <v>0.0</v>
      </c>
      <c r="P2418" s="21">
        <v>0.0</v>
      </c>
      <c r="Q2418" s="22" t="str">
        <f t="shared" si="1408"/>
        <v>+0</v>
      </c>
      <c r="S2418" s="14" t="s">
        <v>383</v>
      </c>
    </row>
    <row r="2419">
      <c r="A2419" s="13">
        <v>45901.0</v>
      </c>
      <c r="B2419" s="14" t="s">
        <v>47</v>
      </c>
      <c r="C2419" s="14" t="s">
        <v>48</v>
      </c>
      <c r="D2419" s="14" t="s">
        <v>77</v>
      </c>
      <c r="E2419" s="14" t="s">
        <v>78</v>
      </c>
      <c r="F2419" s="15" t="s">
        <v>51</v>
      </c>
      <c r="G2419" s="14" t="s">
        <v>128</v>
      </c>
      <c r="H2419" s="14" t="s">
        <v>81</v>
      </c>
      <c r="I2419" s="14" t="s">
        <v>59</v>
      </c>
      <c r="J2419" s="14" t="s">
        <v>200</v>
      </c>
      <c r="K2419" s="14" t="s">
        <v>216</v>
      </c>
      <c r="L2419" s="14" t="s">
        <v>253</v>
      </c>
      <c r="M2419" s="14" t="s">
        <v>1777</v>
      </c>
      <c r="N2419" s="14" t="s">
        <v>1778</v>
      </c>
      <c r="O2419" s="14">
        <v>0.0</v>
      </c>
      <c r="P2419" s="17"/>
      <c r="Q2419" s="22"/>
      <c r="S2419" s="14" t="s">
        <v>1779</v>
      </c>
    </row>
    <row r="2420">
      <c r="A2420" s="13">
        <v>45901.0</v>
      </c>
      <c r="B2420" s="14" t="s">
        <v>47</v>
      </c>
      <c r="C2420" s="14" t="s">
        <v>48</v>
      </c>
      <c r="D2420" s="14" t="s">
        <v>60</v>
      </c>
      <c r="E2420" s="14" t="s">
        <v>61</v>
      </c>
      <c r="F2420" s="15" t="s">
        <v>51</v>
      </c>
      <c r="G2420" s="14" t="s">
        <v>62</v>
      </c>
      <c r="H2420" s="14" t="s">
        <v>60</v>
      </c>
      <c r="I2420" s="14" t="s">
        <v>59</v>
      </c>
      <c r="J2420" s="14" t="s">
        <v>200</v>
      </c>
      <c r="K2420" s="14" t="s">
        <v>216</v>
      </c>
      <c r="L2420" s="14" t="s">
        <v>1496</v>
      </c>
      <c r="M2420" s="14" t="s">
        <v>1780</v>
      </c>
      <c r="N2420" s="14" t="s">
        <v>1781</v>
      </c>
      <c r="O2420" s="14">
        <v>0.0</v>
      </c>
      <c r="P2420" s="21">
        <v>0.0</v>
      </c>
      <c r="Q2420" s="22" t="str">
        <f t="shared" ref="Q2420:R2420" si="1410">"+0"</f>
        <v>+0</v>
      </c>
      <c r="R2420" s="18" t="str">
        <f t="shared" si="1410"/>
        <v>+0</v>
      </c>
      <c r="S2420" s="14" t="s">
        <v>327</v>
      </c>
    </row>
    <row r="2421">
      <c r="A2421" s="13">
        <v>45901.0</v>
      </c>
      <c r="B2421" s="14" t="s">
        <v>47</v>
      </c>
      <c r="C2421" s="14" t="s">
        <v>48</v>
      </c>
      <c r="D2421" s="14" t="s">
        <v>181</v>
      </c>
      <c r="E2421" s="14" t="s">
        <v>182</v>
      </c>
      <c r="F2421" s="15" t="s">
        <v>51</v>
      </c>
      <c r="G2421" s="14" t="s">
        <v>183</v>
      </c>
      <c r="H2421" s="14" t="s">
        <v>181</v>
      </c>
      <c r="I2421" s="14" t="s">
        <v>59</v>
      </c>
      <c r="J2421" s="14" t="s">
        <v>200</v>
      </c>
      <c r="K2421" s="14" t="s">
        <v>232</v>
      </c>
      <c r="L2421" s="14" t="s">
        <v>286</v>
      </c>
      <c r="M2421" s="14" t="s">
        <v>656</v>
      </c>
      <c r="N2421" s="14" t="s">
        <v>657</v>
      </c>
      <c r="O2421" s="14">
        <v>0.0</v>
      </c>
      <c r="P2421" s="23">
        <v>0.0</v>
      </c>
      <c r="Q2421" s="22" t="str">
        <f t="shared" ref="Q2421:R2421" si="1411">"+0.00%"</f>
        <v>+0.00%</v>
      </c>
      <c r="R2421" s="18" t="str">
        <f t="shared" si="1411"/>
        <v>+0.00%</v>
      </c>
      <c r="S2421" s="14" t="s">
        <v>285</v>
      </c>
    </row>
    <row r="2422">
      <c r="A2422" s="13">
        <v>45901.0</v>
      </c>
      <c r="B2422" s="14" t="s">
        <v>47</v>
      </c>
      <c r="C2422" s="14" t="s">
        <v>48</v>
      </c>
      <c r="D2422" s="14" t="s">
        <v>121</v>
      </c>
      <c r="E2422" s="14" t="s">
        <v>122</v>
      </c>
      <c r="F2422" s="15" t="s">
        <v>51</v>
      </c>
      <c r="G2422" s="14" t="s">
        <v>123</v>
      </c>
      <c r="H2422" s="14" t="s">
        <v>124</v>
      </c>
      <c r="I2422" s="14" t="s">
        <v>59</v>
      </c>
      <c r="J2422" s="14" t="s">
        <v>200</v>
      </c>
      <c r="K2422" s="14" t="s">
        <v>232</v>
      </c>
      <c r="L2422" s="14" t="s">
        <v>253</v>
      </c>
      <c r="M2422" s="14" t="s">
        <v>389</v>
      </c>
      <c r="N2422" s="14" t="s">
        <v>390</v>
      </c>
      <c r="O2422" s="14">
        <v>92.0</v>
      </c>
      <c r="P2422" s="23">
        <v>0.9286</v>
      </c>
      <c r="Q2422" s="22" t="str">
        <f>"+32.86%"</f>
        <v>+32.86%</v>
      </c>
      <c r="R2422" s="18" t="str">
        <f>"+19.52%"</f>
        <v>+19.52%</v>
      </c>
      <c r="S2422" s="14" t="s">
        <v>1782</v>
      </c>
    </row>
    <row r="2423">
      <c r="A2423" s="13">
        <v>45901.0</v>
      </c>
      <c r="B2423" s="14" t="s">
        <v>47</v>
      </c>
      <c r="C2423" s="14" t="s">
        <v>48</v>
      </c>
      <c r="D2423" s="14" t="s">
        <v>60</v>
      </c>
      <c r="E2423" s="14" t="s">
        <v>61</v>
      </c>
      <c r="F2423" s="15" t="s">
        <v>51</v>
      </c>
      <c r="G2423" s="14" t="s">
        <v>62</v>
      </c>
      <c r="H2423" s="14" t="s">
        <v>60</v>
      </c>
      <c r="I2423" s="14" t="s">
        <v>59</v>
      </c>
      <c r="J2423" s="14" t="s">
        <v>200</v>
      </c>
      <c r="K2423" s="14" t="s">
        <v>216</v>
      </c>
      <c r="L2423" s="14" t="s">
        <v>1045</v>
      </c>
      <c r="M2423" s="14" t="s">
        <v>1046</v>
      </c>
      <c r="N2423" s="14" t="s">
        <v>1047</v>
      </c>
      <c r="O2423" s="14">
        <v>0.0</v>
      </c>
      <c r="P2423" s="21">
        <v>0.0</v>
      </c>
      <c r="Q2423" s="22" t="str">
        <f t="shared" ref="Q2423:R2423" si="1412">"+0"</f>
        <v>+0</v>
      </c>
      <c r="R2423" s="18" t="str">
        <f t="shared" si="1412"/>
        <v>+0</v>
      </c>
      <c r="S2423" s="14" t="s">
        <v>327</v>
      </c>
    </row>
    <row r="2424">
      <c r="A2424" s="13">
        <v>45901.0</v>
      </c>
      <c r="B2424" s="14" t="s">
        <v>47</v>
      </c>
      <c r="C2424" s="14" t="s">
        <v>48</v>
      </c>
      <c r="D2424" s="14" t="s">
        <v>165</v>
      </c>
      <c r="E2424" s="14" t="s">
        <v>166</v>
      </c>
      <c r="F2424" s="15" t="s">
        <v>51</v>
      </c>
      <c r="G2424" s="14" t="s">
        <v>167</v>
      </c>
      <c r="H2424" s="14" t="s">
        <v>165</v>
      </c>
      <c r="I2424" s="14" t="s">
        <v>54</v>
      </c>
      <c r="J2424" s="14" t="s">
        <v>200</v>
      </c>
      <c r="K2424" s="14" t="s">
        <v>224</v>
      </c>
      <c r="L2424" s="14" t="s">
        <v>253</v>
      </c>
      <c r="M2424" s="14" t="s">
        <v>1224</v>
      </c>
      <c r="N2424" s="14" t="s">
        <v>1225</v>
      </c>
      <c r="O2424" s="14">
        <v>52.0</v>
      </c>
      <c r="P2424" s="23">
        <v>0.5238</v>
      </c>
      <c r="Q2424" s="22" t="str">
        <f>"+12.38%"</f>
        <v>+12.38%</v>
      </c>
      <c r="R2424" s="18" t="str">
        <f>"+6.04%"</f>
        <v>+6.04%</v>
      </c>
      <c r="S2424" s="14" t="s">
        <v>1783</v>
      </c>
    </row>
    <row r="2425">
      <c r="A2425" s="13">
        <v>45901.0</v>
      </c>
      <c r="B2425" s="14" t="s">
        <v>47</v>
      </c>
      <c r="C2425" s="14" t="s">
        <v>48</v>
      </c>
      <c r="D2425" s="14" t="s">
        <v>91</v>
      </c>
      <c r="E2425" s="14" t="s">
        <v>92</v>
      </c>
      <c r="F2425" s="15" t="s">
        <v>51</v>
      </c>
      <c r="G2425" s="14" t="s">
        <v>163</v>
      </c>
      <c r="H2425" s="14" t="s">
        <v>91</v>
      </c>
      <c r="I2425" s="14" t="s">
        <v>59</v>
      </c>
      <c r="J2425" s="14" t="s">
        <v>200</v>
      </c>
      <c r="K2425" s="14" t="s">
        <v>223</v>
      </c>
      <c r="L2425" s="14" t="s">
        <v>607</v>
      </c>
      <c r="M2425" s="14" t="s">
        <v>758</v>
      </c>
      <c r="N2425" s="14" t="s">
        <v>759</v>
      </c>
      <c r="O2425" s="14">
        <v>0.0</v>
      </c>
      <c r="P2425" s="23">
        <v>-1.0</v>
      </c>
      <c r="Q2425" s="22" t="str">
        <f t="shared" ref="Q2425:R2425" si="1413">"+0.00%"</f>
        <v>+0.00%</v>
      </c>
      <c r="R2425" s="18" t="str">
        <f t="shared" si="1413"/>
        <v>+0.00%</v>
      </c>
      <c r="S2425" s="14" t="s">
        <v>1784</v>
      </c>
    </row>
    <row r="2426">
      <c r="A2426" s="13">
        <v>45901.0</v>
      </c>
      <c r="B2426" s="14" t="s">
        <v>47</v>
      </c>
      <c r="C2426" s="14" t="s">
        <v>48</v>
      </c>
      <c r="D2426" s="14" t="s">
        <v>63</v>
      </c>
      <c r="E2426" s="14" t="s">
        <v>64</v>
      </c>
      <c r="F2426" s="14" t="s">
        <v>111</v>
      </c>
      <c r="G2426" s="14">
        <v>4916210.0</v>
      </c>
      <c r="H2426" s="14" t="s">
        <v>63</v>
      </c>
      <c r="I2426" s="14" t="s">
        <v>59</v>
      </c>
      <c r="J2426" s="14" t="s">
        <v>199</v>
      </c>
      <c r="K2426" s="14" t="s">
        <v>203</v>
      </c>
      <c r="L2426" s="14" t="s">
        <v>342</v>
      </c>
      <c r="M2426" s="14" t="s">
        <v>342</v>
      </c>
      <c r="N2426" s="14" t="s">
        <v>343</v>
      </c>
      <c r="O2426" s="14">
        <v>0.0</v>
      </c>
      <c r="P2426" s="21">
        <v>0.0</v>
      </c>
      <c r="Q2426" s="22" t="str">
        <f t="shared" ref="Q2426:R2426" si="1414">"+0"</f>
        <v>+0</v>
      </c>
      <c r="R2426" s="18" t="str">
        <f t="shared" si="1414"/>
        <v>+0</v>
      </c>
      <c r="S2426" s="14" t="s">
        <v>260</v>
      </c>
    </row>
    <row r="2427">
      <c r="A2427" s="13">
        <v>45901.0</v>
      </c>
      <c r="B2427" s="14" t="s">
        <v>47</v>
      </c>
      <c r="C2427" s="14" t="s">
        <v>48</v>
      </c>
      <c r="D2427" s="14" t="s">
        <v>91</v>
      </c>
      <c r="E2427" s="14" t="s">
        <v>92</v>
      </c>
      <c r="F2427" s="15" t="s">
        <v>51</v>
      </c>
      <c r="G2427" s="14" t="s">
        <v>163</v>
      </c>
      <c r="H2427" s="14" t="s">
        <v>91</v>
      </c>
      <c r="I2427" s="14" t="s">
        <v>59</v>
      </c>
      <c r="J2427" s="14" t="s">
        <v>200</v>
      </c>
      <c r="K2427" s="14" t="s">
        <v>204</v>
      </c>
      <c r="L2427" s="14" t="s">
        <v>253</v>
      </c>
      <c r="M2427" s="14" t="s">
        <v>490</v>
      </c>
      <c r="N2427" s="14" t="s">
        <v>491</v>
      </c>
      <c r="O2427" s="14">
        <v>0.0</v>
      </c>
      <c r="P2427" s="23">
        <v>0.0</v>
      </c>
      <c r="Q2427" s="22" t="str">
        <f t="shared" ref="Q2427:R2427" si="1415">"+0.00%"</f>
        <v>+0.00%</v>
      </c>
      <c r="R2427" s="18" t="str">
        <f t="shared" si="1415"/>
        <v>+0.00%</v>
      </c>
      <c r="S2427" s="14" t="s">
        <v>492</v>
      </c>
    </row>
    <row r="2428">
      <c r="A2428" s="13">
        <v>45901.0</v>
      </c>
      <c r="B2428" s="14" t="s">
        <v>47</v>
      </c>
      <c r="C2428" s="14" t="s">
        <v>48</v>
      </c>
      <c r="D2428" s="14" t="s">
        <v>91</v>
      </c>
      <c r="E2428" s="14" t="s">
        <v>92</v>
      </c>
      <c r="F2428" s="15" t="s">
        <v>51</v>
      </c>
      <c r="G2428" s="14" t="s">
        <v>163</v>
      </c>
      <c r="H2428" s="14" t="s">
        <v>91</v>
      </c>
      <c r="I2428" s="14" t="s">
        <v>59</v>
      </c>
      <c r="J2428" s="14" t="s">
        <v>200</v>
      </c>
      <c r="K2428" s="14" t="s">
        <v>223</v>
      </c>
      <c r="L2428" s="14" t="s">
        <v>440</v>
      </c>
      <c r="M2428" s="14" t="s">
        <v>510</v>
      </c>
      <c r="N2428" s="14" t="s">
        <v>511</v>
      </c>
      <c r="O2428" s="14">
        <v>0.0</v>
      </c>
      <c r="P2428" s="23">
        <v>0.0</v>
      </c>
      <c r="Q2428" s="22" t="str">
        <f t="shared" ref="Q2428:R2428" si="1416">"+0.00%"</f>
        <v>+0.00%</v>
      </c>
      <c r="R2428" s="18" t="str">
        <f t="shared" si="1416"/>
        <v>+0.00%</v>
      </c>
      <c r="S2428" s="14" t="s">
        <v>285</v>
      </c>
    </row>
    <row r="2429">
      <c r="A2429" s="13">
        <v>45901.0</v>
      </c>
      <c r="B2429" s="14" t="s">
        <v>47</v>
      </c>
      <c r="C2429" s="14" t="s">
        <v>48</v>
      </c>
      <c r="D2429" s="14" t="s">
        <v>99</v>
      </c>
      <c r="E2429" s="14" t="s">
        <v>100</v>
      </c>
      <c r="F2429" s="15" t="s">
        <v>51</v>
      </c>
      <c r="G2429" s="14" t="s">
        <v>101</v>
      </c>
      <c r="H2429" s="14" t="s">
        <v>102</v>
      </c>
      <c r="I2429" s="14" t="s">
        <v>54</v>
      </c>
      <c r="J2429" s="14" t="s">
        <v>198</v>
      </c>
      <c r="K2429" s="14" t="s">
        <v>210</v>
      </c>
      <c r="L2429" s="14" t="s">
        <v>264</v>
      </c>
      <c r="M2429" s="14" t="s">
        <v>1210</v>
      </c>
      <c r="N2429" s="14" t="s">
        <v>1211</v>
      </c>
      <c r="O2429" s="14">
        <v>0.0</v>
      </c>
      <c r="P2429" s="21">
        <v>0.0</v>
      </c>
      <c r="Q2429" s="22" t="str">
        <f t="shared" ref="Q2429:R2429" si="1417">"+0"</f>
        <v>+0</v>
      </c>
      <c r="R2429" s="18" t="str">
        <f t="shared" si="1417"/>
        <v>+0</v>
      </c>
      <c r="S2429" s="14" t="s">
        <v>277</v>
      </c>
    </row>
    <row r="2430">
      <c r="A2430" s="13">
        <v>45901.0</v>
      </c>
      <c r="B2430" s="14" t="s">
        <v>47</v>
      </c>
      <c r="C2430" s="14" t="s">
        <v>48</v>
      </c>
      <c r="D2430" s="14" t="s">
        <v>63</v>
      </c>
      <c r="E2430" s="14" t="s">
        <v>64</v>
      </c>
      <c r="F2430" s="14" t="s">
        <v>111</v>
      </c>
      <c r="G2430" s="14">
        <v>4916210.0</v>
      </c>
      <c r="H2430" s="14" t="s">
        <v>63</v>
      </c>
      <c r="I2430" s="14" t="s">
        <v>59</v>
      </c>
      <c r="J2430" s="14" t="s">
        <v>200</v>
      </c>
      <c r="K2430" s="14" t="s">
        <v>221</v>
      </c>
      <c r="L2430" s="14" t="s">
        <v>253</v>
      </c>
      <c r="M2430" s="14" t="s">
        <v>727</v>
      </c>
      <c r="N2430" s="14" t="s">
        <v>728</v>
      </c>
      <c r="O2430" s="14">
        <v>88.0</v>
      </c>
      <c r="P2430" s="23">
        <v>0.8857</v>
      </c>
      <c r="Q2430" s="22" t="str">
        <f>"+3.87%"</f>
        <v>+3.87%</v>
      </c>
      <c r="R2430" s="18" t="str">
        <f>"-0.67%"</f>
        <v>-0.67%</v>
      </c>
      <c r="S2430" s="14" t="s">
        <v>1785</v>
      </c>
    </row>
    <row r="2431">
      <c r="A2431" s="13">
        <v>45901.0</v>
      </c>
      <c r="B2431" s="14" t="s">
        <v>47</v>
      </c>
      <c r="C2431" s="14" t="s">
        <v>48</v>
      </c>
      <c r="D2431" s="14" t="s">
        <v>91</v>
      </c>
      <c r="E2431" s="14" t="s">
        <v>92</v>
      </c>
      <c r="F2431" s="14" t="s">
        <v>71</v>
      </c>
      <c r="G2431" s="14">
        <v>5.00008612E8</v>
      </c>
      <c r="H2431" s="14" t="s">
        <v>91</v>
      </c>
      <c r="I2431" s="14" t="s">
        <v>59</v>
      </c>
      <c r="J2431" s="14" t="s">
        <v>199</v>
      </c>
      <c r="K2431" s="14" t="s">
        <v>206</v>
      </c>
      <c r="L2431" s="14" t="s">
        <v>295</v>
      </c>
      <c r="M2431" s="14" t="s">
        <v>529</v>
      </c>
      <c r="N2431" s="14" t="s">
        <v>530</v>
      </c>
      <c r="O2431" s="14">
        <v>100.0</v>
      </c>
      <c r="P2431" s="21">
        <v>20.0</v>
      </c>
      <c r="Q2431" s="22" t="str">
        <f t="shared" ref="Q2431:R2431" si="1418">"+0"</f>
        <v>+0</v>
      </c>
      <c r="R2431" s="18" t="str">
        <f t="shared" si="1418"/>
        <v>+0</v>
      </c>
      <c r="S2431" s="14" t="s">
        <v>260</v>
      </c>
    </row>
    <row r="2432">
      <c r="A2432" s="13">
        <v>45901.0</v>
      </c>
      <c r="B2432" s="14" t="s">
        <v>47</v>
      </c>
      <c r="C2432" s="14" t="s">
        <v>48</v>
      </c>
      <c r="D2432" s="14" t="s">
        <v>118</v>
      </c>
      <c r="E2432" s="14" t="s">
        <v>119</v>
      </c>
      <c r="F2432" s="15" t="s">
        <v>51</v>
      </c>
      <c r="G2432" s="14" t="s">
        <v>120</v>
      </c>
      <c r="H2432" s="14" t="s">
        <v>118</v>
      </c>
      <c r="I2432" s="14" t="s">
        <v>59</v>
      </c>
      <c r="J2432" s="14" t="s">
        <v>200</v>
      </c>
      <c r="K2432" s="14" t="s">
        <v>214</v>
      </c>
      <c r="L2432" s="14" t="s">
        <v>253</v>
      </c>
      <c r="M2432" s="14" t="s">
        <v>389</v>
      </c>
      <c r="N2432" s="14" t="s">
        <v>390</v>
      </c>
      <c r="O2432" s="14">
        <v>0.0</v>
      </c>
      <c r="P2432" s="17"/>
      <c r="Q2432" s="22"/>
      <c r="S2432" s="14" t="s">
        <v>1786</v>
      </c>
    </row>
    <row r="2433">
      <c r="A2433" s="13">
        <v>45901.0</v>
      </c>
      <c r="B2433" s="14" t="s">
        <v>47</v>
      </c>
      <c r="C2433" s="14" t="s">
        <v>48</v>
      </c>
      <c r="D2433" s="14" t="s">
        <v>149</v>
      </c>
      <c r="E2433" s="14" t="s">
        <v>150</v>
      </c>
      <c r="F2433" s="15" t="s">
        <v>51</v>
      </c>
      <c r="G2433" s="14" t="s">
        <v>151</v>
      </c>
      <c r="H2433" s="14" t="s">
        <v>152</v>
      </c>
      <c r="I2433" s="14" t="s">
        <v>54</v>
      </c>
      <c r="J2433" s="14" t="s">
        <v>198</v>
      </c>
      <c r="K2433" s="14" t="s">
        <v>210</v>
      </c>
      <c r="L2433" s="14" t="s">
        <v>264</v>
      </c>
      <c r="M2433" s="14" t="s">
        <v>918</v>
      </c>
      <c r="N2433" s="14" t="s">
        <v>919</v>
      </c>
      <c r="O2433" s="14">
        <v>0.0</v>
      </c>
      <c r="P2433" s="21">
        <v>0.0</v>
      </c>
      <c r="Q2433" s="22" t="str">
        <f t="shared" ref="Q2433:R2433" si="1419">"+0"</f>
        <v>+0</v>
      </c>
      <c r="R2433" s="18" t="str">
        <f t="shared" si="1419"/>
        <v>+0</v>
      </c>
      <c r="S2433" s="14" t="s">
        <v>277</v>
      </c>
    </row>
    <row r="2434">
      <c r="A2434" s="13">
        <v>45901.0</v>
      </c>
      <c r="B2434" s="14" t="s">
        <v>47</v>
      </c>
      <c r="C2434" s="14" t="s">
        <v>48</v>
      </c>
      <c r="D2434" s="14" t="s">
        <v>116</v>
      </c>
      <c r="E2434" s="14" t="s">
        <v>117</v>
      </c>
      <c r="F2434" s="15" t="s">
        <v>51</v>
      </c>
      <c r="G2434" s="14" t="s">
        <v>161</v>
      </c>
      <c r="H2434" s="14" t="s">
        <v>116</v>
      </c>
      <c r="I2434" s="14" t="s">
        <v>54</v>
      </c>
      <c r="J2434" s="14" t="s">
        <v>198</v>
      </c>
      <c r="K2434" s="14" t="s">
        <v>210</v>
      </c>
      <c r="L2434" s="14" t="s">
        <v>264</v>
      </c>
      <c r="M2434" s="14" t="s">
        <v>405</v>
      </c>
      <c r="N2434" s="14" t="s">
        <v>406</v>
      </c>
      <c r="O2434" s="14">
        <v>0.0</v>
      </c>
      <c r="P2434" s="21">
        <v>0.0</v>
      </c>
      <c r="Q2434" s="22" t="str">
        <f t="shared" ref="Q2434:R2434" si="1420">"+0"</f>
        <v>+0</v>
      </c>
      <c r="R2434" s="18" t="str">
        <f t="shared" si="1420"/>
        <v>+0</v>
      </c>
      <c r="S2434" s="14" t="s">
        <v>277</v>
      </c>
    </row>
    <row r="2435">
      <c r="A2435" s="13">
        <v>45901.0</v>
      </c>
      <c r="B2435" s="14" t="s">
        <v>47</v>
      </c>
      <c r="C2435" s="14" t="s">
        <v>48</v>
      </c>
      <c r="D2435" s="14" t="s">
        <v>91</v>
      </c>
      <c r="E2435" s="14" t="s">
        <v>92</v>
      </c>
      <c r="F2435" s="14" t="s">
        <v>71</v>
      </c>
      <c r="G2435" s="14">
        <v>5.10000484E8</v>
      </c>
      <c r="H2435" s="14" t="s">
        <v>91</v>
      </c>
      <c r="I2435" s="14" t="s">
        <v>54</v>
      </c>
      <c r="J2435" s="14" t="s">
        <v>199</v>
      </c>
      <c r="K2435" s="14" t="s">
        <v>203</v>
      </c>
      <c r="L2435" s="14" t="s">
        <v>679</v>
      </c>
      <c r="M2435" s="14" t="s">
        <v>679</v>
      </c>
      <c r="N2435" s="14" t="s">
        <v>680</v>
      </c>
      <c r="O2435" s="14">
        <v>100.0</v>
      </c>
      <c r="P2435" s="21">
        <v>1.0</v>
      </c>
      <c r="Q2435" s="22" t="str">
        <f t="shared" ref="Q2435:R2435" si="1421">"+0"</f>
        <v>+0</v>
      </c>
      <c r="R2435" s="18" t="str">
        <f t="shared" si="1421"/>
        <v>+0</v>
      </c>
      <c r="S2435" s="14" t="s">
        <v>260</v>
      </c>
    </row>
    <row r="2436">
      <c r="A2436" s="13">
        <v>45901.0</v>
      </c>
      <c r="B2436" s="14" t="s">
        <v>47</v>
      </c>
      <c r="C2436" s="14" t="s">
        <v>48</v>
      </c>
      <c r="D2436" s="14" t="s">
        <v>66</v>
      </c>
      <c r="E2436" s="14" t="s">
        <v>67</v>
      </c>
      <c r="F2436" s="15" t="s">
        <v>51</v>
      </c>
      <c r="G2436" s="14" t="s">
        <v>68</v>
      </c>
      <c r="H2436" s="14" t="s">
        <v>66</v>
      </c>
      <c r="I2436" s="14" t="s">
        <v>59</v>
      </c>
      <c r="J2436" s="14" t="s">
        <v>200</v>
      </c>
      <c r="K2436" s="14" t="s">
        <v>227</v>
      </c>
      <c r="L2436" s="14" t="s">
        <v>270</v>
      </c>
      <c r="M2436" s="14" t="s">
        <v>400</v>
      </c>
      <c r="N2436" s="14" t="s">
        <v>401</v>
      </c>
      <c r="O2436" s="14">
        <v>0.0</v>
      </c>
      <c r="P2436" s="21">
        <v>0.0</v>
      </c>
      <c r="Q2436" s="22" t="str">
        <f t="shared" ref="Q2436:R2436" si="1422">"+0"</f>
        <v>+0</v>
      </c>
      <c r="R2436" s="18" t="str">
        <f t="shared" si="1422"/>
        <v>+0</v>
      </c>
      <c r="S2436" s="14" t="s">
        <v>260</v>
      </c>
    </row>
    <row r="2437">
      <c r="A2437" s="13">
        <v>45901.0</v>
      </c>
      <c r="B2437" s="14" t="s">
        <v>47</v>
      </c>
      <c r="C2437" s="14" t="s">
        <v>48</v>
      </c>
      <c r="D2437" s="14" t="s">
        <v>192</v>
      </c>
      <c r="E2437" s="14" t="s">
        <v>193</v>
      </c>
      <c r="F2437" s="15" t="s">
        <v>51</v>
      </c>
      <c r="G2437" s="14" t="s">
        <v>194</v>
      </c>
      <c r="H2437" s="14" t="s">
        <v>192</v>
      </c>
      <c r="I2437" s="14" t="s">
        <v>54</v>
      </c>
      <c r="J2437" s="14" t="s">
        <v>200</v>
      </c>
      <c r="K2437" s="14" t="s">
        <v>214</v>
      </c>
      <c r="L2437" s="14" t="s">
        <v>253</v>
      </c>
      <c r="M2437" s="14" t="s">
        <v>389</v>
      </c>
      <c r="N2437" s="14" t="s">
        <v>390</v>
      </c>
      <c r="O2437" s="14">
        <v>74.0</v>
      </c>
      <c r="P2437" s="23">
        <v>0.7418</v>
      </c>
      <c r="Q2437" s="22" t="str">
        <f>"+4.44%"</f>
        <v>+4.44%</v>
      </c>
      <c r="R2437" s="18" t="str">
        <f>"-6.34%"</f>
        <v>-6.34%</v>
      </c>
      <c r="S2437" s="14" t="s">
        <v>1787</v>
      </c>
    </row>
    <row r="2438">
      <c r="A2438" s="13">
        <v>45901.0</v>
      </c>
      <c r="B2438" s="14" t="s">
        <v>47</v>
      </c>
      <c r="C2438" s="14" t="s">
        <v>48</v>
      </c>
      <c r="D2438" s="14" t="s">
        <v>192</v>
      </c>
      <c r="E2438" s="14" t="s">
        <v>193</v>
      </c>
      <c r="F2438" s="15" t="s">
        <v>51</v>
      </c>
      <c r="G2438" s="14" t="s">
        <v>194</v>
      </c>
      <c r="H2438" s="14" t="s">
        <v>192</v>
      </c>
      <c r="I2438" s="14" t="s">
        <v>54</v>
      </c>
      <c r="J2438" s="14" t="s">
        <v>198</v>
      </c>
      <c r="K2438" s="14" t="s">
        <v>210</v>
      </c>
      <c r="L2438" s="14" t="s">
        <v>264</v>
      </c>
      <c r="M2438" s="14" t="s">
        <v>1031</v>
      </c>
      <c r="N2438" s="14" t="s">
        <v>1032</v>
      </c>
      <c r="O2438" s="14">
        <v>0.0</v>
      </c>
      <c r="P2438" s="21">
        <v>0.0</v>
      </c>
      <c r="Q2438" s="22" t="str">
        <f t="shared" ref="Q2438:R2438" si="1423">"+0"</f>
        <v>+0</v>
      </c>
      <c r="R2438" s="18" t="str">
        <f t="shared" si="1423"/>
        <v>+0</v>
      </c>
      <c r="S2438" s="14" t="s">
        <v>277</v>
      </c>
    </row>
    <row r="2439">
      <c r="A2439" s="13">
        <v>45901.0</v>
      </c>
      <c r="B2439" s="14" t="s">
        <v>47</v>
      </c>
      <c r="C2439" s="14" t="s">
        <v>48</v>
      </c>
      <c r="D2439" s="14" t="s">
        <v>192</v>
      </c>
      <c r="E2439" s="14" t="s">
        <v>193</v>
      </c>
      <c r="F2439" s="15" t="s">
        <v>51</v>
      </c>
      <c r="G2439" s="14" t="s">
        <v>194</v>
      </c>
      <c r="H2439" s="14" t="s">
        <v>192</v>
      </c>
      <c r="I2439" s="14" t="s">
        <v>54</v>
      </c>
      <c r="J2439" s="14" t="s">
        <v>200</v>
      </c>
      <c r="K2439" s="14" t="s">
        <v>214</v>
      </c>
      <c r="L2439" s="14" t="s">
        <v>253</v>
      </c>
      <c r="M2439" s="14" t="s">
        <v>366</v>
      </c>
      <c r="N2439" s="14" t="s">
        <v>367</v>
      </c>
      <c r="O2439" s="14">
        <v>41.0</v>
      </c>
      <c r="P2439" s="23">
        <v>0.4157</v>
      </c>
      <c r="Q2439" s="22" t="str">
        <f>"-0.32%"</f>
        <v>-0.32%</v>
      </c>
      <c r="R2439" s="18" t="str">
        <f>"+0.04%"</f>
        <v>+0.04%</v>
      </c>
      <c r="S2439" s="14" t="s">
        <v>995</v>
      </c>
    </row>
    <row r="2440">
      <c r="A2440" s="13">
        <v>45901.0</v>
      </c>
      <c r="B2440" s="14" t="s">
        <v>47</v>
      </c>
      <c r="C2440" s="14" t="s">
        <v>48</v>
      </c>
      <c r="D2440" s="14" t="s">
        <v>82</v>
      </c>
      <c r="E2440" s="14" t="s">
        <v>83</v>
      </c>
      <c r="F2440" s="15" t="s">
        <v>51</v>
      </c>
      <c r="G2440" s="14" t="s">
        <v>84</v>
      </c>
      <c r="H2440" s="14" t="s">
        <v>82</v>
      </c>
      <c r="I2440" s="14" t="s">
        <v>59</v>
      </c>
      <c r="J2440" s="14" t="s">
        <v>200</v>
      </c>
      <c r="K2440" s="14" t="s">
        <v>213</v>
      </c>
      <c r="L2440" s="14" t="s">
        <v>289</v>
      </c>
      <c r="M2440" s="14" t="s">
        <v>331</v>
      </c>
      <c r="N2440" s="14" t="s">
        <v>332</v>
      </c>
      <c r="O2440" s="14">
        <v>0.0</v>
      </c>
      <c r="P2440" s="23">
        <v>0.0</v>
      </c>
      <c r="Q2440" s="22" t="str">
        <f t="shared" ref="Q2440:R2440" si="1424">"+0.00%"</f>
        <v>+0.00%</v>
      </c>
      <c r="R2440" s="18" t="str">
        <f t="shared" si="1424"/>
        <v>+0.00%</v>
      </c>
      <c r="S2440" s="14" t="s">
        <v>285</v>
      </c>
    </row>
    <row r="2441">
      <c r="A2441" s="13">
        <v>45901.0</v>
      </c>
      <c r="B2441" s="14" t="s">
        <v>47</v>
      </c>
      <c r="C2441" s="14" t="s">
        <v>48</v>
      </c>
      <c r="D2441" s="14" t="s">
        <v>143</v>
      </c>
      <c r="E2441" s="14" t="s">
        <v>144</v>
      </c>
      <c r="F2441" s="15" t="s">
        <v>51</v>
      </c>
      <c r="G2441" s="14" t="s">
        <v>145</v>
      </c>
      <c r="H2441" s="14" t="s">
        <v>143</v>
      </c>
      <c r="I2441" s="14" t="s">
        <v>59</v>
      </c>
      <c r="J2441" s="14" t="s">
        <v>200</v>
      </c>
      <c r="K2441" s="14" t="s">
        <v>232</v>
      </c>
      <c r="L2441" s="14" t="s">
        <v>304</v>
      </c>
      <c r="M2441" s="14" t="s">
        <v>688</v>
      </c>
      <c r="N2441" s="14" t="s">
        <v>689</v>
      </c>
      <c r="O2441" s="14">
        <v>34.0</v>
      </c>
      <c r="P2441" s="23">
        <v>0.3462</v>
      </c>
      <c r="Q2441" s="22" t="str">
        <f>"+17.22%"</f>
        <v>+17.22%</v>
      </c>
      <c r="R2441" s="18" t="str">
        <f>"+2.36%"</f>
        <v>+2.36%</v>
      </c>
      <c r="S2441" s="14" t="s">
        <v>1788</v>
      </c>
    </row>
    <row r="2442">
      <c r="A2442" s="13">
        <v>45901.0</v>
      </c>
      <c r="B2442" s="14" t="s">
        <v>47</v>
      </c>
      <c r="C2442" s="14" t="s">
        <v>48</v>
      </c>
      <c r="D2442" s="14" t="s">
        <v>73</v>
      </c>
      <c r="E2442" s="14" t="s">
        <v>74</v>
      </c>
      <c r="F2442" s="15" t="s">
        <v>51</v>
      </c>
      <c r="G2442" s="14" t="s">
        <v>75</v>
      </c>
      <c r="H2442" s="14" t="s">
        <v>76</v>
      </c>
      <c r="I2442" s="14" t="s">
        <v>59</v>
      </c>
      <c r="J2442" s="14" t="s">
        <v>200</v>
      </c>
      <c r="K2442" s="14" t="s">
        <v>232</v>
      </c>
      <c r="L2442" s="14" t="s">
        <v>607</v>
      </c>
      <c r="M2442" s="14" t="s">
        <v>869</v>
      </c>
      <c r="N2442" s="14" t="s">
        <v>870</v>
      </c>
      <c r="O2442" s="14">
        <v>0.0</v>
      </c>
      <c r="P2442" s="23">
        <v>-1.0</v>
      </c>
      <c r="Q2442" s="22" t="str">
        <f t="shared" ref="Q2442:R2442" si="1425">"+0.00%"</f>
        <v>+0.00%</v>
      </c>
      <c r="R2442" s="18" t="str">
        <f t="shared" si="1425"/>
        <v>+0.00%</v>
      </c>
      <c r="S2442" s="14" t="s">
        <v>1789</v>
      </c>
    </row>
    <row r="2443">
      <c r="A2443" s="13">
        <v>45901.0</v>
      </c>
      <c r="B2443" s="14" t="s">
        <v>47</v>
      </c>
      <c r="C2443" s="14" t="s">
        <v>48</v>
      </c>
      <c r="D2443" s="14" t="s">
        <v>73</v>
      </c>
      <c r="E2443" s="14" t="s">
        <v>74</v>
      </c>
      <c r="F2443" s="15" t="s">
        <v>51</v>
      </c>
      <c r="G2443" s="14" t="s">
        <v>75</v>
      </c>
      <c r="H2443" s="14" t="s">
        <v>76</v>
      </c>
      <c r="I2443" s="14" t="s">
        <v>59</v>
      </c>
      <c r="J2443" s="14" t="s">
        <v>200</v>
      </c>
      <c r="K2443" s="14" t="s">
        <v>232</v>
      </c>
      <c r="L2443" s="14" t="s">
        <v>607</v>
      </c>
      <c r="M2443" s="14" t="s">
        <v>1035</v>
      </c>
      <c r="N2443" s="14" t="s">
        <v>1036</v>
      </c>
      <c r="O2443" s="14">
        <v>0.0</v>
      </c>
      <c r="P2443" s="23">
        <v>0.0</v>
      </c>
      <c r="Q2443" s="22" t="str">
        <f t="shared" ref="Q2443:R2443" si="1426">"+0.00%"</f>
        <v>+0.00%</v>
      </c>
      <c r="R2443" s="18" t="str">
        <f t="shared" si="1426"/>
        <v>+0.00%</v>
      </c>
      <c r="S2443" s="14" t="s">
        <v>1790</v>
      </c>
    </row>
    <row r="2444">
      <c r="A2444" s="13">
        <v>45901.0</v>
      </c>
      <c r="B2444" s="14" t="s">
        <v>47</v>
      </c>
      <c r="C2444" s="14" t="s">
        <v>48</v>
      </c>
      <c r="D2444" s="14" t="s">
        <v>143</v>
      </c>
      <c r="E2444" s="14" t="s">
        <v>144</v>
      </c>
      <c r="F2444" s="15" t="s">
        <v>51</v>
      </c>
      <c r="G2444" s="14" t="s">
        <v>145</v>
      </c>
      <c r="H2444" s="14" t="s">
        <v>143</v>
      </c>
      <c r="I2444" s="14" t="s">
        <v>59</v>
      </c>
      <c r="J2444" s="14" t="s">
        <v>199</v>
      </c>
      <c r="K2444" s="14" t="s">
        <v>203</v>
      </c>
      <c r="L2444" s="14" t="s">
        <v>601</v>
      </c>
      <c r="M2444" s="14" t="s">
        <v>601</v>
      </c>
      <c r="N2444" s="14" t="s">
        <v>602</v>
      </c>
      <c r="O2444" s="14">
        <v>0.0</v>
      </c>
      <c r="P2444" s="21">
        <v>0.0</v>
      </c>
      <c r="Q2444" s="22" t="str">
        <f t="shared" ref="Q2444:R2444" si="1427">"+0"</f>
        <v>+0</v>
      </c>
      <c r="R2444" s="18" t="str">
        <f t="shared" si="1427"/>
        <v>+0</v>
      </c>
      <c r="S2444" s="14" t="s">
        <v>260</v>
      </c>
    </row>
    <row r="2445">
      <c r="A2445" s="13">
        <v>45901.0</v>
      </c>
      <c r="B2445" s="14" t="s">
        <v>47</v>
      </c>
      <c r="C2445" s="14" t="s">
        <v>48</v>
      </c>
      <c r="D2445" s="14" t="s">
        <v>73</v>
      </c>
      <c r="E2445" s="14" t="s">
        <v>74</v>
      </c>
      <c r="F2445" s="15" t="s">
        <v>51</v>
      </c>
      <c r="G2445" s="14" t="s">
        <v>75</v>
      </c>
      <c r="H2445" s="14" t="s">
        <v>76</v>
      </c>
      <c r="I2445" s="14" t="s">
        <v>59</v>
      </c>
      <c r="J2445" s="14" t="s">
        <v>200</v>
      </c>
      <c r="K2445" s="14" t="s">
        <v>232</v>
      </c>
      <c r="L2445" s="14" t="s">
        <v>363</v>
      </c>
      <c r="M2445" s="14" t="s">
        <v>708</v>
      </c>
      <c r="N2445" s="14" t="s">
        <v>709</v>
      </c>
      <c r="O2445" s="14">
        <v>0.0</v>
      </c>
      <c r="P2445" s="23">
        <v>0.0</v>
      </c>
      <c r="Q2445" s="22" t="str">
        <f t="shared" ref="Q2445:R2445" si="1428">"+0.00%"</f>
        <v>+0.00%</v>
      </c>
      <c r="R2445" s="18" t="str">
        <f t="shared" si="1428"/>
        <v>+0.00%</v>
      </c>
      <c r="S2445" s="14" t="s">
        <v>285</v>
      </c>
    </row>
    <row r="2446">
      <c r="A2446" s="13">
        <v>45901.0</v>
      </c>
      <c r="B2446" s="14" t="s">
        <v>47</v>
      </c>
      <c r="C2446" s="14" t="s">
        <v>48</v>
      </c>
      <c r="D2446" s="14" t="s">
        <v>132</v>
      </c>
      <c r="E2446" s="14" t="s">
        <v>133</v>
      </c>
      <c r="F2446" s="15" t="s">
        <v>51</v>
      </c>
      <c r="G2446" s="14" t="s">
        <v>134</v>
      </c>
      <c r="H2446" s="14" t="s">
        <v>135</v>
      </c>
      <c r="I2446" s="14" t="s">
        <v>59</v>
      </c>
      <c r="J2446" s="14" t="s">
        <v>200</v>
      </c>
      <c r="K2446" s="14" t="s">
        <v>227</v>
      </c>
      <c r="L2446" s="14" t="s">
        <v>270</v>
      </c>
      <c r="M2446" s="14" t="s">
        <v>400</v>
      </c>
      <c r="N2446" s="14" t="s">
        <v>401</v>
      </c>
      <c r="O2446" s="14">
        <v>0.0</v>
      </c>
      <c r="P2446" s="21">
        <v>0.0</v>
      </c>
      <c r="Q2446" s="22" t="str">
        <f t="shared" ref="Q2446:R2446" si="1429">"+0"</f>
        <v>+0</v>
      </c>
      <c r="R2446" s="18" t="str">
        <f t="shared" si="1429"/>
        <v>+0</v>
      </c>
      <c r="S2446" s="14" t="s">
        <v>260</v>
      </c>
    </row>
    <row r="2447">
      <c r="A2447" s="13">
        <v>45901.0</v>
      </c>
      <c r="B2447" s="14" t="s">
        <v>47</v>
      </c>
      <c r="C2447" s="14" t="s">
        <v>48</v>
      </c>
      <c r="D2447" s="14" t="s">
        <v>149</v>
      </c>
      <c r="E2447" s="14" t="s">
        <v>150</v>
      </c>
      <c r="F2447" s="15" t="s">
        <v>51</v>
      </c>
      <c r="G2447" s="14" t="s">
        <v>151</v>
      </c>
      <c r="H2447" s="14" t="s">
        <v>152</v>
      </c>
      <c r="I2447" s="14" t="s">
        <v>54</v>
      </c>
      <c r="J2447" s="14" t="s">
        <v>200</v>
      </c>
      <c r="K2447" s="14" t="s">
        <v>228</v>
      </c>
      <c r="L2447" s="14" t="s">
        <v>253</v>
      </c>
      <c r="M2447" s="14" t="s">
        <v>389</v>
      </c>
      <c r="N2447" s="14" t="s">
        <v>390</v>
      </c>
      <c r="O2447" s="14">
        <v>0.0</v>
      </c>
      <c r="P2447" s="17"/>
      <c r="Q2447" s="22"/>
      <c r="S2447" s="14" t="s">
        <v>1791</v>
      </c>
    </row>
    <row r="2448">
      <c r="A2448" s="13">
        <v>45901.0</v>
      </c>
      <c r="B2448" s="14" t="s">
        <v>47</v>
      </c>
      <c r="C2448" s="14" t="s">
        <v>48</v>
      </c>
      <c r="D2448" s="14" t="s">
        <v>136</v>
      </c>
      <c r="E2448" s="14" t="s">
        <v>137</v>
      </c>
      <c r="F2448" s="15" t="s">
        <v>51</v>
      </c>
      <c r="G2448" s="14" t="s">
        <v>138</v>
      </c>
      <c r="H2448" s="14" t="s">
        <v>139</v>
      </c>
      <c r="I2448" s="14" t="s">
        <v>59</v>
      </c>
      <c r="J2448" s="14" t="s">
        <v>200</v>
      </c>
      <c r="K2448" s="14" t="s">
        <v>227</v>
      </c>
      <c r="L2448" s="14" t="s">
        <v>721</v>
      </c>
      <c r="M2448" s="14" t="s">
        <v>748</v>
      </c>
      <c r="N2448" s="14" t="s">
        <v>749</v>
      </c>
      <c r="O2448" s="14">
        <v>22.0</v>
      </c>
      <c r="P2448" s="23">
        <v>-0.5556</v>
      </c>
      <c r="Q2448" s="22" t="str">
        <f t="shared" ref="Q2448:R2448" si="1430">"+44.44%"</f>
        <v>+44.44%</v>
      </c>
      <c r="R2448" s="18" t="str">
        <f t="shared" si="1430"/>
        <v>+44.44%</v>
      </c>
      <c r="S2448" s="14" t="s">
        <v>750</v>
      </c>
    </row>
    <row r="2449">
      <c r="A2449" s="13">
        <v>45901.0</v>
      </c>
      <c r="B2449" s="14" t="s">
        <v>47</v>
      </c>
      <c r="C2449" s="14" t="s">
        <v>48</v>
      </c>
      <c r="D2449" s="14" t="s">
        <v>87</v>
      </c>
      <c r="E2449" s="14" t="s">
        <v>88</v>
      </c>
      <c r="F2449" s="15" t="s">
        <v>51</v>
      </c>
      <c r="G2449" s="14" t="s">
        <v>89</v>
      </c>
      <c r="H2449" s="14" t="s">
        <v>90</v>
      </c>
      <c r="I2449" s="14" t="s">
        <v>59</v>
      </c>
      <c r="J2449" s="14" t="s">
        <v>200</v>
      </c>
      <c r="K2449" s="14" t="s">
        <v>246</v>
      </c>
      <c r="L2449" s="14" t="s">
        <v>292</v>
      </c>
      <c r="M2449" s="14" t="s">
        <v>1792</v>
      </c>
      <c r="N2449" s="14" t="s">
        <v>1793</v>
      </c>
      <c r="O2449" s="14">
        <v>0.0</v>
      </c>
      <c r="P2449" s="21">
        <v>0.0</v>
      </c>
      <c r="Q2449" s="22" t="str">
        <f t="shared" ref="Q2449:R2449" si="1431">"+0"</f>
        <v>+0</v>
      </c>
      <c r="R2449" s="18" t="str">
        <f t="shared" si="1431"/>
        <v>+0</v>
      </c>
      <c r="S2449" s="14" t="s">
        <v>260</v>
      </c>
    </row>
    <row r="2450">
      <c r="A2450" s="13">
        <v>45901.0</v>
      </c>
      <c r="B2450" s="14" t="s">
        <v>47</v>
      </c>
      <c r="C2450" s="14" t="s">
        <v>48</v>
      </c>
      <c r="D2450" s="14" t="s">
        <v>149</v>
      </c>
      <c r="E2450" s="14" t="s">
        <v>150</v>
      </c>
      <c r="F2450" s="15" t="s">
        <v>51</v>
      </c>
      <c r="G2450" s="14" t="s">
        <v>151</v>
      </c>
      <c r="H2450" s="14" t="s">
        <v>152</v>
      </c>
      <c r="I2450" s="14" t="s">
        <v>54</v>
      </c>
      <c r="J2450" s="14" t="s">
        <v>198</v>
      </c>
      <c r="K2450" s="14" t="s">
        <v>212</v>
      </c>
      <c r="L2450" s="14" t="s">
        <v>249</v>
      </c>
      <c r="M2450" s="14" t="s">
        <v>1149</v>
      </c>
      <c r="N2450" s="14" t="s">
        <v>1150</v>
      </c>
      <c r="O2450" s="14">
        <v>0.0</v>
      </c>
      <c r="P2450" s="21">
        <v>0.0</v>
      </c>
      <c r="Q2450" s="22" t="str">
        <f t="shared" ref="Q2450:R2450" si="1432">"+0"</f>
        <v>+0</v>
      </c>
      <c r="R2450" s="18" t="str">
        <f t="shared" si="1432"/>
        <v>+0</v>
      </c>
      <c r="S2450" s="14" t="s">
        <v>277</v>
      </c>
    </row>
    <row r="2451">
      <c r="A2451" s="13">
        <v>45901.0</v>
      </c>
      <c r="B2451" s="14" t="s">
        <v>47</v>
      </c>
      <c r="C2451" s="14" t="s">
        <v>48</v>
      </c>
      <c r="D2451" s="14" t="s">
        <v>129</v>
      </c>
      <c r="E2451" s="14" t="s">
        <v>130</v>
      </c>
      <c r="F2451" s="15" t="s">
        <v>51</v>
      </c>
      <c r="G2451" s="14" t="s">
        <v>131</v>
      </c>
      <c r="H2451" s="14" t="s">
        <v>129</v>
      </c>
      <c r="I2451" s="14" t="s">
        <v>59</v>
      </c>
      <c r="J2451" s="14" t="s">
        <v>200</v>
      </c>
      <c r="K2451" s="14" t="s">
        <v>227</v>
      </c>
      <c r="L2451" s="14" t="s">
        <v>253</v>
      </c>
      <c r="M2451" s="14" t="s">
        <v>811</v>
      </c>
      <c r="N2451" s="14" t="s">
        <v>812</v>
      </c>
      <c r="O2451" s="14">
        <v>100.0</v>
      </c>
      <c r="P2451" s="23">
        <v>1.0</v>
      </c>
      <c r="Q2451" s="22" t="str">
        <f t="shared" ref="Q2451:R2451" si="1433">"+0.00%"</f>
        <v>+0.00%</v>
      </c>
      <c r="R2451" s="18" t="str">
        <f t="shared" si="1433"/>
        <v>+0.00%</v>
      </c>
      <c r="S2451" s="14" t="s">
        <v>813</v>
      </c>
    </row>
    <row r="2452">
      <c r="A2452" s="13">
        <v>45901.0</v>
      </c>
      <c r="B2452" s="14" t="s">
        <v>47</v>
      </c>
      <c r="C2452" s="14" t="s">
        <v>48</v>
      </c>
      <c r="D2452" s="14" t="s">
        <v>171</v>
      </c>
      <c r="E2452" s="14" t="s">
        <v>172</v>
      </c>
      <c r="F2452" s="15" t="s">
        <v>51</v>
      </c>
      <c r="G2452" s="14" t="s">
        <v>173</v>
      </c>
      <c r="H2452" s="14" t="s">
        <v>171</v>
      </c>
      <c r="I2452" s="14" t="s">
        <v>59</v>
      </c>
      <c r="J2452" s="14" t="s">
        <v>200</v>
      </c>
      <c r="K2452" s="14" t="s">
        <v>213</v>
      </c>
      <c r="L2452" s="14" t="s">
        <v>571</v>
      </c>
      <c r="M2452" s="14" t="s">
        <v>578</v>
      </c>
      <c r="N2452" s="14" t="s">
        <v>579</v>
      </c>
      <c r="O2452" s="14">
        <v>0.0</v>
      </c>
      <c r="P2452" s="23">
        <v>0.0</v>
      </c>
      <c r="Q2452" s="22" t="str">
        <f t="shared" ref="Q2452:R2452" si="1434">"+0.00%"</f>
        <v>+0.00%</v>
      </c>
      <c r="R2452" s="18" t="str">
        <f t="shared" si="1434"/>
        <v>+0.00%</v>
      </c>
      <c r="S2452" s="14" t="s">
        <v>285</v>
      </c>
    </row>
    <row r="2453">
      <c r="A2453" s="13">
        <v>45901.0</v>
      </c>
      <c r="B2453" s="14" t="s">
        <v>47</v>
      </c>
      <c r="C2453" s="14" t="s">
        <v>48</v>
      </c>
      <c r="D2453" s="14" t="s">
        <v>195</v>
      </c>
      <c r="E2453" s="14" t="s">
        <v>196</v>
      </c>
      <c r="F2453" s="14" t="s">
        <v>111</v>
      </c>
      <c r="G2453" s="14">
        <v>5252823.0</v>
      </c>
      <c r="H2453" s="14" t="s">
        <v>197</v>
      </c>
      <c r="I2453" s="14" t="s">
        <v>59</v>
      </c>
      <c r="J2453" s="14" t="s">
        <v>199</v>
      </c>
      <c r="K2453" s="14" t="s">
        <v>203</v>
      </c>
      <c r="L2453" s="14" t="s">
        <v>431</v>
      </c>
      <c r="M2453" s="14" t="s">
        <v>431</v>
      </c>
      <c r="N2453" s="14" t="s">
        <v>432</v>
      </c>
      <c r="O2453" s="14">
        <v>0.0</v>
      </c>
      <c r="P2453" s="21">
        <v>0.0</v>
      </c>
      <c r="Q2453" s="22" t="str">
        <f t="shared" ref="Q2453:R2453" si="1435">"+0"</f>
        <v>+0</v>
      </c>
      <c r="R2453" s="18" t="str">
        <f t="shared" si="1435"/>
        <v>+0</v>
      </c>
      <c r="S2453" s="14" t="s">
        <v>260</v>
      </c>
    </row>
    <row r="2454">
      <c r="A2454" s="13">
        <v>45901.0</v>
      </c>
      <c r="B2454" s="14" t="s">
        <v>47</v>
      </c>
      <c r="C2454" s="14" t="s">
        <v>48</v>
      </c>
      <c r="D2454" s="14" t="s">
        <v>85</v>
      </c>
      <c r="E2454" s="14" t="s">
        <v>86</v>
      </c>
      <c r="F2454" s="15" t="s">
        <v>51</v>
      </c>
      <c r="G2454" s="14" t="s">
        <v>148</v>
      </c>
      <c r="H2454" s="14" t="s">
        <v>85</v>
      </c>
      <c r="I2454" s="14" t="s">
        <v>59</v>
      </c>
      <c r="J2454" s="14" t="s">
        <v>198</v>
      </c>
      <c r="K2454" s="14" t="s">
        <v>205</v>
      </c>
      <c r="L2454" s="14" t="s">
        <v>274</v>
      </c>
      <c r="M2454" s="14" t="s">
        <v>451</v>
      </c>
      <c r="N2454" s="14" t="s">
        <v>452</v>
      </c>
      <c r="O2454" s="14">
        <v>0.0</v>
      </c>
      <c r="P2454" s="21">
        <v>0.0</v>
      </c>
      <c r="Q2454" s="22" t="str">
        <f t="shared" ref="Q2454:Q2456" si="1436">"+0"</f>
        <v>+0</v>
      </c>
      <c r="S2454" s="14" t="s">
        <v>281</v>
      </c>
    </row>
    <row r="2455">
      <c r="A2455" s="13">
        <v>45901.0</v>
      </c>
      <c r="B2455" s="14" t="s">
        <v>47</v>
      </c>
      <c r="C2455" s="14" t="s">
        <v>48</v>
      </c>
      <c r="D2455" s="14" t="s">
        <v>96</v>
      </c>
      <c r="E2455" s="14" t="s">
        <v>97</v>
      </c>
      <c r="F2455" s="15" t="s">
        <v>51</v>
      </c>
      <c r="G2455" s="14" t="s">
        <v>98</v>
      </c>
      <c r="H2455" s="14" t="s">
        <v>96</v>
      </c>
      <c r="I2455" s="14" t="s">
        <v>59</v>
      </c>
      <c r="J2455" s="14" t="s">
        <v>199</v>
      </c>
      <c r="K2455" s="14" t="s">
        <v>203</v>
      </c>
      <c r="L2455" s="14" t="s">
        <v>340</v>
      </c>
      <c r="M2455" s="14" t="s">
        <v>340</v>
      </c>
      <c r="N2455" s="14" t="s">
        <v>341</v>
      </c>
      <c r="O2455" s="14">
        <v>0.0</v>
      </c>
      <c r="P2455" s="21">
        <v>0.0</v>
      </c>
      <c r="Q2455" s="22" t="str">
        <f t="shared" si="1436"/>
        <v>+0</v>
      </c>
      <c r="R2455" s="18" t="str">
        <f>"+0"</f>
        <v>+0</v>
      </c>
      <c r="S2455" s="14" t="s">
        <v>260</v>
      </c>
    </row>
    <row r="2456">
      <c r="A2456" s="13">
        <v>45901.0</v>
      </c>
      <c r="B2456" s="14" t="s">
        <v>47</v>
      </c>
      <c r="C2456" s="14" t="s">
        <v>48</v>
      </c>
      <c r="D2456" s="14" t="s">
        <v>85</v>
      </c>
      <c r="E2456" s="14" t="s">
        <v>86</v>
      </c>
      <c r="F2456" s="15" t="s">
        <v>51</v>
      </c>
      <c r="G2456" s="14" t="s">
        <v>148</v>
      </c>
      <c r="H2456" s="14" t="s">
        <v>85</v>
      </c>
      <c r="I2456" s="14" t="s">
        <v>59</v>
      </c>
      <c r="J2456" s="14" t="s">
        <v>198</v>
      </c>
      <c r="K2456" s="14" t="s">
        <v>205</v>
      </c>
      <c r="L2456" s="14" t="s">
        <v>274</v>
      </c>
      <c r="M2456" s="14" t="s">
        <v>636</v>
      </c>
      <c r="N2456" s="14" t="s">
        <v>637</v>
      </c>
      <c r="O2456" s="14">
        <v>100.0</v>
      </c>
      <c r="P2456" s="21">
        <v>1.0</v>
      </c>
      <c r="Q2456" s="22" t="str">
        <f t="shared" si="1436"/>
        <v>+0</v>
      </c>
      <c r="S2456" s="14" t="s">
        <v>281</v>
      </c>
    </row>
    <row r="2457">
      <c r="A2457" s="13">
        <v>45901.0</v>
      </c>
      <c r="B2457" s="14" t="s">
        <v>47</v>
      </c>
      <c r="C2457" s="14" t="s">
        <v>48</v>
      </c>
      <c r="D2457" s="14" t="s">
        <v>125</v>
      </c>
      <c r="E2457" s="14" t="s">
        <v>126</v>
      </c>
      <c r="F2457" s="15" t="s">
        <v>51</v>
      </c>
      <c r="G2457" s="14" t="s">
        <v>127</v>
      </c>
      <c r="H2457" s="14" t="s">
        <v>125</v>
      </c>
      <c r="I2457" s="14" t="s">
        <v>59</v>
      </c>
      <c r="J2457" s="14" t="s">
        <v>200</v>
      </c>
      <c r="K2457" s="14" t="s">
        <v>232</v>
      </c>
      <c r="L2457" s="14" t="s">
        <v>286</v>
      </c>
      <c r="M2457" s="14" t="s">
        <v>625</v>
      </c>
      <c r="N2457" s="14" t="s">
        <v>626</v>
      </c>
      <c r="O2457" s="14">
        <v>0.0</v>
      </c>
      <c r="P2457" s="23">
        <v>0.0</v>
      </c>
      <c r="Q2457" s="22" t="str">
        <f t="shared" ref="Q2457:R2457" si="1437">"+0.00%"</f>
        <v>+0.00%</v>
      </c>
      <c r="R2457" s="18" t="str">
        <f t="shared" si="1437"/>
        <v>+0.00%</v>
      </c>
      <c r="S2457" s="14" t="s">
        <v>1794</v>
      </c>
    </row>
    <row r="2458">
      <c r="A2458" s="13">
        <v>45901.0</v>
      </c>
      <c r="B2458" s="14" t="s">
        <v>47</v>
      </c>
      <c r="C2458" s="14" t="s">
        <v>48</v>
      </c>
      <c r="D2458" s="14" t="s">
        <v>125</v>
      </c>
      <c r="E2458" s="14" t="s">
        <v>126</v>
      </c>
      <c r="F2458" s="15" t="s">
        <v>51</v>
      </c>
      <c r="G2458" s="14" t="s">
        <v>127</v>
      </c>
      <c r="H2458" s="14" t="s">
        <v>125</v>
      </c>
      <c r="I2458" s="14" t="s">
        <v>59</v>
      </c>
      <c r="J2458" s="14" t="s">
        <v>200</v>
      </c>
      <c r="K2458" s="14" t="s">
        <v>232</v>
      </c>
      <c r="L2458" s="14" t="s">
        <v>286</v>
      </c>
      <c r="M2458" s="14" t="s">
        <v>419</v>
      </c>
      <c r="N2458" s="14" t="s">
        <v>420</v>
      </c>
      <c r="O2458" s="14">
        <v>0.0</v>
      </c>
      <c r="P2458" s="23">
        <v>0.0</v>
      </c>
      <c r="Q2458" s="22" t="str">
        <f t="shared" ref="Q2458:R2458" si="1438">"+0.00%"</f>
        <v>+0.00%</v>
      </c>
      <c r="R2458" s="18" t="str">
        <f t="shared" si="1438"/>
        <v>+0.00%</v>
      </c>
      <c r="S2458" s="14" t="s">
        <v>988</v>
      </c>
    </row>
    <row r="2459">
      <c r="A2459" s="13">
        <v>45901.0</v>
      </c>
      <c r="B2459" s="14" t="s">
        <v>47</v>
      </c>
      <c r="C2459" s="14" t="s">
        <v>48</v>
      </c>
      <c r="D2459" s="14" t="s">
        <v>108</v>
      </c>
      <c r="E2459" s="14" t="s">
        <v>109</v>
      </c>
      <c r="F2459" s="15" t="s">
        <v>51</v>
      </c>
      <c r="G2459" s="14" t="s">
        <v>110</v>
      </c>
      <c r="H2459" s="14" t="s">
        <v>108</v>
      </c>
      <c r="I2459" s="14" t="s">
        <v>59</v>
      </c>
      <c r="J2459" s="14" t="s">
        <v>198</v>
      </c>
      <c r="K2459" s="14" t="s">
        <v>212</v>
      </c>
      <c r="L2459" s="14" t="s">
        <v>249</v>
      </c>
      <c r="M2459" s="14" t="s">
        <v>598</v>
      </c>
      <c r="N2459" s="14" t="s">
        <v>599</v>
      </c>
      <c r="O2459" s="14">
        <v>100.0</v>
      </c>
      <c r="P2459" s="21">
        <v>0.0</v>
      </c>
      <c r="Q2459" s="22" t="str">
        <f t="shared" ref="Q2459:R2459" si="1439">"+0"</f>
        <v>+0</v>
      </c>
      <c r="R2459" s="18" t="str">
        <f t="shared" si="1439"/>
        <v>+0</v>
      </c>
      <c r="S2459" s="14" t="s">
        <v>281</v>
      </c>
    </row>
    <row r="2460">
      <c r="A2460" s="13">
        <v>45901.0</v>
      </c>
      <c r="B2460" s="14" t="s">
        <v>47</v>
      </c>
      <c r="C2460" s="14" t="s">
        <v>48</v>
      </c>
      <c r="D2460" s="14" t="s">
        <v>116</v>
      </c>
      <c r="E2460" s="14" t="s">
        <v>117</v>
      </c>
      <c r="F2460" s="15" t="s">
        <v>51</v>
      </c>
      <c r="G2460" s="14" t="s">
        <v>161</v>
      </c>
      <c r="H2460" s="14" t="s">
        <v>116</v>
      </c>
      <c r="I2460" s="14" t="s">
        <v>54</v>
      </c>
      <c r="J2460" s="14" t="s">
        <v>200</v>
      </c>
      <c r="K2460" s="14" t="s">
        <v>224</v>
      </c>
      <c r="L2460" s="14" t="s">
        <v>594</v>
      </c>
      <c r="M2460" s="14" t="s">
        <v>1795</v>
      </c>
      <c r="N2460" s="14" t="s">
        <v>1796</v>
      </c>
      <c r="O2460" s="14">
        <v>0.0</v>
      </c>
      <c r="P2460" s="23">
        <v>0.0</v>
      </c>
      <c r="Q2460" s="22"/>
      <c r="S2460" s="14" t="s">
        <v>1797</v>
      </c>
    </row>
    <row r="2461">
      <c r="A2461" s="13">
        <v>45901.0</v>
      </c>
      <c r="B2461" s="14" t="s">
        <v>47</v>
      </c>
      <c r="C2461" s="14" t="s">
        <v>48</v>
      </c>
      <c r="D2461" s="14" t="s">
        <v>158</v>
      </c>
      <c r="E2461" s="14" t="s">
        <v>159</v>
      </c>
      <c r="F2461" s="15" t="s">
        <v>51</v>
      </c>
      <c r="G2461" s="14" t="s">
        <v>160</v>
      </c>
      <c r="H2461" s="14" t="s">
        <v>158</v>
      </c>
      <c r="I2461" s="14" t="s">
        <v>54</v>
      </c>
      <c r="J2461" s="14" t="s">
        <v>198</v>
      </c>
      <c r="K2461" s="14" t="s">
        <v>210</v>
      </c>
      <c r="L2461" s="14" t="s">
        <v>264</v>
      </c>
      <c r="M2461" s="14" t="s">
        <v>1033</v>
      </c>
      <c r="N2461" s="14" t="s">
        <v>1034</v>
      </c>
      <c r="O2461" s="14">
        <v>0.0</v>
      </c>
      <c r="P2461" s="21">
        <v>0.0</v>
      </c>
      <c r="Q2461" s="22" t="str">
        <f t="shared" ref="Q2461:R2461" si="1440">"+0"</f>
        <v>+0</v>
      </c>
      <c r="R2461" s="18" t="str">
        <f t="shared" si="1440"/>
        <v>+0</v>
      </c>
      <c r="S2461" s="14" t="s">
        <v>277</v>
      </c>
    </row>
    <row r="2462">
      <c r="A2462" s="13">
        <v>45901.0</v>
      </c>
      <c r="B2462" s="14" t="s">
        <v>47</v>
      </c>
      <c r="C2462" s="14" t="s">
        <v>48</v>
      </c>
      <c r="D2462" s="14" t="s">
        <v>116</v>
      </c>
      <c r="E2462" s="14" t="s">
        <v>117</v>
      </c>
      <c r="F2462" s="14" t="s">
        <v>111</v>
      </c>
      <c r="G2462" s="14">
        <v>5298600.0</v>
      </c>
      <c r="H2462" s="14" t="s">
        <v>116</v>
      </c>
      <c r="I2462" s="14" t="s">
        <v>59</v>
      </c>
      <c r="J2462" s="14" t="s">
        <v>199</v>
      </c>
      <c r="K2462" s="14" t="s">
        <v>206</v>
      </c>
      <c r="L2462" s="14" t="s">
        <v>268</v>
      </c>
      <c r="M2462" s="14" t="s">
        <v>268</v>
      </c>
      <c r="N2462" s="14" t="s">
        <v>269</v>
      </c>
      <c r="O2462" s="14">
        <v>80.0</v>
      </c>
      <c r="P2462" s="21">
        <v>2.0</v>
      </c>
      <c r="Q2462" s="22" t="str">
        <f t="shared" ref="Q2462:R2462" si="1441">"+1"</f>
        <v>+1</v>
      </c>
      <c r="R2462" s="18" t="str">
        <f t="shared" si="1441"/>
        <v>+1</v>
      </c>
      <c r="S2462" s="14" t="s">
        <v>260</v>
      </c>
    </row>
    <row r="2463">
      <c r="A2463" s="13">
        <v>45901.0</v>
      </c>
      <c r="B2463" s="14" t="s">
        <v>47</v>
      </c>
      <c r="C2463" s="14" t="s">
        <v>48</v>
      </c>
      <c r="D2463" s="14" t="s">
        <v>108</v>
      </c>
      <c r="E2463" s="14" t="s">
        <v>109</v>
      </c>
      <c r="F2463" s="15" t="s">
        <v>51</v>
      </c>
      <c r="G2463" s="14" t="s">
        <v>110</v>
      </c>
      <c r="H2463" s="14" t="s">
        <v>108</v>
      </c>
      <c r="I2463" s="14" t="s">
        <v>59</v>
      </c>
      <c r="J2463" s="14" t="s">
        <v>200</v>
      </c>
      <c r="K2463" s="14" t="s">
        <v>213</v>
      </c>
      <c r="L2463" s="14" t="s">
        <v>359</v>
      </c>
      <c r="M2463" s="14" t="s">
        <v>360</v>
      </c>
      <c r="N2463" s="14" t="s">
        <v>361</v>
      </c>
      <c r="O2463" s="14">
        <v>0.0</v>
      </c>
      <c r="P2463" s="23">
        <v>0.0</v>
      </c>
      <c r="Q2463" s="22" t="str">
        <f t="shared" ref="Q2463:Q2464" si="1442">"+0.00%"</f>
        <v>+0.00%</v>
      </c>
      <c r="S2463" s="14" t="s">
        <v>1798</v>
      </c>
    </row>
    <row r="2464">
      <c r="A2464" s="13">
        <v>45901.0</v>
      </c>
      <c r="B2464" s="14" t="s">
        <v>47</v>
      </c>
      <c r="C2464" s="14" t="s">
        <v>48</v>
      </c>
      <c r="D2464" s="14" t="s">
        <v>77</v>
      </c>
      <c r="E2464" s="14" t="s">
        <v>78</v>
      </c>
      <c r="F2464" s="14" t="s">
        <v>79</v>
      </c>
      <c r="G2464" s="14" t="s">
        <v>80</v>
      </c>
      <c r="H2464" s="14" t="s">
        <v>81</v>
      </c>
      <c r="J2464" s="14" t="s">
        <v>200</v>
      </c>
      <c r="K2464" s="14" t="s">
        <v>238</v>
      </c>
      <c r="L2464" s="14" t="s">
        <v>253</v>
      </c>
      <c r="M2464" s="14" t="s">
        <v>1591</v>
      </c>
      <c r="N2464" s="14" t="s">
        <v>1592</v>
      </c>
      <c r="O2464" s="14">
        <v>0.0</v>
      </c>
      <c r="P2464" s="23">
        <v>0.0</v>
      </c>
      <c r="Q2464" s="22" t="str">
        <f t="shared" si="1442"/>
        <v>+0.00%</v>
      </c>
      <c r="R2464" s="18" t="str">
        <f>"+0.00%"</f>
        <v>+0.00%</v>
      </c>
      <c r="S2464" s="14" t="s">
        <v>1552</v>
      </c>
    </row>
    <row r="2465">
      <c r="A2465" s="13">
        <v>45901.0</v>
      </c>
      <c r="B2465" s="14" t="s">
        <v>47</v>
      </c>
      <c r="C2465" s="14" t="s">
        <v>48</v>
      </c>
      <c r="D2465" s="14" t="s">
        <v>56</v>
      </c>
      <c r="E2465" s="14" t="s">
        <v>57</v>
      </c>
      <c r="F2465" s="15" t="s">
        <v>51</v>
      </c>
      <c r="G2465" s="14" t="s">
        <v>58</v>
      </c>
      <c r="H2465" s="14" t="s">
        <v>56</v>
      </c>
      <c r="I2465" s="14" t="s">
        <v>59</v>
      </c>
      <c r="J2465" s="14" t="s">
        <v>200</v>
      </c>
      <c r="K2465" s="14" t="s">
        <v>204</v>
      </c>
      <c r="L2465" s="14" t="s">
        <v>253</v>
      </c>
      <c r="M2465" s="14" t="s">
        <v>844</v>
      </c>
      <c r="N2465" s="14" t="s">
        <v>845</v>
      </c>
      <c r="O2465" s="14">
        <v>0.0</v>
      </c>
      <c r="P2465" s="17"/>
      <c r="Q2465" s="22"/>
      <c r="S2465" s="14" t="s">
        <v>846</v>
      </c>
    </row>
    <row r="2466">
      <c r="A2466" s="13">
        <v>45901.0</v>
      </c>
      <c r="B2466" s="14" t="s">
        <v>47</v>
      </c>
      <c r="C2466" s="14" t="s">
        <v>48</v>
      </c>
      <c r="D2466" s="14" t="s">
        <v>121</v>
      </c>
      <c r="E2466" s="14" t="s">
        <v>122</v>
      </c>
      <c r="F2466" s="15" t="s">
        <v>51</v>
      </c>
      <c r="G2466" s="14" t="s">
        <v>123</v>
      </c>
      <c r="H2466" s="14" t="s">
        <v>124</v>
      </c>
      <c r="I2466" s="14" t="s">
        <v>59</v>
      </c>
      <c r="J2466" s="14" t="s">
        <v>198</v>
      </c>
      <c r="K2466" s="14" t="s">
        <v>210</v>
      </c>
      <c r="L2466" s="14" t="s">
        <v>278</v>
      </c>
      <c r="M2466" s="14" t="s">
        <v>839</v>
      </c>
      <c r="N2466" s="14" t="s">
        <v>840</v>
      </c>
      <c r="O2466" s="14">
        <v>41.0</v>
      </c>
      <c r="P2466" s="21">
        <v>1446.0</v>
      </c>
      <c r="Q2466" s="22" t="str">
        <f>"+103"</f>
        <v>+103</v>
      </c>
      <c r="R2466" s="18" t="str">
        <f>"+344"</f>
        <v>+344</v>
      </c>
      <c r="S2466" s="14" t="s">
        <v>1799</v>
      </c>
    </row>
    <row r="2467">
      <c r="A2467" s="13">
        <v>45901.0</v>
      </c>
      <c r="B2467" s="14" t="s">
        <v>47</v>
      </c>
      <c r="C2467" s="14" t="s">
        <v>48</v>
      </c>
      <c r="D2467" s="14" t="s">
        <v>168</v>
      </c>
      <c r="E2467" s="14" t="s">
        <v>169</v>
      </c>
      <c r="F2467" s="15" t="s">
        <v>51</v>
      </c>
      <c r="G2467" s="14" t="s">
        <v>170</v>
      </c>
      <c r="H2467" s="14" t="s">
        <v>168</v>
      </c>
      <c r="I2467" s="14" t="s">
        <v>59</v>
      </c>
      <c r="J2467" s="14" t="s">
        <v>200</v>
      </c>
      <c r="K2467" s="14" t="s">
        <v>201</v>
      </c>
      <c r="L2467" s="14" t="s">
        <v>253</v>
      </c>
      <c r="M2467" s="14" t="s">
        <v>585</v>
      </c>
      <c r="N2467" s="14" t="s">
        <v>586</v>
      </c>
      <c r="O2467" s="14">
        <v>1.0</v>
      </c>
      <c r="P2467" s="23">
        <v>3.0E-4</v>
      </c>
      <c r="Q2467" s="22" t="str">
        <f>"-0.04%"</f>
        <v>-0.04%</v>
      </c>
      <c r="R2467" s="18" t="str">
        <f>"-0.01%"</f>
        <v>-0.01%</v>
      </c>
      <c r="S2467" s="14" t="s">
        <v>1454</v>
      </c>
    </row>
    <row r="2468">
      <c r="A2468" s="13">
        <v>45901.0</v>
      </c>
      <c r="B2468" s="14" t="s">
        <v>47</v>
      </c>
      <c r="C2468" s="14" t="s">
        <v>48</v>
      </c>
      <c r="D2468" s="14" t="s">
        <v>121</v>
      </c>
      <c r="E2468" s="14" t="s">
        <v>122</v>
      </c>
      <c r="F2468" s="15" t="s">
        <v>51</v>
      </c>
      <c r="G2468" s="14" t="s">
        <v>123</v>
      </c>
      <c r="H2468" s="14" t="s">
        <v>124</v>
      </c>
      <c r="I2468" s="14" t="s">
        <v>59</v>
      </c>
      <c r="J2468" s="14" t="s">
        <v>200</v>
      </c>
      <c r="K2468" s="14" t="s">
        <v>232</v>
      </c>
      <c r="L2468" s="14" t="s">
        <v>304</v>
      </c>
      <c r="M2468" s="14" t="s">
        <v>662</v>
      </c>
      <c r="N2468" s="14" t="s">
        <v>663</v>
      </c>
      <c r="O2468" s="14">
        <v>53.0</v>
      </c>
      <c r="P2468" s="23">
        <v>0.0714</v>
      </c>
      <c r="Q2468" s="22" t="str">
        <f>"+44.53%"</f>
        <v>+44.53%</v>
      </c>
      <c r="R2468" s="18" t="str">
        <f>"-61.08%"</f>
        <v>-61.08%</v>
      </c>
      <c r="S2468" s="14" t="s">
        <v>1800</v>
      </c>
    </row>
    <row r="2469">
      <c r="A2469" s="13">
        <v>45901.0</v>
      </c>
      <c r="B2469" s="14" t="s">
        <v>47</v>
      </c>
      <c r="C2469" s="14" t="s">
        <v>48</v>
      </c>
      <c r="D2469" s="14" t="s">
        <v>60</v>
      </c>
      <c r="E2469" s="14" t="s">
        <v>61</v>
      </c>
      <c r="F2469" s="15" t="s">
        <v>51</v>
      </c>
      <c r="G2469" s="14" t="s">
        <v>62</v>
      </c>
      <c r="H2469" s="14" t="s">
        <v>60</v>
      </c>
      <c r="I2469" s="14" t="s">
        <v>59</v>
      </c>
      <c r="J2469" s="14" t="s">
        <v>200</v>
      </c>
      <c r="K2469" s="14" t="s">
        <v>223</v>
      </c>
      <c r="L2469" s="14" t="s">
        <v>307</v>
      </c>
      <c r="M2469" s="14" t="s">
        <v>856</v>
      </c>
      <c r="N2469" s="14" t="s">
        <v>857</v>
      </c>
      <c r="O2469" s="14">
        <v>0.0</v>
      </c>
      <c r="P2469" s="23">
        <v>0.0</v>
      </c>
      <c r="Q2469" s="22" t="str">
        <f t="shared" ref="Q2469:R2469" si="1443">"+0.00%"</f>
        <v>+0.00%</v>
      </c>
      <c r="R2469" s="18" t="str">
        <f t="shared" si="1443"/>
        <v>+0.00%</v>
      </c>
      <c r="S2469" s="14" t="s">
        <v>285</v>
      </c>
    </row>
    <row r="2470">
      <c r="A2470" s="13">
        <v>45901.0</v>
      </c>
      <c r="B2470" s="14" t="s">
        <v>47</v>
      </c>
      <c r="C2470" s="14" t="s">
        <v>48</v>
      </c>
      <c r="D2470" s="14" t="s">
        <v>56</v>
      </c>
      <c r="E2470" s="14" t="s">
        <v>57</v>
      </c>
      <c r="F2470" s="15" t="s">
        <v>51</v>
      </c>
      <c r="G2470" s="14" t="s">
        <v>58</v>
      </c>
      <c r="H2470" s="14" t="s">
        <v>56</v>
      </c>
      <c r="I2470" s="14" t="s">
        <v>59</v>
      </c>
      <c r="J2470" s="14" t="s">
        <v>200</v>
      </c>
      <c r="K2470" s="14" t="s">
        <v>223</v>
      </c>
      <c r="L2470" s="14" t="s">
        <v>261</v>
      </c>
      <c r="M2470" s="14" t="s">
        <v>814</v>
      </c>
      <c r="N2470" s="14" t="s">
        <v>815</v>
      </c>
      <c r="O2470" s="14">
        <v>100.0</v>
      </c>
      <c r="P2470" s="23">
        <v>1.0</v>
      </c>
      <c r="Q2470" s="22" t="str">
        <f>"+123.20%"</f>
        <v>+123.20%</v>
      </c>
      <c r="R2470" s="18" t="str">
        <f>"+143.53%"</f>
        <v>+143.53%</v>
      </c>
      <c r="S2470" s="14" t="s">
        <v>1801</v>
      </c>
    </row>
    <row r="2471">
      <c r="A2471" s="13">
        <v>45901.0</v>
      </c>
      <c r="B2471" s="14" t="s">
        <v>47</v>
      </c>
      <c r="C2471" s="14" t="s">
        <v>48</v>
      </c>
      <c r="D2471" s="14" t="s">
        <v>181</v>
      </c>
      <c r="E2471" s="14" t="s">
        <v>182</v>
      </c>
      <c r="F2471" s="15" t="s">
        <v>51</v>
      </c>
      <c r="G2471" s="14" t="s">
        <v>183</v>
      </c>
      <c r="H2471" s="14" t="s">
        <v>181</v>
      </c>
      <c r="I2471" s="14" t="s">
        <v>59</v>
      </c>
      <c r="J2471" s="14" t="s">
        <v>200</v>
      </c>
      <c r="K2471" s="14" t="s">
        <v>204</v>
      </c>
      <c r="L2471" s="14" t="s">
        <v>253</v>
      </c>
      <c r="M2471" s="14" t="s">
        <v>490</v>
      </c>
      <c r="N2471" s="14" t="s">
        <v>491</v>
      </c>
      <c r="O2471" s="14">
        <v>0.0</v>
      </c>
      <c r="P2471" s="23">
        <v>0.0</v>
      </c>
      <c r="Q2471" s="22" t="str">
        <f t="shared" ref="Q2471:R2471" si="1444">"+0.00%"</f>
        <v>+0.00%</v>
      </c>
      <c r="R2471" s="18" t="str">
        <f t="shared" si="1444"/>
        <v>+0.00%</v>
      </c>
      <c r="S2471" s="14" t="s">
        <v>492</v>
      </c>
    </row>
    <row r="2472">
      <c r="A2472" s="13">
        <v>45901.0</v>
      </c>
      <c r="B2472" s="14" t="s">
        <v>47</v>
      </c>
      <c r="C2472" s="14" t="s">
        <v>48</v>
      </c>
      <c r="D2472" s="14" t="s">
        <v>165</v>
      </c>
      <c r="E2472" s="14" t="s">
        <v>166</v>
      </c>
      <c r="F2472" s="15" t="s">
        <v>51</v>
      </c>
      <c r="G2472" s="14" t="s">
        <v>167</v>
      </c>
      <c r="H2472" s="14" t="s">
        <v>165</v>
      </c>
      <c r="I2472" s="14" t="s">
        <v>54</v>
      </c>
      <c r="J2472" s="14" t="s">
        <v>198</v>
      </c>
      <c r="K2472" s="14" t="s">
        <v>210</v>
      </c>
      <c r="L2472" s="14" t="s">
        <v>505</v>
      </c>
      <c r="M2472" s="14" t="s">
        <v>880</v>
      </c>
      <c r="N2472" s="14" t="s">
        <v>881</v>
      </c>
      <c r="O2472" s="14">
        <v>0.0</v>
      </c>
      <c r="P2472" s="21">
        <v>0.0</v>
      </c>
      <c r="Q2472" s="22" t="str">
        <f t="shared" ref="Q2472:R2472" si="1445">"+0"</f>
        <v>+0</v>
      </c>
      <c r="R2472" s="18" t="str">
        <f t="shared" si="1445"/>
        <v>+0</v>
      </c>
      <c r="S2472" s="14" t="s">
        <v>277</v>
      </c>
    </row>
    <row r="2473">
      <c r="A2473" s="13">
        <v>45901.0</v>
      </c>
      <c r="B2473" s="14" t="s">
        <v>47</v>
      </c>
      <c r="C2473" s="14" t="s">
        <v>48</v>
      </c>
      <c r="D2473" s="14" t="s">
        <v>49</v>
      </c>
      <c r="E2473" s="14" t="s">
        <v>50</v>
      </c>
      <c r="F2473" s="15" t="s">
        <v>51</v>
      </c>
      <c r="G2473" s="14" t="s">
        <v>52</v>
      </c>
      <c r="H2473" s="14" t="s">
        <v>53</v>
      </c>
      <c r="I2473" s="14" t="s">
        <v>54</v>
      </c>
      <c r="J2473" s="14" t="s">
        <v>198</v>
      </c>
      <c r="K2473" s="14" t="s">
        <v>210</v>
      </c>
      <c r="L2473" s="14" t="s">
        <v>264</v>
      </c>
      <c r="M2473" s="14" t="s">
        <v>1802</v>
      </c>
      <c r="N2473" s="14" t="s">
        <v>1803</v>
      </c>
      <c r="O2473" s="14">
        <v>0.0</v>
      </c>
      <c r="P2473" s="21">
        <v>0.0</v>
      </c>
      <c r="Q2473" s="22" t="str">
        <f t="shared" ref="Q2473:R2473" si="1446">"+0"</f>
        <v>+0</v>
      </c>
      <c r="R2473" s="18" t="str">
        <f t="shared" si="1446"/>
        <v>+0</v>
      </c>
      <c r="S2473" s="14" t="s">
        <v>277</v>
      </c>
    </row>
    <row r="2474">
      <c r="A2474" s="13">
        <v>45901.0</v>
      </c>
      <c r="B2474" s="14" t="s">
        <v>47</v>
      </c>
      <c r="C2474" s="14" t="s">
        <v>48</v>
      </c>
      <c r="D2474" s="14" t="s">
        <v>165</v>
      </c>
      <c r="E2474" s="14" t="s">
        <v>166</v>
      </c>
      <c r="F2474" s="15" t="s">
        <v>51</v>
      </c>
      <c r="G2474" s="14" t="s">
        <v>167</v>
      </c>
      <c r="H2474" s="14" t="s">
        <v>165</v>
      </c>
      <c r="I2474" s="14" t="s">
        <v>54</v>
      </c>
      <c r="J2474" s="14" t="s">
        <v>198</v>
      </c>
      <c r="K2474" s="14" t="s">
        <v>210</v>
      </c>
      <c r="L2474" s="14" t="s">
        <v>505</v>
      </c>
      <c r="M2474" s="14" t="s">
        <v>1475</v>
      </c>
      <c r="N2474" s="14" t="s">
        <v>1476</v>
      </c>
      <c r="O2474" s="14">
        <v>0.0</v>
      </c>
      <c r="P2474" s="21">
        <v>0.0</v>
      </c>
      <c r="Q2474" s="22" t="str">
        <f t="shared" ref="Q2474:R2474" si="1447">"+0"</f>
        <v>+0</v>
      </c>
      <c r="R2474" s="18" t="str">
        <f t="shared" si="1447"/>
        <v>+0</v>
      </c>
      <c r="S2474" s="14" t="s">
        <v>277</v>
      </c>
    </row>
    <row r="2475">
      <c r="A2475" s="13">
        <v>45901.0</v>
      </c>
      <c r="B2475" s="14" t="s">
        <v>47</v>
      </c>
      <c r="C2475" s="14" t="s">
        <v>48</v>
      </c>
      <c r="D2475" s="14" t="s">
        <v>91</v>
      </c>
      <c r="E2475" s="14" t="s">
        <v>92</v>
      </c>
      <c r="F2475" s="15" t="s">
        <v>51</v>
      </c>
      <c r="G2475" s="14" t="s">
        <v>163</v>
      </c>
      <c r="H2475" s="14" t="s">
        <v>91</v>
      </c>
      <c r="I2475" s="14" t="s">
        <v>59</v>
      </c>
      <c r="J2475" s="14" t="s">
        <v>198</v>
      </c>
      <c r="K2475" s="14" t="s">
        <v>205</v>
      </c>
      <c r="L2475" s="14" t="s">
        <v>274</v>
      </c>
      <c r="M2475" s="14" t="s">
        <v>473</v>
      </c>
      <c r="N2475" s="14" t="s">
        <v>474</v>
      </c>
      <c r="O2475" s="14">
        <v>100.0</v>
      </c>
      <c r="P2475" s="21">
        <v>30.0</v>
      </c>
      <c r="Q2475" s="22" t="str">
        <f>"+0"</f>
        <v>+0</v>
      </c>
      <c r="S2475" s="14" t="s">
        <v>475</v>
      </c>
    </row>
    <row r="2476">
      <c r="A2476" s="13">
        <v>45901.0</v>
      </c>
      <c r="B2476" s="14" t="s">
        <v>47</v>
      </c>
      <c r="C2476" s="14" t="s">
        <v>48</v>
      </c>
      <c r="D2476" s="14" t="s">
        <v>63</v>
      </c>
      <c r="E2476" s="14" t="s">
        <v>64</v>
      </c>
      <c r="F2476" s="15" t="s">
        <v>51</v>
      </c>
      <c r="G2476" s="14" t="s">
        <v>65</v>
      </c>
      <c r="H2476" s="14" t="s">
        <v>63</v>
      </c>
      <c r="I2476" s="14" t="s">
        <v>54</v>
      </c>
      <c r="J2476" s="14" t="s">
        <v>200</v>
      </c>
      <c r="K2476" s="14" t="s">
        <v>222</v>
      </c>
      <c r="L2476" s="14" t="s">
        <v>337</v>
      </c>
      <c r="M2476" s="14" t="s">
        <v>734</v>
      </c>
      <c r="N2476" s="14" t="s">
        <v>735</v>
      </c>
      <c r="O2476" s="14">
        <v>100.0</v>
      </c>
      <c r="P2476" s="21">
        <v>76072.0</v>
      </c>
      <c r="Q2476" s="22" t="str">
        <f>"+3,105"</f>
        <v>+3,105</v>
      </c>
      <c r="R2476" s="18" t="str">
        <f>"+2,297"</f>
        <v>+2,297</v>
      </c>
      <c r="S2476" s="14" t="s">
        <v>260</v>
      </c>
    </row>
    <row r="2477">
      <c r="A2477" s="13">
        <v>45901.0</v>
      </c>
      <c r="B2477" s="14" t="s">
        <v>47</v>
      </c>
      <c r="C2477" s="14" t="s">
        <v>48</v>
      </c>
      <c r="D2477" s="14" t="s">
        <v>91</v>
      </c>
      <c r="E2477" s="14" t="s">
        <v>92</v>
      </c>
      <c r="F2477" s="15" t="s">
        <v>51</v>
      </c>
      <c r="G2477" s="14" t="s">
        <v>163</v>
      </c>
      <c r="H2477" s="14" t="s">
        <v>91</v>
      </c>
      <c r="I2477" s="14" t="s">
        <v>59</v>
      </c>
      <c r="J2477" s="14" t="s">
        <v>200</v>
      </c>
      <c r="K2477" s="14" t="s">
        <v>227</v>
      </c>
      <c r="L2477" s="14" t="s">
        <v>270</v>
      </c>
      <c r="M2477" s="14" t="s">
        <v>321</v>
      </c>
      <c r="N2477" s="14" t="s">
        <v>322</v>
      </c>
      <c r="O2477" s="14">
        <v>0.0</v>
      </c>
      <c r="P2477" s="23">
        <v>-1.0</v>
      </c>
      <c r="Q2477" s="22" t="str">
        <f t="shared" ref="Q2477:R2477" si="1448">"+0.00%"</f>
        <v>+0.00%</v>
      </c>
      <c r="R2477" s="18" t="str">
        <f t="shared" si="1448"/>
        <v>+0.00%</v>
      </c>
      <c r="S2477" s="14" t="s">
        <v>323</v>
      </c>
    </row>
    <row r="2478">
      <c r="A2478" s="13">
        <v>45901.0</v>
      </c>
      <c r="B2478" s="14" t="s">
        <v>47</v>
      </c>
      <c r="C2478" s="14" t="s">
        <v>48</v>
      </c>
      <c r="D2478" s="14" t="s">
        <v>91</v>
      </c>
      <c r="E2478" s="14" t="s">
        <v>92</v>
      </c>
      <c r="F2478" s="14" t="s">
        <v>71</v>
      </c>
      <c r="G2478" s="14">
        <v>5.10001669E8</v>
      </c>
      <c r="H2478" s="14" t="s">
        <v>91</v>
      </c>
      <c r="I2478" s="14" t="s">
        <v>107</v>
      </c>
      <c r="J2478" s="14" t="s">
        <v>199</v>
      </c>
      <c r="K2478" s="14" t="s">
        <v>206</v>
      </c>
      <c r="L2478" s="14" t="s">
        <v>295</v>
      </c>
      <c r="M2478" s="14" t="s">
        <v>296</v>
      </c>
      <c r="N2478" s="14" t="s">
        <v>297</v>
      </c>
      <c r="O2478" s="14">
        <v>100.0</v>
      </c>
      <c r="P2478" s="21">
        <v>2.0</v>
      </c>
      <c r="Q2478" s="22" t="str">
        <f t="shared" ref="Q2478:R2478" si="1449">"+0"</f>
        <v>+0</v>
      </c>
      <c r="R2478" s="18" t="str">
        <f t="shared" si="1449"/>
        <v>+0</v>
      </c>
      <c r="S2478" s="14" t="s">
        <v>260</v>
      </c>
    </row>
    <row r="2479">
      <c r="A2479" s="13">
        <v>45901.0</v>
      </c>
      <c r="B2479" s="14" t="s">
        <v>47</v>
      </c>
      <c r="C2479" s="14" t="s">
        <v>48</v>
      </c>
      <c r="D2479" s="14" t="s">
        <v>99</v>
      </c>
      <c r="E2479" s="14" t="s">
        <v>100</v>
      </c>
      <c r="F2479" s="15" t="s">
        <v>51</v>
      </c>
      <c r="G2479" s="14" t="s">
        <v>101</v>
      </c>
      <c r="H2479" s="14" t="s">
        <v>102</v>
      </c>
      <c r="I2479" s="14" t="s">
        <v>54</v>
      </c>
      <c r="J2479" s="14" t="s">
        <v>198</v>
      </c>
      <c r="K2479" s="14" t="s">
        <v>210</v>
      </c>
      <c r="L2479" s="14" t="s">
        <v>458</v>
      </c>
      <c r="M2479" s="14" t="s">
        <v>796</v>
      </c>
      <c r="N2479" s="14" t="s">
        <v>797</v>
      </c>
      <c r="O2479" s="14">
        <v>0.0</v>
      </c>
      <c r="P2479" s="21">
        <v>0.0</v>
      </c>
      <c r="Q2479" s="22" t="str">
        <f t="shared" ref="Q2479:R2479" si="1450">"+0"</f>
        <v>+0</v>
      </c>
      <c r="R2479" s="18" t="str">
        <f t="shared" si="1450"/>
        <v>+0</v>
      </c>
      <c r="S2479" s="14" t="s">
        <v>277</v>
      </c>
    </row>
    <row r="2480">
      <c r="A2480" s="13">
        <v>45901.0</v>
      </c>
      <c r="B2480" s="14" t="s">
        <v>47</v>
      </c>
      <c r="C2480" s="14" t="s">
        <v>48</v>
      </c>
      <c r="D2480" s="14" t="s">
        <v>118</v>
      </c>
      <c r="E2480" s="14" t="s">
        <v>119</v>
      </c>
      <c r="F2480" s="15" t="s">
        <v>51</v>
      </c>
      <c r="G2480" s="14" t="s">
        <v>120</v>
      </c>
      <c r="H2480" s="14" t="s">
        <v>118</v>
      </c>
      <c r="I2480" s="14" t="s">
        <v>59</v>
      </c>
      <c r="J2480" s="14" t="s">
        <v>199</v>
      </c>
      <c r="K2480" s="14" t="s">
        <v>206</v>
      </c>
      <c r="L2480" s="14" t="s">
        <v>268</v>
      </c>
      <c r="M2480" s="14" t="s">
        <v>268</v>
      </c>
      <c r="N2480" s="14" t="s">
        <v>269</v>
      </c>
      <c r="O2480" s="14">
        <v>0.0</v>
      </c>
      <c r="P2480" s="21">
        <v>0.0</v>
      </c>
      <c r="Q2480" s="22" t="str">
        <f t="shared" ref="Q2480:R2480" si="1451">"+0"</f>
        <v>+0</v>
      </c>
      <c r="R2480" s="18" t="str">
        <f t="shared" si="1451"/>
        <v>+0</v>
      </c>
      <c r="S2480" s="14" t="s">
        <v>260</v>
      </c>
    </row>
    <row r="2481">
      <c r="A2481" s="13">
        <v>45901.0</v>
      </c>
      <c r="B2481" s="14" t="s">
        <v>47</v>
      </c>
      <c r="C2481" s="14" t="s">
        <v>48</v>
      </c>
      <c r="D2481" s="14" t="s">
        <v>91</v>
      </c>
      <c r="E2481" s="14" t="s">
        <v>92</v>
      </c>
      <c r="F2481" s="14" t="s">
        <v>79</v>
      </c>
      <c r="G2481" s="14" t="s">
        <v>164</v>
      </c>
      <c r="H2481" s="14" t="s">
        <v>91</v>
      </c>
      <c r="I2481" s="14" t="s">
        <v>154</v>
      </c>
      <c r="J2481" s="14" t="s">
        <v>198</v>
      </c>
      <c r="K2481" s="14" t="s">
        <v>205</v>
      </c>
      <c r="L2481" s="14" t="s">
        <v>1641</v>
      </c>
      <c r="M2481" s="14" t="s">
        <v>1642</v>
      </c>
      <c r="N2481" s="14" t="s">
        <v>1643</v>
      </c>
      <c r="O2481" s="14">
        <v>0.0</v>
      </c>
      <c r="P2481" s="21">
        <v>1.0</v>
      </c>
      <c r="Q2481" s="22" t="str">
        <f t="shared" ref="Q2481:Q2483" si="1452">"+0"</f>
        <v>+0</v>
      </c>
      <c r="S2481" s="14" t="s">
        <v>277</v>
      </c>
    </row>
    <row r="2482">
      <c r="A2482" s="13">
        <v>45901.0</v>
      </c>
      <c r="B2482" s="14" t="s">
        <v>47</v>
      </c>
      <c r="C2482" s="14" t="s">
        <v>48</v>
      </c>
      <c r="D2482" s="14" t="s">
        <v>177</v>
      </c>
      <c r="E2482" s="14" t="s">
        <v>178</v>
      </c>
      <c r="F2482" s="14" t="s">
        <v>146</v>
      </c>
      <c r="G2482" s="14" t="s">
        <v>179</v>
      </c>
      <c r="H2482" s="14" t="s">
        <v>177</v>
      </c>
      <c r="I2482" s="14" t="s">
        <v>107</v>
      </c>
      <c r="J2482" s="14" t="s">
        <v>199</v>
      </c>
      <c r="K2482" s="14" t="s">
        <v>206</v>
      </c>
      <c r="L2482" s="14" t="s">
        <v>531</v>
      </c>
      <c r="M2482" s="14" t="s">
        <v>531</v>
      </c>
      <c r="N2482" s="14" t="s">
        <v>532</v>
      </c>
      <c r="O2482" s="14">
        <v>0.0</v>
      </c>
      <c r="P2482" s="21">
        <v>0.0</v>
      </c>
      <c r="Q2482" s="22" t="str">
        <f t="shared" si="1452"/>
        <v>+0</v>
      </c>
      <c r="R2482" s="18" t="str">
        <f t="shared" ref="R2482:R2483" si="1453">"+0"</f>
        <v>+0</v>
      </c>
      <c r="S2482" s="14" t="s">
        <v>260</v>
      </c>
    </row>
    <row r="2483">
      <c r="A2483" s="13">
        <v>45901.0</v>
      </c>
      <c r="B2483" s="14" t="s">
        <v>47</v>
      </c>
      <c r="C2483" s="14" t="s">
        <v>48</v>
      </c>
      <c r="D2483" s="14" t="s">
        <v>91</v>
      </c>
      <c r="E2483" s="14" t="s">
        <v>92</v>
      </c>
      <c r="F2483" s="14" t="s">
        <v>71</v>
      </c>
      <c r="G2483" s="14">
        <v>1.00004432E8</v>
      </c>
      <c r="H2483" s="14" t="s">
        <v>91</v>
      </c>
      <c r="I2483" s="14" t="s">
        <v>59</v>
      </c>
      <c r="J2483" s="14" t="s">
        <v>199</v>
      </c>
      <c r="K2483" s="14" t="s">
        <v>206</v>
      </c>
      <c r="L2483" s="14" t="s">
        <v>295</v>
      </c>
      <c r="M2483" s="14" t="s">
        <v>296</v>
      </c>
      <c r="N2483" s="14" t="s">
        <v>297</v>
      </c>
      <c r="O2483" s="14">
        <v>100.0</v>
      </c>
      <c r="P2483" s="21">
        <v>2.0</v>
      </c>
      <c r="Q2483" s="22" t="str">
        <f t="shared" si="1452"/>
        <v>+0</v>
      </c>
      <c r="R2483" s="18" t="str">
        <f t="shared" si="1453"/>
        <v>+0</v>
      </c>
      <c r="S2483" s="14" t="s">
        <v>260</v>
      </c>
    </row>
    <row r="2484">
      <c r="A2484" s="13">
        <v>45901.0</v>
      </c>
      <c r="B2484" s="14" t="s">
        <v>47</v>
      </c>
      <c r="C2484" s="14" t="s">
        <v>48</v>
      </c>
      <c r="D2484" s="14" t="s">
        <v>118</v>
      </c>
      <c r="E2484" s="14" t="s">
        <v>119</v>
      </c>
      <c r="F2484" s="15" t="s">
        <v>51</v>
      </c>
      <c r="G2484" s="14" t="s">
        <v>120</v>
      </c>
      <c r="H2484" s="14" t="s">
        <v>118</v>
      </c>
      <c r="I2484" s="14" t="s">
        <v>59</v>
      </c>
      <c r="J2484" s="14" t="s">
        <v>200</v>
      </c>
      <c r="K2484" s="14" t="s">
        <v>213</v>
      </c>
      <c r="L2484" s="14" t="s">
        <v>253</v>
      </c>
      <c r="M2484" s="14" t="s">
        <v>389</v>
      </c>
      <c r="N2484" s="14" t="s">
        <v>390</v>
      </c>
      <c r="O2484" s="14">
        <v>43.0</v>
      </c>
      <c r="P2484" s="23">
        <v>0.4378</v>
      </c>
      <c r="Q2484" s="22" t="str">
        <f>"+14.61%"</f>
        <v>+14.61%</v>
      </c>
      <c r="R2484" s="18" t="str">
        <f>"+6.86%"</f>
        <v>+6.86%</v>
      </c>
      <c r="S2484" s="14" t="s">
        <v>1804</v>
      </c>
    </row>
    <row r="2485">
      <c r="A2485" s="13">
        <v>45901.0</v>
      </c>
      <c r="B2485" s="14" t="s">
        <v>47</v>
      </c>
      <c r="C2485" s="14" t="s">
        <v>48</v>
      </c>
      <c r="D2485" s="14" t="s">
        <v>82</v>
      </c>
      <c r="E2485" s="14" t="s">
        <v>83</v>
      </c>
      <c r="F2485" s="15" t="s">
        <v>51</v>
      </c>
      <c r="G2485" s="14" t="s">
        <v>84</v>
      </c>
      <c r="H2485" s="14" t="s">
        <v>82</v>
      </c>
      <c r="I2485" s="14" t="s">
        <v>59</v>
      </c>
      <c r="J2485" s="14" t="s">
        <v>200</v>
      </c>
      <c r="K2485" s="14" t="s">
        <v>213</v>
      </c>
      <c r="L2485" s="14" t="s">
        <v>257</v>
      </c>
      <c r="M2485" s="14" t="s">
        <v>298</v>
      </c>
      <c r="N2485" s="14" t="s">
        <v>299</v>
      </c>
      <c r="O2485" s="14">
        <v>0.0</v>
      </c>
      <c r="P2485" s="23">
        <v>0.0</v>
      </c>
      <c r="Q2485" s="22" t="str">
        <f t="shared" ref="Q2485:R2485" si="1454">"+0.00%"</f>
        <v>+0.00%</v>
      </c>
      <c r="R2485" s="18" t="str">
        <f t="shared" si="1454"/>
        <v>+0.00%</v>
      </c>
      <c r="S2485" s="14" t="s">
        <v>1805</v>
      </c>
    </row>
    <row r="2486">
      <c r="A2486" s="13">
        <v>45901.0</v>
      </c>
      <c r="B2486" s="14" t="s">
        <v>47</v>
      </c>
      <c r="C2486" s="14" t="s">
        <v>48</v>
      </c>
      <c r="D2486" s="14" t="s">
        <v>66</v>
      </c>
      <c r="E2486" s="14" t="s">
        <v>67</v>
      </c>
      <c r="F2486" s="15" t="s">
        <v>51</v>
      </c>
      <c r="G2486" s="14" t="s">
        <v>68</v>
      </c>
      <c r="H2486" s="14" t="s">
        <v>66</v>
      </c>
      <c r="I2486" s="14" t="s">
        <v>59</v>
      </c>
      <c r="J2486" s="14" t="s">
        <v>200</v>
      </c>
      <c r="K2486" s="14" t="s">
        <v>223</v>
      </c>
      <c r="L2486" s="14" t="s">
        <v>304</v>
      </c>
      <c r="M2486" s="14" t="s">
        <v>1012</v>
      </c>
      <c r="N2486" s="14" t="s">
        <v>1013</v>
      </c>
      <c r="O2486" s="14">
        <v>0.0</v>
      </c>
      <c r="P2486" s="23">
        <v>0.0</v>
      </c>
      <c r="Q2486" s="22" t="str">
        <f t="shared" ref="Q2486:R2486" si="1455">"+0.00%"</f>
        <v>+0.00%</v>
      </c>
      <c r="R2486" s="18" t="str">
        <f t="shared" si="1455"/>
        <v>+0.00%</v>
      </c>
      <c r="S2486" s="14" t="s">
        <v>285</v>
      </c>
    </row>
    <row r="2487">
      <c r="A2487" s="13">
        <v>45901.0</v>
      </c>
      <c r="B2487" s="14" t="s">
        <v>47</v>
      </c>
      <c r="C2487" s="14" t="s">
        <v>48</v>
      </c>
      <c r="D2487" s="14" t="s">
        <v>73</v>
      </c>
      <c r="E2487" s="14" t="s">
        <v>74</v>
      </c>
      <c r="F2487" s="15" t="s">
        <v>51</v>
      </c>
      <c r="G2487" s="14" t="s">
        <v>75</v>
      </c>
      <c r="H2487" s="14" t="s">
        <v>76</v>
      </c>
      <c r="I2487" s="14" t="s">
        <v>59</v>
      </c>
      <c r="J2487" s="14" t="s">
        <v>200</v>
      </c>
      <c r="K2487" s="14" t="s">
        <v>232</v>
      </c>
      <c r="L2487" s="14" t="s">
        <v>286</v>
      </c>
      <c r="M2487" s="14" t="s">
        <v>369</v>
      </c>
      <c r="N2487" s="14" t="s">
        <v>370</v>
      </c>
      <c r="O2487" s="14">
        <v>0.0</v>
      </c>
      <c r="P2487" s="23">
        <v>0.0</v>
      </c>
      <c r="Q2487" s="22" t="str">
        <f t="shared" ref="Q2487:R2487" si="1456">"+0.00%"</f>
        <v>+0.00%</v>
      </c>
      <c r="R2487" s="18" t="str">
        <f t="shared" si="1456"/>
        <v>+0.00%</v>
      </c>
      <c r="S2487" s="14" t="s">
        <v>1806</v>
      </c>
    </row>
    <row r="2488">
      <c r="A2488" s="13">
        <v>45901.0</v>
      </c>
      <c r="B2488" s="14" t="s">
        <v>47</v>
      </c>
      <c r="C2488" s="14" t="s">
        <v>48</v>
      </c>
      <c r="D2488" s="14" t="s">
        <v>143</v>
      </c>
      <c r="E2488" s="14" t="s">
        <v>144</v>
      </c>
      <c r="F2488" s="15" t="s">
        <v>51</v>
      </c>
      <c r="G2488" s="14" t="s">
        <v>145</v>
      </c>
      <c r="H2488" s="14" t="s">
        <v>143</v>
      </c>
      <c r="I2488" s="14" t="s">
        <v>59</v>
      </c>
      <c r="J2488" s="14" t="s">
        <v>199</v>
      </c>
      <c r="K2488" s="14" t="s">
        <v>208</v>
      </c>
      <c r="L2488" s="14" t="s">
        <v>352</v>
      </c>
      <c r="M2488" s="14" t="s">
        <v>352</v>
      </c>
      <c r="N2488" s="14" t="s">
        <v>353</v>
      </c>
      <c r="O2488" s="14">
        <v>100.0</v>
      </c>
      <c r="P2488" s="21">
        <v>6.0</v>
      </c>
      <c r="Q2488" s="22" t="str">
        <f t="shared" ref="Q2488:R2488" si="1457">"+0"</f>
        <v>+0</v>
      </c>
      <c r="R2488" s="18" t="str">
        <f t="shared" si="1457"/>
        <v>+0</v>
      </c>
      <c r="S2488" s="14" t="s">
        <v>260</v>
      </c>
    </row>
    <row r="2489">
      <c r="A2489" s="13">
        <v>45901.0</v>
      </c>
      <c r="B2489" s="14" t="s">
        <v>47</v>
      </c>
      <c r="C2489" s="14" t="s">
        <v>48</v>
      </c>
      <c r="D2489" s="14" t="s">
        <v>149</v>
      </c>
      <c r="E2489" s="14" t="s">
        <v>150</v>
      </c>
      <c r="F2489" s="15" t="s">
        <v>51</v>
      </c>
      <c r="G2489" s="14" t="s">
        <v>151</v>
      </c>
      <c r="H2489" s="14" t="s">
        <v>152</v>
      </c>
      <c r="I2489" s="14" t="s">
        <v>54</v>
      </c>
      <c r="J2489" s="14" t="s">
        <v>198</v>
      </c>
      <c r="K2489" s="14" t="s">
        <v>205</v>
      </c>
      <c r="L2489" s="14" t="s">
        <v>274</v>
      </c>
      <c r="M2489" s="14" t="s">
        <v>696</v>
      </c>
      <c r="N2489" s="14" t="s">
        <v>697</v>
      </c>
      <c r="O2489" s="14">
        <v>0.0</v>
      </c>
      <c r="P2489" s="21">
        <v>0.0</v>
      </c>
      <c r="Q2489" s="22" t="str">
        <f>"+0"</f>
        <v>+0</v>
      </c>
      <c r="S2489" s="14" t="s">
        <v>281</v>
      </c>
    </row>
    <row r="2490">
      <c r="A2490" s="13">
        <v>45901.0</v>
      </c>
      <c r="B2490" s="14" t="s">
        <v>47</v>
      </c>
      <c r="C2490" s="14" t="s">
        <v>48</v>
      </c>
      <c r="D2490" s="14" t="s">
        <v>149</v>
      </c>
      <c r="E2490" s="14" t="s">
        <v>150</v>
      </c>
      <c r="F2490" s="15" t="s">
        <v>51</v>
      </c>
      <c r="G2490" s="14" t="s">
        <v>151</v>
      </c>
      <c r="H2490" s="14" t="s">
        <v>152</v>
      </c>
      <c r="I2490" s="14" t="s">
        <v>54</v>
      </c>
      <c r="J2490" s="14" t="s">
        <v>200</v>
      </c>
      <c r="K2490" s="14" t="s">
        <v>231</v>
      </c>
      <c r="L2490" s="14" t="s">
        <v>372</v>
      </c>
      <c r="M2490" s="14" t="s">
        <v>1807</v>
      </c>
      <c r="N2490" s="14" t="s">
        <v>1808</v>
      </c>
      <c r="O2490" s="14">
        <v>0.0</v>
      </c>
      <c r="P2490" s="23">
        <v>0.0</v>
      </c>
      <c r="Q2490" s="22" t="str">
        <f t="shared" ref="Q2490:R2490" si="1458">"+0.00%"</f>
        <v>+0.00%</v>
      </c>
      <c r="R2490" s="18" t="str">
        <f t="shared" si="1458"/>
        <v>+0.00%</v>
      </c>
      <c r="S2490" s="14" t="s">
        <v>1809</v>
      </c>
    </row>
    <row r="2491">
      <c r="A2491" s="13">
        <v>45901.0</v>
      </c>
      <c r="B2491" s="14" t="s">
        <v>47</v>
      </c>
      <c r="C2491" s="14" t="s">
        <v>48</v>
      </c>
      <c r="D2491" s="14" t="s">
        <v>149</v>
      </c>
      <c r="E2491" s="14" t="s">
        <v>150</v>
      </c>
      <c r="F2491" s="15" t="s">
        <v>51</v>
      </c>
      <c r="G2491" s="14" t="s">
        <v>151</v>
      </c>
      <c r="H2491" s="14" t="s">
        <v>152</v>
      </c>
      <c r="I2491" s="14" t="s">
        <v>54</v>
      </c>
      <c r="J2491" s="14" t="s">
        <v>200</v>
      </c>
      <c r="K2491" s="14" t="s">
        <v>231</v>
      </c>
      <c r="L2491" s="14" t="s">
        <v>512</v>
      </c>
      <c r="M2491" s="14" t="s">
        <v>1810</v>
      </c>
      <c r="N2491" s="14" t="s">
        <v>1811</v>
      </c>
      <c r="O2491" s="14">
        <v>0.0</v>
      </c>
      <c r="P2491" s="21">
        <v>0.0</v>
      </c>
      <c r="Q2491" s="22" t="str">
        <f t="shared" ref="Q2491:R2491" si="1459">"+0"</f>
        <v>+0</v>
      </c>
      <c r="R2491" s="18" t="str">
        <f t="shared" si="1459"/>
        <v>+0</v>
      </c>
      <c r="S2491" s="14" t="s">
        <v>260</v>
      </c>
    </row>
    <row r="2492">
      <c r="A2492" s="13">
        <v>45901.0</v>
      </c>
      <c r="B2492" s="14" t="s">
        <v>47</v>
      </c>
      <c r="C2492" s="14" t="s">
        <v>48</v>
      </c>
      <c r="D2492" s="14" t="s">
        <v>171</v>
      </c>
      <c r="E2492" s="14" t="s">
        <v>172</v>
      </c>
      <c r="F2492" s="15" t="s">
        <v>51</v>
      </c>
      <c r="G2492" s="14" t="s">
        <v>173</v>
      </c>
      <c r="H2492" s="14" t="s">
        <v>171</v>
      </c>
      <c r="I2492" s="14" t="s">
        <v>59</v>
      </c>
      <c r="J2492" s="14" t="s">
        <v>200</v>
      </c>
      <c r="K2492" s="14" t="s">
        <v>213</v>
      </c>
      <c r="L2492" s="14" t="s">
        <v>676</v>
      </c>
      <c r="M2492" s="14" t="s">
        <v>677</v>
      </c>
      <c r="N2492" s="14" t="s">
        <v>678</v>
      </c>
      <c r="O2492" s="14">
        <v>0.0</v>
      </c>
      <c r="P2492" s="23">
        <v>0.0</v>
      </c>
      <c r="Q2492" s="22" t="str">
        <f t="shared" ref="Q2492:R2492" si="1460">"+0.00%"</f>
        <v>+0.00%</v>
      </c>
      <c r="R2492" s="18" t="str">
        <f t="shared" si="1460"/>
        <v>+0.00%</v>
      </c>
      <c r="S2492" s="14" t="s">
        <v>285</v>
      </c>
    </row>
    <row r="2493">
      <c r="A2493" s="13">
        <v>45901.0</v>
      </c>
      <c r="B2493" s="14" t="s">
        <v>47</v>
      </c>
      <c r="C2493" s="14" t="s">
        <v>48</v>
      </c>
      <c r="D2493" s="14" t="s">
        <v>69</v>
      </c>
      <c r="E2493" s="14" t="s">
        <v>70</v>
      </c>
      <c r="F2493" s="14" t="s">
        <v>71</v>
      </c>
      <c r="G2493" s="14">
        <v>1.00002092E8</v>
      </c>
      <c r="H2493" s="14" t="s">
        <v>72</v>
      </c>
      <c r="I2493" s="14" t="s">
        <v>54</v>
      </c>
      <c r="J2493" s="14" t="s">
        <v>200</v>
      </c>
      <c r="K2493" s="14" t="s">
        <v>218</v>
      </c>
      <c r="L2493" s="14" t="s">
        <v>253</v>
      </c>
      <c r="M2493" s="14" t="s">
        <v>1628</v>
      </c>
      <c r="N2493" s="14" t="s">
        <v>1629</v>
      </c>
      <c r="O2493" s="14">
        <v>100.0</v>
      </c>
      <c r="P2493" s="23">
        <v>1.0</v>
      </c>
      <c r="Q2493" s="22" t="str">
        <f t="shared" ref="Q2493:R2493" si="1461">"+0.00%"</f>
        <v>+0.00%</v>
      </c>
      <c r="R2493" s="18" t="str">
        <f t="shared" si="1461"/>
        <v>+0.00%</v>
      </c>
      <c r="S2493" s="14" t="s">
        <v>1661</v>
      </c>
    </row>
    <row r="2494">
      <c r="A2494" s="13">
        <v>45901.0</v>
      </c>
      <c r="B2494" s="14" t="s">
        <v>47</v>
      </c>
      <c r="C2494" s="14" t="s">
        <v>48</v>
      </c>
      <c r="D2494" s="14" t="s">
        <v>174</v>
      </c>
      <c r="E2494" s="14" t="s">
        <v>175</v>
      </c>
      <c r="F2494" s="15" t="s">
        <v>51</v>
      </c>
      <c r="G2494" s="14" t="s">
        <v>176</v>
      </c>
      <c r="H2494" s="14" t="s">
        <v>174</v>
      </c>
      <c r="I2494" s="14" t="s">
        <v>59</v>
      </c>
      <c r="J2494" s="14" t="s">
        <v>198</v>
      </c>
      <c r="K2494" s="14" t="s">
        <v>205</v>
      </c>
      <c r="L2494" s="14" t="s">
        <v>274</v>
      </c>
      <c r="M2494" s="14" t="s">
        <v>275</v>
      </c>
      <c r="N2494" s="14" t="s">
        <v>276</v>
      </c>
      <c r="O2494" s="14">
        <v>0.0</v>
      </c>
      <c r="P2494" s="21">
        <v>1.0</v>
      </c>
      <c r="Q2494" s="22" t="str">
        <f>"+0"</f>
        <v>+0</v>
      </c>
      <c r="S2494" s="14" t="s">
        <v>277</v>
      </c>
    </row>
    <row r="2495">
      <c r="A2495" s="13">
        <v>45901.0</v>
      </c>
      <c r="B2495" s="14" t="s">
        <v>47</v>
      </c>
      <c r="C2495" s="14" t="s">
        <v>48</v>
      </c>
      <c r="D2495" s="14" t="s">
        <v>112</v>
      </c>
      <c r="E2495" s="14" t="s">
        <v>113</v>
      </c>
      <c r="F2495" s="15" t="s">
        <v>51</v>
      </c>
      <c r="G2495" s="14" t="s">
        <v>114</v>
      </c>
      <c r="H2495" s="14" t="s">
        <v>112</v>
      </c>
      <c r="I2495" s="14" t="s">
        <v>59</v>
      </c>
      <c r="J2495" s="14" t="s">
        <v>200</v>
      </c>
      <c r="K2495" s="14" t="s">
        <v>213</v>
      </c>
      <c r="L2495" s="14" t="s">
        <v>440</v>
      </c>
      <c r="M2495" s="14" t="s">
        <v>510</v>
      </c>
      <c r="N2495" s="14" t="s">
        <v>511</v>
      </c>
      <c r="O2495" s="14">
        <v>0.0</v>
      </c>
      <c r="P2495" s="23">
        <v>0.0</v>
      </c>
      <c r="Q2495" s="22" t="str">
        <f t="shared" ref="Q2495:R2495" si="1462">"+0.00%"</f>
        <v>+0.00%</v>
      </c>
      <c r="R2495" s="18" t="str">
        <f t="shared" si="1462"/>
        <v>+0.00%</v>
      </c>
      <c r="S2495" s="14" t="s">
        <v>285</v>
      </c>
    </row>
    <row r="2496">
      <c r="A2496" s="13">
        <v>45901.0</v>
      </c>
      <c r="B2496" s="14" t="s">
        <v>47</v>
      </c>
      <c r="C2496" s="14" t="s">
        <v>48</v>
      </c>
      <c r="D2496" s="14" t="s">
        <v>174</v>
      </c>
      <c r="E2496" s="14" t="s">
        <v>175</v>
      </c>
      <c r="F2496" s="15" t="s">
        <v>51</v>
      </c>
      <c r="G2496" s="14" t="s">
        <v>176</v>
      </c>
      <c r="H2496" s="14" t="s">
        <v>174</v>
      </c>
      <c r="I2496" s="14" t="s">
        <v>59</v>
      </c>
      <c r="J2496" s="14" t="s">
        <v>199</v>
      </c>
      <c r="K2496" s="14" t="s">
        <v>206</v>
      </c>
      <c r="L2496" s="14" t="s">
        <v>515</v>
      </c>
      <c r="M2496" s="14" t="s">
        <v>515</v>
      </c>
      <c r="N2496" s="14" t="s">
        <v>516</v>
      </c>
      <c r="O2496" s="14">
        <v>0.0</v>
      </c>
      <c r="P2496" s="21">
        <v>0.0</v>
      </c>
      <c r="Q2496" s="22" t="str">
        <f t="shared" ref="Q2496:R2496" si="1463">"+0"</f>
        <v>+0</v>
      </c>
      <c r="R2496" s="18" t="str">
        <f t="shared" si="1463"/>
        <v>+0</v>
      </c>
      <c r="S2496" s="14" t="s">
        <v>383</v>
      </c>
    </row>
    <row r="2497">
      <c r="A2497" s="13">
        <v>45901.0</v>
      </c>
      <c r="B2497" s="14" t="s">
        <v>47</v>
      </c>
      <c r="C2497" s="14" t="s">
        <v>48</v>
      </c>
      <c r="D2497" s="14" t="s">
        <v>112</v>
      </c>
      <c r="E2497" s="14" t="s">
        <v>113</v>
      </c>
      <c r="F2497" s="15" t="s">
        <v>51</v>
      </c>
      <c r="G2497" s="14" t="s">
        <v>114</v>
      </c>
      <c r="H2497" s="14" t="s">
        <v>112</v>
      </c>
      <c r="I2497" s="14" t="s">
        <v>59</v>
      </c>
      <c r="J2497" s="14" t="s">
        <v>200</v>
      </c>
      <c r="K2497" s="14" t="s">
        <v>213</v>
      </c>
      <c r="L2497" s="14" t="s">
        <v>289</v>
      </c>
      <c r="M2497" s="14" t="s">
        <v>331</v>
      </c>
      <c r="N2497" s="14" t="s">
        <v>332</v>
      </c>
      <c r="O2497" s="14">
        <v>0.0</v>
      </c>
      <c r="P2497" s="23">
        <v>0.0</v>
      </c>
      <c r="Q2497" s="22" t="str">
        <f t="shared" ref="Q2497:R2497" si="1464">"+0.00%"</f>
        <v>+0.00%</v>
      </c>
      <c r="R2497" s="18" t="str">
        <f t="shared" si="1464"/>
        <v>+0.00%</v>
      </c>
      <c r="S2497" s="14" t="s">
        <v>285</v>
      </c>
    </row>
    <row r="2498">
      <c r="A2498" s="13">
        <v>45901.0</v>
      </c>
      <c r="B2498" s="14" t="s">
        <v>47</v>
      </c>
      <c r="C2498" s="14" t="s">
        <v>48</v>
      </c>
      <c r="D2498" s="14" t="s">
        <v>116</v>
      </c>
      <c r="E2498" s="14" t="s">
        <v>117</v>
      </c>
      <c r="F2498" s="14" t="s">
        <v>111</v>
      </c>
      <c r="G2498" s="14">
        <v>5298600.0</v>
      </c>
      <c r="H2498" s="14" t="s">
        <v>116</v>
      </c>
      <c r="I2498" s="14" t="s">
        <v>59</v>
      </c>
      <c r="J2498" s="14" t="s">
        <v>199</v>
      </c>
      <c r="K2498" s="14" t="s">
        <v>208</v>
      </c>
      <c r="L2498" s="14" t="s">
        <v>352</v>
      </c>
      <c r="M2498" s="14" t="s">
        <v>352</v>
      </c>
      <c r="N2498" s="14" t="s">
        <v>353</v>
      </c>
      <c r="O2498" s="14">
        <v>0.0</v>
      </c>
      <c r="P2498" s="21">
        <v>0.0</v>
      </c>
      <c r="Q2498" s="22" t="str">
        <f t="shared" ref="Q2498:R2498" si="1465">"+0"</f>
        <v>+0</v>
      </c>
      <c r="R2498" s="18" t="str">
        <f t="shared" si="1465"/>
        <v>+0</v>
      </c>
      <c r="S2498" s="14" t="s">
        <v>260</v>
      </c>
    </row>
    <row r="2499">
      <c r="A2499" s="13">
        <v>45901.0</v>
      </c>
      <c r="B2499" s="14" t="s">
        <v>47</v>
      </c>
      <c r="C2499" s="14" t="s">
        <v>48</v>
      </c>
      <c r="D2499" s="14" t="s">
        <v>140</v>
      </c>
      <c r="E2499" s="14" t="s">
        <v>141</v>
      </c>
      <c r="F2499" s="15" t="s">
        <v>51</v>
      </c>
      <c r="G2499" s="14" t="s">
        <v>142</v>
      </c>
      <c r="H2499" s="14" t="s">
        <v>140</v>
      </c>
      <c r="I2499" s="14" t="s">
        <v>59</v>
      </c>
      <c r="J2499" s="14" t="s">
        <v>200</v>
      </c>
      <c r="K2499" s="14" t="s">
        <v>213</v>
      </c>
      <c r="L2499" s="14" t="s">
        <v>257</v>
      </c>
      <c r="M2499" s="14" t="s">
        <v>315</v>
      </c>
      <c r="N2499" s="14" t="s">
        <v>316</v>
      </c>
      <c r="O2499" s="14">
        <v>62.0</v>
      </c>
      <c r="P2499" s="23">
        <v>0.6232</v>
      </c>
      <c r="Q2499" s="22" t="str">
        <f>"-2.50%"</f>
        <v>-2.50%</v>
      </c>
      <c r="R2499" s="18" t="str">
        <f>"-4.35%"</f>
        <v>-4.35%</v>
      </c>
      <c r="S2499" s="14" t="s">
        <v>1812</v>
      </c>
    </row>
    <row r="2500">
      <c r="A2500" s="13">
        <v>45901.0</v>
      </c>
      <c r="B2500" s="14" t="s">
        <v>47</v>
      </c>
      <c r="C2500" s="14" t="s">
        <v>48</v>
      </c>
      <c r="D2500" s="14" t="s">
        <v>56</v>
      </c>
      <c r="E2500" s="14" t="s">
        <v>57</v>
      </c>
      <c r="F2500" s="15" t="s">
        <v>51</v>
      </c>
      <c r="G2500" s="14" t="s">
        <v>58</v>
      </c>
      <c r="H2500" s="14" t="s">
        <v>56</v>
      </c>
      <c r="I2500" s="14" t="s">
        <v>59</v>
      </c>
      <c r="J2500" s="14" t="s">
        <v>199</v>
      </c>
      <c r="K2500" s="14" t="s">
        <v>206</v>
      </c>
      <c r="L2500" s="14" t="s">
        <v>515</v>
      </c>
      <c r="M2500" s="14" t="s">
        <v>515</v>
      </c>
      <c r="N2500" s="14" t="s">
        <v>516</v>
      </c>
      <c r="O2500" s="14">
        <v>0.0</v>
      </c>
      <c r="P2500" s="21">
        <v>0.0</v>
      </c>
      <c r="Q2500" s="22" t="str">
        <f t="shared" ref="Q2500:R2500" si="1466">"+0"</f>
        <v>+0</v>
      </c>
      <c r="R2500" s="18" t="str">
        <f t="shared" si="1466"/>
        <v>+0</v>
      </c>
      <c r="S2500" s="14" t="s">
        <v>383</v>
      </c>
    </row>
    <row r="2501">
      <c r="A2501" s="13">
        <v>45901.0</v>
      </c>
      <c r="B2501" s="14" t="s">
        <v>47</v>
      </c>
      <c r="C2501" s="14" t="s">
        <v>48</v>
      </c>
      <c r="D2501" s="14" t="s">
        <v>60</v>
      </c>
      <c r="E2501" s="14" t="s">
        <v>61</v>
      </c>
      <c r="F2501" s="15" t="s">
        <v>51</v>
      </c>
      <c r="G2501" s="14" t="s">
        <v>62</v>
      </c>
      <c r="H2501" s="14" t="s">
        <v>60</v>
      </c>
      <c r="I2501" s="14" t="s">
        <v>59</v>
      </c>
      <c r="J2501" s="14" t="s">
        <v>200</v>
      </c>
      <c r="K2501" s="14" t="s">
        <v>227</v>
      </c>
      <c r="L2501" s="14" t="s">
        <v>721</v>
      </c>
      <c r="M2501" s="14" t="s">
        <v>1060</v>
      </c>
      <c r="N2501" s="14" t="s">
        <v>1061</v>
      </c>
      <c r="O2501" s="14">
        <v>42.0</v>
      </c>
      <c r="P2501" s="23">
        <v>-0.1501</v>
      </c>
      <c r="Q2501" s="22" t="str">
        <f>"+19.97%"</f>
        <v>+19.97%</v>
      </c>
      <c r="R2501" s="18" t="str">
        <f>"-16.97%"</f>
        <v>-16.97%</v>
      </c>
      <c r="S2501" s="14" t="s">
        <v>1062</v>
      </c>
    </row>
    <row r="2502">
      <c r="A2502" s="13">
        <v>45901.0</v>
      </c>
      <c r="B2502" s="14" t="s">
        <v>47</v>
      </c>
      <c r="C2502" s="14" t="s">
        <v>48</v>
      </c>
      <c r="D2502" s="14" t="s">
        <v>56</v>
      </c>
      <c r="E2502" s="14" t="s">
        <v>57</v>
      </c>
      <c r="F2502" s="15" t="s">
        <v>51</v>
      </c>
      <c r="G2502" s="14" t="s">
        <v>58</v>
      </c>
      <c r="H2502" s="14" t="s">
        <v>56</v>
      </c>
      <c r="I2502" s="14" t="s">
        <v>59</v>
      </c>
      <c r="J2502" s="14" t="s">
        <v>200</v>
      </c>
      <c r="K2502" s="14" t="s">
        <v>223</v>
      </c>
      <c r="L2502" s="14" t="s">
        <v>607</v>
      </c>
      <c r="M2502" s="14" t="s">
        <v>765</v>
      </c>
      <c r="N2502" s="14" t="s">
        <v>766</v>
      </c>
      <c r="O2502" s="14">
        <v>0.0</v>
      </c>
      <c r="P2502" s="21">
        <v>0.0</v>
      </c>
      <c r="Q2502" s="22" t="str">
        <f t="shared" ref="Q2502:R2502" si="1467">"+0"</f>
        <v>+0</v>
      </c>
      <c r="R2502" s="18" t="str">
        <f t="shared" si="1467"/>
        <v>+0</v>
      </c>
      <c r="S2502" s="14" t="s">
        <v>260</v>
      </c>
    </row>
    <row r="2503">
      <c r="A2503" s="13">
        <v>45901.0</v>
      </c>
      <c r="B2503" s="14" t="s">
        <v>47</v>
      </c>
      <c r="C2503" s="14" t="s">
        <v>48</v>
      </c>
      <c r="D2503" s="14" t="s">
        <v>60</v>
      </c>
      <c r="E2503" s="14" t="s">
        <v>61</v>
      </c>
      <c r="F2503" s="15" t="s">
        <v>51</v>
      </c>
      <c r="G2503" s="14" t="s">
        <v>62</v>
      </c>
      <c r="H2503" s="14" t="s">
        <v>60</v>
      </c>
      <c r="I2503" s="14" t="s">
        <v>59</v>
      </c>
      <c r="J2503" s="14" t="s">
        <v>200</v>
      </c>
      <c r="K2503" s="14" t="s">
        <v>223</v>
      </c>
      <c r="L2503" s="14" t="s">
        <v>571</v>
      </c>
      <c r="M2503" s="14" t="s">
        <v>578</v>
      </c>
      <c r="N2503" s="14" t="s">
        <v>579</v>
      </c>
      <c r="O2503" s="14">
        <v>0.0</v>
      </c>
      <c r="P2503" s="23">
        <v>0.0</v>
      </c>
      <c r="Q2503" s="22" t="str">
        <f t="shared" ref="Q2503:R2503" si="1468">"+0.00%"</f>
        <v>+0.00%</v>
      </c>
      <c r="R2503" s="18" t="str">
        <f t="shared" si="1468"/>
        <v>+0.00%</v>
      </c>
      <c r="S2503" s="14" t="s">
        <v>285</v>
      </c>
    </row>
    <row r="2504">
      <c r="A2504" s="13">
        <v>45901.0</v>
      </c>
      <c r="B2504" s="14" t="s">
        <v>47</v>
      </c>
      <c r="C2504" s="14" t="s">
        <v>48</v>
      </c>
      <c r="D2504" s="14" t="s">
        <v>56</v>
      </c>
      <c r="E2504" s="14" t="s">
        <v>57</v>
      </c>
      <c r="F2504" s="15" t="s">
        <v>51</v>
      </c>
      <c r="G2504" s="14" t="s">
        <v>58</v>
      </c>
      <c r="H2504" s="14" t="s">
        <v>56</v>
      </c>
      <c r="I2504" s="14" t="s">
        <v>59</v>
      </c>
      <c r="J2504" s="14" t="s">
        <v>200</v>
      </c>
      <c r="K2504" s="14" t="s">
        <v>223</v>
      </c>
      <c r="L2504" s="14" t="s">
        <v>440</v>
      </c>
      <c r="M2504" s="14" t="s">
        <v>441</v>
      </c>
      <c r="N2504" s="14" t="s">
        <v>442</v>
      </c>
      <c r="O2504" s="14">
        <v>0.0</v>
      </c>
      <c r="P2504" s="23">
        <v>0.0</v>
      </c>
      <c r="Q2504" s="22" t="str">
        <f t="shared" ref="Q2504:R2504" si="1469">"+0.00%"</f>
        <v>+0.00%</v>
      </c>
      <c r="R2504" s="18" t="str">
        <f t="shared" si="1469"/>
        <v>+0.00%</v>
      </c>
      <c r="S2504" s="14" t="s">
        <v>285</v>
      </c>
    </row>
    <row r="2505">
      <c r="A2505" s="13">
        <v>45901.0</v>
      </c>
      <c r="B2505" s="14" t="s">
        <v>47</v>
      </c>
      <c r="C2505" s="14" t="s">
        <v>48</v>
      </c>
      <c r="D2505" s="14" t="s">
        <v>49</v>
      </c>
      <c r="E2505" s="14" t="s">
        <v>50</v>
      </c>
      <c r="F2505" s="15" t="s">
        <v>51</v>
      </c>
      <c r="G2505" s="14" t="s">
        <v>52</v>
      </c>
      <c r="H2505" s="14" t="s">
        <v>53</v>
      </c>
      <c r="I2505" s="14" t="s">
        <v>54</v>
      </c>
      <c r="J2505" s="14" t="s">
        <v>200</v>
      </c>
      <c r="K2505" s="14" t="s">
        <v>227</v>
      </c>
      <c r="L2505" s="14" t="s">
        <v>253</v>
      </c>
      <c r="M2505" s="14" t="s">
        <v>811</v>
      </c>
      <c r="N2505" s="14" t="s">
        <v>812</v>
      </c>
      <c r="O2505" s="14">
        <v>0.0</v>
      </c>
      <c r="P2505" s="23">
        <v>0.0</v>
      </c>
      <c r="Q2505" s="22" t="str">
        <f t="shared" ref="Q2505:R2505" si="1470">"+0.00%"</f>
        <v>+0.00%</v>
      </c>
      <c r="R2505" s="18" t="str">
        <f t="shared" si="1470"/>
        <v>+0.00%</v>
      </c>
      <c r="S2505" s="14" t="s">
        <v>813</v>
      </c>
    </row>
    <row r="2506">
      <c r="A2506" s="13">
        <v>45901.0</v>
      </c>
      <c r="B2506" s="14" t="s">
        <v>47</v>
      </c>
      <c r="C2506" s="14" t="s">
        <v>48</v>
      </c>
      <c r="D2506" s="14" t="s">
        <v>99</v>
      </c>
      <c r="E2506" s="14" t="s">
        <v>100</v>
      </c>
      <c r="F2506" s="15" t="s">
        <v>51</v>
      </c>
      <c r="G2506" s="14" t="s">
        <v>101</v>
      </c>
      <c r="H2506" s="14" t="s">
        <v>102</v>
      </c>
      <c r="I2506" s="14" t="s">
        <v>54</v>
      </c>
      <c r="J2506" s="14" t="s">
        <v>198</v>
      </c>
      <c r="K2506" s="14" t="s">
        <v>210</v>
      </c>
      <c r="L2506" s="14" t="s">
        <v>505</v>
      </c>
      <c r="M2506" s="14" t="s">
        <v>880</v>
      </c>
      <c r="N2506" s="14" t="s">
        <v>881</v>
      </c>
      <c r="O2506" s="14">
        <v>0.0</v>
      </c>
      <c r="P2506" s="21">
        <v>0.0</v>
      </c>
      <c r="Q2506" s="22" t="str">
        <f t="shared" ref="Q2506:R2506" si="1471">"+0"</f>
        <v>+0</v>
      </c>
      <c r="R2506" s="18" t="str">
        <f t="shared" si="1471"/>
        <v>+0</v>
      </c>
      <c r="S2506" s="14" t="s">
        <v>277</v>
      </c>
    </row>
    <row r="2507">
      <c r="A2507" s="13">
        <v>45901.0</v>
      </c>
      <c r="B2507" s="14" t="s">
        <v>47</v>
      </c>
      <c r="C2507" s="14" t="s">
        <v>48</v>
      </c>
      <c r="D2507" s="14" t="s">
        <v>91</v>
      </c>
      <c r="E2507" s="14" t="s">
        <v>92</v>
      </c>
      <c r="F2507" s="14" t="s">
        <v>71</v>
      </c>
      <c r="G2507" s="14">
        <v>1.00005882E8</v>
      </c>
      <c r="H2507" s="14" t="s">
        <v>91</v>
      </c>
      <c r="I2507" s="14" t="s">
        <v>59</v>
      </c>
      <c r="J2507" s="14" t="s">
        <v>199</v>
      </c>
      <c r="K2507" s="14" t="s">
        <v>206</v>
      </c>
      <c r="L2507" s="14" t="s">
        <v>531</v>
      </c>
      <c r="M2507" s="14" t="s">
        <v>531</v>
      </c>
      <c r="N2507" s="14" t="s">
        <v>532</v>
      </c>
      <c r="O2507" s="14">
        <v>100.0</v>
      </c>
      <c r="P2507" s="21">
        <v>13.0</v>
      </c>
      <c r="Q2507" s="22" t="str">
        <f t="shared" ref="Q2507:R2507" si="1472">"+0"</f>
        <v>+0</v>
      </c>
      <c r="R2507" s="18" t="str">
        <f t="shared" si="1472"/>
        <v>+0</v>
      </c>
      <c r="S2507" s="14" t="s">
        <v>260</v>
      </c>
    </row>
    <row r="2508">
      <c r="A2508" s="13">
        <v>45901.0</v>
      </c>
      <c r="B2508" s="14" t="s">
        <v>47</v>
      </c>
      <c r="C2508" s="14" t="s">
        <v>48</v>
      </c>
      <c r="D2508" s="14" t="s">
        <v>63</v>
      </c>
      <c r="E2508" s="14" t="s">
        <v>64</v>
      </c>
      <c r="F2508" s="14" t="s">
        <v>111</v>
      </c>
      <c r="G2508" s="14">
        <v>4916210.0</v>
      </c>
      <c r="H2508" s="14" t="s">
        <v>63</v>
      </c>
      <c r="I2508" s="14" t="s">
        <v>59</v>
      </c>
      <c r="J2508" s="14" t="s">
        <v>199</v>
      </c>
      <c r="K2508" s="14" t="s">
        <v>206</v>
      </c>
      <c r="L2508" s="14" t="s">
        <v>381</v>
      </c>
      <c r="M2508" s="14" t="s">
        <v>381</v>
      </c>
      <c r="N2508" s="14" t="s">
        <v>382</v>
      </c>
      <c r="O2508" s="14">
        <v>0.0</v>
      </c>
      <c r="P2508" s="21">
        <v>0.0</v>
      </c>
      <c r="Q2508" s="22" t="str">
        <f t="shared" ref="Q2508:R2508" si="1473">"+0"</f>
        <v>+0</v>
      </c>
      <c r="R2508" s="18" t="str">
        <f t="shared" si="1473"/>
        <v>+0</v>
      </c>
      <c r="S2508" s="14" t="s">
        <v>383</v>
      </c>
    </row>
    <row r="2509">
      <c r="A2509" s="13">
        <v>45901.0</v>
      </c>
      <c r="B2509" s="14" t="s">
        <v>47</v>
      </c>
      <c r="C2509" s="14" t="s">
        <v>48</v>
      </c>
      <c r="D2509" s="14" t="s">
        <v>99</v>
      </c>
      <c r="E2509" s="14" t="s">
        <v>100</v>
      </c>
      <c r="F2509" s="15" t="s">
        <v>51</v>
      </c>
      <c r="G2509" s="14" t="s">
        <v>101</v>
      </c>
      <c r="H2509" s="14" t="s">
        <v>102</v>
      </c>
      <c r="I2509" s="14" t="s">
        <v>54</v>
      </c>
      <c r="J2509" s="14" t="s">
        <v>198</v>
      </c>
      <c r="K2509" s="14" t="s">
        <v>210</v>
      </c>
      <c r="L2509" s="14" t="s">
        <v>458</v>
      </c>
      <c r="M2509" s="14" t="s">
        <v>1230</v>
      </c>
      <c r="N2509" s="14" t="s">
        <v>1231</v>
      </c>
      <c r="O2509" s="14">
        <v>0.0</v>
      </c>
      <c r="P2509" s="21">
        <v>0.0</v>
      </c>
      <c r="Q2509" s="22" t="str">
        <f t="shared" ref="Q2509:R2509" si="1474">"+0"</f>
        <v>+0</v>
      </c>
      <c r="R2509" s="18" t="str">
        <f t="shared" si="1474"/>
        <v>+0</v>
      </c>
      <c r="S2509" s="14" t="s">
        <v>277</v>
      </c>
    </row>
    <row r="2510">
      <c r="A2510" s="13">
        <v>45901.0</v>
      </c>
      <c r="B2510" s="14" t="s">
        <v>47</v>
      </c>
      <c r="C2510" s="14" t="s">
        <v>48</v>
      </c>
      <c r="D2510" s="14" t="s">
        <v>93</v>
      </c>
      <c r="E2510" s="14" t="s">
        <v>94</v>
      </c>
      <c r="F2510" s="14" t="s">
        <v>71</v>
      </c>
      <c r="G2510" s="14">
        <v>5.36001438E8</v>
      </c>
      <c r="H2510" s="14" t="s">
        <v>95</v>
      </c>
      <c r="I2510" s="14" t="s">
        <v>59</v>
      </c>
      <c r="J2510" s="14" t="s">
        <v>199</v>
      </c>
      <c r="K2510" s="14" t="s">
        <v>208</v>
      </c>
      <c r="L2510" s="14" t="s">
        <v>352</v>
      </c>
      <c r="M2510" s="14" t="s">
        <v>352</v>
      </c>
      <c r="N2510" s="14" t="s">
        <v>353</v>
      </c>
      <c r="O2510" s="14">
        <v>0.0</v>
      </c>
      <c r="P2510" s="21">
        <v>0.0</v>
      </c>
      <c r="Q2510" s="22" t="str">
        <f t="shared" ref="Q2510:R2510" si="1475">"+0"</f>
        <v>+0</v>
      </c>
      <c r="R2510" s="18" t="str">
        <f t="shared" si="1475"/>
        <v>+0</v>
      </c>
      <c r="S2510" s="14" t="s">
        <v>260</v>
      </c>
    </row>
    <row r="2511">
      <c r="A2511" s="13">
        <v>45901.0</v>
      </c>
      <c r="B2511" s="14" t="s">
        <v>47</v>
      </c>
      <c r="C2511" s="14" t="s">
        <v>48</v>
      </c>
      <c r="D2511" s="14" t="s">
        <v>66</v>
      </c>
      <c r="E2511" s="14" t="s">
        <v>67</v>
      </c>
      <c r="F2511" s="15" t="s">
        <v>51</v>
      </c>
      <c r="G2511" s="14" t="s">
        <v>68</v>
      </c>
      <c r="H2511" s="14" t="s">
        <v>66</v>
      </c>
      <c r="I2511" s="14" t="s">
        <v>59</v>
      </c>
      <c r="J2511" s="14" t="s">
        <v>198</v>
      </c>
      <c r="K2511" s="14" t="s">
        <v>205</v>
      </c>
      <c r="L2511" s="14" t="s">
        <v>274</v>
      </c>
      <c r="M2511" s="14" t="s">
        <v>448</v>
      </c>
      <c r="N2511" s="14" t="s">
        <v>449</v>
      </c>
      <c r="O2511" s="14">
        <v>100.0</v>
      </c>
      <c r="P2511" s="21">
        <v>3.0</v>
      </c>
      <c r="Q2511" s="22" t="str">
        <f>"+0"</f>
        <v>+0</v>
      </c>
      <c r="S2511" s="14" t="s">
        <v>450</v>
      </c>
    </row>
    <row r="2512">
      <c r="A2512" s="13">
        <v>45901.0</v>
      </c>
      <c r="B2512" s="14" t="s">
        <v>47</v>
      </c>
      <c r="C2512" s="14" t="s">
        <v>48</v>
      </c>
      <c r="D2512" s="14" t="s">
        <v>143</v>
      </c>
      <c r="E2512" s="14" t="s">
        <v>144</v>
      </c>
      <c r="F2512" s="15" t="s">
        <v>51</v>
      </c>
      <c r="G2512" s="14" t="s">
        <v>145</v>
      </c>
      <c r="H2512" s="14" t="s">
        <v>143</v>
      </c>
      <c r="I2512" s="14" t="s">
        <v>59</v>
      </c>
      <c r="J2512" s="14" t="s">
        <v>200</v>
      </c>
      <c r="K2512" s="14" t="s">
        <v>232</v>
      </c>
      <c r="L2512" s="14" t="s">
        <v>487</v>
      </c>
      <c r="M2512" s="14" t="s">
        <v>962</v>
      </c>
      <c r="N2512" s="14" t="s">
        <v>963</v>
      </c>
      <c r="O2512" s="14">
        <v>0.0</v>
      </c>
      <c r="P2512" s="23">
        <v>0.0</v>
      </c>
      <c r="Q2512" s="22" t="str">
        <f t="shared" ref="Q2512:R2512" si="1476">"+0.00%"</f>
        <v>+0.00%</v>
      </c>
      <c r="R2512" s="18" t="str">
        <f t="shared" si="1476"/>
        <v>+0.00%</v>
      </c>
      <c r="S2512" s="14" t="s">
        <v>285</v>
      </c>
    </row>
    <row r="2513">
      <c r="A2513" s="13">
        <v>45901.0</v>
      </c>
      <c r="B2513" s="14" t="s">
        <v>47</v>
      </c>
      <c r="C2513" s="14" t="s">
        <v>48</v>
      </c>
      <c r="D2513" s="14" t="s">
        <v>73</v>
      </c>
      <c r="E2513" s="14" t="s">
        <v>74</v>
      </c>
      <c r="F2513" s="15" t="s">
        <v>51</v>
      </c>
      <c r="G2513" s="14" t="s">
        <v>75</v>
      </c>
      <c r="H2513" s="14" t="s">
        <v>76</v>
      </c>
      <c r="I2513" s="14" t="s">
        <v>59</v>
      </c>
      <c r="J2513" s="14" t="s">
        <v>199</v>
      </c>
      <c r="K2513" s="14" t="s">
        <v>206</v>
      </c>
      <c r="L2513" s="14" t="s">
        <v>381</v>
      </c>
      <c r="M2513" s="14" t="s">
        <v>381</v>
      </c>
      <c r="N2513" s="14" t="s">
        <v>382</v>
      </c>
      <c r="O2513" s="14">
        <v>0.0</v>
      </c>
      <c r="P2513" s="21">
        <v>0.0</v>
      </c>
      <c r="Q2513" s="22" t="str">
        <f t="shared" ref="Q2513:R2513" si="1477">"+0"</f>
        <v>+0</v>
      </c>
      <c r="R2513" s="18" t="str">
        <f t="shared" si="1477"/>
        <v>+0</v>
      </c>
      <c r="S2513" s="14" t="s">
        <v>383</v>
      </c>
    </row>
    <row r="2514">
      <c r="A2514" s="13">
        <v>45901.0</v>
      </c>
      <c r="B2514" s="14" t="s">
        <v>47</v>
      </c>
      <c r="C2514" s="14" t="s">
        <v>48</v>
      </c>
      <c r="D2514" s="14" t="s">
        <v>103</v>
      </c>
      <c r="E2514" s="14" t="s">
        <v>104</v>
      </c>
      <c r="F2514" s="15" t="s">
        <v>51</v>
      </c>
      <c r="G2514" s="14" t="s">
        <v>105</v>
      </c>
      <c r="H2514" s="14" t="s">
        <v>106</v>
      </c>
      <c r="I2514" s="14" t="s">
        <v>59</v>
      </c>
      <c r="J2514" s="14" t="s">
        <v>199</v>
      </c>
      <c r="K2514" s="14" t="s">
        <v>206</v>
      </c>
      <c r="L2514" s="14" t="s">
        <v>569</v>
      </c>
      <c r="M2514" s="14" t="s">
        <v>569</v>
      </c>
      <c r="N2514" s="14" t="s">
        <v>570</v>
      </c>
      <c r="O2514" s="14">
        <v>0.0</v>
      </c>
      <c r="P2514" s="21">
        <v>0.0</v>
      </c>
      <c r="Q2514" s="22" t="str">
        <f t="shared" ref="Q2514:R2514" si="1478">"+0"</f>
        <v>+0</v>
      </c>
      <c r="R2514" s="18" t="str">
        <f t="shared" si="1478"/>
        <v>+0</v>
      </c>
      <c r="S2514" s="14" t="s">
        <v>383</v>
      </c>
    </row>
    <row r="2515">
      <c r="A2515" s="13">
        <v>45901.0</v>
      </c>
      <c r="B2515" s="14" t="s">
        <v>47</v>
      </c>
      <c r="C2515" s="14" t="s">
        <v>48</v>
      </c>
      <c r="D2515" s="14" t="s">
        <v>73</v>
      </c>
      <c r="E2515" s="14" t="s">
        <v>74</v>
      </c>
      <c r="F2515" s="15" t="s">
        <v>51</v>
      </c>
      <c r="G2515" s="14" t="s">
        <v>75</v>
      </c>
      <c r="H2515" s="14" t="s">
        <v>76</v>
      </c>
      <c r="I2515" s="14" t="s">
        <v>59</v>
      </c>
      <c r="J2515" s="14" t="s">
        <v>198</v>
      </c>
      <c r="K2515" s="14" t="s">
        <v>205</v>
      </c>
      <c r="L2515" s="14" t="s">
        <v>274</v>
      </c>
      <c r="M2515" s="14" t="s">
        <v>636</v>
      </c>
      <c r="N2515" s="14" t="s">
        <v>637</v>
      </c>
      <c r="O2515" s="14">
        <v>0.0</v>
      </c>
      <c r="P2515" s="21">
        <v>0.0</v>
      </c>
      <c r="Q2515" s="22" t="str">
        <f>"+0"</f>
        <v>+0</v>
      </c>
      <c r="S2515" s="14" t="s">
        <v>281</v>
      </c>
    </row>
    <row r="2516">
      <c r="A2516" s="13">
        <v>45901.0</v>
      </c>
      <c r="B2516" s="14" t="s">
        <v>47</v>
      </c>
      <c r="C2516" s="14" t="s">
        <v>48</v>
      </c>
      <c r="D2516" s="14" t="s">
        <v>87</v>
      </c>
      <c r="E2516" s="14" t="s">
        <v>88</v>
      </c>
      <c r="F2516" s="15" t="s">
        <v>51</v>
      </c>
      <c r="G2516" s="14" t="s">
        <v>89</v>
      </c>
      <c r="H2516" s="14" t="s">
        <v>90</v>
      </c>
      <c r="I2516" s="14" t="s">
        <v>59</v>
      </c>
      <c r="J2516" s="14" t="s">
        <v>200</v>
      </c>
      <c r="K2516" s="14" t="s">
        <v>223</v>
      </c>
      <c r="L2516" s="14" t="s">
        <v>261</v>
      </c>
      <c r="M2516" s="14" t="s">
        <v>808</v>
      </c>
      <c r="N2516" s="14" t="s">
        <v>809</v>
      </c>
      <c r="O2516" s="14">
        <v>17.0</v>
      </c>
      <c r="P2516" s="23">
        <v>0.1703</v>
      </c>
      <c r="Q2516" s="22" t="str">
        <f>"-0.80%"</f>
        <v>-0.80%</v>
      </c>
      <c r="R2516" s="18" t="str">
        <f>"+1.83%"</f>
        <v>+1.83%</v>
      </c>
      <c r="S2516" s="14" t="s">
        <v>1813</v>
      </c>
    </row>
    <row r="2517">
      <c r="A2517" s="13">
        <v>45901.0</v>
      </c>
      <c r="B2517" s="14" t="s">
        <v>47</v>
      </c>
      <c r="C2517" s="14" t="s">
        <v>48</v>
      </c>
      <c r="D2517" s="14" t="s">
        <v>129</v>
      </c>
      <c r="E2517" s="14" t="s">
        <v>130</v>
      </c>
      <c r="F2517" s="15" t="s">
        <v>51</v>
      </c>
      <c r="G2517" s="14" t="s">
        <v>131</v>
      </c>
      <c r="H2517" s="14" t="s">
        <v>129</v>
      </c>
      <c r="I2517" s="14" t="s">
        <v>59</v>
      </c>
      <c r="J2517" s="14" t="s">
        <v>198</v>
      </c>
      <c r="K2517" s="14" t="s">
        <v>210</v>
      </c>
      <c r="L2517" s="14" t="s">
        <v>264</v>
      </c>
      <c r="M2517" s="14" t="s">
        <v>357</v>
      </c>
      <c r="N2517" s="14" t="s">
        <v>358</v>
      </c>
      <c r="O2517" s="14">
        <v>100.0</v>
      </c>
      <c r="P2517" s="21">
        <v>0.0</v>
      </c>
      <c r="Q2517" s="22" t="str">
        <f t="shared" ref="Q2517:R2517" si="1479">"+0"</f>
        <v>+0</v>
      </c>
      <c r="R2517" s="18" t="str">
        <f t="shared" si="1479"/>
        <v>+0</v>
      </c>
      <c r="S2517" s="14" t="s">
        <v>281</v>
      </c>
    </row>
    <row r="2518">
      <c r="A2518" s="13">
        <v>45901.0</v>
      </c>
      <c r="B2518" s="14" t="s">
        <v>47</v>
      </c>
      <c r="C2518" s="14" t="s">
        <v>48</v>
      </c>
      <c r="D2518" s="14" t="s">
        <v>149</v>
      </c>
      <c r="E2518" s="14" t="s">
        <v>150</v>
      </c>
      <c r="F2518" s="15" t="s">
        <v>51</v>
      </c>
      <c r="G2518" s="14" t="s">
        <v>151</v>
      </c>
      <c r="H2518" s="14" t="s">
        <v>152</v>
      </c>
      <c r="I2518" s="14" t="s">
        <v>54</v>
      </c>
      <c r="J2518" s="14" t="s">
        <v>200</v>
      </c>
      <c r="K2518" s="14" t="s">
        <v>211</v>
      </c>
      <c r="L2518" s="14" t="s">
        <v>991</v>
      </c>
      <c r="M2518" s="14" t="s">
        <v>1649</v>
      </c>
      <c r="N2518" s="14" t="s">
        <v>1650</v>
      </c>
      <c r="O2518" s="14">
        <v>7.0</v>
      </c>
      <c r="P2518" s="23">
        <v>-0.8502</v>
      </c>
      <c r="Q2518" s="22" t="str">
        <f>"-18.64%"</f>
        <v>-18.64%</v>
      </c>
      <c r="R2518" s="18" t="str">
        <f>"-136.68%"</f>
        <v>-136.68%</v>
      </c>
      <c r="S2518" s="14" t="s">
        <v>336</v>
      </c>
    </row>
    <row r="2519">
      <c r="A2519" s="13">
        <v>45901.0</v>
      </c>
      <c r="B2519" s="14" t="s">
        <v>47</v>
      </c>
      <c r="C2519" s="14" t="s">
        <v>48</v>
      </c>
      <c r="D2519" s="14" t="s">
        <v>87</v>
      </c>
      <c r="E2519" s="14" t="s">
        <v>88</v>
      </c>
      <c r="F2519" s="15" t="s">
        <v>51</v>
      </c>
      <c r="G2519" s="14" t="s">
        <v>89</v>
      </c>
      <c r="H2519" s="14" t="s">
        <v>90</v>
      </c>
      <c r="I2519" s="14" t="s">
        <v>59</v>
      </c>
      <c r="J2519" s="14" t="s">
        <v>200</v>
      </c>
      <c r="K2519" s="14" t="s">
        <v>223</v>
      </c>
      <c r="L2519" s="14" t="s">
        <v>257</v>
      </c>
      <c r="M2519" s="14" t="s">
        <v>258</v>
      </c>
      <c r="N2519" s="14" t="s">
        <v>259</v>
      </c>
      <c r="O2519" s="14">
        <v>100.0</v>
      </c>
      <c r="P2519" s="21">
        <v>64.0</v>
      </c>
      <c r="Q2519" s="22" t="str">
        <f t="shared" ref="Q2519:R2519" si="1480">"+0"</f>
        <v>+0</v>
      </c>
      <c r="R2519" s="18" t="str">
        <f t="shared" si="1480"/>
        <v>+0</v>
      </c>
      <c r="S2519" s="14" t="s">
        <v>260</v>
      </c>
    </row>
    <row r="2520">
      <c r="A2520" s="13">
        <v>45901.0</v>
      </c>
      <c r="B2520" s="14" t="s">
        <v>47</v>
      </c>
      <c r="C2520" s="14" t="s">
        <v>48</v>
      </c>
      <c r="D2520" s="14" t="s">
        <v>87</v>
      </c>
      <c r="E2520" s="14" t="s">
        <v>88</v>
      </c>
      <c r="F2520" s="14" t="s">
        <v>71</v>
      </c>
      <c r="G2520" s="14">
        <v>5.46000941E8</v>
      </c>
      <c r="H2520" s="14" t="s">
        <v>90</v>
      </c>
      <c r="I2520" s="14" t="s">
        <v>107</v>
      </c>
      <c r="J2520" s="14" t="s">
        <v>200</v>
      </c>
      <c r="K2520" s="14" t="s">
        <v>218</v>
      </c>
      <c r="L2520" s="14" t="s">
        <v>253</v>
      </c>
      <c r="M2520" s="14" t="s">
        <v>1202</v>
      </c>
      <c r="N2520" s="14" t="s">
        <v>1203</v>
      </c>
      <c r="O2520" s="14">
        <v>2.0</v>
      </c>
      <c r="P2520" s="23">
        <v>0.0201</v>
      </c>
      <c r="Q2520" s="22" t="str">
        <f>"-0.03%"</f>
        <v>-0.03%</v>
      </c>
      <c r="R2520" s="18" t="str">
        <f>"+0.71%"</f>
        <v>+0.71%</v>
      </c>
      <c r="S2520" s="14" t="s">
        <v>1345</v>
      </c>
    </row>
    <row r="2521">
      <c r="A2521" s="13">
        <v>45901.0</v>
      </c>
      <c r="B2521" s="14" t="s">
        <v>47</v>
      </c>
      <c r="C2521" s="14" t="s">
        <v>48</v>
      </c>
      <c r="D2521" s="14" t="s">
        <v>87</v>
      </c>
      <c r="E2521" s="14" t="s">
        <v>88</v>
      </c>
      <c r="F2521" s="15" t="s">
        <v>51</v>
      </c>
      <c r="G2521" s="14" t="s">
        <v>89</v>
      </c>
      <c r="H2521" s="14" t="s">
        <v>90</v>
      </c>
      <c r="I2521" s="14" t="s">
        <v>59</v>
      </c>
      <c r="J2521" s="14" t="s">
        <v>200</v>
      </c>
      <c r="K2521" s="14" t="s">
        <v>223</v>
      </c>
      <c r="L2521" s="14" t="s">
        <v>257</v>
      </c>
      <c r="M2521" s="14" t="s">
        <v>493</v>
      </c>
      <c r="N2521" s="14" t="s">
        <v>494</v>
      </c>
      <c r="O2521" s="14">
        <v>61.0</v>
      </c>
      <c r="P2521" s="23">
        <v>0.2238</v>
      </c>
      <c r="Q2521" s="22" t="str">
        <f>"-2.11%"</f>
        <v>-2.11%</v>
      </c>
      <c r="R2521" s="18" t="str">
        <f>"+12.97%"</f>
        <v>+12.97%</v>
      </c>
      <c r="S2521" s="14" t="s">
        <v>1814</v>
      </c>
    </row>
    <row r="2522">
      <c r="A2522" s="13">
        <v>45901.0</v>
      </c>
      <c r="B2522" s="14" t="s">
        <v>47</v>
      </c>
      <c r="C2522" s="14" t="s">
        <v>48</v>
      </c>
      <c r="D2522" s="14" t="s">
        <v>69</v>
      </c>
      <c r="E2522" s="14" t="s">
        <v>70</v>
      </c>
      <c r="F2522" s="15" t="s">
        <v>51</v>
      </c>
      <c r="G2522" s="14" t="s">
        <v>115</v>
      </c>
      <c r="H2522" s="14" t="s">
        <v>72</v>
      </c>
      <c r="I2522" s="14" t="s">
        <v>54</v>
      </c>
      <c r="J2522" s="14" t="s">
        <v>198</v>
      </c>
      <c r="K2522" s="14" t="s">
        <v>210</v>
      </c>
      <c r="L2522" s="14" t="s">
        <v>264</v>
      </c>
      <c r="M2522" s="14" t="s">
        <v>265</v>
      </c>
      <c r="N2522" s="14" t="s">
        <v>266</v>
      </c>
      <c r="O2522" s="14">
        <v>70.0</v>
      </c>
      <c r="P2522" s="21">
        <v>73.0</v>
      </c>
      <c r="Q2522" s="22" t="str">
        <f>"+2"</f>
        <v>+2</v>
      </c>
      <c r="R2522" s="18" t="str">
        <f>"-41"</f>
        <v>-41</v>
      </c>
      <c r="S2522" s="14" t="s">
        <v>1257</v>
      </c>
    </row>
    <row r="2523">
      <c r="A2523" s="13">
        <v>45901.0</v>
      </c>
      <c r="B2523" s="14" t="s">
        <v>47</v>
      </c>
      <c r="C2523" s="14" t="s">
        <v>48</v>
      </c>
      <c r="D2523" s="14" t="s">
        <v>96</v>
      </c>
      <c r="E2523" s="14" t="s">
        <v>97</v>
      </c>
      <c r="F2523" s="15" t="s">
        <v>51</v>
      </c>
      <c r="G2523" s="14" t="s">
        <v>98</v>
      </c>
      <c r="H2523" s="14" t="s">
        <v>96</v>
      </c>
      <c r="I2523" s="14" t="s">
        <v>59</v>
      </c>
      <c r="J2523" s="14" t="s">
        <v>200</v>
      </c>
      <c r="K2523" s="14" t="s">
        <v>234</v>
      </c>
      <c r="L2523" s="14" t="s">
        <v>253</v>
      </c>
      <c r="M2523" s="14" t="s">
        <v>389</v>
      </c>
      <c r="N2523" s="14" t="s">
        <v>390</v>
      </c>
      <c r="O2523" s="14">
        <v>0.0</v>
      </c>
      <c r="P2523" s="23">
        <v>0.0</v>
      </c>
      <c r="Q2523" s="22" t="str">
        <f t="shared" ref="Q2523:R2523" si="1481">"+0.00%"</f>
        <v>+0.00%</v>
      </c>
      <c r="R2523" s="18" t="str">
        <f t="shared" si="1481"/>
        <v>+0.00%</v>
      </c>
      <c r="S2523" s="14" t="s">
        <v>1815</v>
      </c>
    </row>
    <row r="2524">
      <c r="A2524" s="13">
        <v>45901.0</v>
      </c>
      <c r="B2524" s="14" t="s">
        <v>47</v>
      </c>
      <c r="C2524" s="14" t="s">
        <v>48</v>
      </c>
      <c r="D2524" s="14" t="s">
        <v>85</v>
      </c>
      <c r="E2524" s="14" t="s">
        <v>86</v>
      </c>
      <c r="F2524" s="14" t="s">
        <v>71</v>
      </c>
      <c r="G2524" s="14">
        <v>88285.0</v>
      </c>
      <c r="H2524" s="14" t="s">
        <v>85</v>
      </c>
      <c r="I2524" s="14" t="s">
        <v>59</v>
      </c>
      <c r="J2524" s="14" t="s">
        <v>199</v>
      </c>
      <c r="K2524" s="14" t="s">
        <v>203</v>
      </c>
      <c r="L2524" s="14" t="s">
        <v>725</v>
      </c>
      <c r="M2524" s="14" t="s">
        <v>725</v>
      </c>
      <c r="N2524" s="14" t="s">
        <v>726</v>
      </c>
      <c r="O2524" s="14">
        <v>0.0</v>
      </c>
      <c r="P2524" s="21">
        <v>0.0</v>
      </c>
      <c r="Q2524" s="22" t="str">
        <f t="shared" ref="Q2524:R2524" si="1482">"+0"</f>
        <v>+0</v>
      </c>
      <c r="R2524" s="18" t="str">
        <f t="shared" si="1482"/>
        <v>+0</v>
      </c>
      <c r="S2524" s="14" t="s">
        <v>260</v>
      </c>
    </row>
    <row r="2525">
      <c r="A2525" s="13">
        <v>45901.0</v>
      </c>
      <c r="B2525" s="14" t="s">
        <v>47</v>
      </c>
      <c r="C2525" s="14" t="s">
        <v>48</v>
      </c>
      <c r="D2525" s="14" t="s">
        <v>69</v>
      </c>
      <c r="E2525" s="14" t="s">
        <v>70</v>
      </c>
      <c r="F2525" s="15" t="s">
        <v>51</v>
      </c>
      <c r="G2525" s="14" t="s">
        <v>115</v>
      </c>
      <c r="H2525" s="14" t="s">
        <v>72</v>
      </c>
      <c r="I2525" s="14" t="s">
        <v>54</v>
      </c>
      <c r="J2525" s="14" t="s">
        <v>200</v>
      </c>
      <c r="K2525" s="14" t="s">
        <v>222</v>
      </c>
      <c r="L2525" s="14" t="s">
        <v>253</v>
      </c>
      <c r="M2525" s="14" t="s">
        <v>732</v>
      </c>
      <c r="N2525" s="14" t="s">
        <v>733</v>
      </c>
      <c r="O2525" s="14">
        <v>100.0</v>
      </c>
      <c r="P2525" s="21">
        <v>2.0</v>
      </c>
      <c r="Q2525" s="22" t="str">
        <f t="shared" ref="Q2525:R2525" si="1483">"+0"</f>
        <v>+0</v>
      </c>
      <c r="R2525" s="18" t="str">
        <f t="shared" si="1483"/>
        <v>+0</v>
      </c>
      <c r="S2525" s="14" t="s">
        <v>450</v>
      </c>
    </row>
    <row r="2526">
      <c r="A2526" s="13">
        <v>45901.0</v>
      </c>
      <c r="B2526" s="14" t="s">
        <v>47</v>
      </c>
      <c r="C2526" s="14" t="s">
        <v>48</v>
      </c>
      <c r="D2526" s="14" t="s">
        <v>96</v>
      </c>
      <c r="E2526" s="14" t="s">
        <v>97</v>
      </c>
      <c r="F2526" s="15" t="s">
        <v>51</v>
      </c>
      <c r="G2526" s="14" t="s">
        <v>98</v>
      </c>
      <c r="H2526" s="14" t="s">
        <v>96</v>
      </c>
      <c r="I2526" s="14" t="s">
        <v>59</v>
      </c>
      <c r="J2526" s="14" t="s">
        <v>200</v>
      </c>
      <c r="K2526" s="14" t="s">
        <v>223</v>
      </c>
      <c r="L2526" s="14" t="s">
        <v>261</v>
      </c>
      <c r="M2526" s="14" t="s">
        <v>414</v>
      </c>
      <c r="N2526" s="14" t="s">
        <v>415</v>
      </c>
      <c r="O2526" s="14">
        <v>0.0</v>
      </c>
      <c r="P2526" s="23">
        <v>-1.0</v>
      </c>
      <c r="Q2526" s="22" t="str">
        <f t="shared" ref="Q2526:R2526" si="1484">"+0.00%"</f>
        <v>+0.00%</v>
      </c>
      <c r="R2526" s="18" t="str">
        <f t="shared" si="1484"/>
        <v>+0.00%</v>
      </c>
      <c r="S2526" s="14" t="s">
        <v>1816</v>
      </c>
    </row>
    <row r="2527">
      <c r="A2527" s="13">
        <v>45901.0</v>
      </c>
      <c r="B2527" s="14" t="s">
        <v>47</v>
      </c>
      <c r="C2527" s="14" t="s">
        <v>48</v>
      </c>
      <c r="D2527" s="14" t="s">
        <v>69</v>
      </c>
      <c r="E2527" s="14" t="s">
        <v>70</v>
      </c>
      <c r="F2527" s="15" t="s">
        <v>51</v>
      </c>
      <c r="G2527" s="14" t="s">
        <v>115</v>
      </c>
      <c r="H2527" s="14" t="s">
        <v>72</v>
      </c>
      <c r="I2527" s="14" t="s">
        <v>54</v>
      </c>
      <c r="J2527" s="14" t="s">
        <v>200</v>
      </c>
      <c r="K2527" s="14" t="s">
        <v>224</v>
      </c>
      <c r="L2527" s="14" t="s">
        <v>453</v>
      </c>
      <c r="M2527" s="14" t="s">
        <v>555</v>
      </c>
      <c r="N2527" s="14" t="s">
        <v>556</v>
      </c>
      <c r="O2527" s="14">
        <v>0.0</v>
      </c>
      <c r="P2527" s="23">
        <v>0.0</v>
      </c>
      <c r="Q2527" s="22" t="str">
        <f t="shared" ref="Q2527:R2527" si="1485">"+0.00%"</f>
        <v>+0.00%</v>
      </c>
      <c r="R2527" s="18" t="str">
        <f t="shared" si="1485"/>
        <v>+0.00%</v>
      </c>
      <c r="S2527" s="14" t="s">
        <v>557</v>
      </c>
    </row>
    <row r="2528">
      <c r="A2528" s="13">
        <v>45901.0</v>
      </c>
      <c r="B2528" s="14" t="s">
        <v>47</v>
      </c>
      <c r="C2528" s="14" t="s">
        <v>48</v>
      </c>
      <c r="D2528" s="14" t="s">
        <v>96</v>
      </c>
      <c r="E2528" s="14" t="s">
        <v>97</v>
      </c>
      <c r="F2528" s="15" t="s">
        <v>51</v>
      </c>
      <c r="G2528" s="14" t="s">
        <v>98</v>
      </c>
      <c r="H2528" s="14" t="s">
        <v>96</v>
      </c>
      <c r="I2528" s="14" t="s">
        <v>59</v>
      </c>
      <c r="J2528" s="14" t="s">
        <v>200</v>
      </c>
      <c r="K2528" s="14" t="s">
        <v>223</v>
      </c>
      <c r="L2528" s="14" t="s">
        <v>257</v>
      </c>
      <c r="M2528" s="14" t="s">
        <v>258</v>
      </c>
      <c r="N2528" s="14" t="s">
        <v>259</v>
      </c>
      <c r="O2528" s="14">
        <v>100.0</v>
      </c>
      <c r="P2528" s="21">
        <v>5.0</v>
      </c>
      <c r="Q2528" s="22" t="str">
        <f t="shared" ref="Q2528:R2528" si="1486">"+0"</f>
        <v>+0</v>
      </c>
      <c r="R2528" s="18" t="str">
        <f t="shared" si="1486"/>
        <v>+0</v>
      </c>
      <c r="S2528" s="14" t="s">
        <v>260</v>
      </c>
    </row>
    <row r="2529">
      <c r="A2529" s="13">
        <v>45901.0</v>
      </c>
      <c r="B2529" s="14" t="s">
        <v>47</v>
      </c>
      <c r="C2529" s="14" t="s">
        <v>48</v>
      </c>
      <c r="D2529" s="14" t="s">
        <v>125</v>
      </c>
      <c r="E2529" s="14" t="s">
        <v>126</v>
      </c>
      <c r="F2529" s="15" t="s">
        <v>51</v>
      </c>
      <c r="G2529" s="14" t="s">
        <v>127</v>
      </c>
      <c r="H2529" s="14" t="s">
        <v>125</v>
      </c>
      <c r="I2529" s="14" t="s">
        <v>59</v>
      </c>
      <c r="J2529" s="14" t="s">
        <v>199</v>
      </c>
      <c r="K2529" s="14" t="s">
        <v>206</v>
      </c>
      <c r="L2529" s="14" t="s">
        <v>295</v>
      </c>
      <c r="M2529" s="14" t="s">
        <v>986</v>
      </c>
      <c r="N2529" s="14" t="s">
        <v>987</v>
      </c>
      <c r="O2529" s="14">
        <v>0.0</v>
      </c>
      <c r="P2529" s="21">
        <v>0.0</v>
      </c>
      <c r="Q2529" s="22" t="str">
        <f t="shared" ref="Q2529:R2529" si="1487">"+0"</f>
        <v>+0</v>
      </c>
      <c r="R2529" s="18" t="str">
        <f t="shared" si="1487"/>
        <v>+0</v>
      </c>
      <c r="S2529" s="14" t="s">
        <v>260</v>
      </c>
    </row>
    <row r="2530">
      <c r="A2530" s="13">
        <v>45901.0</v>
      </c>
      <c r="B2530" s="14" t="s">
        <v>47</v>
      </c>
      <c r="C2530" s="14" t="s">
        <v>48</v>
      </c>
      <c r="D2530" s="14" t="s">
        <v>116</v>
      </c>
      <c r="E2530" s="14" t="s">
        <v>117</v>
      </c>
      <c r="F2530" s="15" t="s">
        <v>51</v>
      </c>
      <c r="G2530" s="14" t="s">
        <v>161</v>
      </c>
      <c r="H2530" s="14" t="s">
        <v>116</v>
      </c>
      <c r="I2530" s="14" t="s">
        <v>54</v>
      </c>
      <c r="J2530" s="14" t="s">
        <v>198</v>
      </c>
      <c r="K2530" s="14" t="s">
        <v>210</v>
      </c>
      <c r="L2530" s="14" t="s">
        <v>264</v>
      </c>
      <c r="M2530" s="14" t="s">
        <v>456</v>
      </c>
      <c r="N2530" s="14" t="s">
        <v>457</v>
      </c>
      <c r="O2530" s="14">
        <v>0.0</v>
      </c>
      <c r="P2530" s="21">
        <v>0.0</v>
      </c>
      <c r="Q2530" s="22" t="str">
        <f t="shared" ref="Q2530:R2530" si="1488">"+0"</f>
        <v>+0</v>
      </c>
      <c r="R2530" s="18" t="str">
        <f t="shared" si="1488"/>
        <v>+0</v>
      </c>
      <c r="S2530" s="14" t="s">
        <v>277</v>
      </c>
    </row>
    <row r="2531">
      <c r="A2531" s="13">
        <v>45901.0</v>
      </c>
      <c r="B2531" s="14" t="s">
        <v>47</v>
      </c>
      <c r="C2531" s="14" t="s">
        <v>48</v>
      </c>
      <c r="D2531" s="14" t="s">
        <v>116</v>
      </c>
      <c r="E2531" s="14" t="s">
        <v>117</v>
      </c>
      <c r="F2531" s="15" t="s">
        <v>51</v>
      </c>
      <c r="G2531" s="14" t="s">
        <v>161</v>
      </c>
      <c r="H2531" s="14" t="s">
        <v>116</v>
      </c>
      <c r="I2531" s="14" t="s">
        <v>54</v>
      </c>
      <c r="J2531" s="14" t="s">
        <v>200</v>
      </c>
      <c r="K2531" s="14" t="s">
        <v>213</v>
      </c>
      <c r="L2531" s="14" t="s">
        <v>359</v>
      </c>
      <c r="M2531" s="14" t="s">
        <v>360</v>
      </c>
      <c r="N2531" s="14" t="s">
        <v>361</v>
      </c>
      <c r="O2531" s="14">
        <v>0.0</v>
      </c>
      <c r="P2531" s="23">
        <v>0.0</v>
      </c>
      <c r="Q2531" s="22" t="str">
        <f>"+0.00%"</f>
        <v>+0.00%</v>
      </c>
      <c r="R2531" s="18" t="str">
        <f>"-0.06%"</f>
        <v>-0.06%</v>
      </c>
      <c r="S2531" s="14" t="s">
        <v>1817</v>
      </c>
    </row>
    <row r="2532">
      <c r="A2532" s="13">
        <v>45901.0</v>
      </c>
      <c r="B2532" s="14" t="s">
        <v>47</v>
      </c>
      <c r="C2532" s="14" t="s">
        <v>48</v>
      </c>
      <c r="D2532" s="14" t="s">
        <v>158</v>
      </c>
      <c r="E2532" s="14" t="s">
        <v>159</v>
      </c>
      <c r="F2532" s="15" t="s">
        <v>51</v>
      </c>
      <c r="G2532" s="14" t="s">
        <v>160</v>
      </c>
      <c r="H2532" s="14" t="s">
        <v>158</v>
      </c>
      <c r="I2532" s="14" t="s">
        <v>54</v>
      </c>
      <c r="J2532" s="14" t="s">
        <v>198</v>
      </c>
      <c r="K2532" s="14" t="s">
        <v>210</v>
      </c>
      <c r="L2532" s="14" t="s">
        <v>264</v>
      </c>
      <c r="M2532" s="14" t="s">
        <v>802</v>
      </c>
      <c r="N2532" s="14" t="s">
        <v>803</v>
      </c>
      <c r="O2532" s="14">
        <v>0.0</v>
      </c>
      <c r="P2532" s="21">
        <v>0.0</v>
      </c>
      <c r="Q2532" s="22" t="str">
        <f t="shared" ref="Q2532:R2532" si="1489">"+0"</f>
        <v>+0</v>
      </c>
      <c r="R2532" s="18" t="str">
        <f t="shared" si="1489"/>
        <v>+0</v>
      </c>
      <c r="S2532" s="14" t="s">
        <v>277</v>
      </c>
    </row>
    <row r="2533">
      <c r="A2533" s="13">
        <v>45901.0</v>
      </c>
      <c r="B2533" s="14" t="s">
        <v>47</v>
      </c>
      <c r="C2533" s="14" t="s">
        <v>48</v>
      </c>
      <c r="D2533" s="14" t="s">
        <v>121</v>
      </c>
      <c r="E2533" s="14" t="s">
        <v>122</v>
      </c>
      <c r="F2533" s="15" t="s">
        <v>51</v>
      </c>
      <c r="G2533" s="14" t="s">
        <v>123</v>
      </c>
      <c r="H2533" s="14" t="s">
        <v>124</v>
      </c>
      <c r="I2533" s="14" t="s">
        <v>59</v>
      </c>
      <c r="J2533" s="14" t="s">
        <v>200</v>
      </c>
      <c r="K2533" s="14" t="s">
        <v>209</v>
      </c>
      <c r="L2533" s="14" t="s">
        <v>253</v>
      </c>
      <c r="M2533" s="14" t="s">
        <v>817</v>
      </c>
      <c r="N2533" s="14" t="s">
        <v>818</v>
      </c>
      <c r="O2533" s="14">
        <v>1.0</v>
      </c>
      <c r="P2533" s="23">
        <v>0.0194</v>
      </c>
      <c r="Q2533" s="22" t="str">
        <f t="shared" ref="Q2533:R2533" si="1490">"+0.01%"</f>
        <v>+0.01%</v>
      </c>
      <c r="R2533" s="18" t="str">
        <f t="shared" si="1490"/>
        <v>+0.01%</v>
      </c>
      <c r="S2533" s="14" t="s">
        <v>1818</v>
      </c>
    </row>
    <row r="2534">
      <c r="A2534" s="13">
        <v>45901.0</v>
      </c>
      <c r="B2534" s="14" t="s">
        <v>47</v>
      </c>
      <c r="C2534" s="14" t="s">
        <v>48</v>
      </c>
      <c r="D2534" s="14" t="s">
        <v>155</v>
      </c>
      <c r="E2534" s="14" t="s">
        <v>156</v>
      </c>
      <c r="F2534" s="15" t="s">
        <v>51</v>
      </c>
      <c r="G2534" s="14" t="s">
        <v>157</v>
      </c>
      <c r="H2534" s="14" t="s">
        <v>155</v>
      </c>
      <c r="I2534" s="14" t="s">
        <v>59</v>
      </c>
      <c r="J2534" s="14" t="s">
        <v>198</v>
      </c>
      <c r="K2534" s="14" t="s">
        <v>205</v>
      </c>
      <c r="L2534" s="14" t="s">
        <v>274</v>
      </c>
      <c r="M2534" s="14" t="s">
        <v>767</v>
      </c>
      <c r="N2534" s="14" t="s">
        <v>768</v>
      </c>
      <c r="O2534" s="14">
        <v>100.0</v>
      </c>
      <c r="P2534" s="21">
        <v>1.0</v>
      </c>
      <c r="Q2534" s="22" t="str">
        <f t="shared" ref="Q2534:Q2535" si="1491">"+0"</f>
        <v>+0</v>
      </c>
      <c r="S2534" s="14" t="s">
        <v>281</v>
      </c>
    </row>
    <row r="2535">
      <c r="A2535" s="13">
        <v>45901.0</v>
      </c>
      <c r="B2535" s="14" t="s">
        <v>47</v>
      </c>
      <c r="C2535" s="14" t="s">
        <v>48</v>
      </c>
      <c r="D2535" s="14" t="s">
        <v>56</v>
      </c>
      <c r="E2535" s="14" t="s">
        <v>57</v>
      </c>
      <c r="F2535" s="15" t="s">
        <v>51</v>
      </c>
      <c r="G2535" s="14" t="s">
        <v>58</v>
      </c>
      <c r="H2535" s="14" t="s">
        <v>56</v>
      </c>
      <c r="I2535" s="14" t="s">
        <v>59</v>
      </c>
      <c r="J2535" s="14" t="s">
        <v>198</v>
      </c>
      <c r="K2535" s="14" t="s">
        <v>205</v>
      </c>
      <c r="L2535" s="14" t="s">
        <v>274</v>
      </c>
      <c r="M2535" s="14" t="s">
        <v>738</v>
      </c>
      <c r="N2535" s="14" t="s">
        <v>739</v>
      </c>
      <c r="O2535" s="14">
        <v>0.0</v>
      </c>
      <c r="P2535" s="21">
        <v>0.0</v>
      </c>
      <c r="Q2535" s="22" t="str">
        <f t="shared" si="1491"/>
        <v>+0</v>
      </c>
      <c r="S2535" s="14" t="s">
        <v>281</v>
      </c>
    </row>
    <row r="2536">
      <c r="A2536" s="13">
        <v>45901.0</v>
      </c>
      <c r="B2536" s="14" t="s">
        <v>47</v>
      </c>
      <c r="C2536" s="14" t="s">
        <v>48</v>
      </c>
      <c r="D2536" s="14" t="s">
        <v>155</v>
      </c>
      <c r="E2536" s="14" t="s">
        <v>156</v>
      </c>
      <c r="F2536" s="15" t="s">
        <v>51</v>
      </c>
      <c r="G2536" s="14" t="s">
        <v>157</v>
      </c>
      <c r="H2536" s="14" t="s">
        <v>155</v>
      </c>
      <c r="I2536" s="14" t="s">
        <v>59</v>
      </c>
      <c r="J2536" s="14" t="s">
        <v>200</v>
      </c>
      <c r="K2536" s="14" t="s">
        <v>223</v>
      </c>
      <c r="L2536" s="14" t="s">
        <v>286</v>
      </c>
      <c r="M2536" s="14" t="s">
        <v>419</v>
      </c>
      <c r="N2536" s="14" t="s">
        <v>420</v>
      </c>
      <c r="O2536" s="14">
        <v>0.0</v>
      </c>
      <c r="P2536" s="17"/>
      <c r="Q2536" s="22"/>
      <c r="S2536" s="14" t="s">
        <v>371</v>
      </c>
    </row>
    <row r="2537">
      <c r="A2537" s="13">
        <v>45901.0</v>
      </c>
      <c r="B2537" s="14" t="s">
        <v>47</v>
      </c>
      <c r="C2537" s="14" t="s">
        <v>48</v>
      </c>
      <c r="D2537" s="14" t="s">
        <v>165</v>
      </c>
      <c r="E2537" s="14" t="s">
        <v>166</v>
      </c>
      <c r="F2537" s="15" t="s">
        <v>51</v>
      </c>
      <c r="G2537" s="14" t="s">
        <v>167</v>
      </c>
      <c r="H2537" s="14" t="s">
        <v>165</v>
      </c>
      <c r="I2537" s="14" t="s">
        <v>54</v>
      </c>
      <c r="J2537" s="14" t="s">
        <v>198</v>
      </c>
      <c r="K2537" s="14" t="s">
        <v>205</v>
      </c>
      <c r="L2537" s="14" t="s">
        <v>274</v>
      </c>
      <c r="M2537" s="14" t="s">
        <v>448</v>
      </c>
      <c r="N2537" s="14" t="s">
        <v>449</v>
      </c>
      <c r="O2537" s="14">
        <v>100.0</v>
      </c>
      <c r="P2537" s="21">
        <v>5.0</v>
      </c>
      <c r="Q2537" s="22" t="str">
        <f t="shared" ref="Q2537:Q2540" si="1492">"+0"</f>
        <v>+0</v>
      </c>
      <c r="S2537" s="14" t="s">
        <v>450</v>
      </c>
    </row>
    <row r="2538">
      <c r="A2538" s="13">
        <v>45901.0</v>
      </c>
      <c r="B2538" s="14" t="s">
        <v>47</v>
      </c>
      <c r="C2538" s="14" t="s">
        <v>48</v>
      </c>
      <c r="D2538" s="14" t="s">
        <v>165</v>
      </c>
      <c r="E2538" s="14" t="s">
        <v>166</v>
      </c>
      <c r="F2538" s="15" t="s">
        <v>51</v>
      </c>
      <c r="G2538" s="14" t="s">
        <v>167</v>
      </c>
      <c r="H2538" s="14" t="s">
        <v>165</v>
      </c>
      <c r="I2538" s="14" t="s">
        <v>54</v>
      </c>
      <c r="J2538" s="14" t="s">
        <v>198</v>
      </c>
      <c r="K2538" s="14" t="s">
        <v>210</v>
      </c>
      <c r="L2538" s="14" t="s">
        <v>458</v>
      </c>
      <c r="M2538" s="14" t="s">
        <v>1439</v>
      </c>
      <c r="N2538" s="14" t="s">
        <v>1440</v>
      </c>
      <c r="O2538" s="14">
        <v>0.0</v>
      </c>
      <c r="P2538" s="21">
        <v>0.0</v>
      </c>
      <c r="Q2538" s="22" t="str">
        <f t="shared" si="1492"/>
        <v>+0</v>
      </c>
      <c r="R2538" s="18" t="str">
        <f t="shared" ref="R2538:R2540" si="1493">"+0"</f>
        <v>+0</v>
      </c>
      <c r="S2538" s="14" t="s">
        <v>277</v>
      </c>
    </row>
    <row r="2539">
      <c r="A2539" s="13">
        <v>45901.0</v>
      </c>
      <c r="B2539" s="14" t="s">
        <v>47</v>
      </c>
      <c r="C2539" s="14" t="s">
        <v>48</v>
      </c>
      <c r="D2539" s="14" t="s">
        <v>91</v>
      </c>
      <c r="E2539" s="14" t="s">
        <v>92</v>
      </c>
      <c r="F2539" s="14" t="s">
        <v>71</v>
      </c>
      <c r="G2539" s="14">
        <v>5.10011769E8</v>
      </c>
      <c r="H2539" s="14" t="s">
        <v>91</v>
      </c>
      <c r="I2539" s="14" t="s">
        <v>59</v>
      </c>
      <c r="J2539" s="14" t="s">
        <v>199</v>
      </c>
      <c r="K2539" s="14" t="s">
        <v>203</v>
      </c>
      <c r="L2539" s="14" t="s">
        <v>736</v>
      </c>
      <c r="M2539" s="14" t="s">
        <v>736</v>
      </c>
      <c r="N2539" s="14" t="s">
        <v>737</v>
      </c>
      <c r="O2539" s="14">
        <v>0.0</v>
      </c>
      <c r="P2539" s="21">
        <v>0.0</v>
      </c>
      <c r="Q2539" s="22" t="str">
        <f t="shared" si="1492"/>
        <v>+0</v>
      </c>
      <c r="R2539" s="18" t="str">
        <f t="shared" si="1493"/>
        <v>+0</v>
      </c>
      <c r="S2539" s="14" t="s">
        <v>260</v>
      </c>
    </row>
    <row r="2540">
      <c r="A2540" s="13">
        <v>45901.0</v>
      </c>
      <c r="B2540" s="14" t="s">
        <v>47</v>
      </c>
      <c r="C2540" s="14" t="s">
        <v>48</v>
      </c>
      <c r="D2540" s="14" t="s">
        <v>63</v>
      </c>
      <c r="E2540" s="14" t="s">
        <v>64</v>
      </c>
      <c r="F2540" s="15" t="s">
        <v>51</v>
      </c>
      <c r="G2540" s="14" t="s">
        <v>65</v>
      </c>
      <c r="H2540" s="14" t="s">
        <v>63</v>
      </c>
      <c r="I2540" s="14" t="s">
        <v>54</v>
      </c>
      <c r="J2540" s="14" t="s">
        <v>198</v>
      </c>
      <c r="K2540" s="14" t="s">
        <v>210</v>
      </c>
      <c r="L2540" s="14" t="s">
        <v>264</v>
      </c>
      <c r="M2540" s="14" t="s">
        <v>930</v>
      </c>
      <c r="N2540" s="14" t="s">
        <v>931</v>
      </c>
      <c r="O2540" s="14">
        <v>0.0</v>
      </c>
      <c r="P2540" s="21">
        <v>0.0</v>
      </c>
      <c r="Q2540" s="22" t="str">
        <f t="shared" si="1492"/>
        <v>+0</v>
      </c>
      <c r="R2540" s="18" t="str">
        <f t="shared" si="1493"/>
        <v>+0</v>
      </c>
      <c r="S2540" s="14" t="s">
        <v>277</v>
      </c>
    </row>
    <row r="2541">
      <c r="A2541" s="13">
        <v>45901.0</v>
      </c>
      <c r="B2541" s="14" t="s">
        <v>47</v>
      </c>
      <c r="C2541" s="14" t="s">
        <v>48</v>
      </c>
      <c r="D2541" s="14" t="s">
        <v>99</v>
      </c>
      <c r="E2541" s="14" t="s">
        <v>100</v>
      </c>
      <c r="F2541" s="15" t="s">
        <v>51</v>
      </c>
      <c r="G2541" s="14" t="s">
        <v>101</v>
      </c>
      <c r="H2541" s="14" t="s">
        <v>102</v>
      </c>
      <c r="I2541" s="14" t="s">
        <v>54</v>
      </c>
      <c r="J2541" s="14" t="s">
        <v>200</v>
      </c>
      <c r="K2541" s="14" t="s">
        <v>213</v>
      </c>
      <c r="L2541" s="14" t="s">
        <v>289</v>
      </c>
      <c r="M2541" s="14" t="s">
        <v>684</v>
      </c>
      <c r="N2541" s="14" t="s">
        <v>685</v>
      </c>
      <c r="O2541" s="14">
        <v>0.0</v>
      </c>
      <c r="P2541" s="23">
        <v>0.0</v>
      </c>
      <c r="Q2541" s="22" t="str">
        <f t="shared" ref="Q2541:R2541" si="1494">"+0.00%"</f>
        <v>+0.00%</v>
      </c>
      <c r="R2541" s="18" t="str">
        <f t="shared" si="1494"/>
        <v>+0.00%</v>
      </c>
      <c r="S2541" s="14" t="s">
        <v>285</v>
      </c>
    </row>
    <row r="2542">
      <c r="A2542" s="13">
        <v>45901.0</v>
      </c>
      <c r="B2542" s="14" t="s">
        <v>47</v>
      </c>
      <c r="C2542" s="14" t="s">
        <v>48</v>
      </c>
      <c r="D2542" s="14" t="s">
        <v>91</v>
      </c>
      <c r="E2542" s="14" t="s">
        <v>92</v>
      </c>
      <c r="F2542" s="14" t="s">
        <v>79</v>
      </c>
      <c r="G2542" s="14" t="s">
        <v>164</v>
      </c>
      <c r="H2542" s="14" t="s">
        <v>91</v>
      </c>
      <c r="I2542" s="14" t="s">
        <v>154</v>
      </c>
      <c r="J2542" s="14" t="s">
        <v>199</v>
      </c>
      <c r="K2542" s="14" t="s">
        <v>206</v>
      </c>
      <c r="L2542" s="14" t="s">
        <v>268</v>
      </c>
      <c r="M2542" s="14" t="s">
        <v>268</v>
      </c>
      <c r="N2542" s="14" t="s">
        <v>269</v>
      </c>
      <c r="O2542" s="14">
        <v>100.0</v>
      </c>
      <c r="P2542" s="21">
        <v>9.0</v>
      </c>
      <c r="Q2542" s="22" t="str">
        <f t="shared" ref="Q2542:R2542" si="1495">"+5"</f>
        <v>+5</v>
      </c>
      <c r="R2542" s="18" t="str">
        <f t="shared" si="1495"/>
        <v>+5</v>
      </c>
      <c r="S2542" s="14" t="s">
        <v>260</v>
      </c>
    </row>
    <row r="2543">
      <c r="A2543" s="13">
        <v>45901.0</v>
      </c>
      <c r="B2543" s="14" t="s">
        <v>47</v>
      </c>
      <c r="C2543" s="14" t="s">
        <v>48</v>
      </c>
      <c r="D2543" s="14" t="s">
        <v>63</v>
      </c>
      <c r="E2543" s="14" t="s">
        <v>64</v>
      </c>
      <c r="F2543" s="15" t="s">
        <v>51</v>
      </c>
      <c r="G2543" s="14" t="s">
        <v>65</v>
      </c>
      <c r="H2543" s="14" t="s">
        <v>63</v>
      </c>
      <c r="I2543" s="14" t="s">
        <v>54</v>
      </c>
      <c r="J2543" s="14" t="s">
        <v>199</v>
      </c>
      <c r="K2543" s="14" t="s">
        <v>203</v>
      </c>
      <c r="L2543" s="14" t="s">
        <v>1095</v>
      </c>
      <c r="M2543" s="14" t="s">
        <v>1095</v>
      </c>
      <c r="N2543" s="14" t="s">
        <v>1096</v>
      </c>
      <c r="O2543" s="14">
        <v>100.0</v>
      </c>
      <c r="P2543" s="21">
        <v>2.0</v>
      </c>
      <c r="Q2543" s="22" t="str">
        <f t="shared" ref="Q2543:R2543" si="1496">"+0"</f>
        <v>+0</v>
      </c>
      <c r="R2543" s="18" t="str">
        <f t="shared" si="1496"/>
        <v>+0</v>
      </c>
      <c r="S2543" s="14" t="s">
        <v>260</v>
      </c>
    </row>
    <row r="2544">
      <c r="A2544" s="13">
        <v>45901.0</v>
      </c>
      <c r="B2544" s="14" t="s">
        <v>47</v>
      </c>
      <c r="C2544" s="14" t="s">
        <v>48</v>
      </c>
      <c r="D2544" s="14" t="s">
        <v>63</v>
      </c>
      <c r="E2544" s="14" t="s">
        <v>64</v>
      </c>
      <c r="F2544" s="15" t="s">
        <v>51</v>
      </c>
      <c r="G2544" s="14" t="s">
        <v>65</v>
      </c>
      <c r="H2544" s="14" t="s">
        <v>63</v>
      </c>
      <c r="I2544" s="14" t="s">
        <v>54</v>
      </c>
      <c r="J2544" s="14" t="s">
        <v>200</v>
      </c>
      <c r="K2544" s="14" t="s">
        <v>213</v>
      </c>
      <c r="L2544" s="14" t="s">
        <v>253</v>
      </c>
      <c r="M2544" s="14" t="s">
        <v>552</v>
      </c>
      <c r="N2544" s="14" t="s">
        <v>553</v>
      </c>
      <c r="O2544" s="14">
        <v>59.0</v>
      </c>
      <c r="P2544" s="23">
        <v>0.5942</v>
      </c>
      <c r="Q2544" s="22" t="str">
        <f>"+14.93%"</f>
        <v>+14.93%</v>
      </c>
      <c r="R2544" s="18" t="str">
        <f>"+3.76%"</f>
        <v>+3.76%</v>
      </c>
      <c r="S2544" s="14" t="s">
        <v>1819</v>
      </c>
    </row>
    <row r="2545">
      <c r="A2545" s="13">
        <v>45901.0</v>
      </c>
      <c r="B2545" s="14" t="s">
        <v>47</v>
      </c>
      <c r="C2545" s="14" t="s">
        <v>48</v>
      </c>
      <c r="D2545" s="14" t="s">
        <v>91</v>
      </c>
      <c r="E2545" s="14" t="s">
        <v>92</v>
      </c>
      <c r="F2545" s="14" t="s">
        <v>79</v>
      </c>
      <c r="G2545" s="14" t="s">
        <v>164</v>
      </c>
      <c r="H2545" s="14" t="s">
        <v>91</v>
      </c>
      <c r="I2545" s="14" t="s">
        <v>154</v>
      </c>
      <c r="J2545" s="14" t="s">
        <v>200</v>
      </c>
      <c r="K2545" s="14" t="s">
        <v>237</v>
      </c>
      <c r="L2545" s="14" t="s">
        <v>333</v>
      </c>
      <c r="M2545" s="14" t="s">
        <v>1820</v>
      </c>
      <c r="N2545" s="14" t="s">
        <v>1821</v>
      </c>
      <c r="O2545" s="14">
        <v>0.0</v>
      </c>
      <c r="P2545" s="23">
        <v>-1.0</v>
      </c>
      <c r="Q2545" s="22" t="str">
        <f t="shared" ref="Q2545:R2545" si="1497">"+0.00%"</f>
        <v>+0.00%</v>
      </c>
      <c r="R2545" s="18" t="str">
        <f t="shared" si="1497"/>
        <v>+0.00%</v>
      </c>
      <c r="S2545" s="14" t="s">
        <v>285</v>
      </c>
    </row>
    <row r="2546">
      <c r="A2546" s="13">
        <v>45901.0</v>
      </c>
      <c r="B2546" s="14" t="s">
        <v>47</v>
      </c>
      <c r="C2546" s="14" t="s">
        <v>48</v>
      </c>
      <c r="D2546" s="14" t="s">
        <v>184</v>
      </c>
      <c r="E2546" s="14" t="s">
        <v>185</v>
      </c>
      <c r="F2546" s="15" t="s">
        <v>51</v>
      </c>
      <c r="G2546" s="14" t="s">
        <v>186</v>
      </c>
      <c r="H2546" s="14" t="s">
        <v>187</v>
      </c>
      <c r="I2546" s="14" t="s">
        <v>59</v>
      </c>
      <c r="J2546" s="14" t="s">
        <v>198</v>
      </c>
      <c r="K2546" s="14" t="s">
        <v>205</v>
      </c>
      <c r="L2546" s="14" t="s">
        <v>274</v>
      </c>
      <c r="M2546" s="14" t="s">
        <v>354</v>
      </c>
      <c r="N2546" s="14" t="s">
        <v>355</v>
      </c>
      <c r="O2546" s="14">
        <v>28.0</v>
      </c>
      <c r="P2546" s="21">
        <v>10.0</v>
      </c>
      <c r="Q2546" s="22" t="str">
        <f>"+0"</f>
        <v>+0</v>
      </c>
      <c r="S2546" s="14" t="s">
        <v>356</v>
      </c>
    </row>
    <row r="2547">
      <c r="A2547" s="13">
        <v>45901.0</v>
      </c>
      <c r="B2547" s="14" t="s">
        <v>47</v>
      </c>
      <c r="C2547" s="14" t="s">
        <v>48</v>
      </c>
      <c r="D2547" s="14" t="s">
        <v>82</v>
      </c>
      <c r="E2547" s="14" t="s">
        <v>83</v>
      </c>
      <c r="F2547" s="15" t="s">
        <v>51</v>
      </c>
      <c r="G2547" s="14" t="s">
        <v>84</v>
      </c>
      <c r="H2547" s="14" t="s">
        <v>82</v>
      </c>
      <c r="I2547" s="14" t="s">
        <v>59</v>
      </c>
      <c r="J2547" s="14" t="s">
        <v>200</v>
      </c>
      <c r="K2547" s="14" t="s">
        <v>213</v>
      </c>
      <c r="L2547" s="14" t="s">
        <v>257</v>
      </c>
      <c r="M2547" s="14" t="s">
        <v>499</v>
      </c>
      <c r="N2547" s="14" t="s">
        <v>500</v>
      </c>
      <c r="O2547" s="14">
        <v>0.0</v>
      </c>
      <c r="P2547" s="23">
        <v>0.0</v>
      </c>
      <c r="Q2547" s="22" t="str">
        <f t="shared" ref="Q2547:R2547" si="1498">"+0.00%"</f>
        <v>+0.00%</v>
      </c>
      <c r="R2547" s="18" t="str">
        <f t="shared" si="1498"/>
        <v>+0.00%</v>
      </c>
      <c r="S2547" s="14" t="s">
        <v>1822</v>
      </c>
    </row>
    <row r="2548">
      <c r="A2548" s="13">
        <v>45901.0</v>
      </c>
      <c r="B2548" s="14" t="s">
        <v>47</v>
      </c>
      <c r="C2548" s="14" t="s">
        <v>48</v>
      </c>
      <c r="D2548" s="14" t="s">
        <v>66</v>
      </c>
      <c r="E2548" s="14" t="s">
        <v>67</v>
      </c>
      <c r="F2548" s="15" t="s">
        <v>51</v>
      </c>
      <c r="G2548" s="14" t="s">
        <v>68</v>
      </c>
      <c r="H2548" s="14" t="s">
        <v>66</v>
      </c>
      <c r="I2548" s="14" t="s">
        <v>59</v>
      </c>
      <c r="J2548" s="14" t="s">
        <v>199</v>
      </c>
      <c r="K2548" s="14" t="s">
        <v>206</v>
      </c>
      <c r="L2548" s="14" t="s">
        <v>295</v>
      </c>
      <c r="M2548" s="14" t="s">
        <v>651</v>
      </c>
      <c r="N2548" s="14" t="s">
        <v>652</v>
      </c>
      <c r="O2548" s="14">
        <v>0.0</v>
      </c>
      <c r="P2548" s="21">
        <v>0.0</v>
      </c>
      <c r="Q2548" s="22" t="str">
        <f t="shared" ref="Q2548:R2548" si="1499">"+0"</f>
        <v>+0</v>
      </c>
      <c r="R2548" s="18" t="str">
        <f t="shared" si="1499"/>
        <v>+0</v>
      </c>
      <c r="S2548" s="14" t="s">
        <v>260</v>
      </c>
    </row>
    <row r="2549">
      <c r="A2549" s="13">
        <v>45901.0</v>
      </c>
      <c r="B2549" s="14" t="s">
        <v>47</v>
      </c>
      <c r="C2549" s="14" t="s">
        <v>48</v>
      </c>
      <c r="D2549" s="14" t="s">
        <v>66</v>
      </c>
      <c r="E2549" s="14" t="s">
        <v>67</v>
      </c>
      <c r="F2549" s="15" t="s">
        <v>51</v>
      </c>
      <c r="G2549" s="14" t="s">
        <v>68</v>
      </c>
      <c r="H2549" s="14" t="s">
        <v>66</v>
      </c>
      <c r="I2549" s="14" t="s">
        <v>59</v>
      </c>
      <c r="J2549" s="14" t="s">
        <v>200</v>
      </c>
      <c r="K2549" s="14" t="s">
        <v>231</v>
      </c>
      <c r="L2549" s="14" t="s">
        <v>512</v>
      </c>
      <c r="M2549" s="14" t="s">
        <v>1823</v>
      </c>
      <c r="N2549" s="14" t="s">
        <v>1824</v>
      </c>
      <c r="O2549" s="14">
        <v>0.0</v>
      </c>
      <c r="P2549" s="21">
        <v>0.0</v>
      </c>
      <c r="Q2549" s="22" t="str">
        <f t="shared" ref="Q2549:R2549" si="1500">"+0"</f>
        <v>+0</v>
      </c>
      <c r="R2549" s="18" t="str">
        <f t="shared" si="1500"/>
        <v>+0</v>
      </c>
      <c r="S2549" s="14" t="s">
        <v>260</v>
      </c>
    </row>
    <row r="2550">
      <c r="A2550" s="13">
        <v>45901.0</v>
      </c>
      <c r="B2550" s="14" t="s">
        <v>47</v>
      </c>
      <c r="C2550" s="14" t="s">
        <v>48</v>
      </c>
      <c r="D2550" s="14" t="s">
        <v>73</v>
      </c>
      <c r="E2550" s="14" t="s">
        <v>74</v>
      </c>
      <c r="F2550" s="15" t="s">
        <v>51</v>
      </c>
      <c r="G2550" s="14" t="s">
        <v>75</v>
      </c>
      <c r="H2550" s="14" t="s">
        <v>76</v>
      </c>
      <c r="I2550" s="14" t="s">
        <v>59</v>
      </c>
      <c r="J2550" s="14" t="s">
        <v>199</v>
      </c>
      <c r="K2550" s="14" t="s">
        <v>208</v>
      </c>
      <c r="L2550" s="14" t="s">
        <v>412</v>
      </c>
      <c r="M2550" s="14" t="s">
        <v>412</v>
      </c>
      <c r="N2550" s="14" t="s">
        <v>413</v>
      </c>
      <c r="O2550" s="14">
        <v>0.0</v>
      </c>
      <c r="P2550" s="21">
        <v>0.0</v>
      </c>
      <c r="Q2550" s="22" t="str">
        <f t="shared" ref="Q2550:R2550" si="1501">"+0"</f>
        <v>+0</v>
      </c>
      <c r="R2550" s="18" t="str">
        <f t="shared" si="1501"/>
        <v>+0</v>
      </c>
      <c r="S2550" s="14" t="s">
        <v>260</v>
      </c>
    </row>
    <row r="2551">
      <c r="A2551" s="13">
        <v>45901.0</v>
      </c>
      <c r="B2551" s="14" t="s">
        <v>47</v>
      </c>
      <c r="C2551" s="14" t="s">
        <v>48</v>
      </c>
      <c r="D2551" s="14" t="s">
        <v>143</v>
      </c>
      <c r="E2551" s="14" t="s">
        <v>144</v>
      </c>
      <c r="F2551" s="15" t="s">
        <v>51</v>
      </c>
      <c r="G2551" s="14" t="s">
        <v>145</v>
      </c>
      <c r="H2551" s="14" t="s">
        <v>143</v>
      </c>
      <c r="I2551" s="14" t="s">
        <v>59</v>
      </c>
      <c r="J2551" s="14" t="s">
        <v>200</v>
      </c>
      <c r="K2551" s="14" t="s">
        <v>204</v>
      </c>
      <c r="L2551" s="14" t="s">
        <v>253</v>
      </c>
      <c r="M2551" s="14" t="s">
        <v>844</v>
      </c>
      <c r="N2551" s="14" t="s">
        <v>845</v>
      </c>
      <c r="O2551" s="14">
        <v>0.0</v>
      </c>
      <c r="P2551" s="17"/>
      <c r="Q2551" s="22"/>
      <c r="S2551" s="14" t="s">
        <v>846</v>
      </c>
    </row>
    <row r="2552">
      <c r="A2552" s="13">
        <v>45901.0</v>
      </c>
      <c r="B2552" s="14" t="s">
        <v>47</v>
      </c>
      <c r="C2552" s="14" t="s">
        <v>48</v>
      </c>
      <c r="D2552" s="14" t="s">
        <v>87</v>
      </c>
      <c r="E2552" s="14" t="s">
        <v>88</v>
      </c>
      <c r="F2552" s="15" t="s">
        <v>51</v>
      </c>
      <c r="G2552" s="14" t="s">
        <v>89</v>
      </c>
      <c r="H2552" s="14" t="s">
        <v>90</v>
      </c>
      <c r="I2552" s="14" t="s">
        <v>59</v>
      </c>
      <c r="J2552" s="14" t="s">
        <v>200</v>
      </c>
      <c r="K2552" s="14" t="s">
        <v>223</v>
      </c>
      <c r="L2552" s="14" t="s">
        <v>440</v>
      </c>
      <c r="M2552" s="14" t="s">
        <v>441</v>
      </c>
      <c r="N2552" s="14" t="s">
        <v>442</v>
      </c>
      <c r="O2552" s="14">
        <v>0.0</v>
      </c>
      <c r="P2552" s="23">
        <v>0.0</v>
      </c>
      <c r="Q2552" s="22" t="str">
        <f t="shared" ref="Q2552:R2552" si="1502">"+0.00%"</f>
        <v>+0.00%</v>
      </c>
      <c r="R2552" s="18" t="str">
        <f t="shared" si="1502"/>
        <v>+0.00%</v>
      </c>
      <c r="S2552" s="14" t="s">
        <v>285</v>
      </c>
    </row>
    <row r="2553">
      <c r="A2553" s="13">
        <v>45901.0</v>
      </c>
      <c r="B2553" s="14" t="s">
        <v>47</v>
      </c>
      <c r="C2553" s="14" t="s">
        <v>48</v>
      </c>
      <c r="D2553" s="14" t="s">
        <v>125</v>
      </c>
      <c r="E2553" s="14" t="s">
        <v>126</v>
      </c>
      <c r="F2553" s="15" t="s">
        <v>51</v>
      </c>
      <c r="G2553" s="14" t="s">
        <v>127</v>
      </c>
      <c r="H2553" s="14" t="s">
        <v>125</v>
      </c>
      <c r="I2553" s="14" t="s">
        <v>59</v>
      </c>
      <c r="J2553" s="14" t="s">
        <v>198</v>
      </c>
      <c r="K2553" s="14" t="s">
        <v>205</v>
      </c>
      <c r="L2553" s="14" t="s">
        <v>274</v>
      </c>
      <c r="M2553" s="14" t="s">
        <v>636</v>
      </c>
      <c r="N2553" s="14" t="s">
        <v>637</v>
      </c>
      <c r="O2553" s="14">
        <v>0.0</v>
      </c>
      <c r="P2553" s="21">
        <v>0.0</v>
      </c>
      <c r="Q2553" s="22" t="str">
        <f>"+0"</f>
        <v>+0</v>
      </c>
      <c r="S2553" s="14" t="s">
        <v>281</v>
      </c>
    </row>
    <row r="2554">
      <c r="A2554" s="13">
        <v>45901.0</v>
      </c>
      <c r="B2554" s="14" t="s">
        <v>47</v>
      </c>
      <c r="C2554" s="14" t="s">
        <v>48</v>
      </c>
      <c r="D2554" s="14" t="s">
        <v>125</v>
      </c>
      <c r="E2554" s="14" t="s">
        <v>126</v>
      </c>
      <c r="F2554" s="15" t="s">
        <v>51</v>
      </c>
      <c r="G2554" s="14" t="s">
        <v>127</v>
      </c>
      <c r="H2554" s="14" t="s">
        <v>125</v>
      </c>
      <c r="I2554" s="14" t="s">
        <v>59</v>
      </c>
      <c r="J2554" s="14" t="s">
        <v>200</v>
      </c>
      <c r="K2554" s="14" t="s">
        <v>232</v>
      </c>
      <c r="L2554" s="14" t="s">
        <v>261</v>
      </c>
      <c r="M2554" s="14" t="s">
        <v>1338</v>
      </c>
      <c r="N2554" s="14" t="s">
        <v>1339</v>
      </c>
      <c r="O2554" s="14">
        <v>0.0</v>
      </c>
      <c r="P2554" s="23">
        <v>0.0</v>
      </c>
      <c r="Q2554" s="22" t="str">
        <f t="shared" ref="Q2554:R2554" si="1503">"+0.00%"</f>
        <v>+0.00%</v>
      </c>
      <c r="R2554" s="18" t="str">
        <f t="shared" si="1503"/>
        <v>+0.00%</v>
      </c>
      <c r="S2554" s="14" t="s">
        <v>285</v>
      </c>
    </row>
    <row r="2555">
      <c r="A2555" s="13">
        <v>45901.0</v>
      </c>
      <c r="B2555" s="14" t="s">
        <v>47</v>
      </c>
      <c r="C2555" s="14" t="s">
        <v>48</v>
      </c>
      <c r="D2555" s="14" t="s">
        <v>69</v>
      </c>
      <c r="E2555" s="14" t="s">
        <v>70</v>
      </c>
      <c r="F2555" s="15" t="s">
        <v>51</v>
      </c>
      <c r="G2555" s="14" t="s">
        <v>115</v>
      </c>
      <c r="H2555" s="14" t="s">
        <v>72</v>
      </c>
      <c r="I2555" s="14" t="s">
        <v>54</v>
      </c>
      <c r="J2555" s="14" t="s">
        <v>198</v>
      </c>
      <c r="K2555" s="14" t="s">
        <v>210</v>
      </c>
      <c r="L2555" s="14" t="s">
        <v>278</v>
      </c>
      <c r="M2555" s="14" t="s">
        <v>468</v>
      </c>
      <c r="N2555" s="14" t="s">
        <v>469</v>
      </c>
      <c r="O2555" s="14">
        <v>0.0</v>
      </c>
      <c r="P2555" s="21">
        <v>0.0</v>
      </c>
      <c r="Q2555" s="22" t="str">
        <f t="shared" ref="Q2555:R2555" si="1504">"+0"</f>
        <v>+0</v>
      </c>
      <c r="R2555" s="18" t="str">
        <f t="shared" si="1504"/>
        <v>+0</v>
      </c>
      <c r="S2555" s="14" t="s">
        <v>277</v>
      </c>
    </row>
    <row r="2556">
      <c r="A2556" s="13">
        <v>45901.0</v>
      </c>
      <c r="B2556" s="14" t="s">
        <v>47</v>
      </c>
      <c r="C2556" s="14" t="s">
        <v>48</v>
      </c>
      <c r="D2556" s="14" t="s">
        <v>174</v>
      </c>
      <c r="E2556" s="14" t="s">
        <v>175</v>
      </c>
      <c r="F2556" s="15" t="s">
        <v>51</v>
      </c>
      <c r="G2556" s="14" t="s">
        <v>176</v>
      </c>
      <c r="H2556" s="14" t="s">
        <v>174</v>
      </c>
      <c r="I2556" s="14" t="s">
        <v>59</v>
      </c>
      <c r="J2556" s="14" t="s">
        <v>199</v>
      </c>
      <c r="K2556" s="14" t="s">
        <v>206</v>
      </c>
      <c r="L2556" s="14" t="s">
        <v>531</v>
      </c>
      <c r="M2556" s="14" t="s">
        <v>531</v>
      </c>
      <c r="N2556" s="14" t="s">
        <v>532</v>
      </c>
      <c r="O2556" s="14">
        <v>90.0</v>
      </c>
      <c r="P2556" s="21">
        <v>4.0</v>
      </c>
      <c r="Q2556" s="22" t="str">
        <f t="shared" ref="Q2556:R2556" si="1505">"+0"</f>
        <v>+0</v>
      </c>
      <c r="R2556" s="18" t="str">
        <f t="shared" si="1505"/>
        <v>+0</v>
      </c>
      <c r="S2556" s="14" t="s">
        <v>260</v>
      </c>
    </row>
    <row r="2557">
      <c r="A2557" s="13">
        <v>45901.0</v>
      </c>
      <c r="B2557" s="14" t="s">
        <v>47</v>
      </c>
      <c r="C2557" s="14" t="s">
        <v>48</v>
      </c>
      <c r="D2557" s="14" t="s">
        <v>77</v>
      </c>
      <c r="E2557" s="14" t="s">
        <v>78</v>
      </c>
      <c r="F2557" s="15" t="s">
        <v>51</v>
      </c>
      <c r="G2557" s="14" t="s">
        <v>128</v>
      </c>
      <c r="H2557" s="14" t="s">
        <v>81</v>
      </c>
      <c r="I2557" s="14" t="s">
        <v>59</v>
      </c>
      <c r="J2557" s="14" t="s">
        <v>200</v>
      </c>
      <c r="K2557" s="14" t="s">
        <v>211</v>
      </c>
      <c r="L2557" s="14" t="s">
        <v>889</v>
      </c>
      <c r="M2557" s="14" t="s">
        <v>890</v>
      </c>
      <c r="N2557" s="14" t="s">
        <v>891</v>
      </c>
      <c r="O2557" s="14">
        <v>0.0</v>
      </c>
      <c r="P2557" s="23">
        <v>-1.0</v>
      </c>
      <c r="Q2557" s="22" t="str">
        <f t="shared" ref="Q2557:R2557" si="1506">"+0.00%"</f>
        <v>+0.00%</v>
      </c>
      <c r="R2557" s="18" t="str">
        <f t="shared" si="1506"/>
        <v>+0.00%</v>
      </c>
      <c r="S2557" s="14" t="s">
        <v>1825</v>
      </c>
    </row>
    <row r="2558">
      <c r="A2558" s="13">
        <v>45901.0</v>
      </c>
      <c r="B2558" s="14" t="s">
        <v>47</v>
      </c>
      <c r="C2558" s="14" t="s">
        <v>48</v>
      </c>
      <c r="D2558" s="14" t="s">
        <v>155</v>
      </c>
      <c r="E2558" s="14" t="s">
        <v>156</v>
      </c>
      <c r="F2558" s="15" t="s">
        <v>51</v>
      </c>
      <c r="G2558" s="14" t="s">
        <v>157</v>
      </c>
      <c r="H2558" s="14" t="s">
        <v>155</v>
      </c>
      <c r="I2558" s="14" t="s">
        <v>59</v>
      </c>
      <c r="J2558" s="14" t="s">
        <v>198</v>
      </c>
      <c r="K2558" s="14" t="s">
        <v>205</v>
      </c>
      <c r="L2558" s="14" t="s">
        <v>274</v>
      </c>
      <c r="M2558" s="14" t="s">
        <v>738</v>
      </c>
      <c r="N2558" s="14" t="s">
        <v>739</v>
      </c>
      <c r="O2558" s="14">
        <v>0.0</v>
      </c>
      <c r="P2558" s="21">
        <v>0.0</v>
      </c>
      <c r="Q2558" s="22" t="str">
        <f>"+0"</f>
        <v>+0</v>
      </c>
      <c r="S2558" s="14" t="s">
        <v>281</v>
      </c>
    </row>
    <row r="2559">
      <c r="A2559" s="13">
        <v>45901.0</v>
      </c>
      <c r="B2559" s="14" t="s">
        <v>47</v>
      </c>
      <c r="C2559" s="14" t="s">
        <v>48</v>
      </c>
      <c r="D2559" s="14" t="s">
        <v>140</v>
      </c>
      <c r="E2559" s="14" t="s">
        <v>141</v>
      </c>
      <c r="F2559" s="15" t="s">
        <v>51</v>
      </c>
      <c r="G2559" s="14" t="s">
        <v>142</v>
      </c>
      <c r="H2559" s="14" t="s">
        <v>140</v>
      </c>
      <c r="I2559" s="14" t="s">
        <v>59</v>
      </c>
      <c r="J2559" s="14" t="s">
        <v>200</v>
      </c>
      <c r="K2559" s="14" t="s">
        <v>227</v>
      </c>
      <c r="L2559" s="14" t="s">
        <v>253</v>
      </c>
      <c r="M2559" s="14" t="s">
        <v>849</v>
      </c>
      <c r="N2559" s="14" t="s">
        <v>850</v>
      </c>
      <c r="O2559" s="14">
        <v>0.0</v>
      </c>
      <c r="P2559" s="23">
        <v>0.0</v>
      </c>
      <c r="Q2559" s="22" t="str">
        <f t="shared" ref="Q2559:R2559" si="1507">"+0.00%"</f>
        <v>+0.00%</v>
      </c>
      <c r="R2559" s="18" t="str">
        <f t="shared" si="1507"/>
        <v>+0.00%</v>
      </c>
      <c r="S2559" s="14" t="s">
        <v>851</v>
      </c>
    </row>
    <row r="2560">
      <c r="A2560" s="13">
        <v>45901.0</v>
      </c>
      <c r="B2560" s="14" t="s">
        <v>47</v>
      </c>
      <c r="C2560" s="14" t="s">
        <v>48</v>
      </c>
      <c r="D2560" s="14" t="s">
        <v>60</v>
      </c>
      <c r="E2560" s="14" t="s">
        <v>61</v>
      </c>
      <c r="F2560" s="15" t="s">
        <v>51</v>
      </c>
      <c r="G2560" s="14" t="s">
        <v>62</v>
      </c>
      <c r="H2560" s="14" t="s">
        <v>60</v>
      </c>
      <c r="I2560" s="14" t="s">
        <v>59</v>
      </c>
      <c r="J2560" s="14" t="s">
        <v>200</v>
      </c>
      <c r="K2560" s="14" t="s">
        <v>216</v>
      </c>
      <c r="L2560" s="14" t="s">
        <v>1826</v>
      </c>
      <c r="M2560" s="14" t="s">
        <v>1827</v>
      </c>
      <c r="N2560" s="14" t="s">
        <v>1828</v>
      </c>
      <c r="O2560" s="14">
        <v>0.0</v>
      </c>
      <c r="P2560" s="21">
        <v>0.0</v>
      </c>
      <c r="Q2560" s="22" t="str">
        <f t="shared" ref="Q2560:R2560" si="1508">"+0"</f>
        <v>+0</v>
      </c>
      <c r="R2560" s="18" t="str">
        <f t="shared" si="1508"/>
        <v>+0</v>
      </c>
      <c r="S2560" s="14" t="s">
        <v>260</v>
      </c>
    </row>
    <row r="2561">
      <c r="A2561" s="13">
        <v>45901.0</v>
      </c>
      <c r="B2561" s="14" t="s">
        <v>47</v>
      </c>
      <c r="C2561" s="14" t="s">
        <v>48</v>
      </c>
      <c r="D2561" s="14" t="s">
        <v>49</v>
      </c>
      <c r="E2561" s="14" t="s">
        <v>50</v>
      </c>
      <c r="F2561" s="15" t="s">
        <v>51</v>
      </c>
      <c r="G2561" s="14" t="s">
        <v>52</v>
      </c>
      <c r="H2561" s="14" t="s">
        <v>53</v>
      </c>
      <c r="I2561" s="14" t="s">
        <v>54</v>
      </c>
      <c r="J2561" s="14" t="s">
        <v>198</v>
      </c>
      <c r="K2561" s="14" t="s">
        <v>210</v>
      </c>
      <c r="L2561" s="14" t="s">
        <v>458</v>
      </c>
      <c r="M2561" s="14" t="s">
        <v>744</v>
      </c>
      <c r="N2561" s="14" t="s">
        <v>745</v>
      </c>
      <c r="O2561" s="14">
        <v>0.0</v>
      </c>
      <c r="P2561" s="21">
        <v>0.0</v>
      </c>
      <c r="Q2561" s="22" t="str">
        <f t="shared" ref="Q2561:R2561" si="1509">"+0"</f>
        <v>+0</v>
      </c>
      <c r="R2561" s="18" t="str">
        <f t="shared" si="1509"/>
        <v>+0</v>
      </c>
      <c r="S2561" s="14" t="s">
        <v>277</v>
      </c>
    </row>
    <row r="2562">
      <c r="A2562" s="13">
        <v>45901.0</v>
      </c>
      <c r="B2562" s="14" t="s">
        <v>47</v>
      </c>
      <c r="C2562" s="14" t="s">
        <v>48</v>
      </c>
      <c r="D2562" s="14" t="s">
        <v>49</v>
      </c>
      <c r="E2562" s="14" t="s">
        <v>50</v>
      </c>
      <c r="F2562" s="15" t="s">
        <v>51</v>
      </c>
      <c r="G2562" s="14" t="s">
        <v>52</v>
      </c>
      <c r="H2562" s="14" t="s">
        <v>53</v>
      </c>
      <c r="I2562" s="14" t="s">
        <v>54</v>
      </c>
      <c r="J2562" s="14" t="s">
        <v>199</v>
      </c>
      <c r="K2562" s="14" t="s">
        <v>203</v>
      </c>
      <c r="L2562" s="14" t="s">
        <v>679</v>
      </c>
      <c r="M2562" s="14" t="s">
        <v>679</v>
      </c>
      <c r="N2562" s="14" t="s">
        <v>680</v>
      </c>
      <c r="O2562" s="14">
        <v>0.0</v>
      </c>
      <c r="P2562" s="21">
        <v>0.0</v>
      </c>
      <c r="Q2562" s="22" t="str">
        <f t="shared" ref="Q2562:R2562" si="1510">"+0"</f>
        <v>+0</v>
      </c>
      <c r="R2562" s="18" t="str">
        <f t="shared" si="1510"/>
        <v>+0</v>
      </c>
      <c r="S2562" s="14" t="s">
        <v>260</v>
      </c>
    </row>
    <row r="2563">
      <c r="A2563" s="13">
        <v>45901.0</v>
      </c>
      <c r="B2563" s="14" t="s">
        <v>47</v>
      </c>
      <c r="C2563" s="14" t="s">
        <v>48</v>
      </c>
      <c r="D2563" s="14" t="s">
        <v>49</v>
      </c>
      <c r="E2563" s="14" t="s">
        <v>50</v>
      </c>
      <c r="F2563" s="15" t="s">
        <v>51</v>
      </c>
      <c r="G2563" s="14" t="s">
        <v>52</v>
      </c>
      <c r="H2563" s="14" t="s">
        <v>53</v>
      </c>
      <c r="I2563" s="14" t="s">
        <v>54</v>
      </c>
      <c r="J2563" s="14" t="s">
        <v>200</v>
      </c>
      <c r="K2563" s="14" t="s">
        <v>224</v>
      </c>
      <c r="L2563" s="14" t="s">
        <v>392</v>
      </c>
      <c r="M2563" s="14" t="s">
        <v>826</v>
      </c>
      <c r="N2563" s="14" t="s">
        <v>827</v>
      </c>
      <c r="O2563" s="14">
        <v>0.0</v>
      </c>
      <c r="P2563" s="23">
        <v>0.0</v>
      </c>
      <c r="Q2563" s="22" t="str">
        <f t="shared" ref="Q2563:R2563" si="1511">"+0.00%"</f>
        <v>+0.00%</v>
      </c>
      <c r="R2563" s="18" t="str">
        <f t="shared" si="1511"/>
        <v>+0.00%</v>
      </c>
      <c r="S2563" s="14" t="s">
        <v>1612</v>
      </c>
    </row>
    <row r="2564">
      <c r="A2564" s="13">
        <v>45901.0</v>
      </c>
      <c r="B2564" s="14" t="s">
        <v>47</v>
      </c>
      <c r="C2564" s="14" t="s">
        <v>48</v>
      </c>
      <c r="D2564" s="14" t="s">
        <v>165</v>
      </c>
      <c r="E2564" s="14" t="s">
        <v>166</v>
      </c>
      <c r="F2564" s="15" t="s">
        <v>51</v>
      </c>
      <c r="G2564" s="14" t="s">
        <v>167</v>
      </c>
      <c r="H2564" s="14" t="s">
        <v>165</v>
      </c>
      <c r="I2564" s="14" t="s">
        <v>54</v>
      </c>
      <c r="J2564" s="14" t="s">
        <v>199</v>
      </c>
      <c r="K2564" s="14" t="s">
        <v>206</v>
      </c>
      <c r="L2564" s="14" t="s">
        <v>433</v>
      </c>
      <c r="M2564" s="14" t="s">
        <v>433</v>
      </c>
      <c r="N2564" s="14" t="s">
        <v>434</v>
      </c>
      <c r="O2564" s="14">
        <v>100.0</v>
      </c>
      <c r="P2564" s="21">
        <v>85.0</v>
      </c>
      <c r="Q2564" s="22" t="str">
        <f>"-43"</f>
        <v>-43</v>
      </c>
      <c r="R2564" s="18" t="str">
        <f>"-97"</f>
        <v>-97</v>
      </c>
      <c r="S2564" s="14" t="s">
        <v>383</v>
      </c>
    </row>
    <row r="2565">
      <c r="A2565" s="13">
        <v>45901.0</v>
      </c>
      <c r="B2565" s="14" t="s">
        <v>47</v>
      </c>
      <c r="C2565" s="14" t="s">
        <v>48</v>
      </c>
      <c r="D2565" s="14" t="s">
        <v>91</v>
      </c>
      <c r="E2565" s="14" t="s">
        <v>92</v>
      </c>
      <c r="F2565" s="14" t="s">
        <v>146</v>
      </c>
      <c r="G2565" s="14" t="s">
        <v>147</v>
      </c>
      <c r="H2565" s="14" t="s">
        <v>91</v>
      </c>
      <c r="I2565" s="14" t="s">
        <v>107</v>
      </c>
      <c r="J2565" s="14" t="s">
        <v>199</v>
      </c>
      <c r="K2565" s="14" t="s">
        <v>206</v>
      </c>
      <c r="L2565" s="14" t="s">
        <v>515</v>
      </c>
      <c r="M2565" s="14" t="s">
        <v>515</v>
      </c>
      <c r="N2565" s="14" t="s">
        <v>516</v>
      </c>
      <c r="O2565" s="14">
        <v>25.0</v>
      </c>
      <c r="P2565" s="21">
        <v>1.0</v>
      </c>
      <c r="Q2565" s="22" t="str">
        <f t="shared" ref="Q2565:R2565" si="1512">"+0"</f>
        <v>+0</v>
      </c>
      <c r="R2565" s="18" t="str">
        <f t="shared" si="1512"/>
        <v>+0</v>
      </c>
      <c r="S2565" s="14" t="s">
        <v>383</v>
      </c>
    </row>
    <row r="2566">
      <c r="A2566" s="13">
        <v>45901.0</v>
      </c>
      <c r="B2566" s="14" t="s">
        <v>47</v>
      </c>
      <c r="C2566" s="14" t="s">
        <v>48</v>
      </c>
      <c r="D2566" s="14" t="s">
        <v>63</v>
      </c>
      <c r="E2566" s="14" t="s">
        <v>64</v>
      </c>
      <c r="F2566" s="14" t="s">
        <v>111</v>
      </c>
      <c r="G2566" s="14">
        <v>4916210.0</v>
      </c>
      <c r="H2566" s="14" t="s">
        <v>63</v>
      </c>
      <c r="I2566" s="14" t="s">
        <v>59</v>
      </c>
      <c r="J2566" s="14" t="s">
        <v>199</v>
      </c>
      <c r="K2566" s="14" t="s">
        <v>206</v>
      </c>
      <c r="L2566" s="14" t="s">
        <v>433</v>
      </c>
      <c r="M2566" s="14" t="s">
        <v>433</v>
      </c>
      <c r="N2566" s="14" t="s">
        <v>434</v>
      </c>
      <c r="O2566" s="14">
        <v>100.0</v>
      </c>
      <c r="P2566" s="21">
        <v>47.0</v>
      </c>
      <c r="Q2566" s="22" t="str">
        <f>"+12"</f>
        <v>+12</v>
      </c>
      <c r="R2566" s="18" t="str">
        <f>"-12"</f>
        <v>-12</v>
      </c>
      <c r="S2566" s="14" t="s">
        <v>383</v>
      </c>
    </row>
    <row r="2567">
      <c r="A2567" s="13">
        <v>45901.0</v>
      </c>
      <c r="B2567" s="14" t="s">
        <v>47</v>
      </c>
      <c r="C2567" s="14" t="s">
        <v>48</v>
      </c>
      <c r="D2567" s="14" t="s">
        <v>63</v>
      </c>
      <c r="E2567" s="14" t="s">
        <v>64</v>
      </c>
      <c r="F2567" s="15" t="s">
        <v>51</v>
      </c>
      <c r="G2567" s="14" t="s">
        <v>65</v>
      </c>
      <c r="H2567" s="14" t="s">
        <v>63</v>
      </c>
      <c r="I2567" s="14" t="s">
        <v>54</v>
      </c>
      <c r="J2567" s="14" t="s">
        <v>200</v>
      </c>
      <c r="K2567" s="14" t="s">
        <v>209</v>
      </c>
      <c r="L2567" s="14" t="s">
        <v>253</v>
      </c>
      <c r="M2567" s="14" t="s">
        <v>817</v>
      </c>
      <c r="N2567" s="14" t="s">
        <v>818</v>
      </c>
      <c r="O2567" s="14">
        <v>97.0</v>
      </c>
      <c r="P2567" s="23">
        <v>0.9717</v>
      </c>
      <c r="Q2567" s="22" t="str">
        <f>"+0.73%"</f>
        <v>+0.73%</v>
      </c>
      <c r="R2567" s="18" t="str">
        <f>"-0.28%"</f>
        <v>-0.28%</v>
      </c>
      <c r="S2567" s="14" t="s">
        <v>1125</v>
      </c>
    </row>
    <row r="2568">
      <c r="A2568" s="13">
        <v>45901.0</v>
      </c>
      <c r="B2568" s="14" t="s">
        <v>47</v>
      </c>
      <c r="C2568" s="14" t="s">
        <v>48</v>
      </c>
      <c r="D2568" s="14" t="s">
        <v>99</v>
      </c>
      <c r="E2568" s="14" t="s">
        <v>100</v>
      </c>
      <c r="F2568" s="15" t="s">
        <v>51</v>
      </c>
      <c r="G2568" s="14" t="s">
        <v>101</v>
      </c>
      <c r="H2568" s="14" t="s">
        <v>102</v>
      </c>
      <c r="I2568" s="14" t="s">
        <v>54</v>
      </c>
      <c r="J2568" s="14" t="s">
        <v>198</v>
      </c>
      <c r="K2568" s="14" t="s">
        <v>212</v>
      </c>
      <c r="L2568" s="14" t="s">
        <v>249</v>
      </c>
      <c r="M2568" s="14" t="s">
        <v>686</v>
      </c>
      <c r="N2568" s="14" t="s">
        <v>687</v>
      </c>
      <c r="O2568" s="14">
        <v>0.0</v>
      </c>
      <c r="P2568" s="21">
        <v>0.0</v>
      </c>
      <c r="Q2568" s="22" t="str">
        <f t="shared" ref="Q2568:R2568" si="1513">"+0"</f>
        <v>+0</v>
      </c>
      <c r="R2568" s="18" t="str">
        <f t="shared" si="1513"/>
        <v>+0</v>
      </c>
      <c r="S2568" s="14" t="s">
        <v>277</v>
      </c>
    </row>
    <row r="2569">
      <c r="A2569" s="13">
        <v>45901.0</v>
      </c>
      <c r="B2569" s="14" t="s">
        <v>47</v>
      </c>
      <c r="C2569" s="14" t="s">
        <v>48</v>
      </c>
      <c r="D2569" s="14" t="s">
        <v>192</v>
      </c>
      <c r="E2569" s="14" t="s">
        <v>193</v>
      </c>
      <c r="F2569" s="15" t="s">
        <v>51</v>
      </c>
      <c r="G2569" s="14" t="s">
        <v>194</v>
      </c>
      <c r="H2569" s="14" t="s">
        <v>192</v>
      </c>
      <c r="I2569" s="14" t="s">
        <v>54</v>
      </c>
      <c r="J2569" s="14" t="s">
        <v>198</v>
      </c>
      <c r="K2569" s="14" t="s">
        <v>205</v>
      </c>
      <c r="L2569" s="14" t="s">
        <v>274</v>
      </c>
      <c r="M2569" s="14" t="s">
        <v>354</v>
      </c>
      <c r="N2569" s="14" t="s">
        <v>355</v>
      </c>
      <c r="O2569" s="14">
        <v>100.0</v>
      </c>
      <c r="P2569" s="21">
        <v>3.0</v>
      </c>
      <c r="Q2569" s="22" t="str">
        <f t="shared" ref="Q2569:Q2571" si="1514">"+0"</f>
        <v>+0</v>
      </c>
      <c r="S2569" s="14" t="s">
        <v>356</v>
      </c>
    </row>
    <row r="2570">
      <c r="A2570" s="13">
        <v>45901.0</v>
      </c>
      <c r="B2570" s="14" t="s">
        <v>47</v>
      </c>
      <c r="C2570" s="14" t="s">
        <v>48</v>
      </c>
      <c r="D2570" s="14" t="s">
        <v>66</v>
      </c>
      <c r="E2570" s="14" t="s">
        <v>67</v>
      </c>
      <c r="F2570" s="15" t="s">
        <v>51</v>
      </c>
      <c r="G2570" s="14" t="s">
        <v>68</v>
      </c>
      <c r="H2570" s="14" t="s">
        <v>66</v>
      </c>
      <c r="I2570" s="14" t="s">
        <v>59</v>
      </c>
      <c r="J2570" s="14" t="s">
        <v>199</v>
      </c>
      <c r="K2570" s="14" t="s">
        <v>206</v>
      </c>
      <c r="L2570" s="14" t="s">
        <v>295</v>
      </c>
      <c r="M2570" s="14" t="s">
        <v>529</v>
      </c>
      <c r="N2570" s="14" t="s">
        <v>530</v>
      </c>
      <c r="O2570" s="14">
        <v>0.0</v>
      </c>
      <c r="P2570" s="21">
        <v>0.0</v>
      </c>
      <c r="Q2570" s="22" t="str">
        <f t="shared" si="1514"/>
        <v>+0</v>
      </c>
      <c r="R2570" s="18" t="str">
        <f t="shared" ref="R2570:R2571" si="1515">"+0"</f>
        <v>+0</v>
      </c>
      <c r="S2570" s="14" t="s">
        <v>260</v>
      </c>
    </row>
    <row r="2571">
      <c r="A2571" s="13">
        <v>45901.0</v>
      </c>
      <c r="B2571" s="14" t="s">
        <v>47</v>
      </c>
      <c r="C2571" s="14" t="s">
        <v>48</v>
      </c>
      <c r="D2571" s="14" t="s">
        <v>192</v>
      </c>
      <c r="E2571" s="14" t="s">
        <v>193</v>
      </c>
      <c r="F2571" s="15" t="s">
        <v>51</v>
      </c>
      <c r="G2571" s="14" t="s">
        <v>194</v>
      </c>
      <c r="H2571" s="14" t="s">
        <v>192</v>
      </c>
      <c r="I2571" s="14" t="s">
        <v>54</v>
      </c>
      <c r="J2571" s="14" t="s">
        <v>198</v>
      </c>
      <c r="K2571" s="14" t="s">
        <v>210</v>
      </c>
      <c r="L2571" s="14" t="s">
        <v>264</v>
      </c>
      <c r="M2571" s="14" t="s">
        <v>959</v>
      </c>
      <c r="N2571" s="14" t="s">
        <v>960</v>
      </c>
      <c r="O2571" s="14">
        <v>0.0</v>
      </c>
      <c r="P2571" s="21">
        <v>0.0</v>
      </c>
      <c r="Q2571" s="22" t="str">
        <f t="shared" si="1514"/>
        <v>+0</v>
      </c>
      <c r="R2571" s="18" t="str">
        <f t="shared" si="1515"/>
        <v>+0</v>
      </c>
      <c r="S2571" s="14" t="s">
        <v>277</v>
      </c>
    </row>
    <row r="2572">
      <c r="A2572" s="13">
        <v>45901.0</v>
      </c>
      <c r="B2572" s="14" t="s">
        <v>47</v>
      </c>
      <c r="C2572" s="14" t="s">
        <v>48</v>
      </c>
      <c r="D2572" s="14" t="s">
        <v>66</v>
      </c>
      <c r="E2572" s="14" t="s">
        <v>67</v>
      </c>
      <c r="F2572" s="15" t="s">
        <v>51</v>
      </c>
      <c r="G2572" s="14" t="s">
        <v>68</v>
      </c>
      <c r="H2572" s="14" t="s">
        <v>66</v>
      </c>
      <c r="I2572" s="14" t="s">
        <v>59</v>
      </c>
      <c r="J2572" s="14" t="s">
        <v>200</v>
      </c>
      <c r="K2572" s="14" t="s">
        <v>223</v>
      </c>
      <c r="L2572" s="14" t="s">
        <v>286</v>
      </c>
      <c r="M2572" s="14" t="s">
        <v>1199</v>
      </c>
      <c r="N2572" s="14" t="s">
        <v>1200</v>
      </c>
      <c r="O2572" s="14">
        <v>0.0</v>
      </c>
      <c r="P2572" s="23">
        <v>0.0</v>
      </c>
      <c r="Q2572" s="22" t="str">
        <f t="shared" ref="Q2572:R2572" si="1516">"+0.00%"</f>
        <v>+0.00%</v>
      </c>
      <c r="R2572" s="18" t="str">
        <f t="shared" si="1516"/>
        <v>+0.00%</v>
      </c>
      <c r="S2572" s="14" t="s">
        <v>285</v>
      </c>
    </row>
    <row r="2573">
      <c r="A2573" s="13">
        <v>45901.0</v>
      </c>
      <c r="B2573" s="14" t="s">
        <v>47</v>
      </c>
      <c r="C2573" s="14" t="s">
        <v>48</v>
      </c>
      <c r="D2573" s="14" t="s">
        <v>192</v>
      </c>
      <c r="E2573" s="14" t="s">
        <v>193</v>
      </c>
      <c r="F2573" s="15" t="s">
        <v>51</v>
      </c>
      <c r="G2573" s="14" t="s">
        <v>194</v>
      </c>
      <c r="H2573" s="14" t="s">
        <v>192</v>
      </c>
      <c r="I2573" s="14" t="s">
        <v>54</v>
      </c>
      <c r="J2573" s="14" t="s">
        <v>200</v>
      </c>
      <c r="K2573" s="14" t="s">
        <v>222</v>
      </c>
      <c r="L2573" s="14" t="s">
        <v>337</v>
      </c>
      <c r="M2573" s="14" t="s">
        <v>1000</v>
      </c>
      <c r="N2573" s="14" t="s">
        <v>1001</v>
      </c>
      <c r="O2573" s="14">
        <v>0.0</v>
      </c>
      <c r="P2573" s="21">
        <v>0.0</v>
      </c>
      <c r="Q2573" s="22" t="str">
        <f t="shared" ref="Q2573:R2573" si="1517">"+0"</f>
        <v>+0</v>
      </c>
      <c r="R2573" s="18" t="str">
        <f t="shared" si="1517"/>
        <v>+0</v>
      </c>
      <c r="S2573" s="14" t="s">
        <v>260</v>
      </c>
    </row>
    <row r="2574">
      <c r="A2574" s="13">
        <v>45901.0</v>
      </c>
      <c r="B2574" s="14" t="s">
        <v>47</v>
      </c>
      <c r="C2574" s="14" t="s">
        <v>48</v>
      </c>
      <c r="D2574" s="14" t="s">
        <v>132</v>
      </c>
      <c r="E2574" s="14" t="s">
        <v>133</v>
      </c>
      <c r="F2574" s="15" t="s">
        <v>51</v>
      </c>
      <c r="G2574" s="14" t="s">
        <v>134</v>
      </c>
      <c r="H2574" s="14" t="s">
        <v>135</v>
      </c>
      <c r="I2574" s="14" t="s">
        <v>59</v>
      </c>
      <c r="J2574" s="14" t="s">
        <v>200</v>
      </c>
      <c r="K2574" s="14" t="s">
        <v>213</v>
      </c>
      <c r="L2574" s="14" t="s">
        <v>307</v>
      </c>
      <c r="M2574" s="14" t="s">
        <v>1176</v>
      </c>
      <c r="N2574" s="14" t="s">
        <v>1177</v>
      </c>
      <c r="O2574" s="14">
        <v>0.0</v>
      </c>
      <c r="P2574" s="23">
        <v>0.0</v>
      </c>
      <c r="Q2574" s="22" t="str">
        <f t="shared" ref="Q2574:R2574" si="1518">"+0.00%"</f>
        <v>+0.00%</v>
      </c>
      <c r="R2574" s="18" t="str">
        <f t="shared" si="1518"/>
        <v>+0.00%</v>
      </c>
      <c r="S2574" s="14" t="s">
        <v>285</v>
      </c>
    </row>
    <row r="2575">
      <c r="A2575" s="13">
        <v>45901.0</v>
      </c>
      <c r="B2575" s="14" t="s">
        <v>47</v>
      </c>
      <c r="C2575" s="14" t="s">
        <v>48</v>
      </c>
      <c r="D2575" s="14" t="s">
        <v>149</v>
      </c>
      <c r="E2575" s="14" t="s">
        <v>150</v>
      </c>
      <c r="F2575" s="15" t="s">
        <v>51</v>
      </c>
      <c r="G2575" s="14" t="s">
        <v>151</v>
      </c>
      <c r="H2575" s="14" t="s">
        <v>152</v>
      </c>
      <c r="I2575" s="14" t="s">
        <v>54</v>
      </c>
      <c r="J2575" s="14" t="s">
        <v>200</v>
      </c>
      <c r="K2575" s="14" t="s">
        <v>223</v>
      </c>
      <c r="L2575" s="14" t="s">
        <v>286</v>
      </c>
      <c r="M2575" s="14" t="s">
        <v>730</v>
      </c>
      <c r="N2575" s="14" t="s">
        <v>731</v>
      </c>
      <c r="O2575" s="14">
        <v>0.0</v>
      </c>
      <c r="P2575" s="23">
        <v>0.0</v>
      </c>
      <c r="Q2575" s="22" t="str">
        <f t="shared" ref="Q2575:R2575" si="1519">"+0.00%"</f>
        <v>+0.00%</v>
      </c>
      <c r="R2575" s="18" t="str">
        <f t="shared" si="1519"/>
        <v>+0.00%</v>
      </c>
      <c r="S2575" s="14" t="s">
        <v>285</v>
      </c>
    </row>
    <row r="2576">
      <c r="A2576" s="13">
        <v>45901.0</v>
      </c>
      <c r="B2576" s="14" t="s">
        <v>47</v>
      </c>
      <c r="C2576" s="14" t="s">
        <v>48</v>
      </c>
      <c r="D2576" s="14" t="s">
        <v>136</v>
      </c>
      <c r="E2576" s="14" t="s">
        <v>137</v>
      </c>
      <c r="F2576" s="15" t="s">
        <v>51</v>
      </c>
      <c r="G2576" s="14" t="s">
        <v>138</v>
      </c>
      <c r="H2576" s="14" t="s">
        <v>139</v>
      </c>
      <c r="I2576" s="14" t="s">
        <v>59</v>
      </c>
      <c r="J2576" s="14" t="s">
        <v>200</v>
      </c>
      <c r="K2576" s="14" t="s">
        <v>224</v>
      </c>
      <c r="L2576" s="14" t="s">
        <v>427</v>
      </c>
      <c r="M2576" s="14" t="s">
        <v>769</v>
      </c>
      <c r="N2576" s="14" t="s">
        <v>770</v>
      </c>
      <c r="O2576" s="14">
        <v>0.0</v>
      </c>
      <c r="P2576" s="23">
        <v>0.0</v>
      </c>
      <c r="Q2576" s="22" t="str">
        <f t="shared" ref="Q2576:Q2577" si="1520">"+0.00%"</f>
        <v>+0.00%</v>
      </c>
      <c r="S2576" s="14" t="s">
        <v>771</v>
      </c>
    </row>
    <row r="2577">
      <c r="A2577" s="13">
        <v>45901.0</v>
      </c>
      <c r="B2577" s="14" t="s">
        <v>47</v>
      </c>
      <c r="C2577" s="14" t="s">
        <v>48</v>
      </c>
      <c r="D2577" s="14" t="s">
        <v>96</v>
      </c>
      <c r="E2577" s="14" t="s">
        <v>97</v>
      </c>
      <c r="F2577" s="15" t="s">
        <v>51</v>
      </c>
      <c r="G2577" s="14" t="s">
        <v>98</v>
      </c>
      <c r="H2577" s="14" t="s">
        <v>96</v>
      </c>
      <c r="I2577" s="14" t="s">
        <v>59</v>
      </c>
      <c r="J2577" s="14" t="s">
        <v>200</v>
      </c>
      <c r="K2577" s="14" t="s">
        <v>223</v>
      </c>
      <c r="L2577" s="14" t="s">
        <v>257</v>
      </c>
      <c r="M2577" s="14" t="s">
        <v>499</v>
      </c>
      <c r="N2577" s="14" t="s">
        <v>500</v>
      </c>
      <c r="O2577" s="14">
        <v>0.0</v>
      </c>
      <c r="P2577" s="23">
        <v>0.0</v>
      </c>
      <c r="Q2577" s="22" t="str">
        <f t="shared" si="1520"/>
        <v>+0.00%</v>
      </c>
      <c r="R2577" s="18" t="str">
        <f>"+0.00%"</f>
        <v>+0.00%</v>
      </c>
      <c r="S2577" s="14" t="s">
        <v>1829</v>
      </c>
    </row>
    <row r="2578">
      <c r="A2578" s="13">
        <v>45901.0</v>
      </c>
      <c r="B2578" s="14" t="s">
        <v>47</v>
      </c>
      <c r="C2578" s="14" t="s">
        <v>48</v>
      </c>
      <c r="D2578" s="14" t="s">
        <v>85</v>
      </c>
      <c r="E2578" s="14" t="s">
        <v>86</v>
      </c>
      <c r="F2578" s="15" t="s">
        <v>51</v>
      </c>
      <c r="G2578" s="14" t="s">
        <v>148</v>
      </c>
      <c r="H2578" s="14" t="s">
        <v>85</v>
      </c>
      <c r="I2578" s="14" t="s">
        <v>59</v>
      </c>
      <c r="J2578" s="14" t="s">
        <v>199</v>
      </c>
      <c r="K2578" s="14" t="s">
        <v>203</v>
      </c>
      <c r="L2578" s="14" t="s">
        <v>342</v>
      </c>
      <c r="M2578" s="14" t="s">
        <v>342</v>
      </c>
      <c r="N2578" s="14" t="s">
        <v>343</v>
      </c>
      <c r="O2578" s="14">
        <v>0.0</v>
      </c>
      <c r="P2578" s="21">
        <v>0.0</v>
      </c>
      <c r="Q2578" s="22" t="str">
        <f t="shared" ref="Q2578:R2578" si="1521">"+0"</f>
        <v>+0</v>
      </c>
      <c r="R2578" s="18" t="str">
        <f t="shared" si="1521"/>
        <v>+0</v>
      </c>
      <c r="S2578" s="14" t="s">
        <v>260</v>
      </c>
    </row>
    <row r="2579">
      <c r="A2579" s="13">
        <v>45901.0</v>
      </c>
      <c r="B2579" s="14" t="s">
        <v>47</v>
      </c>
      <c r="C2579" s="14" t="s">
        <v>48</v>
      </c>
      <c r="D2579" s="14" t="s">
        <v>69</v>
      </c>
      <c r="E2579" s="14" t="s">
        <v>70</v>
      </c>
      <c r="F2579" s="15" t="s">
        <v>51</v>
      </c>
      <c r="G2579" s="14" t="s">
        <v>115</v>
      </c>
      <c r="H2579" s="14" t="s">
        <v>72</v>
      </c>
      <c r="I2579" s="14" t="s">
        <v>54</v>
      </c>
      <c r="J2579" s="14" t="s">
        <v>200</v>
      </c>
      <c r="K2579" s="14" t="s">
        <v>215</v>
      </c>
      <c r="L2579" s="14" t="s">
        <v>1361</v>
      </c>
      <c r="M2579" s="14" t="s">
        <v>1830</v>
      </c>
      <c r="N2579" s="14" t="s">
        <v>1831</v>
      </c>
      <c r="O2579" s="14">
        <v>30.0</v>
      </c>
      <c r="P2579" s="23">
        <v>-0.3825</v>
      </c>
      <c r="Q2579" s="22" t="str">
        <f>"+39.63%"</f>
        <v>+39.63%</v>
      </c>
      <c r="R2579" s="18" t="str">
        <f>"-22.47%"</f>
        <v>-22.47%</v>
      </c>
      <c r="S2579" s="14" t="s">
        <v>1832</v>
      </c>
    </row>
    <row r="2580">
      <c r="A2580" s="13">
        <v>45901.0</v>
      </c>
      <c r="B2580" s="14" t="s">
        <v>47</v>
      </c>
      <c r="C2580" s="14" t="s">
        <v>48</v>
      </c>
      <c r="D2580" s="14" t="s">
        <v>96</v>
      </c>
      <c r="E2580" s="14" t="s">
        <v>97</v>
      </c>
      <c r="F2580" s="15" t="s">
        <v>51</v>
      </c>
      <c r="G2580" s="14" t="s">
        <v>98</v>
      </c>
      <c r="H2580" s="14" t="s">
        <v>96</v>
      </c>
      <c r="I2580" s="14" t="s">
        <v>59</v>
      </c>
      <c r="J2580" s="14" t="s">
        <v>198</v>
      </c>
      <c r="K2580" s="14" t="s">
        <v>205</v>
      </c>
      <c r="L2580" s="14" t="s">
        <v>274</v>
      </c>
      <c r="M2580" s="14" t="s">
        <v>767</v>
      </c>
      <c r="N2580" s="14" t="s">
        <v>768</v>
      </c>
      <c r="O2580" s="14">
        <v>100.0</v>
      </c>
      <c r="P2580" s="21">
        <v>1.0</v>
      </c>
      <c r="Q2580" s="22" t="str">
        <f t="shared" ref="Q2580:Q2581" si="1522">"+0"</f>
        <v>+0</v>
      </c>
      <c r="S2580" s="14" t="s">
        <v>281</v>
      </c>
    </row>
    <row r="2581">
      <c r="A2581" s="13">
        <v>45901.0</v>
      </c>
      <c r="B2581" s="14" t="s">
        <v>47</v>
      </c>
      <c r="C2581" s="14" t="s">
        <v>48</v>
      </c>
      <c r="D2581" s="14" t="s">
        <v>108</v>
      </c>
      <c r="E2581" s="14" t="s">
        <v>109</v>
      </c>
      <c r="F2581" s="14" t="s">
        <v>146</v>
      </c>
      <c r="G2581" s="14" t="s">
        <v>180</v>
      </c>
      <c r="H2581" s="14" t="s">
        <v>108</v>
      </c>
      <c r="I2581" s="14" t="s">
        <v>59</v>
      </c>
      <c r="J2581" s="14" t="s">
        <v>199</v>
      </c>
      <c r="K2581" s="14" t="s">
        <v>206</v>
      </c>
      <c r="L2581" s="14" t="s">
        <v>295</v>
      </c>
      <c r="M2581" s="14" t="s">
        <v>296</v>
      </c>
      <c r="N2581" s="14" t="s">
        <v>297</v>
      </c>
      <c r="O2581" s="14">
        <v>0.0</v>
      </c>
      <c r="P2581" s="21">
        <v>0.0</v>
      </c>
      <c r="Q2581" s="22" t="str">
        <f t="shared" si="1522"/>
        <v>+0</v>
      </c>
      <c r="S2581" s="14" t="s">
        <v>260</v>
      </c>
    </row>
    <row r="2582">
      <c r="A2582" s="13">
        <v>45901.0</v>
      </c>
      <c r="B2582" s="14" t="s">
        <v>47</v>
      </c>
      <c r="C2582" s="14" t="s">
        <v>48</v>
      </c>
      <c r="D2582" s="14" t="s">
        <v>158</v>
      </c>
      <c r="E2582" s="14" t="s">
        <v>159</v>
      </c>
      <c r="F2582" s="15" t="s">
        <v>51</v>
      </c>
      <c r="G2582" s="14" t="s">
        <v>160</v>
      </c>
      <c r="H2582" s="14" t="s">
        <v>158</v>
      </c>
      <c r="I2582" s="14" t="s">
        <v>54</v>
      </c>
      <c r="J2582" s="14" t="s">
        <v>200</v>
      </c>
      <c r="K2582" s="14" t="s">
        <v>224</v>
      </c>
      <c r="L2582" s="14" t="s">
        <v>392</v>
      </c>
      <c r="M2582" s="14" t="s">
        <v>1638</v>
      </c>
      <c r="N2582" s="14" t="s">
        <v>1639</v>
      </c>
      <c r="O2582" s="14">
        <v>0.0</v>
      </c>
      <c r="P2582" s="17"/>
      <c r="Q2582" s="22"/>
      <c r="S2582" s="14" t="s">
        <v>1833</v>
      </c>
    </row>
    <row r="2583">
      <c r="A2583" s="13">
        <v>45901.0</v>
      </c>
      <c r="B2583" s="14" t="s">
        <v>47</v>
      </c>
      <c r="C2583" s="14" t="s">
        <v>48</v>
      </c>
      <c r="D2583" s="14" t="s">
        <v>174</v>
      </c>
      <c r="E2583" s="14" t="s">
        <v>175</v>
      </c>
      <c r="F2583" s="15" t="s">
        <v>51</v>
      </c>
      <c r="G2583" s="14" t="s">
        <v>176</v>
      </c>
      <c r="H2583" s="14" t="s">
        <v>174</v>
      </c>
      <c r="I2583" s="14" t="s">
        <v>59</v>
      </c>
      <c r="J2583" s="14" t="s">
        <v>198</v>
      </c>
      <c r="K2583" s="14" t="s">
        <v>205</v>
      </c>
      <c r="L2583" s="14" t="s">
        <v>274</v>
      </c>
      <c r="M2583" s="14" t="s">
        <v>767</v>
      </c>
      <c r="N2583" s="14" t="s">
        <v>768</v>
      </c>
      <c r="O2583" s="14">
        <v>100.0</v>
      </c>
      <c r="P2583" s="21">
        <v>1.0</v>
      </c>
      <c r="Q2583" s="22" t="str">
        <f t="shared" ref="Q2583:Q2584" si="1523">"+0"</f>
        <v>+0</v>
      </c>
      <c r="S2583" s="14" t="s">
        <v>281</v>
      </c>
    </row>
    <row r="2584">
      <c r="A2584" s="13">
        <v>45901.0</v>
      </c>
      <c r="B2584" s="14" t="s">
        <v>47</v>
      </c>
      <c r="C2584" s="14" t="s">
        <v>48</v>
      </c>
      <c r="D2584" s="14" t="s">
        <v>77</v>
      </c>
      <c r="E2584" s="14" t="s">
        <v>78</v>
      </c>
      <c r="F2584" s="15" t="s">
        <v>51</v>
      </c>
      <c r="G2584" s="14" t="s">
        <v>128</v>
      </c>
      <c r="H2584" s="14" t="s">
        <v>81</v>
      </c>
      <c r="I2584" s="14" t="s">
        <v>59</v>
      </c>
      <c r="J2584" s="14" t="s">
        <v>200</v>
      </c>
      <c r="K2584" s="14" t="s">
        <v>223</v>
      </c>
      <c r="L2584" s="14" t="s">
        <v>487</v>
      </c>
      <c r="M2584" s="14" t="s">
        <v>904</v>
      </c>
      <c r="N2584" s="14" t="s">
        <v>905</v>
      </c>
      <c r="O2584" s="14">
        <v>0.0</v>
      </c>
      <c r="P2584" s="21">
        <v>0.0</v>
      </c>
      <c r="Q2584" s="22" t="str">
        <f t="shared" si="1523"/>
        <v>+0</v>
      </c>
      <c r="R2584" s="18" t="str">
        <f>"+0"</f>
        <v>+0</v>
      </c>
      <c r="S2584" s="14" t="s">
        <v>260</v>
      </c>
    </row>
    <row r="2585">
      <c r="A2585" s="13">
        <v>45901.0</v>
      </c>
      <c r="B2585" s="14" t="s">
        <v>47</v>
      </c>
      <c r="C2585" s="14" t="s">
        <v>48</v>
      </c>
      <c r="D2585" s="14" t="s">
        <v>168</v>
      </c>
      <c r="E2585" s="14" t="s">
        <v>169</v>
      </c>
      <c r="F2585" s="15" t="s">
        <v>51</v>
      </c>
      <c r="G2585" s="14" t="s">
        <v>170</v>
      </c>
      <c r="H2585" s="14" t="s">
        <v>168</v>
      </c>
      <c r="I2585" s="14" t="s">
        <v>59</v>
      </c>
      <c r="J2585" s="14" t="s">
        <v>200</v>
      </c>
      <c r="K2585" s="14" t="s">
        <v>213</v>
      </c>
      <c r="L2585" s="14" t="s">
        <v>359</v>
      </c>
      <c r="M2585" s="14" t="s">
        <v>360</v>
      </c>
      <c r="N2585" s="14" t="s">
        <v>361</v>
      </c>
      <c r="O2585" s="14">
        <v>0.0</v>
      </c>
      <c r="P2585" s="23">
        <v>0.0</v>
      </c>
      <c r="Q2585" s="22" t="str">
        <f t="shared" ref="Q2585:R2585" si="1524">"+0.00%"</f>
        <v>+0.00%</v>
      </c>
      <c r="R2585" s="18" t="str">
        <f t="shared" si="1524"/>
        <v>+0.00%</v>
      </c>
      <c r="S2585" s="14" t="s">
        <v>1834</v>
      </c>
    </row>
    <row r="2586">
      <c r="A2586" s="13">
        <v>45901.0</v>
      </c>
      <c r="B2586" s="14" t="s">
        <v>47</v>
      </c>
      <c r="C2586" s="14" t="s">
        <v>48</v>
      </c>
      <c r="D2586" s="14" t="s">
        <v>155</v>
      </c>
      <c r="E2586" s="14" t="s">
        <v>156</v>
      </c>
      <c r="F2586" s="15" t="s">
        <v>51</v>
      </c>
      <c r="G2586" s="14" t="s">
        <v>157</v>
      </c>
      <c r="H2586" s="14" t="s">
        <v>155</v>
      </c>
      <c r="I2586" s="14" t="s">
        <v>59</v>
      </c>
      <c r="J2586" s="14" t="s">
        <v>200</v>
      </c>
      <c r="K2586" s="14" t="s">
        <v>223</v>
      </c>
      <c r="L2586" s="14" t="s">
        <v>359</v>
      </c>
      <c r="M2586" s="14" t="s">
        <v>519</v>
      </c>
      <c r="N2586" s="14" t="s">
        <v>520</v>
      </c>
      <c r="O2586" s="14">
        <v>0.0</v>
      </c>
      <c r="P2586" s="21">
        <v>0.0</v>
      </c>
      <c r="Q2586" s="22" t="str">
        <f t="shared" ref="Q2586:R2586" si="1525">"+0"</f>
        <v>+0</v>
      </c>
      <c r="R2586" s="18" t="str">
        <f t="shared" si="1525"/>
        <v>+0</v>
      </c>
      <c r="S2586" s="14" t="s">
        <v>260</v>
      </c>
    </row>
    <row r="2587">
      <c r="A2587" s="13">
        <v>45901.0</v>
      </c>
      <c r="B2587" s="14" t="s">
        <v>47</v>
      </c>
      <c r="C2587" s="14" t="s">
        <v>48</v>
      </c>
      <c r="D2587" s="14" t="s">
        <v>168</v>
      </c>
      <c r="E2587" s="14" t="s">
        <v>169</v>
      </c>
      <c r="F2587" s="15" t="s">
        <v>51</v>
      </c>
      <c r="G2587" s="14" t="s">
        <v>170</v>
      </c>
      <c r="H2587" s="14" t="s">
        <v>168</v>
      </c>
      <c r="I2587" s="14" t="s">
        <v>59</v>
      </c>
      <c r="J2587" s="14" t="s">
        <v>200</v>
      </c>
      <c r="K2587" s="14" t="s">
        <v>227</v>
      </c>
      <c r="L2587" s="14" t="s">
        <v>253</v>
      </c>
      <c r="M2587" s="14" t="s">
        <v>849</v>
      </c>
      <c r="N2587" s="14" t="s">
        <v>850</v>
      </c>
      <c r="O2587" s="14">
        <v>0.0</v>
      </c>
      <c r="P2587" s="23">
        <v>0.0</v>
      </c>
      <c r="Q2587" s="22" t="str">
        <f t="shared" ref="Q2587:R2587" si="1526">"+0.00%"</f>
        <v>+0.00%</v>
      </c>
      <c r="R2587" s="18" t="str">
        <f t="shared" si="1526"/>
        <v>+0.00%</v>
      </c>
      <c r="S2587" s="14" t="s">
        <v>851</v>
      </c>
    </row>
    <row r="2588">
      <c r="A2588" s="13">
        <v>45901.0</v>
      </c>
      <c r="B2588" s="14" t="s">
        <v>47</v>
      </c>
      <c r="C2588" s="14" t="s">
        <v>48</v>
      </c>
      <c r="D2588" s="14" t="s">
        <v>60</v>
      </c>
      <c r="E2588" s="14" t="s">
        <v>61</v>
      </c>
      <c r="F2588" s="15" t="s">
        <v>51</v>
      </c>
      <c r="G2588" s="14" t="s">
        <v>62</v>
      </c>
      <c r="H2588" s="14" t="s">
        <v>60</v>
      </c>
      <c r="I2588" s="14" t="s">
        <v>59</v>
      </c>
      <c r="J2588" s="14" t="s">
        <v>200</v>
      </c>
      <c r="K2588" s="14" t="s">
        <v>223</v>
      </c>
      <c r="L2588" s="14" t="s">
        <v>286</v>
      </c>
      <c r="M2588" s="14" t="s">
        <v>979</v>
      </c>
      <c r="N2588" s="14" t="s">
        <v>980</v>
      </c>
      <c r="O2588" s="14">
        <v>47.0</v>
      </c>
      <c r="P2588" s="23">
        <v>0.4706</v>
      </c>
      <c r="Q2588" s="22" t="str">
        <f>"+3.82%"</f>
        <v>+3.82%</v>
      </c>
      <c r="R2588" s="18" t="str">
        <f>"-14.05%"</f>
        <v>-14.05%</v>
      </c>
      <c r="S2588" s="14" t="s">
        <v>1835</v>
      </c>
    </row>
    <row r="2589">
      <c r="A2589" s="13">
        <v>45901.0</v>
      </c>
      <c r="B2589" s="14" t="s">
        <v>47</v>
      </c>
      <c r="C2589" s="14" t="s">
        <v>48</v>
      </c>
      <c r="D2589" s="14" t="s">
        <v>56</v>
      </c>
      <c r="E2589" s="14" t="s">
        <v>57</v>
      </c>
      <c r="F2589" s="15" t="s">
        <v>51</v>
      </c>
      <c r="G2589" s="14" t="s">
        <v>58</v>
      </c>
      <c r="H2589" s="14" t="s">
        <v>56</v>
      </c>
      <c r="I2589" s="14" t="s">
        <v>59</v>
      </c>
      <c r="J2589" s="14" t="s">
        <v>198</v>
      </c>
      <c r="K2589" s="14" t="s">
        <v>212</v>
      </c>
      <c r="L2589" s="14" t="s">
        <v>249</v>
      </c>
      <c r="M2589" s="14" t="s">
        <v>598</v>
      </c>
      <c r="N2589" s="14" t="s">
        <v>599</v>
      </c>
      <c r="O2589" s="14">
        <v>100.0</v>
      </c>
      <c r="P2589" s="21">
        <v>0.0</v>
      </c>
      <c r="Q2589" s="22" t="str">
        <f t="shared" ref="Q2589:R2589" si="1527">"+0"</f>
        <v>+0</v>
      </c>
      <c r="R2589" s="18" t="str">
        <f t="shared" si="1527"/>
        <v>+0</v>
      </c>
      <c r="S2589" s="14" t="s">
        <v>281</v>
      </c>
    </row>
    <row r="2590">
      <c r="A2590" s="13">
        <v>45901.0</v>
      </c>
      <c r="B2590" s="14" t="s">
        <v>47</v>
      </c>
      <c r="C2590" s="14" t="s">
        <v>48</v>
      </c>
      <c r="D2590" s="14" t="s">
        <v>60</v>
      </c>
      <c r="E2590" s="14" t="s">
        <v>61</v>
      </c>
      <c r="F2590" s="15" t="s">
        <v>51</v>
      </c>
      <c r="G2590" s="14" t="s">
        <v>62</v>
      </c>
      <c r="H2590" s="14" t="s">
        <v>60</v>
      </c>
      <c r="I2590" s="14" t="s">
        <v>59</v>
      </c>
      <c r="J2590" s="14" t="s">
        <v>200</v>
      </c>
      <c r="K2590" s="14" t="s">
        <v>202</v>
      </c>
      <c r="L2590" s="14" t="s">
        <v>253</v>
      </c>
      <c r="M2590" s="14" t="s">
        <v>874</v>
      </c>
      <c r="N2590" s="14" t="s">
        <v>875</v>
      </c>
      <c r="O2590" s="14">
        <v>78.0</v>
      </c>
      <c r="P2590" s="23">
        <v>0.7805</v>
      </c>
      <c r="Q2590" s="22" t="str">
        <f>"+3.05%"</f>
        <v>+3.05%</v>
      </c>
      <c r="R2590" s="18" t="str">
        <f>"+5.50%"</f>
        <v>+5.50%</v>
      </c>
      <c r="S2590" s="14" t="s">
        <v>1836</v>
      </c>
    </row>
    <row r="2591">
      <c r="A2591" s="13">
        <v>45901.0</v>
      </c>
      <c r="B2591" s="14" t="s">
        <v>47</v>
      </c>
      <c r="C2591" s="14" t="s">
        <v>48</v>
      </c>
      <c r="D2591" s="14" t="s">
        <v>165</v>
      </c>
      <c r="E2591" s="14" t="s">
        <v>166</v>
      </c>
      <c r="F2591" s="14" t="s">
        <v>111</v>
      </c>
      <c r="G2591" s="14">
        <v>7116371.0</v>
      </c>
      <c r="H2591" s="14" t="s">
        <v>165</v>
      </c>
      <c r="I2591" s="14" t="s">
        <v>59</v>
      </c>
      <c r="J2591" s="14" t="s">
        <v>199</v>
      </c>
      <c r="K2591" s="14" t="s">
        <v>206</v>
      </c>
      <c r="L2591" s="14" t="s">
        <v>295</v>
      </c>
      <c r="M2591" s="14" t="s">
        <v>529</v>
      </c>
      <c r="N2591" s="14" t="s">
        <v>530</v>
      </c>
      <c r="O2591" s="14">
        <v>100.0</v>
      </c>
      <c r="P2591" s="21">
        <v>6.0</v>
      </c>
      <c r="Q2591" s="22" t="str">
        <f t="shared" ref="Q2591:R2591" si="1528">"+0"</f>
        <v>+0</v>
      </c>
      <c r="R2591" s="18" t="str">
        <f t="shared" si="1528"/>
        <v>+0</v>
      </c>
      <c r="S2591" s="14" t="s">
        <v>260</v>
      </c>
    </row>
    <row r="2592">
      <c r="A2592" s="13">
        <v>45901.0</v>
      </c>
      <c r="B2592" s="14" t="s">
        <v>47</v>
      </c>
      <c r="C2592" s="14" t="s">
        <v>48</v>
      </c>
      <c r="D2592" s="14" t="s">
        <v>91</v>
      </c>
      <c r="E2592" s="14" t="s">
        <v>92</v>
      </c>
      <c r="F2592" s="14" t="s">
        <v>79</v>
      </c>
      <c r="G2592" s="14" t="s">
        <v>164</v>
      </c>
      <c r="H2592" s="14" t="s">
        <v>91</v>
      </c>
      <c r="I2592" s="14" t="s">
        <v>154</v>
      </c>
      <c r="J2592" s="14" t="s">
        <v>198</v>
      </c>
      <c r="K2592" s="14" t="s">
        <v>210</v>
      </c>
      <c r="L2592" s="14" t="s">
        <v>458</v>
      </c>
      <c r="M2592" s="14" t="s">
        <v>1837</v>
      </c>
      <c r="N2592" s="14" t="s">
        <v>1838</v>
      </c>
      <c r="O2592" s="14">
        <v>0.0</v>
      </c>
      <c r="P2592" s="21">
        <v>317.0</v>
      </c>
      <c r="Q2592" s="22" t="str">
        <f>"-8"</f>
        <v>-8</v>
      </c>
      <c r="S2592" s="14" t="s">
        <v>1839</v>
      </c>
    </row>
    <row r="2593">
      <c r="A2593" s="13">
        <v>45901.0</v>
      </c>
      <c r="B2593" s="14" t="s">
        <v>47</v>
      </c>
      <c r="C2593" s="14" t="s">
        <v>48</v>
      </c>
      <c r="D2593" s="14" t="s">
        <v>63</v>
      </c>
      <c r="E2593" s="14" t="s">
        <v>64</v>
      </c>
      <c r="F2593" s="15" t="s">
        <v>51</v>
      </c>
      <c r="G2593" s="14" t="s">
        <v>65</v>
      </c>
      <c r="H2593" s="14" t="s">
        <v>63</v>
      </c>
      <c r="I2593" s="14" t="s">
        <v>54</v>
      </c>
      <c r="J2593" s="14" t="s">
        <v>198</v>
      </c>
      <c r="K2593" s="14" t="s">
        <v>210</v>
      </c>
      <c r="L2593" s="14" t="s">
        <v>264</v>
      </c>
      <c r="M2593" s="14" t="s">
        <v>1031</v>
      </c>
      <c r="N2593" s="14" t="s">
        <v>1032</v>
      </c>
      <c r="O2593" s="14">
        <v>0.0</v>
      </c>
      <c r="P2593" s="21">
        <v>0.0</v>
      </c>
      <c r="Q2593" s="22" t="str">
        <f t="shared" ref="Q2593:R2593" si="1529">"+0"</f>
        <v>+0</v>
      </c>
      <c r="R2593" s="18" t="str">
        <f t="shared" si="1529"/>
        <v>+0</v>
      </c>
      <c r="S2593" s="14" t="s">
        <v>277</v>
      </c>
    </row>
    <row r="2594">
      <c r="A2594" s="13">
        <v>45901.0</v>
      </c>
      <c r="B2594" s="14" t="s">
        <v>47</v>
      </c>
      <c r="C2594" s="14" t="s">
        <v>48</v>
      </c>
      <c r="D2594" s="14" t="s">
        <v>91</v>
      </c>
      <c r="E2594" s="14" t="s">
        <v>92</v>
      </c>
      <c r="F2594" s="14" t="s">
        <v>71</v>
      </c>
      <c r="G2594" s="14">
        <v>5.10011769E8</v>
      </c>
      <c r="H2594" s="14" t="s">
        <v>91</v>
      </c>
      <c r="I2594" s="14" t="s">
        <v>59</v>
      </c>
      <c r="J2594" s="14" t="s">
        <v>199</v>
      </c>
      <c r="K2594" s="14" t="s">
        <v>206</v>
      </c>
      <c r="L2594" s="14" t="s">
        <v>515</v>
      </c>
      <c r="M2594" s="14" t="s">
        <v>515</v>
      </c>
      <c r="N2594" s="14" t="s">
        <v>516</v>
      </c>
      <c r="O2594" s="14">
        <v>0.0</v>
      </c>
      <c r="P2594" s="21">
        <v>0.0</v>
      </c>
      <c r="Q2594" s="22" t="str">
        <f t="shared" ref="Q2594:R2594" si="1530">"+0"</f>
        <v>+0</v>
      </c>
      <c r="R2594" s="18" t="str">
        <f t="shared" si="1530"/>
        <v>+0</v>
      </c>
      <c r="S2594" s="14" t="s">
        <v>383</v>
      </c>
    </row>
    <row r="2595">
      <c r="A2595" s="13">
        <v>45901.0</v>
      </c>
      <c r="B2595" s="14" t="s">
        <v>47</v>
      </c>
      <c r="C2595" s="14" t="s">
        <v>48</v>
      </c>
      <c r="D2595" s="14" t="s">
        <v>118</v>
      </c>
      <c r="E2595" s="14" t="s">
        <v>119</v>
      </c>
      <c r="F2595" s="15" t="s">
        <v>51</v>
      </c>
      <c r="G2595" s="14" t="s">
        <v>120</v>
      </c>
      <c r="H2595" s="14" t="s">
        <v>118</v>
      </c>
      <c r="I2595" s="14" t="s">
        <v>59</v>
      </c>
      <c r="J2595" s="14" t="s">
        <v>198</v>
      </c>
      <c r="K2595" s="14" t="s">
        <v>205</v>
      </c>
      <c r="L2595" s="14" t="s">
        <v>274</v>
      </c>
      <c r="M2595" s="14" t="s">
        <v>636</v>
      </c>
      <c r="N2595" s="14" t="s">
        <v>637</v>
      </c>
      <c r="O2595" s="14">
        <v>0.0</v>
      </c>
      <c r="P2595" s="21">
        <v>0.0</v>
      </c>
      <c r="Q2595" s="22" t="str">
        <f>"+0"</f>
        <v>+0</v>
      </c>
      <c r="S2595" s="14" t="s">
        <v>281</v>
      </c>
    </row>
    <row r="2596">
      <c r="A2596" s="13">
        <v>45901.0</v>
      </c>
      <c r="B2596" s="14" t="s">
        <v>47</v>
      </c>
      <c r="C2596" s="14" t="s">
        <v>48</v>
      </c>
      <c r="D2596" s="14" t="s">
        <v>192</v>
      </c>
      <c r="E2596" s="14" t="s">
        <v>193</v>
      </c>
      <c r="F2596" s="15" t="s">
        <v>51</v>
      </c>
      <c r="G2596" s="14" t="s">
        <v>194</v>
      </c>
      <c r="H2596" s="14" t="s">
        <v>192</v>
      </c>
      <c r="I2596" s="14" t="s">
        <v>54</v>
      </c>
      <c r="J2596" s="14" t="s">
        <v>200</v>
      </c>
      <c r="K2596" s="14" t="s">
        <v>223</v>
      </c>
      <c r="L2596" s="14" t="s">
        <v>487</v>
      </c>
      <c r="M2596" s="14" t="s">
        <v>962</v>
      </c>
      <c r="N2596" s="14" t="s">
        <v>963</v>
      </c>
      <c r="O2596" s="14">
        <v>100.0</v>
      </c>
      <c r="P2596" s="23">
        <v>4.0E-4</v>
      </c>
      <c r="Q2596" s="22" t="str">
        <f>"+0.04%"</f>
        <v>+0.04%</v>
      </c>
      <c r="R2596" s="18" t="str">
        <f>"+0.00%"</f>
        <v>+0.00%</v>
      </c>
      <c r="S2596" s="14" t="s">
        <v>285</v>
      </c>
    </row>
    <row r="2597">
      <c r="A2597" s="13">
        <v>45901.0</v>
      </c>
      <c r="B2597" s="14" t="s">
        <v>47</v>
      </c>
      <c r="C2597" s="14" t="s">
        <v>48</v>
      </c>
      <c r="D2597" s="14" t="s">
        <v>93</v>
      </c>
      <c r="E2597" s="14" t="s">
        <v>94</v>
      </c>
      <c r="F2597" s="14" t="s">
        <v>71</v>
      </c>
      <c r="G2597" s="14">
        <v>5.36001438E8</v>
      </c>
      <c r="H2597" s="14" t="s">
        <v>95</v>
      </c>
      <c r="I2597" s="14" t="s">
        <v>59</v>
      </c>
      <c r="J2597" s="14" t="s">
        <v>200</v>
      </c>
      <c r="K2597" s="14" t="s">
        <v>230</v>
      </c>
      <c r="L2597" s="14" t="s">
        <v>253</v>
      </c>
      <c r="M2597" s="14" t="s">
        <v>541</v>
      </c>
      <c r="N2597" s="14" t="s">
        <v>542</v>
      </c>
      <c r="O2597" s="14">
        <v>0.0</v>
      </c>
      <c r="P2597" s="23">
        <v>0.0</v>
      </c>
      <c r="Q2597" s="22" t="str">
        <f t="shared" ref="Q2597:R2597" si="1531">"+0.00%"</f>
        <v>+0.00%</v>
      </c>
      <c r="R2597" s="18" t="str">
        <f t="shared" si="1531"/>
        <v>+0.00%</v>
      </c>
      <c r="S2597" s="14" t="s">
        <v>1266</v>
      </c>
    </row>
    <row r="2598">
      <c r="A2598" s="13">
        <v>45901.0</v>
      </c>
      <c r="B2598" s="14" t="s">
        <v>47</v>
      </c>
      <c r="C2598" s="14" t="s">
        <v>48</v>
      </c>
      <c r="D2598" s="14" t="s">
        <v>103</v>
      </c>
      <c r="E2598" s="14" t="s">
        <v>104</v>
      </c>
      <c r="F2598" s="15" t="s">
        <v>51</v>
      </c>
      <c r="G2598" s="14" t="s">
        <v>105</v>
      </c>
      <c r="H2598" s="14" t="s">
        <v>106</v>
      </c>
      <c r="I2598" s="14" t="s">
        <v>59</v>
      </c>
      <c r="J2598" s="14" t="s">
        <v>200</v>
      </c>
      <c r="K2598" s="14" t="s">
        <v>232</v>
      </c>
      <c r="L2598" s="14" t="s">
        <v>304</v>
      </c>
      <c r="M2598" s="14" t="s">
        <v>702</v>
      </c>
      <c r="N2598" s="14" t="s">
        <v>703</v>
      </c>
      <c r="O2598" s="14">
        <v>0.0</v>
      </c>
      <c r="P2598" s="23">
        <v>0.0</v>
      </c>
      <c r="Q2598" s="22" t="str">
        <f t="shared" ref="Q2598:R2598" si="1532">"+0.00%"</f>
        <v>+0.00%</v>
      </c>
      <c r="R2598" s="18" t="str">
        <f t="shared" si="1532"/>
        <v>+0.00%</v>
      </c>
      <c r="S2598" s="14" t="s">
        <v>285</v>
      </c>
    </row>
    <row r="2599">
      <c r="A2599" s="13">
        <v>45901.0</v>
      </c>
      <c r="B2599" s="14" t="s">
        <v>47</v>
      </c>
      <c r="C2599" s="14" t="s">
        <v>48</v>
      </c>
      <c r="D2599" s="14" t="s">
        <v>143</v>
      </c>
      <c r="E2599" s="14" t="s">
        <v>144</v>
      </c>
      <c r="F2599" s="15" t="s">
        <v>51</v>
      </c>
      <c r="G2599" s="14" t="s">
        <v>145</v>
      </c>
      <c r="H2599" s="14" t="s">
        <v>143</v>
      </c>
      <c r="I2599" s="14" t="s">
        <v>59</v>
      </c>
      <c r="J2599" s="14" t="s">
        <v>198</v>
      </c>
      <c r="K2599" s="14" t="s">
        <v>205</v>
      </c>
      <c r="L2599" s="14" t="s">
        <v>274</v>
      </c>
      <c r="M2599" s="14" t="s">
        <v>482</v>
      </c>
      <c r="N2599" s="14" t="s">
        <v>483</v>
      </c>
      <c r="O2599" s="14">
        <v>100.0</v>
      </c>
      <c r="P2599" s="21">
        <v>8.0</v>
      </c>
      <c r="Q2599" s="22" t="str">
        <f>"+0"</f>
        <v>+0</v>
      </c>
      <c r="S2599" s="14" t="s">
        <v>484</v>
      </c>
    </row>
    <row r="2600">
      <c r="A2600" s="13">
        <v>45901.0</v>
      </c>
      <c r="B2600" s="14" t="s">
        <v>47</v>
      </c>
      <c r="C2600" s="14" t="s">
        <v>48</v>
      </c>
      <c r="D2600" s="14" t="s">
        <v>132</v>
      </c>
      <c r="E2600" s="14" t="s">
        <v>133</v>
      </c>
      <c r="F2600" s="15" t="s">
        <v>51</v>
      </c>
      <c r="G2600" s="14" t="s">
        <v>134</v>
      </c>
      <c r="H2600" s="14" t="s">
        <v>135</v>
      </c>
      <c r="I2600" s="14" t="s">
        <v>59</v>
      </c>
      <c r="J2600" s="14" t="s">
        <v>200</v>
      </c>
      <c r="K2600" s="14" t="s">
        <v>213</v>
      </c>
      <c r="L2600" s="14" t="s">
        <v>676</v>
      </c>
      <c r="M2600" s="14" t="s">
        <v>836</v>
      </c>
      <c r="N2600" s="14" t="s">
        <v>837</v>
      </c>
      <c r="O2600" s="14">
        <v>0.0</v>
      </c>
      <c r="P2600" s="23">
        <v>0.0</v>
      </c>
      <c r="Q2600" s="22" t="str">
        <f t="shared" ref="Q2600:R2600" si="1533">"+0.00%"</f>
        <v>+0.00%</v>
      </c>
      <c r="R2600" s="18" t="str">
        <f t="shared" si="1533"/>
        <v>+0.00%</v>
      </c>
      <c r="S2600" s="14" t="s">
        <v>1840</v>
      </c>
    </row>
    <row r="2601">
      <c r="A2601" s="13">
        <v>45901.0</v>
      </c>
      <c r="B2601" s="14" t="s">
        <v>47</v>
      </c>
      <c r="C2601" s="14" t="s">
        <v>48</v>
      </c>
      <c r="D2601" s="14" t="s">
        <v>149</v>
      </c>
      <c r="E2601" s="14" t="s">
        <v>150</v>
      </c>
      <c r="F2601" s="15" t="s">
        <v>51</v>
      </c>
      <c r="G2601" s="14" t="s">
        <v>151</v>
      </c>
      <c r="H2601" s="14" t="s">
        <v>152</v>
      </c>
      <c r="I2601" s="14" t="s">
        <v>54</v>
      </c>
      <c r="J2601" s="14" t="s">
        <v>200</v>
      </c>
      <c r="K2601" s="14" t="s">
        <v>223</v>
      </c>
      <c r="L2601" s="14" t="s">
        <v>261</v>
      </c>
      <c r="M2601" s="14" t="s">
        <v>814</v>
      </c>
      <c r="N2601" s="14" t="s">
        <v>815</v>
      </c>
      <c r="O2601" s="14">
        <v>84.0</v>
      </c>
      <c r="P2601" s="23">
        <v>0.6919</v>
      </c>
      <c r="Q2601" s="22" t="str">
        <f>"+169.19%"</f>
        <v>+169.19%</v>
      </c>
      <c r="R2601" s="18" t="str">
        <f>"+12.50%"</f>
        <v>+12.50%</v>
      </c>
      <c r="S2601" s="14" t="s">
        <v>1841</v>
      </c>
    </row>
    <row r="2602">
      <c r="A2602" s="13">
        <v>45901.0</v>
      </c>
      <c r="B2602" s="14" t="s">
        <v>47</v>
      </c>
      <c r="C2602" s="14" t="s">
        <v>48</v>
      </c>
      <c r="D2602" s="14" t="s">
        <v>149</v>
      </c>
      <c r="E2602" s="14" t="s">
        <v>150</v>
      </c>
      <c r="F2602" s="15" t="s">
        <v>51</v>
      </c>
      <c r="G2602" s="14" t="s">
        <v>151</v>
      </c>
      <c r="H2602" s="14" t="s">
        <v>152</v>
      </c>
      <c r="I2602" s="14" t="s">
        <v>54</v>
      </c>
      <c r="J2602" s="14" t="s">
        <v>200</v>
      </c>
      <c r="K2602" s="14" t="s">
        <v>224</v>
      </c>
      <c r="L2602" s="14" t="s">
        <v>964</v>
      </c>
      <c r="M2602" s="14" t="s">
        <v>1288</v>
      </c>
      <c r="N2602" s="14" t="s">
        <v>1289</v>
      </c>
      <c r="O2602" s="14">
        <v>0.0</v>
      </c>
      <c r="P2602" s="23">
        <v>0.0</v>
      </c>
      <c r="Q2602" s="22" t="str">
        <f t="shared" ref="Q2602:R2602" si="1534">"+0.00%"</f>
        <v>+0.00%</v>
      </c>
      <c r="R2602" s="18" t="str">
        <f t="shared" si="1534"/>
        <v>+0.00%</v>
      </c>
      <c r="S2602" s="14" t="s">
        <v>1842</v>
      </c>
    </row>
    <row r="2603">
      <c r="A2603" s="13">
        <v>45901.0</v>
      </c>
      <c r="B2603" s="14" t="s">
        <v>47</v>
      </c>
      <c r="C2603" s="14" t="s">
        <v>48</v>
      </c>
      <c r="D2603" s="14" t="s">
        <v>149</v>
      </c>
      <c r="E2603" s="14" t="s">
        <v>150</v>
      </c>
      <c r="F2603" s="15" t="s">
        <v>51</v>
      </c>
      <c r="G2603" s="14" t="s">
        <v>151</v>
      </c>
      <c r="H2603" s="14" t="s">
        <v>152</v>
      </c>
      <c r="I2603" s="14" t="s">
        <v>54</v>
      </c>
      <c r="J2603" s="14" t="s">
        <v>200</v>
      </c>
      <c r="K2603" s="14" t="s">
        <v>223</v>
      </c>
      <c r="L2603" s="14" t="s">
        <v>261</v>
      </c>
      <c r="M2603" s="14" t="s">
        <v>864</v>
      </c>
      <c r="N2603" s="14" t="s">
        <v>865</v>
      </c>
      <c r="O2603" s="14">
        <v>0.0</v>
      </c>
      <c r="P2603" s="23">
        <v>0.0</v>
      </c>
      <c r="Q2603" s="22" t="str">
        <f t="shared" ref="Q2603:R2603" si="1535">"+0.00%"</f>
        <v>+0.00%</v>
      </c>
      <c r="R2603" s="18" t="str">
        <f t="shared" si="1535"/>
        <v>+0.00%</v>
      </c>
      <c r="S2603" s="14" t="s">
        <v>285</v>
      </c>
    </row>
    <row r="2604">
      <c r="A2604" s="13">
        <v>45901.0</v>
      </c>
      <c r="B2604" s="14" t="s">
        <v>47</v>
      </c>
      <c r="C2604" s="14" t="s">
        <v>48</v>
      </c>
      <c r="D2604" s="14" t="s">
        <v>87</v>
      </c>
      <c r="E2604" s="14" t="s">
        <v>88</v>
      </c>
      <c r="F2604" s="15" t="s">
        <v>51</v>
      </c>
      <c r="G2604" s="14" t="s">
        <v>89</v>
      </c>
      <c r="H2604" s="14" t="s">
        <v>90</v>
      </c>
      <c r="I2604" s="14" t="s">
        <v>59</v>
      </c>
      <c r="J2604" s="14" t="s">
        <v>200</v>
      </c>
      <c r="K2604" s="14" t="s">
        <v>223</v>
      </c>
      <c r="L2604" s="14" t="s">
        <v>487</v>
      </c>
      <c r="M2604" s="14" t="s">
        <v>1015</v>
      </c>
      <c r="N2604" s="14" t="s">
        <v>1016</v>
      </c>
      <c r="O2604" s="14">
        <v>0.0</v>
      </c>
      <c r="P2604" s="23">
        <v>0.0</v>
      </c>
      <c r="Q2604" s="22" t="str">
        <f>"+0.00%"</f>
        <v>+0.00%</v>
      </c>
      <c r="R2604" s="18" t="str">
        <f>"-0.58%"</f>
        <v>-0.58%</v>
      </c>
      <c r="S2604" s="14" t="s">
        <v>285</v>
      </c>
    </row>
    <row r="2605">
      <c r="A2605" s="13">
        <v>45901.0</v>
      </c>
      <c r="B2605" s="14" t="s">
        <v>47</v>
      </c>
      <c r="C2605" s="14" t="s">
        <v>48</v>
      </c>
      <c r="D2605" s="14" t="s">
        <v>149</v>
      </c>
      <c r="E2605" s="14" t="s">
        <v>150</v>
      </c>
      <c r="F2605" s="15" t="s">
        <v>51</v>
      </c>
      <c r="G2605" s="14" t="s">
        <v>151</v>
      </c>
      <c r="H2605" s="14" t="s">
        <v>152</v>
      </c>
      <c r="I2605" s="14" t="s">
        <v>54</v>
      </c>
      <c r="J2605" s="14" t="s">
        <v>198</v>
      </c>
      <c r="K2605" s="14" t="s">
        <v>212</v>
      </c>
      <c r="L2605" s="14" t="s">
        <v>249</v>
      </c>
      <c r="M2605" s="14" t="s">
        <v>1346</v>
      </c>
      <c r="N2605" s="14" t="s">
        <v>1347</v>
      </c>
      <c r="O2605" s="14">
        <v>0.0</v>
      </c>
      <c r="P2605" s="21">
        <v>0.0</v>
      </c>
      <c r="Q2605" s="22" t="str">
        <f t="shared" ref="Q2605:R2605" si="1536">"+0"</f>
        <v>+0</v>
      </c>
      <c r="R2605" s="18" t="str">
        <f t="shared" si="1536"/>
        <v>+0</v>
      </c>
      <c r="S2605" s="14" t="s">
        <v>277</v>
      </c>
    </row>
    <row r="2606">
      <c r="A2606" s="13">
        <v>45901.0</v>
      </c>
      <c r="B2606" s="14" t="s">
        <v>47</v>
      </c>
      <c r="C2606" s="14" t="s">
        <v>48</v>
      </c>
      <c r="D2606" s="14" t="s">
        <v>87</v>
      </c>
      <c r="E2606" s="14" t="s">
        <v>88</v>
      </c>
      <c r="F2606" s="15" t="s">
        <v>51</v>
      </c>
      <c r="G2606" s="14" t="s">
        <v>89</v>
      </c>
      <c r="H2606" s="14" t="s">
        <v>90</v>
      </c>
      <c r="I2606" s="14" t="s">
        <v>59</v>
      </c>
      <c r="J2606" s="14" t="s">
        <v>200</v>
      </c>
      <c r="K2606" s="14" t="s">
        <v>223</v>
      </c>
      <c r="L2606" s="14" t="s">
        <v>571</v>
      </c>
      <c r="M2606" s="14" t="s">
        <v>572</v>
      </c>
      <c r="N2606" s="14" t="s">
        <v>573</v>
      </c>
      <c r="O2606" s="14">
        <v>0.0</v>
      </c>
      <c r="P2606" s="23">
        <v>0.0</v>
      </c>
      <c r="Q2606" s="22" t="str">
        <f t="shared" ref="Q2606:R2606" si="1537">"+0.00%"</f>
        <v>+0.00%</v>
      </c>
      <c r="R2606" s="18" t="str">
        <f t="shared" si="1537"/>
        <v>+0.00%</v>
      </c>
      <c r="S2606" s="14" t="s">
        <v>285</v>
      </c>
    </row>
    <row r="2607">
      <c r="A2607" s="13">
        <v>45901.0</v>
      </c>
      <c r="B2607" s="14" t="s">
        <v>47</v>
      </c>
      <c r="C2607" s="14" t="s">
        <v>48</v>
      </c>
      <c r="D2607" s="14" t="s">
        <v>69</v>
      </c>
      <c r="E2607" s="14" t="s">
        <v>70</v>
      </c>
      <c r="F2607" s="15" t="s">
        <v>51</v>
      </c>
      <c r="G2607" s="14" t="s">
        <v>115</v>
      </c>
      <c r="H2607" s="14" t="s">
        <v>72</v>
      </c>
      <c r="I2607" s="14" t="s">
        <v>54</v>
      </c>
      <c r="J2607" s="14" t="s">
        <v>200</v>
      </c>
      <c r="K2607" s="14" t="s">
        <v>224</v>
      </c>
      <c r="L2607" s="14" t="s">
        <v>436</v>
      </c>
      <c r="M2607" s="14" t="s">
        <v>437</v>
      </c>
      <c r="N2607" s="14" t="s">
        <v>438</v>
      </c>
      <c r="O2607" s="14">
        <v>16.0</v>
      </c>
      <c r="P2607" s="23">
        <v>0.1667</v>
      </c>
      <c r="Q2607" s="22" t="str">
        <f>"-50.00%"</f>
        <v>-50.00%</v>
      </c>
      <c r="R2607" s="18" t="str">
        <f>"-23.33%"</f>
        <v>-23.33%</v>
      </c>
      <c r="S2607" s="14" t="s">
        <v>1843</v>
      </c>
    </row>
    <row r="2608">
      <c r="A2608" s="13">
        <v>45901.0</v>
      </c>
      <c r="B2608" s="14" t="s">
        <v>47</v>
      </c>
      <c r="C2608" s="14" t="s">
        <v>48</v>
      </c>
      <c r="D2608" s="14" t="s">
        <v>125</v>
      </c>
      <c r="E2608" s="14" t="s">
        <v>126</v>
      </c>
      <c r="F2608" s="15" t="s">
        <v>51</v>
      </c>
      <c r="G2608" s="14" t="s">
        <v>127</v>
      </c>
      <c r="H2608" s="14" t="s">
        <v>125</v>
      </c>
      <c r="I2608" s="14" t="s">
        <v>59</v>
      </c>
      <c r="J2608" s="14" t="s">
        <v>200</v>
      </c>
      <c r="K2608" s="14" t="s">
        <v>224</v>
      </c>
      <c r="L2608" s="14" t="s">
        <v>453</v>
      </c>
      <c r="M2608" s="14" t="s">
        <v>555</v>
      </c>
      <c r="N2608" s="14" t="s">
        <v>556</v>
      </c>
      <c r="O2608" s="14">
        <v>0.0</v>
      </c>
      <c r="P2608" s="17"/>
      <c r="Q2608" s="22"/>
      <c r="S2608" s="14" t="s">
        <v>557</v>
      </c>
    </row>
    <row r="2609">
      <c r="A2609" s="13">
        <v>45901.0</v>
      </c>
      <c r="B2609" s="14" t="s">
        <v>47</v>
      </c>
      <c r="C2609" s="14" t="s">
        <v>48</v>
      </c>
      <c r="D2609" s="14" t="s">
        <v>69</v>
      </c>
      <c r="E2609" s="14" t="s">
        <v>70</v>
      </c>
      <c r="F2609" s="15" t="s">
        <v>51</v>
      </c>
      <c r="G2609" s="14" t="s">
        <v>115</v>
      </c>
      <c r="H2609" s="14" t="s">
        <v>72</v>
      </c>
      <c r="I2609" s="14" t="s">
        <v>54</v>
      </c>
      <c r="J2609" s="14" t="s">
        <v>200</v>
      </c>
      <c r="K2609" s="14" t="s">
        <v>224</v>
      </c>
      <c r="L2609" s="14" t="s">
        <v>453</v>
      </c>
      <c r="M2609" s="14" t="s">
        <v>521</v>
      </c>
      <c r="N2609" s="14" t="s">
        <v>522</v>
      </c>
      <c r="O2609" s="14">
        <v>16.0</v>
      </c>
      <c r="P2609" s="23">
        <v>0.1667</v>
      </c>
      <c r="Q2609" s="22" t="str">
        <f>"-16.67%"</f>
        <v>-16.67%</v>
      </c>
      <c r="R2609" s="18" t="str">
        <f>"-3.33%"</f>
        <v>-3.33%</v>
      </c>
      <c r="S2609" s="14" t="s">
        <v>523</v>
      </c>
    </row>
    <row r="2610">
      <c r="A2610" s="13">
        <v>45901.0</v>
      </c>
      <c r="B2610" s="14" t="s">
        <v>47</v>
      </c>
      <c r="C2610" s="14" t="s">
        <v>48</v>
      </c>
      <c r="D2610" s="14" t="s">
        <v>69</v>
      </c>
      <c r="E2610" s="14" t="s">
        <v>70</v>
      </c>
      <c r="F2610" s="15" t="s">
        <v>51</v>
      </c>
      <c r="G2610" s="14" t="s">
        <v>115</v>
      </c>
      <c r="H2610" s="14" t="s">
        <v>72</v>
      </c>
      <c r="I2610" s="14" t="s">
        <v>54</v>
      </c>
      <c r="J2610" s="14" t="s">
        <v>200</v>
      </c>
      <c r="K2610" s="14" t="s">
        <v>213</v>
      </c>
      <c r="L2610" s="14" t="s">
        <v>676</v>
      </c>
      <c r="M2610" s="14" t="s">
        <v>836</v>
      </c>
      <c r="N2610" s="14" t="s">
        <v>837</v>
      </c>
      <c r="O2610" s="14">
        <v>1.0</v>
      </c>
      <c r="P2610" s="23">
        <v>0.0107</v>
      </c>
      <c r="Q2610" s="22" t="str">
        <f>"-0.16%"</f>
        <v>-0.16%</v>
      </c>
      <c r="R2610" s="18" t="str">
        <f>"-0.26%"</f>
        <v>-0.26%</v>
      </c>
      <c r="S2610" s="14" t="s">
        <v>1844</v>
      </c>
    </row>
    <row r="2611">
      <c r="A2611" s="13">
        <v>45901.0</v>
      </c>
      <c r="B2611" s="14" t="s">
        <v>47</v>
      </c>
      <c r="C2611" s="14" t="s">
        <v>48</v>
      </c>
      <c r="D2611" s="14" t="s">
        <v>174</v>
      </c>
      <c r="E2611" s="14" t="s">
        <v>175</v>
      </c>
      <c r="F2611" s="15" t="s">
        <v>51</v>
      </c>
      <c r="G2611" s="14" t="s">
        <v>176</v>
      </c>
      <c r="H2611" s="14" t="s">
        <v>174</v>
      </c>
      <c r="I2611" s="14" t="s">
        <v>59</v>
      </c>
      <c r="J2611" s="14" t="s">
        <v>200</v>
      </c>
      <c r="K2611" s="14" t="s">
        <v>227</v>
      </c>
      <c r="L2611" s="14" t="s">
        <v>253</v>
      </c>
      <c r="M2611" s="14" t="s">
        <v>254</v>
      </c>
      <c r="N2611" s="14" t="s">
        <v>255</v>
      </c>
      <c r="O2611" s="14">
        <v>3.0</v>
      </c>
      <c r="P2611" s="23">
        <v>0.03</v>
      </c>
      <c r="Q2611" s="22" t="str">
        <f t="shared" ref="Q2611:R2611" si="1538">"+0.00%"</f>
        <v>+0.00%</v>
      </c>
      <c r="R2611" s="18" t="str">
        <f t="shared" si="1538"/>
        <v>+0.00%</v>
      </c>
      <c r="S2611" s="14" t="s">
        <v>1038</v>
      </c>
    </row>
    <row r="2612">
      <c r="A2612" s="13">
        <v>45901.0</v>
      </c>
      <c r="B2612" s="14" t="s">
        <v>47</v>
      </c>
      <c r="C2612" s="14" t="s">
        <v>48</v>
      </c>
      <c r="D2612" s="14" t="s">
        <v>77</v>
      </c>
      <c r="E2612" s="14" t="s">
        <v>78</v>
      </c>
      <c r="F2612" s="15" t="s">
        <v>51</v>
      </c>
      <c r="G2612" s="14" t="s">
        <v>128</v>
      </c>
      <c r="H2612" s="14" t="s">
        <v>81</v>
      </c>
      <c r="I2612" s="14" t="s">
        <v>59</v>
      </c>
      <c r="J2612" s="14" t="s">
        <v>199</v>
      </c>
      <c r="K2612" s="14" t="s">
        <v>206</v>
      </c>
      <c r="L2612" s="14" t="s">
        <v>295</v>
      </c>
      <c r="M2612" s="14" t="s">
        <v>296</v>
      </c>
      <c r="N2612" s="14" t="s">
        <v>297</v>
      </c>
      <c r="O2612" s="14">
        <v>0.0</v>
      </c>
      <c r="P2612" s="21">
        <v>0.0</v>
      </c>
      <c r="Q2612" s="22" t="str">
        <f t="shared" ref="Q2612:R2612" si="1539">"+0"</f>
        <v>+0</v>
      </c>
      <c r="R2612" s="18" t="str">
        <f t="shared" si="1539"/>
        <v>+0</v>
      </c>
      <c r="S2612" s="14" t="s">
        <v>260</v>
      </c>
    </row>
    <row r="2613">
      <c r="A2613" s="13">
        <v>45901.0</v>
      </c>
      <c r="B2613" s="14" t="s">
        <v>47</v>
      </c>
      <c r="C2613" s="14" t="s">
        <v>48</v>
      </c>
      <c r="D2613" s="14" t="s">
        <v>116</v>
      </c>
      <c r="E2613" s="14" t="s">
        <v>117</v>
      </c>
      <c r="F2613" s="15" t="s">
        <v>51</v>
      </c>
      <c r="G2613" s="14" t="s">
        <v>161</v>
      </c>
      <c r="H2613" s="14" t="s">
        <v>116</v>
      </c>
      <c r="I2613" s="14" t="s">
        <v>54</v>
      </c>
      <c r="J2613" s="14" t="s">
        <v>198</v>
      </c>
      <c r="K2613" s="14" t="s">
        <v>210</v>
      </c>
      <c r="L2613" s="14" t="s">
        <v>505</v>
      </c>
      <c r="M2613" s="14" t="s">
        <v>1111</v>
      </c>
      <c r="N2613" s="14" t="s">
        <v>1112</v>
      </c>
      <c r="O2613" s="14">
        <v>0.0</v>
      </c>
      <c r="P2613" s="21">
        <v>0.0</v>
      </c>
      <c r="Q2613" s="22" t="str">
        <f t="shared" ref="Q2613:R2613" si="1540">"+0"</f>
        <v>+0</v>
      </c>
      <c r="R2613" s="18" t="str">
        <f t="shared" si="1540"/>
        <v>+0</v>
      </c>
      <c r="S2613" s="14" t="s">
        <v>277</v>
      </c>
    </row>
    <row r="2614">
      <c r="A2614" s="13">
        <v>45901.0</v>
      </c>
      <c r="B2614" s="14" t="s">
        <v>47</v>
      </c>
      <c r="C2614" s="14" t="s">
        <v>48</v>
      </c>
      <c r="D2614" s="14" t="s">
        <v>168</v>
      </c>
      <c r="E2614" s="14" t="s">
        <v>169</v>
      </c>
      <c r="F2614" s="15" t="s">
        <v>51</v>
      </c>
      <c r="G2614" s="14" t="s">
        <v>170</v>
      </c>
      <c r="H2614" s="14" t="s">
        <v>168</v>
      </c>
      <c r="I2614" s="14" t="s">
        <v>59</v>
      </c>
      <c r="J2614" s="14" t="s">
        <v>200</v>
      </c>
      <c r="K2614" s="14" t="s">
        <v>222</v>
      </c>
      <c r="L2614" s="14" t="s">
        <v>337</v>
      </c>
      <c r="M2614" s="14" t="s">
        <v>338</v>
      </c>
      <c r="N2614" s="14" t="s">
        <v>339</v>
      </c>
      <c r="O2614" s="14">
        <v>0.0</v>
      </c>
      <c r="P2614" s="21">
        <v>0.0</v>
      </c>
      <c r="Q2614" s="22" t="str">
        <f>"+0"</f>
        <v>+0</v>
      </c>
      <c r="S2614" s="14" t="s">
        <v>260</v>
      </c>
    </row>
    <row r="2615">
      <c r="A2615" s="13">
        <v>45901.0</v>
      </c>
      <c r="B2615" s="14" t="s">
        <v>47</v>
      </c>
      <c r="C2615" s="14" t="s">
        <v>48</v>
      </c>
      <c r="D2615" s="14" t="s">
        <v>155</v>
      </c>
      <c r="E2615" s="14" t="s">
        <v>156</v>
      </c>
      <c r="F2615" s="15" t="s">
        <v>51</v>
      </c>
      <c r="G2615" s="14" t="s">
        <v>157</v>
      </c>
      <c r="H2615" s="14" t="s">
        <v>155</v>
      </c>
      <c r="I2615" s="14" t="s">
        <v>59</v>
      </c>
      <c r="J2615" s="14" t="s">
        <v>198</v>
      </c>
      <c r="K2615" s="14" t="s">
        <v>210</v>
      </c>
      <c r="L2615" s="14" t="s">
        <v>278</v>
      </c>
      <c r="M2615" s="14" t="s">
        <v>443</v>
      </c>
      <c r="N2615" s="14" t="s">
        <v>444</v>
      </c>
      <c r="O2615" s="14">
        <v>70.0</v>
      </c>
      <c r="P2615" s="21">
        <v>54.0</v>
      </c>
      <c r="Q2615" s="22" t="str">
        <f>"+8"</f>
        <v>+8</v>
      </c>
      <c r="R2615" s="18" t="str">
        <f>"+2"</f>
        <v>+2</v>
      </c>
      <c r="S2615" s="14" t="s">
        <v>1845</v>
      </c>
    </row>
    <row r="2616">
      <c r="A2616" s="13">
        <v>45901.0</v>
      </c>
      <c r="B2616" s="14" t="s">
        <v>47</v>
      </c>
      <c r="C2616" s="14" t="s">
        <v>48</v>
      </c>
      <c r="D2616" s="14" t="s">
        <v>56</v>
      </c>
      <c r="E2616" s="14" t="s">
        <v>57</v>
      </c>
      <c r="F2616" s="15" t="s">
        <v>51</v>
      </c>
      <c r="G2616" s="14" t="s">
        <v>58</v>
      </c>
      <c r="H2616" s="14" t="s">
        <v>56</v>
      </c>
      <c r="I2616" s="14" t="s">
        <v>59</v>
      </c>
      <c r="J2616" s="14" t="s">
        <v>199</v>
      </c>
      <c r="K2616" s="14" t="s">
        <v>206</v>
      </c>
      <c r="L2616" s="14" t="s">
        <v>295</v>
      </c>
      <c r="M2616" s="14" t="s">
        <v>461</v>
      </c>
      <c r="N2616" s="14" t="s">
        <v>462</v>
      </c>
      <c r="O2616" s="14">
        <v>0.0</v>
      </c>
      <c r="P2616" s="21">
        <v>0.0</v>
      </c>
      <c r="Q2616" s="22" t="str">
        <f t="shared" ref="Q2616:R2616" si="1541">"+0"</f>
        <v>+0</v>
      </c>
      <c r="R2616" s="18" t="str">
        <f t="shared" si="1541"/>
        <v>+0</v>
      </c>
      <c r="S2616" s="14" t="s">
        <v>260</v>
      </c>
    </row>
    <row r="2617">
      <c r="A2617" s="13">
        <v>45901.0</v>
      </c>
      <c r="B2617" s="14" t="s">
        <v>47</v>
      </c>
      <c r="C2617" s="14" t="s">
        <v>48</v>
      </c>
      <c r="D2617" s="14" t="s">
        <v>165</v>
      </c>
      <c r="E2617" s="14" t="s">
        <v>166</v>
      </c>
      <c r="F2617" s="14" t="s">
        <v>111</v>
      </c>
      <c r="G2617" s="14">
        <v>7116371.0</v>
      </c>
      <c r="H2617" s="14" t="s">
        <v>165</v>
      </c>
      <c r="I2617" s="14" t="s">
        <v>59</v>
      </c>
      <c r="J2617" s="14" t="s">
        <v>199</v>
      </c>
      <c r="K2617" s="14" t="s">
        <v>206</v>
      </c>
      <c r="L2617" s="14" t="s">
        <v>381</v>
      </c>
      <c r="M2617" s="14" t="s">
        <v>381</v>
      </c>
      <c r="N2617" s="14" t="s">
        <v>382</v>
      </c>
      <c r="O2617" s="14">
        <v>75.0</v>
      </c>
      <c r="P2617" s="21">
        <v>1.0</v>
      </c>
      <c r="Q2617" s="22" t="str">
        <f t="shared" ref="Q2617:R2617" si="1542">"+0"</f>
        <v>+0</v>
      </c>
      <c r="R2617" s="18" t="str">
        <f t="shared" si="1542"/>
        <v>+0</v>
      </c>
      <c r="S2617" s="14" t="s">
        <v>383</v>
      </c>
    </row>
    <row r="2618">
      <c r="A2618" s="13">
        <v>45901.0</v>
      </c>
      <c r="B2618" s="14" t="s">
        <v>47</v>
      </c>
      <c r="C2618" s="14" t="s">
        <v>48</v>
      </c>
      <c r="D2618" s="14" t="s">
        <v>99</v>
      </c>
      <c r="E2618" s="14" t="s">
        <v>100</v>
      </c>
      <c r="F2618" s="15" t="s">
        <v>51</v>
      </c>
      <c r="G2618" s="14" t="s">
        <v>101</v>
      </c>
      <c r="H2618" s="14" t="s">
        <v>102</v>
      </c>
      <c r="I2618" s="14" t="s">
        <v>54</v>
      </c>
      <c r="J2618" s="14" t="s">
        <v>200</v>
      </c>
      <c r="K2618" s="14" t="s">
        <v>204</v>
      </c>
      <c r="L2618" s="14" t="s">
        <v>253</v>
      </c>
      <c r="M2618" s="14" t="s">
        <v>844</v>
      </c>
      <c r="N2618" s="14" t="s">
        <v>845</v>
      </c>
      <c r="O2618" s="14">
        <v>0.0</v>
      </c>
      <c r="P2618" s="17"/>
      <c r="Q2618" s="22"/>
      <c r="S2618" s="14" t="s">
        <v>846</v>
      </c>
    </row>
    <row r="2619">
      <c r="A2619" s="13">
        <v>45901.0</v>
      </c>
      <c r="B2619" s="14" t="s">
        <v>47</v>
      </c>
      <c r="C2619" s="14" t="s">
        <v>48</v>
      </c>
      <c r="D2619" s="14" t="s">
        <v>91</v>
      </c>
      <c r="E2619" s="14" t="s">
        <v>92</v>
      </c>
      <c r="F2619" s="14" t="s">
        <v>146</v>
      </c>
      <c r="G2619" s="14" t="s">
        <v>147</v>
      </c>
      <c r="H2619" s="14" t="s">
        <v>91</v>
      </c>
      <c r="I2619" s="14" t="s">
        <v>107</v>
      </c>
      <c r="J2619" s="14" t="s">
        <v>199</v>
      </c>
      <c r="K2619" s="14" t="s">
        <v>206</v>
      </c>
      <c r="L2619" s="14" t="s">
        <v>531</v>
      </c>
      <c r="M2619" s="14" t="s">
        <v>531</v>
      </c>
      <c r="N2619" s="14" t="s">
        <v>532</v>
      </c>
      <c r="O2619" s="14">
        <v>100.0</v>
      </c>
      <c r="P2619" s="21">
        <v>13.0</v>
      </c>
      <c r="Q2619" s="22" t="str">
        <f t="shared" ref="Q2619:R2619" si="1543">"+0"</f>
        <v>+0</v>
      </c>
      <c r="R2619" s="18" t="str">
        <f t="shared" si="1543"/>
        <v>+0</v>
      </c>
      <c r="S2619" s="14" t="s">
        <v>260</v>
      </c>
    </row>
    <row r="2620">
      <c r="A2620" s="13">
        <v>45901.0</v>
      </c>
      <c r="B2620" s="14" t="s">
        <v>47</v>
      </c>
      <c r="C2620" s="14" t="s">
        <v>48</v>
      </c>
      <c r="D2620" s="14" t="s">
        <v>99</v>
      </c>
      <c r="E2620" s="14" t="s">
        <v>100</v>
      </c>
      <c r="F2620" s="15" t="s">
        <v>51</v>
      </c>
      <c r="G2620" s="14" t="s">
        <v>101</v>
      </c>
      <c r="H2620" s="14" t="s">
        <v>102</v>
      </c>
      <c r="I2620" s="14" t="s">
        <v>54</v>
      </c>
      <c r="J2620" s="14" t="s">
        <v>200</v>
      </c>
      <c r="K2620" s="14" t="s">
        <v>213</v>
      </c>
      <c r="L2620" s="14" t="s">
        <v>676</v>
      </c>
      <c r="M2620" s="14" t="s">
        <v>858</v>
      </c>
      <c r="N2620" s="14" t="s">
        <v>859</v>
      </c>
      <c r="O2620" s="14">
        <v>0.0</v>
      </c>
      <c r="P2620" s="23">
        <v>-1.0</v>
      </c>
      <c r="Q2620" s="22" t="str">
        <f t="shared" ref="Q2620:R2620" si="1544">"+0.00%"</f>
        <v>+0.00%</v>
      </c>
      <c r="R2620" s="18" t="str">
        <f t="shared" si="1544"/>
        <v>+0.00%</v>
      </c>
      <c r="S2620" s="14" t="s">
        <v>1846</v>
      </c>
    </row>
    <row r="2621">
      <c r="A2621" s="13">
        <v>45901.0</v>
      </c>
      <c r="B2621" s="14" t="s">
        <v>47</v>
      </c>
      <c r="C2621" s="14" t="s">
        <v>48</v>
      </c>
      <c r="D2621" s="14" t="s">
        <v>91</v>
      </c>
      <c r="E2621" s="14" t="s">
        <v>92</v>
      </c>
      <c r="F2621" s="14" t="s">
        <v>71</v>
      </c>
      <c r="G2621" s="14">
        <v>5.00008613E8</v>
      </c>
      <c r="H2621" s="14" t="s">
        <v>91</v>
      </c>
      <c r="I2621" s="14" t="s">
        <v>59</v>
      </c>
      <c r="J2621" s="14" t="s">
        <v>200</v>
      </c>
      <c r="K2621" s="14" t="s">
        <v>218</v>
      </c>
      <c r="L2621" s="14" t="s">
        <v>253</v>
      </c>
      <c r="M2621" s="14" t="s">
        <v>1202</v>
      </c>
      <c r="N2621" s="14" t="s">
        <v>1203</v>
      </c>
      <c r="O2621" s="14">
        <v>1.0</v>
      </c>
      <c r="P2621" s="23">
        <v>6.0E-4</v>
      </c>
      <c r="Q2621" s="22" t="str">
        <f>"+0.00%"</f>
        <v>+0.00%</v>
      </c>
      <c r="R2621" s="18" t="str">
        <f>"-0.00%"</f>
        <v>-0.00%</v>
      </c>
      <c r="S2621" s="14" t="s">
        <v>786</v>
      </c>
    </row>
    <row r="2622">
      <c r="A2622" s="13">
        <v>45901.0</v>
      </c>
      <c r="B2622" s="14" t="s">
        <v>47</v>
      </c>
      <c r="C2622" s="14" t="s">
        <v>48</v>
      </c>
      <c r="D2622" s="14" t="s">
        <v>69</v>
      </c>
      <c r="E2622" s="14" t="s">
        <v>70</v>
      </c>
      <c r="F2622" s="15" t="s">
        <v>51</v>
      </c>
      <c r="G2622" s="14" t="s">
        <v>115</v>
      </c>
      <c r="H2622" s="14" t="s">
        <v>72</v>
      </c>
      <c r="I2622" s="14" t="s">
        <v>54</v>
      </c>
      <c r="J2622" s="14" t="s">
        <v>199</v>
      </c>
      <c r="K2622" s="14" t="s">
        <v>206</v>
      </c>
      <c r="L2622" s="14" t="s">
        <v>569</v>
      </c>
      <c r="M2622" s="14" t="s">
        <v>569</v>
      </c>
      <c r="N2622" s="14" t="s">
        <v>570</v>
      </c>
      <c r="O2622" s="14">
        <v>100.0</v>
      </c>
      <c r="P2622" s="21">
        <v>53.0</v>
      </c>
      <c r="Q2622" s="22" t="str">
        <f t="shared" ref="Q2622:Q2625" si="1545">"+0"</f>
        <v>+0</v>
      </c>
      <c r="R2622" s="18" t="str">
        <f>"+52"</f>
        <v>+52</v>
      </c>
      <c r="S2622" s="14" t="s">
        <v>383</v>
      </c>
    </row>
    <row r="2623">
      <c r="A2623" s="13">
        <v>45901.0</v>
      </c>
      <c r="B2623" s="14" t="s">
        <v>47</v>
      </c>
      <c r="C2623" s="14" t="s">
        <v>48</v>
      </c>
      <c r="D2623" s="14" t="s">
        <v>82</v>
      </c>
      <c r="E2623" s="14" t="s">
        <v>83</v>
      </c>
      <c r="F2623" s="15" t="s">
        <v>51</v>
      </c>
      <c r="G2623" s="14" t="s">
        <v>84</v>
      </c>
      <c r="H2623" s="14" t="s">
        <v>82</v>
      </c>
      <c r="I2623" s="14" t="s">
        <v>59</v>
      </c>
      <c r="J2623" s="14" t="s">
        <v>198</v>
      </c>
      <c r="K2623" s="14" t="s">
        <v>207</v>
      </c>
      <c r="L2623" s="14" t="s">
        <v>318</v>
      </c>
      <c r="M2623" s="14" t="s">
        <v>319</v>
      </c>
      <c r="N2623" s="14" t="s">
        <v>320</v>
      </c>
      <c r="O2623" s="14">
        <v>100.0</v>
      </c>
      <c r="P2623" s="21">
        <v>1.0</v>
      </c>
      <c r="Q2623" s="22" t="str">
        <f t="shared" si="1545"/>
        <v>+0</v>
      </c>
      <c r="S2623" s="14" t="s">
        <v>281</v>
      </c>
    </row>
    <row r="2624">
      <c r="A2624" s="13">
        <v>45901.0</v>
      </c>
      <c r="B2624" s="14" t="s">
        <v>47</v>
      </c>
      <c r="C2624" s="14" t="s">
        <v>48</v>
      </c>
      <c r="D2624" s="14" t="s">
        <v>87</v>
      </c>
      <c r="E2624" s="14" t="s">
        <v>88</v>
      </c>
      <c r="F2624" s="15" t="s">
        <v>51</v>
      </c>
      <c r="G2624" s="14" t="s">
        <v>89</v>
      </c>
      <c r="H2624" s="14" t="s">
        <v>90</v>
      </c>
      <c r="I2624" s="14" t="s">
        <v>59</v>
      </c>
      <c r="J2624" s="14" t="s">
        <v>198</v>
      </c>
      <c r="K2624" s="14" t="s">
        <v>205</v>
      </c>
      <c r="L2624" s="14" t="s">
        <v>274</v>
      </c>
      <c r="M2624" s="14" t="s">
        <v>275</v>
      </c>
      <c r="N2624" s="14" t="s">
        <v>276</v>
      </c>
      <c r="O2624" s="14">
        <v>0.0</v>
      </c>
      <c r="P2624" s="21">
        <v>1.0</v>
      </c>
      <c r="Q2624" s="22" t="str">
        <f t="shared" si="1545"/>
        <v>+0</v>
      </c>
      <c r="S2624" s="14" t="s">
        <v>277</v>
      </c>
    </row>
    <row r="2625">
      <c r="A2625" s="13">
        <v>45901.0</v>
      </c>
      <c r="B2625" s="14" t="s">
        <v>47</v>
      </c>
      <c r="C2625" s="14" t="s">
        <v>48</v>
      </c>
      <c r="D2625" s="14" t="s">
        <v>96</v>
      </c>
      <c r="E2625" s="14" t="s">
        <v>97</v>
      </c>
      <c r="F2625" s="15" t="s">
        <v>51</v>
      </c>
      <c r="G2625" s="14" t="s">
        <v>98</v>
      </c>
      <c r="H2625" s="14" t="s">
        <v>96</v>
      </c>
      <c r="I2625" s="14" t="s">
        <v>59</v>
      </c>
      <c r="J2625" s="14" t="s">
        <v>199</v>
      </c>
      <c r="K2625" s="14" t="s">
        <v>206</v>
      </c>
      <c r="L2625" s="14" t="s">
        <v>515</v>
      </c>
      <c r="M2625" s="14" t="s">
        <v>515</v>
      </c>
      <c r="N2625" s="14" t="s">
        <v>516</v>
      </c>
      <c r="O2625" s="14">
        <v>0.0</v>
      </c>
      <c r="P2625" s="21">
        <v>0.0</v>
      </c>
      <c r="Q2625" s="22" t="str">
        <f t="shared" si="1545"/>
        <v>+0</v>
      </c>
      <c r="R2625" s="18" t="str">
        <f>"+0"</f>
        <v>+0</v>
      </c>
      <c r="S2625" s="14" t="s">
        <v>383</v>
      </c>
    </row>
    <row r="2626">
      <c r="A2626" s="13">
        <v>45901.0</v>
      </c>
      <c r="B2626" s="14" t="s">
        <v>47</v>
      </c>
      <c r="C2626" s="14" t="s">
        <v>48</v>
      </c>
      <c r="D2626" s="14" t="s">
        <v>149</v>
      </c>
      <c r="E2626" s="14" t="s">
        <v>150</v>
      </c>
      <c r="F2626" s="15" t="s">
        <v>51</v>
      </c>
      <c r="G2626" s="14" t="s">
        <v>151</v>
      </c>
      <c r="H2626" s="14" t="s">
        <v>152</v>
      </c>
      <c r="I2626" s="14" t="s">
        <v>54</v>
      </c>
      <c r="J2626" s="14" t="s">
        <v>200</v>
      </c>
      <c r="K2626" s="14" t="s">
        <v>224</v>
      </c>
      <c r="L2626" s="14" t="s">
        <v>964</v>
      </c>
      <c r="M2626" s="14" t="s">
        <v>965</v>
      </c>
      <c r="N2626" s="14" t="s">
        <v>966</v>
      </c>
      <c r="O2626" s="14">
        <v>100.0</v>
      </c>
      <c r="P2626" s="23">
        <v>1.0</v>
      </c>
      <c r="Q2626" s="22" t="str">
        <f t="shared" ref="Q2626:R2626" si="1546">"+0.00%"</f>
        <v>+0.00%</v>
      </c>
      <c r="R2626" s="18" t="str">
        <f t="shared" si="1546"/>
        <v>+0.00%</v>
      </c>
      <c r="S2626" s="14" t="s">
        <v>1847</v>
      </c>
    </row>
    <row r="2627">
      <c r="A2627" s="13">
        <v>45901.0</v>
      </c>
      <c r="B2627" s="14" t="s">
        <v>47</v>
      </c>
      <c r="C2627" s="14" t="s">
        <v>48</v>
      </c>
      <c r="D2627" s="14" t="s">
        <v>91</v>
      </c>
      <c r="E2627" s="14" t="s">
        <v>92</v>
      </c>
      <c r="F2627" s="15" t="s">
        <v>51</v>
      </c>
      <c r="G2627" s="14" t="s">
        <v>163</v>
      </c>
      <c r="H2627" s="14" t="s">
        <v>91</v>
      </c>
      <c r="I2627" s="14" t="s">
        <v>59</v>
      </c>
      <c r="J2627" s="14" t="s">
        <v>198</v>
      </c>
      <c r="K2627" s="14" t="s">
        <v>205</v>
      </c>
      <c r="L2627" s="14" t="s">
        <v>274</v>
      </c>
      <c r="M2627" s="14" t="s">
        <v>387</v>
      </c>
      <c r="N2627" s="14" t="s">
        <v>388</v>
      </c>
      <c r="O2627" s="14">
        <v>0.0</v>
      </c>
      <c r="P2627" s="21">
        <v>0.0</v>
      </c>
      <c r="Q2627" s="22" t="str">
        <f t="shared" ref="Q2627:Q2631" si="1547">"+0"</f>
        <v>+0</v>
      </c>
      <c r="S2627" s="14" t="s">
        <v>281</v>
      </c>
    </row>
    <row r="2628">
      <c r="A2628" s="13">
        <v>45901.0</v>
      </c>
      <c r="B2628" s="14" t="s">
        <v>47</v>
      </c>
      <c r="C2628" s="14" t="s">
        <v>48</v>
      </c>
      <c r="D2628" s="14" t="s">
        <v>66</v>
      </c>
      <c r="E2628" s="14" t="s">
        <v>67</v>
      </c>
      <c r="F2628" s="15" t="s">
        <v>51</v>
      </c>
      <c r="G2628" s="14" t="s">
        <v>68</v>
      </c>
      <c r="H2628" s="14" t="s">
        <v>66</v>
      </c>
      <c r="I2628" s="14" t="s">
        <v>59</v>
      </c>
      <c r="J2628" s="14" t="s">
        <v>198</v>
      </c>
      <c r="K2628" s="14" t="s">
        <v>205</v>
      </c>
      <c r="L2628" s="14" t="s">
        <v>274</v>
      </c>
      <c r="M2628" s="14" t="s">
        <v>451</v>
      </c>
      <c r="N2628" s="14" t="s">
        <v>452</v>
      </c>
      <c r="O2628" s="14">
        <v>0.0</v>
      </c>
      <c r="P2628" s="21">
        <v>0.0</v>
      </c>
      <c r="Q2628" s="22" t="str">
        <f t="shared" si="1547"/>
        <v>+0</v>
      </c>
      <c r="S2628" s="14" t="s">
        <v>281</v>
      </c>
    </row>
    <row r="2629">
      <c r="A2629" s="13">
        <v>45901.0</v>
      </c>
      <c r="B2629" s="14" t="s">
        <v>47</v>
      </c>
      <c r="C2629" s="14" t="s">
        <v>48</v>
      </c>
      <c r="D2629" s="14" t="s">
        <v>184</v>
      </c>
      <c r="E2629" s="14" t="s">
        <v>185</v>
      </c>
      <c r="F2629" s="15" t="s">
        <v>51</v>
      </c>
      <c r="G2629" s="14" t="s">
        <v>186</v>
      </c>
      <c r="H2629" s="14" t="s">
        <v>187</v>
      </c>
      <c r="I2629" s="14" t="s">
        <v>59</v>
      </c>
      <c r="J2629" s="14" t="s">
        <v>199</v>
      </c>
      <c r="K2629" s="14" t="s">
        <v>203</v>
      </c>
      <c r="L2629" s="14" t="s">
        <v>736</v>
      </c>
      <c r="M2629" s="14" t="s">
        <v>736</v>
      </c>
      <c r="N2629" s="14" t="s">
        <v>737</v>
      </c>
      <c r="O2629" s="14">
        <v>0.0</v>
      </c>
      <c r="P2629" s="21">
        <v>0.0</v>
      </c>
      <c r="Q2629" s="22" t="str">
        <f t="shared" si="1547"/>
        <v>+0</v>
      </c>
      <c r="R2629" s="18" t="str">
        <f>"+0"</f>
        <v>+0</v>
      </c>
      <c r="S2629" s="14" t="s">
        <v>260</v>
      </c>
    </row>
    <row r="2630">
      <c r="A2630" s="13">
        <v>45901.0</v>
      </c>
      <c r="B2630" s="14" t="s">
        <v>47</v>
      </c>
      <c r="C2630" s="14" t="s">
        <v>48</v>
      </c>
      <c r="D2630" s="14" t="s">
        <v>192</v>
      </c>
      <c r="E2630" s="14" t="s">
        <v>193</v>
      </c>
      <c r="F2630" s="15" t="s">
        <v>51</v>
      </c>
      <c r="G2630" s="14" t="s">
        <v>194</v>
      </c>
      <c r="H2630" s="14" t="s">
        <v>192</v>
      </c>
      <c r="I2630" s="14" t="s">
        <v>54</v>
      </c>
      <c r="J2630" s="14" t="s">
        <v>198</v>
      </c>
      <c r="K2630" s="14" t="s">
        <v>210</v>
      </c>
      <c r="L2630" s="14" t="s">
        <v>458</v>
      </c>
      <c r="M2630" s="14" t="s">
        <v>744</v>
      </c>
      <c r="N2630" s="14" t="s">
        <v>745</v>
      </c>
      <c r="O2630" s="14">
        <v>0.0</v>
      </c>
      <c r="P2630" s="21">
        <v>0.0</v>
      </c>
      <c r="Q2630" s="22" t="str">
        <f t="shared" si="1547"/>
        <v>+0</v>
      </c>
      <c r="R2630" s="18" t="str">
        <f>"-1"</f>
        <v>-1</v>
      </c>
      <c r="S2630" s="14" t="s">
        <v>277</v>
      </c>
    </row>
    <row r="2631">
      <c r="A2631" s="13">
        <v>45901.0</v>
      </c>
      <c r="B2631" s="14" t="s">
        <v>47</v>
      </c>
      <c r="C2631" s="14" t="s">
        <v>48</v>
      </c>
      <c r="D2631" s="14" t="s">
        <v>192</v>
      </c>
      <c r="E2631" s="14" t="s">
        <v>193</v>
      </c>
      <c r="F2631" s="15" t="s">
        <v>51</v>
      </c>
      <c r="G2631" s="14" t="s">
        <v>194</v>
      </c>
      <c r="H2631" s="14" t="s">
        <v>192</v>
      </c>
      <c r="I2631" s="14" t="s">
        <v>54</v>
      </c>
      <c r="J2631" s="14" t="s">
        <v>198</v>
      </c>
      <c r="K2631" s="14" t="s">
        <v>210</v>
      </c>
      <c r="L2631" s="14" t="s">
        <v>264</v>
      </c>
      <c r="M2631" s="14" t="s">
        <v>694</v>
      </c>
      <c r="N2631" s="14" t="s">
        <v>695</v>
      </c>
      <c r="O2631" s="14">
        <v>0.0</v>
      </c>
      <c r="P2631" s="21">
        <v>0.0</v>
      </c>
      <c r="Q2631" s="22" t="str">
        <f t="shared" si="1547"/>
        <v>+0</v>
      </c>
      <c r="R2631" s="18" t="str">
        <f>"+0"</f>
        <v>+0</v>
      </c>
      <c r="S2631" s="14" t="s">
        <v>277</v>
      </c>
    </row>
    <row r="2632">
      <c r="A2632" s="13">
        <v>45901.0</v>
      </c>
      <c r="B2632" s="14" t="s">
        <v>47</v>
      </c>
      <c r="C2632" s="14" t="s">
        <v>48</v>
      </c>
      <c r="D2632" s="14" t="s">
        <v>192</v>
      </c>
      <c r="E2632" s="14" t="s">
        <v>193</v>
      </c>
      <c r="F2632" s="15" t="s">
        <v>51</v>
      </c>
      <c r="G2632" s="14" t="s">
        <v>194</v>
      </c>
      <c r="H2632" s="14" t="s">
        <v>192</v>
      </c>
      <c r="I2632" s="14" t="s">
        <v>54</v>
      </c>
      <c r="J2632" s="14" t="s">
        <v>199</v>
      </c>
      <c r="K2632" s="14" t="s">
        <v>206</v>
      </c>
      <c r="L2632" s="14" t="s">
        <v>569</v>
      </c>
      <c r="M2632" s="14" t="s">
        <v>569</v>
      </c>
      <c r="N2632" s="14" t="s">
        <v>570</v>
      </c>
      <c r="O2632" s="14">
        <v>100.0</v>
      </c>
      <c r="P2632" s="21">
        <v>5.0</v>
      </c>
      <c r="Q2632" s="22" t="str">
        <f>"+3"</f>
        <v>+3</v>
      </c>
      <c r="R2632" s="18" t="str">
        <f>"+1"</f>
        <v>+1</v>
      </c>
      <c r="S2632" s="14" t="s">
        <v>383</v>
      </c>
    </row>
    <row r="2633">
      <c r="A2633" s="13">
        <v>45901.0</v>
      </c>
      <c r="B2633" s="14" t="s">
        <v>47</v>
      </c>
      <c r="C2633" s="14" t="s">
        <v>48</v>
      </c>
      <c r="D2633" s="14" t="s">
        <v>192</v>
      </c>
      <c r="E2633" s="14" t="s">
        <v>193</v>
      </c>
      <c r="F2633" s="15" t="s">
        <v>51</v>
      </c>
      <c r="G2633" s="14" t="s">
        <v>194</v>
      </c>
      <c r="H2633" s="14" t="s">
        <v>192</v>
      </c>
      <c r="I2633" s="14" t="s">
        <v>54</v>
      </c>
      <c r="J2633" s="14" t="s">
        <v>199</v>
      </c>
      <c r="K2633" s="14" t="s">
        <v>206</v>
      </c>
      <c r="L2633" s="14" t="s">
        <v>295</v>
      </c>
      <c r="M2633" s="14" t="s">
        <v>529</v>
      </c>
      <c r="N2633" s="14" t="s">
        <v>530</v>
      </c>
      <c r="O2633" s="14">
        <v>100.0</v>
      </c>
      <c r="P2633" s="21">
        <v>2.0</v>
      </c>
      <c r="Q2633" s="22" t="str">
        <f t="shared" ref="Q2633:R2633" si="1548">"+0"</f>
        <v>+0</v>
      </c>
      <c r="R2633" s="18" t="str">
        <f t="shared" si="1548"/>
        <v>+0</v>
      </c>
      <c r="S2633" s="14" t="s">
        <v>260</v>
      </c>
    </row>
    <row r="2634">
      <c r="A2634" s="13">
        <v>45901.0</v>
      </c>
      <c r="B2634" s="14" t="s">
        <v>47</v>
      </c>
      <c r="C2634" s="14" t="s">
        <v>48</v>
      </c>
      <c r="D2634" s="14" t="s">
        <v>132</v>
      </c>
      <c r="E2634" s="14" t="s">
        <v>133</v>
      </c>
      <c r="F2634" s="15" t="s">
        <v>51</v>
      </c>
      <c r="G2634" s="14" t="s">
        <v>134</v>
      </c>
      <c r="H2634" s="14" t="s">
        <v>135</v>
      </c>
      <c r="I2634" s="14" t="s">
        <v>59</v>
      </c>
      <c r="J2634" s="14" t="s">
        <v>200</v>
      </c>
      <c r="K2634" s="14" t="s">
        <v>213</v>
      </c>
      <c r="L2634" s="14" t="s">
        <v>571</v>
      </c>
      <c r="M2634" s="14" t="s">
        <v>572</v>
      </c>
      <c r="N2634" s="14" t="s">
        <v>573</v>
      </c>
      <c r="O2634" s="14">
        <v>0.0</v>
      </c>
      <c r="P2634" s="23">
        <v>0.0</v>
      </c>
      <c r="Q2634" s="22" t="str">
        <f t="shared" ref="Q2634:R2634" si="1549">"+0.00%"</f>
        <v>+0.00%</v>
      </c>
      <c r="R2634" s="18" t="str">
        <f t="shared" si="1549"/>
        <v>+0.00%</v>
      </c>
      <c r="S2634" s="14" t="s">
        <v>285</v>
      </c>
    </row>
    <row r="2635">
      <c r="A2635" s="13">
        <v>45901.0</v>
      </c>
      <c r="B2635" s="14" t="s">
        <v>47</v>
      </c>
      <c r="C2635" s="14" t="s">
        <v>48</v>
      </c>
      <c r="D2635" s="14" t="s">
        <v>73</v>
      </c>
      <c r="E2635" s="14" t="s">
        <v>74</v>
      </c>
      <c r="F2635" s="15" t="s">
        <v>51</v>
      </c>
      <c r="G2635" s="14" t="s">
        <v>75</v>
      </c>
      <c r="H2635" s="14" t="s">
        <v>76</v>
      </c>
      <c r="I2635" s="14" t="s">
        <v>59</v>
      </c>
      <c r="J2635" s="14" t="s">
        <v>198</v>
      </c>
      <c r="K2635" s="14" t="s">
        <v>210</v>
      </c>
      <c r="L2635" s="14" t="s">
        <v>264</v>
      </c>
      <c r="M2635" s="14" t="s">
        <v>357</v>
      </c>
      <c r="N2635" s="14" t="s">
        <v>358</v>
      </c>
      <c r="O2635" s="14">
        <v>100.0</v>
      </c>
      <c r="P2635" s="21">
        <v>0.0</v>
      </c>
      <c r="Q2635" s="22" t="str">
        <f t="shared" ref="Q2635:R2635" si="1550">"+0"</f>
        <v>+0</v>
      </c>
      <c r="R2635" s="18" t="str">
        <f t="shared" si="1550"/>
        <v>+0</v>
      </c>
      <c r="S2635" s="14" t="s">
        <v>281</v>
      </c>
    </row>
    <row r="2636">
      <c r="A2636" s="13">
        <v>45901.0</v>
      </c>
      <c r="B2636" s="14" t="s">
        <v>47</v>
      </c>
      <c r="C2636" s="14" t="s">
        <v>48</v>
      </c>
      <c r="D2636" s="14" t="s">
        <v>143</v>
      </c>
      <c r="E2636" s="14" t="s">
        <v>144</v>
      </c>
      <c r="F2636" s="15" t="s">
        <v>51</v>
      </c>
      <c r="G2636" s="14" t="s">
        <v>145</v>
      </c>
      <c r="H2636" s="14" t="s">
        <v>143</v>
      </c>
      <c r="I2636" s="14" t="s">
        <v>59</v>
      </c>
      <c r="J2636" s="14" t="s">
        <v>199</v>
      </c>
      <c r="K2636" s="14" t="s">
        <v>203</v>
      </c>
      <c r="L2636" s="14" t="s">
        <v>736</v>
      </c>
      <c r="M2636" s="14" t="s">
        <v>736</v>
      </c>
      <c r="N2636" s="14" t="s">
        <v>737</v>
      </c>
      <c r="O2636" s="14">
        <v>0.0</v>
      </c>
      <c r="P2636" s="21">
        <v>0.0</v>
      </c>
      <c r="Q2636" s="22" t="str">
        <f t="shared" ref="Q2636:R2636" si="1551">"+0"</f>
        <v>+0</v>
      </c>
      <c r="R2636" s="18" t="str">
        <f t="shared" si="1551"/>
        <v>+0</v>
      </c>
      <c r="S2636" s="14" t="s">
        <v>260</v>
      </c>
    </row>
    <row r="2637">
      <c r="A2637" s="13">
        <v>45901.0</v>
      </c>
      <c r="B2637" s="14" t="s">
        <v>47</v>
      </c>
      <c r="C2637" s="14" t="s">
        <v>48</v>
      </c>
      <c r="D2637" s="14" t="s">
        <v>149</v>
      </c>
      <c r="E2637" s="14" t="s">
        <v>150</v>
      </c>
      <c r="F2637" s="15" t="s">
        <v>51</v>
      </c>
      <c r="G2637" s="14" t="s">
        <v>151</v>
      </c>
      <c r="H2637" s="14" t="s">
        <v>152</v>
      </c>
      <c r="I2637" s="14" t="s">
        <v>54</v>
      </c>
      <c r="J2637" s="14" t="s">
        <v>200</v>
      </c>
      <c r="K2637" s="14" t="s">
        <v>231</v>
      </c>
      <c r="L2637" s="14" t="s">
        <v>512</v>
      </c>
      <c r="M2637" s="14" t="s">
        <v>1435</v>
      </c>
      <c r="N2637" s="14" t="s">
        <v>1436</v>
      </c>
      <c r="O2637" s="14">
        <v>0.0</v>
      </c>
      <c r="P2637" s="21">
        <v>0.0</v>
      </c>
      <c r="Q2637" s="22" t="str">
        <f t="shared" ref="Q2637:R2637" si="1552">"+0"</f>
        <v>+0</v>
      </c>
      <c r="R2637" s="18" t="str">
        <f t="shared" si="1552"/>
        <v>+0</v>
      </c>
      <c r="S2637" s="14" t="s">
        <v>260</v>
      </c>
    </row>
    <row r="2638">
      <c r="A2638" s="13">
        <v>45901.0</v>
      </c>
      <c r="B2638" s="14" t="s">
        <v>47</v>
      </c>
      <c r="C2638" s="14" t="s">
        <v>48</v>
      </c>
      <c r="D2638" s="14" t="s">
        <v>149</v>
      </c>
      <c r="E2638" s="14" t="s">
        <v>150</v>
      </c>
      <c r="F2638" s="15" t="s">
        <v>51</v>
      </c>
      <c r="G2638" s="14" t="s">
        <v>151</v>
      </c>
      <c r="H2638" s="14" t="s">
        <v>152</v>
      </c>
      <c r="I2638" s="14" t="s">
        <v>54</v>
      </c>
      <c r="J2638" s="14" t="s">
        <v>200</v>
      </c>
      <c r="K2638" s="14" t="s">
        <v>223</v>
      </c>
      <c r="L2638" s="14" t="s">
        <v>257</v>
      </c>
      <c r="M2638" s="14" t="s">
        <v>258</v>
      </c>
      <c r="N2638" s="14" t="s">
        <v>259</v>
      </c>
      <c r="O2638" s="14">
        <v>100.0</v>
      </c>
      <c r="P2638" s="21">
        <v>78.0</v>
      </c>
      <c r="Q2638" s="22" t="str">
        <f t="shared" ref="Q2638:R2638" si="1553">"+0"</f>
        <v>+0</v>
      </c>
      <c r="R2638" s="18" t="str">
        <f t="shared" si="1553"/>
        <v>+0</v>
      </c>
      <c r="S2638" s="14" t="s">
        <v>260</v>
      </c>
    </row>
    <row r="2639">
      <c r="A2639" s="13">
        <v>45901.0</v>
      </c>
      <c r="B2639" s="14" t="s">
        <v>47</v>
      </c>
      <c r="C2639" s="14" t="s">
        <v>48</v>
      </c>
      <c r="D2639" s="14" t="s">
        <v>136</v>
      </c>
      <c r="E2639" s="14" t="s">
        <v>137</v>
      </c>
      <c r="F2639" s="15" t="s">
        <v>51</v>
      </c>
      <c r="G2639" s="14" t="s">
        <v>138</v>
      </c>
      <c r="H2639" s="14" t="s">
        <v>139</v>
      </c>
      <c r="I2639" s="14" t="s">
        <v>59</v>
      </c>
      <c r="J2639" s="14" t="s">
        <v>198</v>
      </c>
      <c r="K2639" s="14" t="s">
        <v>210</v>
      </c>
      <c r="L2639" s="14" t="s">
        <v>264</v>
      </c>
      <c r="M2639" s="14" t="s">
        <v>524</v>
      </c>
      <c r="N2639" s="14" t="s">
        <v>525</v>
      </c>
      <c r="O2639" s="14">
        <v>0.0</v>
      </c>
      <c r="P2639" s="21">
        <v>9.0</v>
      </c>
      <c r="Q2639" s="22" t="str">
        <f>"-422"</f>
        <v>-422</v>
      </c>
      <c r="R2639" s="18" t="str">
        <f>"+6"</f>
        <v>+6</v>
      </c>
      <c r="S2639" s="14" t="s">
        <v>356</v>
      </c>
    </row>
    <row r="2640">
      <c r="A2640" s="13">
        <v>45901.0</v>
      </c>
      <c r="B2640" s="14" t="s">
        <v>47</v>
      </c>
      <c r="C2640" s="14" t="s">
        <v>48</v>
      </c>
      <c r="D2640" s="14" t="s">
        <v>149</v>
      </c>
      <c r="E2640" s="14" t="s">
        <v>150</v>
      </c>
      <c r="F2640" s="15" t="s">
        <v>51</v>
      </c>
      <c r="G2640" s="14" t="s">
        <v>151</v>
      </c>
      <c r="H2640" s="14" t="s">
        <v>152</v>
      </c>
      <c r="I2640" s="14" t="s">
        <v>54</v>
      </c>
      <c r="J2640" s="14" t="s">
        <v>200</v>
      </c>
      <c r="K2640" s="14" t="s">
        <v>231</v>
      </c>
      <c r="L2640" s="14" t="s">
        <v>751</v>
      </c>
      <c r="M2640" s="14" t="s">
        <v>1120</v>
      </c>
      <c r="N2640" s="14" t="s">
        <v>1121</v>
      </c>
      <c r="O2640" s="14">
        <v>0.0</v>
      </c>
      <c r="P2640" s="21">
        <v>0.0</v>
      </c>
      <c r="Q2640" s="22" t="str">
        <f t="shared" ref="Q2640:R2640" si="1554">"+0"</f>
        <v>+0</v>
      </c>
      <c r="R2640" s="18" t="str">
        <f t="shared" si="1554"/>
        <v>+0</v>
      </c>
      <c r="S2640" s="14" t="s">
        <v>260</v>
      </c>
    </row>
    <row r="2641">
      <c r="A2641" s="13">
        <v>45901.0</v>
      </c>
      <c r="B2641" s="14" t="s">
        <v>47</v>
      </c>
      <c r="C2641" s="14" t="s">
        <v>48</v>
      </c>
      <c r="D2641" s="14" t="s">
        <v>69</v>
      </c>
      <c r="E2641" s="14" t="s">
        <v>70</v>
      </c>
      <c r="F2641" s="15" t="s">
        <v>51</v>
      </c>
      <c r="G2641" s="14" t="s">
        <v>115</v>
      </c>
      <c r="H2641" s="14" t="s">
        <v>72</v>
      </c>
      <c r="I2641" s="14" t="s">
        <v>54</v>
      </c>
      <c r="J2641" s="14" t="s">
        <v>198</v>
      </c>
      <c r="K2641" s="14" t="s">
        <v>210</v>
      </c>
      <c r="L2641" s="14" t="s">
        <v>264</v>
      </c>
      <c r="M2641" s="14" t="s">
        <v>1848</v>
      </c>
      <c r="N2641" s="14" t="s">
        <v>1849</v>
      </c>
      <c r="O2641" s="14">
        <v>0.0</v>
      </c>
      <c r="P2641" s="21">
        <v>5760.0</v>
      </c>
      <c r="Q2641" s="22" t="str">
        <f>"+3,541"</f>
        <v>+3,541</v>
      </c>
      <c r="R2641" s="18" t="str">
        <f>"+1,986"</f>
        <v>+1,986</v>
      </c>
      <c r="S2641" s="14" t="s">
        <v>1850</v>
      </c>
    </row>
    <row r="2642">
      <c r="A2642" s="13">
        <v>45901.0</v>
      </c>
      <c r="B2642" s="14" t="s">
        <v>47</v>
      </c>
      <c r="C2642" s="14" t="s">
        <v>48</v>
      </c>
      <c r="D2642" s="14" t="s">
        <v>69</v>
      </c>
      <c r="E2642" s="14" t="s">
        <v>70</v>
      </c>
      <c r="F2642" s="15" t="s">
        <v>51</v>
      </c>
      <c r="G2642" s="14" t="s">
        <v>115</v>
      </c>
      <c r="H2642" s="14" t="s">
        <v>72</v>
      </c>
      <c r="I2642" s="14" t="s">
        <v>54</v>
      </c>
      <c r="J2642" s="14" t="s">
        <v>198</v>
      </c>
      <c r="K2642" s="14" t="s">
        <v>205</v>
      </c>
      <c r="L2642" s="14" t="s">
        <v>274</v>
      </c>
      <c r="M2642" s="14" t="s">
        <v>1851</v>
      </c>
      <c r="N2642" s="14" t="s">
        <v>1852</v>
      </c>
      <c r="O2642" s="14">
        <v>0.0</v>
      </c>
      <c r="P2642" s="21">
        <v>0.0</v>
      </c>
      <c r="Q2642" s="22" t="str">
        <f>"+0"</f>
        <v>+0</v>
      </c>
      <c r="S2642" s="14" t="s">
        <v>281</v>
      </c>
    </row>
    <row r="2643">
      <c r="A2643" s="13">
        <v>45901.0</v>
      </c>
      <c r="B2643" s="14" t="s">
        <v>47</v>
      </c>
      <c r="C2643" s="14" t="s">
        <v>48</v>
      </c>
      <c r="D2643" s="14" t="s">
        <v>96</v>
      </c>
      <c r="E2643" s="14" t="s">
        <v>97</v>
      </c>
      <c r="F2643" s="15" t="s">
        <v>51</v>
      </c>
      <c r="G2643" s="14" t="s">
        <v>98</v>
      </c>
      <c r="H2643" s="14" t="s">
        <v>96</v>
      </c>
      <c r="I2643" s="14" t="s">
        <v>59</v>
      </c>
      <c r="J2643" s="14" t="s">
        <v>200</v>
      </c>
      <c r="K2643" s="14" t="s">
        <v>227</v>
      </c>
      <c r="L2643" s="14" t="s">
        <v>253</v>
      </c>
      <c r="M2643" s="14" t="s">
        <v>396</v>
      </c>
      <c r="N2643" s="14" t="s">
        <v>397</v>
      </c>
      <c r="O2643" s="14">
        <v>0.0</v>
      </c>
      <c r="P2643" s="23">
        <v>0.0</v>
      </c>
      <c r="Q2643" s="22" t="str">
        <f t="shared" ref="Q2643:R2643" si="1555">"+0.00%"</f>
        <v>+0.00%</v>
      </c>
      <c r="R2643" s="18" t="str">
        <f t="shared" si="1555"/>
        <v>+0.00%</v>
      </c>
      <c r="S2643" s="14" t="s">
        <v>916</v>
      </c>
    </row>
    <row r="2644">
      <c r="A2644" s="13">
        <v>45901.0</v>
      </c>
      <c r="B2644" s="14" t="s">
        <v>47</v>
      </c>
      <c r="C2644" s="14" t="s">
        <v>48</v>
      </c>
      <c r="D2644" s="14" t="s">
        <v>69</v>
      </c>
      <c r="E2644" s="14" t="s">
        <v>70</v>
      </c>
      <c r="F2644" s="15" t="s">
        <v>51</v>
      </c>
      <c r="G2644" s="14" t="s">
        <v>115</v>
      </c>
      <c r="H2644" s="14" t="s">
        <v>72</v>
      </c>
      <c r="I2644" s="14" t="s">
        <v>54</v>
      </c>
      <c r="J2644" s="14" t="s">
        <v>198</v>
      </c>
      <c r="K2644" s="14" t="s">
        <v>210</v>
      </c>
      <c r="L2644" s="14" t="s">
        <v>264</v>
      </c>
      <c r="M2644" s="14" t="s">
        <v>1064</v>
      </c>
      <c r="N2644" s="14" t="s">
        <v>1065</v>
      </c>
      <c r="O2644" s="14">
        <v>0.0</v>
      </c>
      <c r="P2644" s="21">
        <v>0.0</v>
      </c>
      <c r="Q2644" s="22" t="str">
        <f t="shared" ref="Q2644:R2644" si="1556">"+0"</f>
        <v>+0</v>
      </c>
      <c r="R2644" s="18" t="str">
        <f t="shared" si="1556"/>
        <v>+0</v>
      </c>
      <c r="S2644" s="14" t="s">
        <v>277</v>
      </c>
    </row>
    <row r="2645">
      <c r="A2645" s="13">
        <v>45901.0</v>
      </c>
      <c r="B2645" s="14" t="s">
        <v>47</v>
      </c>
      <c r="C2645" s="14" t="s">
        <v>48</v>
      </c>
      <c r="D2645" s="14" t="s">
        <v>77</v>
      </c>
      <c r="E2645" s="14" t="s">
        <v>78</v>
      </c>
      <c r="F2645" s="14" t="s">
        <v>79</v>
      </c>
      <c r="G2645" s="14" t="s">
        <v>80</v>
      </c>
      <c r="H2645" s="14" t="s">
        <v>81</v>
      </c>
      <c r="J2645" s="14" t="s">
        <v>199</v>
      </c>
      <c r="K2645" s="14" t="s">
        <v>206</v>
      </c>
      <c r="L2645" s="14" t="s">
        <v>531</v>
      </c>
      <c r="M2645" s="14" t="s">
        <v>531</v>
      </c>
      <c r="N2645" s="14" t="s">
        <v>532</v>
      </c>
      <c r="O2645" s="14">
        <v>0.0</v>
      </c>
      <c r="P2645" s="21">
        <v>0.0</v>
      </c>
      <c r="Q2645" s="22" t="str">
        <f t="shared" ref="Q2645:R2645" si="1557">"+0"</f>
        <v>+0</v>
      </c>
      <c r="R2645" s="18" t="str">
        <f t="shared" si="1557"/>
        <v>+0</v>
      </c>
      <c r="S2645" s="14" t="s">
        <v>260</v>
      </c>
    </row>
    <row r="2646">
      <c r="A2646" s="13">
        <v>45901.0</v>
      </c>
      <c r="B2646" s="14" t="s">
        <v>47</v>
      </c>
      <c r="C2646" s="14" t="s">
        <v>48</v>
      </c>
      <c r="D2646" s="14" t="s">
        <v>108</v>
      </c>
      <c r="E2646" s="14" t="s">
        <v>109</v>
      </c>
      <c r="F2646" s="15" t="s">
        <v>51</v>
      </c>
      <c r="G2646" s="14" t="s">
        <v>110</v>
      </c>
      <c r="H2646" s="14" t="s">
        <v>108</v>
      </c>
      <c r="I2646" s="14" t="s">
        <v>59</v>
      </c>
      <c r="J2646" s="14" t="s">
        <v>200</v>
      </c>
      <c r="K2646" s="14" t="s">
        <v>215</v>
      </c>
      <c r="L2646" s="14" t="s">
        <v>1322</v>
      </c>
      <c r="M2646" s="14" t="s">
        <v>1853</v>
      </c>
      <c r="N2646" s="14" t="s">
        <v>1854</v>
      </c>
      <c r="O2646" s="14">
        <v>0.0</v>
      </c>
      <c r="P2646" s="23">
        <v>-1.0</v>
      </c>
      <c r="Q2646" s="22" t="str">
        <f t="shared" ref="Q2646:R2646" si="1558">"+0.00%"</f>
        <v>+0.00%</v>
      </c>
      <c r="R2646" s="18" t="str">
        <f t="shared" si="1558"/>
        <v>+0.00%</v>
      </c>
      <c r="S2646" s="14" t="s">
        <v>1855</v>
      </c>
    </row>
    <row r="2647">
      <c r="A2647" s="13">
        <v>45901.0</v>
      </c>
      <c r="B2647" s="14" t="s">
        <v>47</v>
      </c>
      <c r="C2647" s="14" t="s">
        <v>48</v>
      </c>
      <c r="D2647" s="14" t="s">
        <v>116</v>
      </c>
      <c r="E2647" s="14" t="s">
        <v>117</v>
      </c>
      <c r="F2647" s="15" t="s">
        <v>51</v>
      </c>
      <c r="G2647" s="14" t="s">
        <v>161</v>
      </c>
      <c r="H2647" s="14" t="s">
        <v>116</v>
      </c>
      <c r="I2647" s="14" t="s">
        <v>54</v>
      </c>
      <c r="J2647" s="14" t="s">
        <v>200</v>
      </c>
      <c r="K2647" s="14" t="s">
        <v>228</v>
      </c>
      <c r="L2647" s="14" t="s">
        <v>253</v>
      </c>
      <c r="M2647" s="14" t="s">
        <v>366</v>
      </c>
      <c r="N2647" s="14" t="s">
        <v>367</v>
      </c>
      <c r="O2647" s="14">
        <v>0.0</v>
      </c>
      <c r="P2647" s="23">
        <v>0.0</v>
      </c>
      <c r="Q2647" s="22" t="str">
        <f t="shared" ref="Q2647:R2647" si="1559">"+0.00%"</f>
        <v>+0.00%</v>
      </c>
      <c r="R2647" s="18" t="str">
        <f t="shared" si="1559"/>
        <v>+0.00%</v>
      </c>
      <c r="S2647" s="14" t="s">
        <v>1856</v>
      </c>
    </row>
    <row r="2648">
      <c r="A2648" s="13">
        <v>45901.0</v>
      </c>
      <c r="B2648" s="14" t="s">
        <v>47</v>
      </c>
      <c r="C2648" s="14" t="s">
        <v>48</v>
      </c>
      <c r="D2648" s="14" t="s">
        <v>77</v>
      </c>
      <c r="E2648" s="14" t="s">
        <v>78</v>
      </c>
      <c r="F2648" s="15" t="s">
        <v>51</v>
      </c>
      <c r="G2648" s="14" t="s">
        <v>128</v>
      </c>
      <c r="H2648" s="14" t="s">
        <v>81</v>
      </c>
      <c r="I2648" s="14" t="s">
        <v>59</v>
      </c>
      <c r="J2648" s="14" t="s">
        <v>198</v>
      </c>
      <c r="K2648" s="14" t="s">
        <v>210</v>
      </c>
      <c r="L2648" s="14" t="s">
        <v>505</v>
      </c>
      <c r="M2648" s="14" t="s">
        <v>506</v>
      </c>
      <c r="N2648" s="14" t="s">
        <v>507</v>
      </c>
      <c r="O2648" s="14">
        <v>100.0</v>
      </c>
      <c r="P2648" s="21">
        <v>0.0</v>
      </c>
      <c r="Q2648" s="22" t="str">
        <f t="shared" ref="Q2648:R2648" si="1560">"+0"</f>
        <v>+0</v>
      </c>
      <c r="R2648" s="18" t="str">
        <f t="shared" si="1560"/>
        <v>+0</v>
      </c>
      <c r="S2648" s="14" t="s">
        <v>281</v>
      </c>
    </row>
    <row r="2649">
      <c r="A2649" s="13">
        <v>45901.0</v>
      </c>
      <c r="B2649" s="14" t="s">
        <v>47</v>
      </c>
      <c r="C2649" s="14" t="s">
        <v>48</v>
      </c>
      <c r="D2649" s="14" t="s">
        <v>108</v>
      </c>
      <c r="E2649" s="14" t="s">
        <v>109</v>
      </c>
      <c r="F2649" s="15" t="s">
        <v>51</v>
      </c>
      <c r="G2649" s="14" t="s">
        <v>110</v>
      </c>
      <c r="H2649" s="14" t="s">
        <v>108</v>
      </c>
      <c r="I2649" s="14" t="s">
        <v>59</v>
      </c>
      <c r="J2649" s="14" t="s">
        <v>200</v>
      </c>
      <c r="K2649" s="14" t="s">
        <v>233</v>
      </c>
      <c r="L2649" s="14" t="s">
        <v>1269</v>
      </c>
      <c r="M2649" s="14" t="s">
        <v>1857</v>
      </c>
      <c r="N2649" s="14" t="s">
        <v>1858</v>
      </c>
      <c r="O2649" s="14">
        <v>0.0</v>
      </c>
      <c r="P2649" s="23">
        <v>-1.0</v>
      </c>
      <c r="Q2649" s="22" t="str">
        <f>"+0.00%"</f>
        <v>+0.00%</v>
      </c>
      <c r="S2649" s="14" t="s">
        <v>336</v>
      </c>
    </row>
    <row r="2650">
      <c r="A2650" s="13">
        <v>45901.0</v>
      </c>
      <c r="B2650" s="14" t="s">
        <v>47</v>
      </c>
      <c r="C2650" s="14" t="s">
        <v>48</v>
      </c>
      <c r="D2650" s="14" t="s">
        <v>77</v>
      </c>
      <c r="E2650" s="14" t="s">
        <v>78</v>
      </c>
      <c r="F2650" s="15" t="s">
        <v>51</v>
      </c>
      <c r="G2650" s="14" t="s">
        <v>128</v>
      </c>
      <c r="H2650" s="14" t="s">
        <v>81</v>
      </c>
      <c r="I2650" s="14" t="s">
        <v>59</v>
      </c>
      <c r="J2650" s="14" t="s">
        <v>200</v>
      </c>
      <c r="K2650" s="14" t="s">
        <v>216</v>
      </c>
      <c r="L2650" s="14" t="s">
        <v>1235</v>
      </c>
      <c r="M2650" s="14" t="s">
        <v>1236</v>
      </c>
      <c r="N2650" s="14" t="s">
        <v>1237</v>
      </c>
      <c r="O2650" s="14">
        <v>0.0</v>
      </c>
      <c r="P2650" s="21">
        <v>0.0</v>
      </c>
      <c r="Q2650" s="22" t="str">
        <f t="shared" ref="Q2650:R2650" si="1561">"+0"</f>
        <v>+0</v>
      </c>
      <c r="R2650" s="18" t="str">
        <f t="shared" si="1561"/>
        <v>+0</v>
      </c>
      <c r="S2650" s="14" t="s">
        <v>260</v>
      </c>
    </row>
    <row r="2651">
      <c r="A2651" s="13">
        <v>45901.0</v>
      </c>
      <c r="B2651" s="14" t="s">
        <v>47</v>
      </c>
      <c r="C2651" s="14" t="s">
        <v>48</v>
      </c>
      <c r="D2651" s="14" t="s">
        <v>158</v>
      </c>
      <c r="E2651" s="14" t="s">
        <v>159</v>
      </c>
      <c r="F2651" s="15" t="s">
        <v>51</v>
      </c>
      <c r="G2651" s="14" t="s">
        <v>160</v>
      </c>
      <c r="H2651" s="14" t="s">
        <v>158</v>
      </c>
      <c r="I2651" s="14" t="s">
        <v>54</v>
      </c>
      <c r="J2651" s="14" t="s">
        <v>199</v>
      </c>
      <c r="K2651" s="14" t="s">
        <v>203</v>
      </c>
      <c r="L2651" s="14" t="s">
        <v>1631</v>
      </c>
      <c r="M2651" s="14" t="s">
        <v>1632</v>
      </c>
      <c r="N2651" s="14" t="s">
        <v>1633</v>
      </c>
      <c r="O2651" s="14">
        <v>100.0</v>
      </c>
      <c r="P2651" s="21">
        <v>1.0</v>
      </c>
      <c r="Q2651" s="22" t="str">
        <f t="shared" ref="Q2651:R2651" si="1562">"+0"</f>
        <v>+0</v>
      </c>
      <c r="R2651" s="18" t="str">
        <f t="shared" si="1562"/>
        <v>+0</v>
      </c>
      <c r="S2651" s="14" t="s">
        <v>260</v>
      </c>
    </row>
    <row r="2652">
      <c r="A2652" s="13">
        <v>45901.0</v>
      </c>
      <c r="B2652" s="14" t="s">
        <v>47</v>
      </c>
      <c r="C2652" s="14" t="s">
        <v>48</v>
      </c>
      <c r="D2652" s="14" t="s">
        <v>158</v>
      </c>
      <c r="E2652" s="14" t="s">
        <v>159</v>
      </c>
      <c r="F2652" s="15" t="s">
        <v>51</v>
      </c>
      <c r="G2652" s="14" t="s">
        <v>160</v>
      </c>
      <c r="H2652" s="14" t="s">
        <v>158</v>
      </c>
      <c r="I2652" s="14" t="s">
        <v>54</v>
      </c>
      <c r="J2652" s="14" t="s">
        <v>200</v>
      </c>
      <c r="K2652" s="14" t="s">
        <v>224</v>
      </c>
      <c r="L2652" s="14" t="s">
        <v>436</v>
      </c>
      <c r="M2652" s="14" t="s">
        <v>437</v>
      </c>
      <c r="N2652" s="14" t="s">
        <v>438</v>
      </c>
      <c r="O2652" s="14">
        <v>0.0</v>
      </c>
      <c r="P2652" s="17"/>
      <c r="Q2652" s="22"/>
      <c r="S2652" s="14" t="s">
        <v>1859</v>
      </c>
    </row>
    <row r="2653">
      <c r="A2653" s="13">
        <v>45901.0</v>
      </c>
      <c r="B2653" s="14" t="s">
        <v>47</v>
      </c>
      <c r="C2653" s="14" t="s">
        <v>48</v>
      </c>
      <c r="D2653" s="14" t="s">
        <v>116</v>
      </c>
      <c r="E2653" s="14" t="s">
        <v>117</v>
      </c>
      <c r="F2653" s="15" t="s">
        <v>51</v>
      </c>
      <c r="G2653" s="14" t="s">
        <v>161</v>
      </c>
      <c r="H2653" s="14" t="s">
        <v>116</v>
      </c>
      <c r="I2653" s="14" t="s">
        <v>54</v>
      </c>
      <c r="J2653" s="14" t="s">
        <v>200</v>
      </c>
      <c r="K2653" s="14" t="s">
        <v>213</v>
      </c>
      <c r="L2653" s="14" t="s">
        <v>307</v>
      </c>
      <c r="M2653" s="14" t="s">
        <v>533</v>
      </c>
      <c r="N2653" s="14" t="s">
        <v>534</v>
      </c>
      <c r="O2653" s="14">
        <v>3.0</v>
      </c>
      <c r="P2653" s="23">
        <v>0.0327</v>
      </c>
      <c r="Q2653" s="22" t="str">
        <f>"-0.04%"</f>
        <v>-0.04%</v>
      </c>
      <c r="R2653" s="18" t="str">
        <f>"-0.02%"</f>
        <v>-0.02%</v>
      </c>
      <c r="S2653" s="14" t="s">
        <v>1860</v>
      </c>
    </row>
    <row r="2654">
      <c r="A2654" s="13">
        <v>45901.0</v>
      </c>
      <c r="B2654" s="14" t="s">
        <v>47</v>
      </c>
      <c r="C2654" s="14" t="s">
        <v>48</v>
      </c>
      <c r="D2654" s="14" t="s">
        <v>77</v>
      </c>
      <c r="E2654" s="14" t="s">
        <v>78</v>
      </c>
      <c r="F2654" s="14" t="s">
        <v>79</v>
      </c>
      <c r="G2654" s="14" t="s">
        <v>80</v>
      </c>
      <c r="H2654" s="14" t="s">
        <v>81</v>
      </c>
      <c r="J2654" s="14" t="s">
        <v>199</v>
      </c>
      <c r="K2654" s="14" t="s">
        <v>206</v>
      </c>
      <c r="L2654" s="14" t="s">
        <v>295</v>
      </c>
      <c r="M2654" s="14" t="s">
        <v>986</v>
      </c>
      <c r="N2654" s="14" t="s">
        <v>987</v>
      </c>
      <c r="O2654" s="14">
        <v>0.0</v>
      </c>
      <c r="P2654" s="21">
        <v>0.0</v>
      </c>
      <c r="Q2654" s="22" t="str">
        <f t="shared" ref="Q2654:R2654" si="1563">"+0"</f>
        <v>+0</v>
      </c>
      <c r="R2654" s="18" t="str">
        <f t="shared" si="1563"/>
        <v>+0</v>
      </c>
      <c r="S2654" s="14" t="s">
        <v>260</v>
      </c>
    </row>
    <row r="2655">
      <c r="A2655" s="13">
        <v>45901.0</v>
      </c>
      <c r="B2655" s="14" t="s">
        <v>47</v>
      </c>
      <c r="C2655" s="14" t="s">
        <v>48</v>
      </c>
      <c r="D2655" s="14" t="s">
        <v>140</v>
      </c>
      <c r="E2655" s="14" t="s">
        <v>141</v>
      </c>
      <c r="F2655" s="15" t="s">
        <v>51</v>
      </c>
      <c r="G2655" s="14" t="s">
        <v>142</v>
      </c>
      <c r="H2655" s="14" t="s">
        <v>140</v>
      </c>
      <c r="I2655" s="14" t="s">
        <v>59</v>
      </c>
      <c r="J2655" s="14" t="s">
        <v>199</v>
      </c>
      <c r="K2655" s="14" t="s">
        <v>206</v>
      </c>
      <c r="L2655" s="14" t="s">
        <v>569</v>
      </c>
      <c r="M2655" s="14" t="s">
        <v>569</v>
      </c>
      <c r="N2655" s="14" t="s">
        <v>570</v>
      </c>
      <c r="O2655" s="14">
        <v>0.0</v>
      </c>
      <c r="P2655" s="21">
        <v>0.0</v>
      </c>
      <c r="Q2655" s="22" t="str">
        <f t="shared" ref="Q2655:R2655" si="1564">"+0"</f>
        <v>+0</v>
      </c>
      <c r="R2655" s="18" t="str">
        <f t="shared" si="1564"/>
        <v>+0</v>
      </c>
      <c r="S2655" s="14" t="s">
        <v>383</v>
      </c>
    </row>
    <row r="2656">
      <c r="A2656" s="13">
        <v>45901.0</v>
      </c>
      <c r="B2656" s="14" t="s">
        <v>47</v>
      </c>
      <c r="C2656" s="14" t="s">
        <v>48</v>
      </c>
      <c r="D2656" s="14" t="s">
        <v>60</v>
      </c>
      <c r="E2656" s="14" t="s">
        <v>61</v>
      </c>
      <c r="F2656" s="15" t="s">
        <v>51</v>
      </c>
      <c r="G2656" s="14" t="s">
        <v>62</v>
      </c>
      <c r="H2656" s="14" t="s">
        <v>60</v>
      </c>
      <c r="I2656" s="14" t="s">
        <v>59</v>
      </c>
      <c r="J2656" s="14" t="s">
        <v>200</v>
      </c>
      <c r="K2656" s="14" t="s">
        <v>223</v>
      </c>
      <c r="L2656" s="14" t="s">
        <v>289</v>
      </c>
      <c r="M2656" s="14" t="s">
        <v>331</v>
      </c>
      <c r="N2656" s="14" t="s">
        <v>332</v>
      </c>
      <c r="O2656" s="14">
        <v>0.0</v>
      </c>
      <c r="P2656" s="23">
        <v>0.0</v>
      </c>
      <c r="Q2656" s="22" t="str">
        <f t="shared" ref="Q2656:R2656" si="1565">"+0.00%"</f>
        <v>+0.00%</v>
      </c>
      <c r="R2656" s="18" t="str">
        <f t="shared" si="1565"/>
        <v>+0.00%</v>
      </c>
      <c r="S2656" s="14" t="s">
        <v>285</v>
      </c>
    </row>
    <row r="2657">
      <c r="A2657" s="13">
        <v>45901.0</v>
      </c>
      <c r="B2657" s="14" t="s">
        <v>47</v>
      </c>
      <c r="C2657" s="14" t="s">
        <v>48</v>
      </c>
      <c r="D2657" s="14" t="s">
        <v>181</v>
      </c>
      <c r="E2657" s="14" t="s">
        <v>182</v>
      </c>
      <c r="F2657" s="15" t="s">
        <v>51</v>
      </c>
      <c r="G2657" s="14" t="s">
        <v>183</v>
      </c>
      <c r="H2657" s="14" t="s">
        <v>181</v>
      </c>
      <c r="I2657" s="14" t="s">
        <v>59</v>
      </c>
      <c r="J2657" s="14" t="s">
        <v>200</v>
      </c>
      <c r="K2657" s="14" t="s">
        <v>232</v>
      </c>
      <c r="L2657" s="14" t="s">
        <v>487</v>
      </c>
      <c r="M2657" s="14" t="s">
        <v>670</v>
      </c>
      <c r="N2657" s="14" t="s">
        <v>671</v>
      </c>
      <c r="O2657" s="14">
        <v>0.0</v>
      </c>
      <c r="P2657" s="21">
        <v>0.0</v>
      </c>
      <c r="Q2657" s="22" t="str">
        <f t="shared" ref="Q2657:R2657" si="1566">"+0"</f>
        <v>+0</v>
      </c>
      <c r="R2657" s="18" t="str">
        <f t="shared" si="1566"/>
        <v>+0</v>
      </c>
      <c r="S2657" s="14" t="s">
        <v>260</v>
      </c>
    </row>
    <row r="2658">
      <c r="A2658" s="13">
        <v>45901.0</v>
      </c>
      <c r="B2658" s="14" t="s">
        <v>47</v>
      </c>
      <c r="C2658" s="14" t="s">
        <v>48</v>
      </c>
      <c r="D2658" s="14" t="s">
        <v>56</v>
      </c>
      <c r="E2658" s="14" t="s">
        <v>57</v>
      </c>
      <c r="F2658" s="15" t="s">
        <v>51</v>
      </c>
      <c r="G2658" s="14" t="s">
        <v>58</v>
      </c>
      <c r="H2658" s="14" t="s">
        <v>56</v>
      </c>
      <c r="I2658" s="14" t="s">
        <v>59</v>
      </c>
      <c r="J2658" s="14" t="s">
        <v>200</v>
      </c>
      <c r="K2658" s="14" t="s">
        <v>223</v>
      </c>
      <c r="L2658" s="14" t="s">
        <v>607</v>
      </c>
      <c r="M2658" s="14" t="s">
        <v>932</v>
      </c>
      <c r="N2658" s="14" t="s">
        <v>933</v>
      </c>
      <c r="O2658" s="14">
        <v>100.0</v>
      </c>
      <c r="P2658" s="23">
        <v>0.2</v>
      </c>
      <c r="Q2658" s="22" t="str">
        <f t="shared" ref="Q2658:Q2659" si="1567">"+0.00%"</f>
        <v>+0.00%</v>
      </c>
      <c r="R2658" s="18" t="str">
        <f>"+7.50%"</f>
        <v>+7.50%</v>
      </c>
      <c r="S2658" s="14" t="s">
        <v>285</v>
      </c>
    </row>
    <row r="2659">
      <c r="A2659" s="13">
        <v>45901.0</v>
      </c>
      <c r="B2659" s="14" t="s">
        <v>47</v>
      </c>
      <c r="C2659" s="14" t="s">
        <v>48</v>
      </c>
      <c r="D2659" s="14" t="s">
        <v>140</v>
      </c>
      <c r="E2659" s="14" t="s">
        <v>141</v>
      </c>
      <c r="F2659" s="15" t="s">
        <v>51</v>
      </c>
      <c r="G2659" s="14" t="s">
        <v>142</v>
      </c>
      <c r="H2659" s="14" t="s">
        <v>140</v>
      </c>
      <c r="I2659" s="14" t="s">
        <v>59</v>
      </c>
      <c r="J2659" s="14" t="s">
        <v>200</v>
      </c>
      <c r="K2659" s="14" t="s">
        <v>202</v>
      </c>
      <c r="L2659" s="14" t="s">
        <v>253</v>
      </c>
      <c r="M2659" s="14" t="s">
        <v>347</v>
      </c>
      <c r="N2659" s="14" t="s">
        <v>348</v>
      </c>
      <c r="O2659" s="14">
        <v>0.0</v>
      </c>
      <c r="P2659" s="23">
        <v>0.0</v>
      </c>
      <c r="Q2659" s="22" t="str">
        <f t="shared" si="1567"/>
        <v>+0.00%</v>
      </c>
      <c r="R2659" s="18" t="str">
        <f>"+0.00%"</f>
        <v>+0.00%</v>
      </c>
      <c r="S2659" s="14" t="s">
        <v>1717</v>
      </c>
    </row>
    <row r="2660">
      <c r="A2660" s="13">
        <v>45901.0</v>
      </c>
      <c r="B2660" s="14" t="s">
        <v>47</v>
      </c>
      <c r="C2660" s="14" t="s">
        <v>48</v>
      </c>
      <c r="D2660" s="14" t="s">
        <v>168</v>
      </c>
      <c r="E2660" s="14" t="s">
        <v>169</v>
      </c>
      <c r="F2660" s="15" t="s">
        <v>51</v>
      </c>
      <c r="G2660" s="14" t="s">
        <v>170</v>
      </c>
      <c r="H2660" s="14" t="s">
        <v>168</v>
      </c>
      <c r="I2660" s="14" t="s">
        <v>59</v>
      </c>
      <c r="J2660" s="14" t="s">
        <v>198</v>
      </c>
      <c r="K2660" s="14" t="s">
        <v>210</v>
      </c>
      <c r="L2660" s="14" t="s">
        <v>264</v>
      </c>
      <c r="M2660" s="14" t="s">
        <v>265</v>
      </c>
      <c r="N2660" s="14" t="s">
        <v>266</v>
      </c>
      <c r="O2660" s="14">
        <v>73.0</v>
      </c>
      <c r="P2660" s="21">
        <v>62.0</v>
      </c>
      <c r="Q2660" s="22" t="str">
        <f>"-45"</f>
        <v>-45</v>
      </c>
      <c r="R2660" s="18" t="str">
        <f>"-53"</f>
        <v>-53</v>
      </c>
      <c r="S2660" s="14" t="s">
        <v>577</v>
      </c>
    </row>
    <row r="2661">
      <c r="A2661" s="13">
        <v>45901.0</v>
      </c>
      <c r="B2661" s="14" t="s">
        <v>47</v>
      </c>
      <c r="C2661" s="14" t="s">
        <v>48</v>
      </c>
      <c r="D2661" s="14" t="s">
        <v>49</v>
      </c>
      <c r="E2661" s="14" t="s">
        <v>50</v>
      </c>
      <c r="F2661" s="15" t="s">
        <v>51</v>
      </c>
      <c r="G2661" s="14" t="s">
        <v>52</v>
      </c>
      <c r="H2661" s="14" t="s">
        <v>53</v>
      </c>
      <c r="I2661" s="14" t="s">
        <v>54</v>
      </c>
      <c r="J2661" s="14" t="s">
        <v>200</v>
      </c>
      <c r="K2661" s="14" t="s">
        <v>201</v>
      </c>
      <c r="L2661" s="14" t="s">
        <v>253</v>
      </c>
      <c r="M2661" s="14" t="s">
        <v>409</v>
      </c>
      <c r="N2661" s="14" t="s">
        <v>410</v>
      </c>
      <c r="O2661" s="14">
        <v>43.0</v>
      </c>
      <c r="P2661" s="23">
        <v>0.4317</v>
      </c>
      <c r="Q2661" s="22" t="str">
        <f>"+0.29%"</f>
        <v>+0.29%</v>
      </c>
      <c r="R2661" s="18" t="str">
        <f>"-56.83%"</f>
        <v>-56.83%</v>
      </c>
      <c r="S2661" s="14" t="s">
        <v>1405</v>
      </c>
    </row>
    <row r="2662">
      <c r="A2662" s="13">
        <v>45901.0</v>
      </c>
      <c r="B2662" s="14" t="s">
        <v>47</v>
      </c>
      <c r="C2662" s="14" t="s">
        <v>48</v>
      </c>
      <c r="D2662" s="14" t="s">
        <v>63</v>
      </c>
      <c r="E2662" s="14" t="s">
        <v>64</v>
      </c>
      <c r="F2662" s="15" t="s">
        <v>51</v>
      </c>
      <c r="G2662" s="14" t="s">
        <v>65</v>
      </c>
      <c r="H2662" s="14" t="s">
        <v>63</v>
      </c>
      <c r="I2662" s="14" t="s">
        <v>54</v>
      </c>
      <c r="J2662" s="14" t="s">
        <v>198</v>
      </c>
      <c r="K2662" s="14" t="s">
        <v>210</v>
      </c>
      <c r="L2662" s="14" t="s">
        <v>264</v>
      </c>
      <c r="M2662" s="14" t="s">
        <v>638</v>
      </c>
      <c r="N2662" s="14" t="s">
        <v>639</v>
      </c>
      <c r="O2662" s="14">
        <v>0.0</v>
      </c>
      <c r="P2662" s="21">
        <v>0.0</v>
      </c>
      <c r="Q2662" s="22" t="str">
        <f t="shared" ref="Q2662:R2662" si="1568">"+0"</f>
        <v>+0</v>
      </c>
      <c r="R2662" s="18" t="str">
        <f t="shared" si="1568"/>
        <v>+0</v>
      </c>
      <c r="S2662" s="14" t="s">
        <v>277</v>
      </c>
    </row>
    <row r="2663">
      <c r="A2663" s="13">
        <v>45901.0</v>
      </c>
      <c r="B2663" s="14" t="s">
        <v>47</v>
      </c>
      <c r="C2663" s="14" t="s">
        <v>48</v>
      </c>
      <c r="D2663" s="14" t="s">
        <v>177</v>
      </c>
      <c r="E2663" s="14" t="s">
        <v>178</v>
      </c>
      <c r="F2663" s="14" t="s">
        <v>146</v>
      </c>
      <c r="G2663" s="14" t="s">
        <v>179</v>
      </c>
      <c r="H2663" s="14" t="s">
        <v>177</v>
      </c>
      <c r="I2663" s="14" t="s">
        <v>107</v>
      </c>
      <c r="J2663" s="14" t="s">
        <v>200</v>
      </c>
      <c r="K2663" s="14" t="s">
        <v>226</v>
      </c>
      <c r="L2663" s="14" t="s">
        <v>672</v>
      </c>
      <c r="M2663" s="14" t="s">
        <v>936</v>
      </c>
      <c r="N2663" s="14" t="s">
        <v>937</v>
      </c>
      <c r="O2663" s="14">
        <v>100.0</v>
      </c>
      <c r="P2663" s="23">
        <v>1.0</v>
      </c>
      <c r="Q2663" s="22" t="str">
        <f t="shared" ref="Q2663:R2663" si="1569">"+0.00%"</f>
        <v>+0.00%</v>
      </c>
      <c r="R2663" s="18" t="str">
        <f t="shared" si="1569"/>
        <v>+0.00%</v>
      </c>
      <c r="S2663" s="14" t="s">
        <v>1861</v>
      </c>
    </row>
    <row r="2664">
      <c r="A2664" s="13">
        <v>45901.0</v>
      </c>
      <c r="B2664" s="14" t="s">
        <v>47</v>
      </c>
      <c r="C2664" s="14" t="s">
        <v>48</v>
      </c>
      <c r="D2664" s="14" t="s">
        <v>63</v>
      </c>
      <c r="E2664" s="14" t="s">
        <v>64</v>
      </c>
      <c r="F2664" s="15" t="s">
        <v>51</v>
      </c>
      <c r="G2664" s="14" t="s">
        <v>65</v>
      </c>
      <c r="H2664" s="14" t="s">
        <v>63</v>
      </c>
      <c r="I2664" s="14" t="s">
        <v>54</v>
      </c>
      <c r="J2664" s="14" t="s">
        <v>200</v>
      </c>
      <c r="K2664" s="14" t="s">
        <v>213</v>
      </c>
      <c r="L2664" s="14" t="s">
        <v>257</v>
      </c>
      <c r="M2664" s="14" t="s">
        <v>298</v>
      </c>
      <c r="N2664" s="14" t="s">
        <v>299</v>
      </c>
      <c r="O2664" s="14">
        <v>0.0</v>
      </c>
      <c r="P2664" s="23">
        <v>0.0</v>
      </c>
      <c r="Q2664" s="22" t="str">
        <f t="shared" ref="Q2664:R2664" si="1570">"+0.00%"</f>
        <v>+0.00%</v>
      </c>
      <c r="R2664" s="18" t="str">
        <f t="shared" si="1570"/>
        <v>+0.00%</v>
      </c>
      <c r="S2664" s="14" t="s">
        <v>643</v>
      </c>
    </row>
    <row r="2665">
      <c r="A2665" s="13">
        <v>45901.0</v>
      </c>
      <c r="B2665" s="14" t="s">
        <v>47</v>
      </c>
      <c r="C2665" s="14" t="s">
        <v>48</v>
      </c>
      <c r="D2665" s="14" t="s">
        <v>63</v>
      </c>
      <c r="E2665" s="14" t="s">
        <v>64</v>
      </c>
      <c r="F2665" s="15" t="s">
        <v>51</v>
      </c>
      <c r="G2665" s="14" t="s">
        <v>65</v>
      </c>
      <c r="H2665" s="14" t="s">
        <v>63</v>
      </c>
      <c r="I2665" s="14" t="s">
        <v>54</v>
      </c>
      <c r="J2665" s="14" t="s">
        <v>200</v>
      </c>
      <c r="K2665" s="14" t="s">
        <v>213</v>
      </c>
      <c r="L2665" s="14" t="s">
        <v>257</v>
      </c>
      <c r="M2665" s="14" t="s">
        <v>315</v>
      </c>
      <c r="N2665" s="14" t="s">
        <v>316</v>
      </c>
      <c r="O2665" s="14">
        <v>94.0</v>
      </c>
      <c r="P2665" s="23">
        <v>0.9408</v>
      </c>
      <c r="Q2665" s="22" t="str">
        <f>"-0.09%"</f>
        <v>-0.09%</v>
      </c>
      <c r="R2665" s="18" t="str">
        <f>"-0.72%"</f>
        <v>-0.72%</v>
      </c>
      <c r="S2665" s="14" t="s">
        <v>1418</v>
      </c>
    </row>
    <row r="2666">
      <c r="A2666" s="13">
        <v>45901.0</v>
      </c>
      <c r="B2666" s="14" t="s">
        <v>47</v>
      </c>
      <c r="C2666" s="14" t="s">
        <v>48</v>
      </c>
      <c r="D2666" s="14" t="s">
        <v>91</v>
      </c>
      <c r="E2666" s="14" t="s">
        <v>92</v>
      </c>
      <c r="F2666" s="15" t="s">
        <v>51</v>
      </c>
      <c r="G2666" s="14" t="s">
        <v>163</v>
      </c>
      <c r="H2666" s="14" t="s">
        <v>91</v>
      </c>
      <c r="I2666" s="14" t="s">
        <v>59</v>
      </c>
      <c r="J2666" s="14" t="s">
        <v>200</v>
      </c>
      <c r="K2666" s="14" t="s">
        <v>227</v>
      </c>
      <c r="L2666" s="14" t="s">
        <v>328</v>
      </c>
      <c r="M2666" s="14" t="s">
        <v>329</v>
      </c>
      <c r="N2666" s="14" t="s">
        <v>330</v>
      </c>
      <c r="O2666" s="14">
        <v>0.0</v>
      </c>
      <c r="P2666" s="21">
        <v>0.0</v>
      </c>
      <c r="Q2666" s="22" t="str">
        <f t="shared" ref="Q2666:R2666" si="1571">"+0"</f>
        <v>+0</v>
      </c>
      <c r="R2666" s="18" t="str">
        <f t="shared" si="1571"/>
        <v>+0</v>
      </c>
      <c r="S2666" s="14" t="s">
        <v>260</v>
      </c>
    </row>
    <row r="2667">
      <c r="A2667" s="13">
        <v>45901.0</v>
      </c>
      <c r="B2667" s="14" t="s">
        <v>47</v>
      </c>
      <c r="C2667" s="14" t="s">
        <v>48</v>
      </c>
      <c r="D2667" s="14" t="s">
        <v>99</v>
      </c>
      <c r="E2667" s="14" t="s">
        <v>100</v>
      </c>
      <c r="F2667" s="15" t="s">
        <v>51</v>
      </c>
      <c r="G2667" s="14" t="s">
        <v>101</v>
      </c>
      <c r="H2667" s="14" t="s">
        <v>102</v>
      </c>
      <c r="I2667" s="14" t="s">
        <v>54</v>
      </c>
      <c r="J2667" s="14" t="s">
        <v>199</v>
      </c>
      <c r="K2667" s="14" t="s">
        <v>203</v>
      </c>
      <c r="L2667" s="14" t="s">
        <v>340</v>
      </c>
      <c r="M2667" s="14" t="s">
        <v>340</v>
      </c>
      <c r="N2667" s="14" t="s">
        <v>341</v>
      </c>
      <c r="O2667" s="14">
        <v>0.0</v>
      </c>
      <c r="P2667" s="21">
        <v>0.0</v>
      </c>
      <c r="Q2667" s="22" t="str">
        <f t="shared" ref="Q2667:R2667" si="1572">"+0"</f>
        <v>+0</v>
      </c>
      <c r="R2667" s="18" t="str">
        <f t="shared" si="1572"/>
        <v>+0</v>
      </c>
      <c r="S2667" s="14" t="s">
        <v>260</v>
      </c>
    </row>
    <row r="2668">
      <c r="A2668" s="13">
        <v>45901.0</v>
      </c>
      <c r="B2668" s="14" t="s">
        <v>47</v>
      </c>
      <c r="C2668" s="14" t="s">
        <v>48</v>
      </c>
      <c r="D2668" s="14" t="s">
        <v>91</v>
      </c>
      <c r="E2668" s="14" t="s">
        <v>92</v>
      </c>
      <c r="F2668" s="14" t="s">
        <v>71</v>
      </c>
      <c r="G2668" s="14">
        <v>7295600.0</v>
      </c>
      <c r="H2668" s="14" t="s">
        <v>91</v>
      </c>
      <c r="I2668" s="14" t="s">
        <v>54</v>
      </c>
      <c r="J2668" s="14" t="s">
        <v>199</v>
      </c>
      <c r="K2668" s="14" t="s">
        <v>203</v>
      </c>
      <c r="L2668" s="14" t="s">
        <v>601</v>
      </c>
      <c r="M2668" s="14" t="s">
        <v>601</v>
      </c>
      <c r="N2668" s="14" t="s">
        <v>602</v>
      </c>
      <c r="O2668" s="14">
        <v>0.0</v>
      </c>
      <c r="P2668" s="21">
        <v>0.0</v>
      </c>
      <c r="Q2668" s="22" t="str">
        <f t="shared" ref="Q2668:R2668" si="1573">"+0"</f>
        <v>+0</v>
      </c>
      <c r="R2668" s="18" t="str">
        <f t="shared" si="1573"/>
        <v>+0</v>
      </c>
      <c r="S2668" s="14" t="s">
        <v>260</v>
      </c>
    </row>
    <row r="2669">
      <c r="A2669" s="13">
        <v>45901.0</v>
      </c>
      <c r="B2669" s="14" t="s">
        <v>47</v>
      </c>
      <c r="C2669" s="14" t="s">
        <v>48</v>
      </c>
      <c r="D2669" s="14" t="s">
        <v>63</v>
      </c>
      <c r="E2669" s="14" t="s">
        <v>64</v>
      </c>
      <c r="F2669" s="15" t="s">
        <v>51</v>
      </c>
      <c r="G2669" s="14" t="s">
        <v>65</v>
      </c>
      <c r="H2669" s="14" t="s">
        <v>63</v>
      </c>
      <c r="I2669" s="14" t="s">
        <v>54</v>
      </c>
      <c r="J2669" s="14" t="s">
        <v>198</v>
      </c>
      <c r="K2669" s="14" t="s">
        <v>210</v>
      </c>
      <c r="L2669" s="14" t="s">
        <v>458</v>
      </c>
      <c r="M2669" s="14" t="s">
        <v>620</v>
      </c>
      <c r="N2669" s="14" t="s">
        <v>621</v>
      </c>
      <c r="O2669" s="14">
        <v>0.0</v>
      </c>
      <c r="P2669" s="21">
        <v>0.0</v>
      </c>
      <c r="Q2669" s="22" t="str">
        <f t="shared" ref="Q2669:R2669" si="1574">"+0"</f>
        <v>+0</v>
      </c>
      <c r="R2669" s="18" t="str">
        <f t="shared" si="1574"/>
        <v>+0</v>
      </c>
      <c r="S2669" s="14" t="s">
        <v>277</v>
      </c>
    </row>
    <row r="2670">
      <c r="A2670" s="13">
        <v>45901.0</v>
      </c>
      <c r="B2670" s="14" t="s">
        <v>47</v>
      </c>
      <c r="C2670" s="14" t="s">
        <v>48</v>
      </c>
      <c r="D2670" s="14" t="s">
        <v>93</v>
      </c>
      <c r="E2670" s="14" t="s">
        <v>94</v>
      </c>
      <c r="F2670" s="15" t="s">
        <v>51</v>
      </c>
      <c r="G2670" s="14" t="s">
        <v>191</v>
      </c>
      <c r="H2670" s="14" t="s">
        <v>95</v>
      </c>
      <c r="I2670" s="14" t="s">
        <v>59</v>
      </c>
      <c r="J2670" s="14" t="s">
        <v>198</v>
      </c>
      <c r="K2670" s="14" t="s">
        <v>210</v>
      </c>
      <c r="L2670" s="14" t="s">
        <v>505</v>
      </c>
      <c r="M2670" s="14" t="s">
        <v>506</v>
      </c>
      <c r="N2670" s="14" t="s">
        <v>507</v>
      </c>
      <c r="O2670" s="14">
        <v>100.0</v>
      </c>
      <c r="P2670" s="21">
        <v>0.0</v>
      </c>
      <c r="Q2670" s="22" t="str">
        <f t="shared" ref="Q2670:R2670" si="1575">"+0"</f>
        <v>+0</v>
      </c>
      <c r="R2670" s="18" t="str">
        <f t="shared" si="1575"/>
        <v>+0</v>
      </c>
      <c r="S2670" s="14" t="s">
        <v>281</v>
      </c>
    </row>
    <row r="2671">
      <c r="A2671" s="13">
        <v>45901.0</v>
      </c>
      <c r="B2671" s="14" t="s">
        <v>47</v>
      </c>
      <c r="C2671" s="14" t="s">
        <v>48</v>
      </c>
      <c r="D2671" s="14" t="s">
        <v>93</v>
      </c>
      <c r="E2671" s="14" t="s">
        <v>94</v>
      </c>
      <c r="F2671" s="15" t="s">
        <v>51</v>
      </c>
      <c r="G2671" s="14" t="s">
        <v>191</v>
      </c>
      <c r="H2671" s="14" t="s">
        <v>95</v>
      </c>
      <c r="I2671" s="14" t="s">
        <v>59</v>
      </c>
      <c r="J2671" s="14" t="s">
        <v>200</v>
      </c>
      <c r="K2671" s="14" t="s">
        <v>204</v>
      </c>
      <c r="L2671" s="14" t="s">
        <v>253</v>
      </c>
      <c r="M2671" s="14" t="s">
        <v>490</v>
      </c>
      <c r="N2671" s="14" t="s">
        <v>491</v>
      </c>
      <c r="O2671" s="14">
        <v>18.0</v>
      </c>
      <c r="P2671" s="23">
        <v>0.18</v>
      </c>
      <c r="Q2671" s="22" t="str">
        <f t="shared" ref="Q2671:R2671" si="1576">"+0.00%"</f>
        <v>+0.00%</v>
      </c>
      <c r="R2671" s="18" t="str">
        <f t="shared" si="1576"/>
        <v>+0.00%</v>
      </c>
      <c r="S2671" s="14" t="s">
        <v>1862</v>
      </c>
    </row>
    <row r="2672">
      <c r="A2672" s="13">
        <v>45901.0</v>
      </c>
      <c r="B2672" s="14" t="s">
        <v>47</v>
      </c>
      <c r="C2672" s="14" t="s">
        <v>48</v>
      </c>
      <c r="D2672" s="14" t="s">
        <v>192</v>
      </c>
      <c r="E2672" s="14" t="s">
        <v>193</v>
      </c>
      <c r="F2672" s="15" t="s">
        <v>51</v>
      </c>
      <c r="G2672" s="14" t="s">
        <v>194</v>
      </c>
      <c r="H2672" s="14" t="s">
        <v>192</v>
      </c>
      <c r="I2672" s="14" t="s">
        <v>54</v>
      </c>
      <c r="J2672" s="14" t="s">
        <v>200</v>
      </c>
      <c r="K2672" s="14" t="s">
        <v>201</v>
      </c>
      <c r="L2672" s="14" t="s">
        <v>253</v>
      </c>
      <c r="M2672" s="14" t="s">
        <v>585</v>
      </c>
      <c r="N2672" s="14" t="s">
        <v>586</v>
      </c>
      <c r="O2672" s="14">
        <v>30.0</v>
      </c>
      <c r="P2672" s="23">
        <v>0.3071</v>
      </c>
      <c r="Q2672" s="22" t="str">
        <f>"-4.61%"</f>
        <v>-4.61%</v>
      </c>
      <c r="R2672" s="18" t="str">
        <f>"-7.34%"</f>
        <v>-7.34%</v>
      </c>
      <c r="S2672" s="14" t="s">
        <v>587</v>
      </c>
    </row>
    <row r="2673">
      <c r="A2673" s="13">
        <v>45901.0</v>
      </c>
      <c r="B2673" s="14" t="s">
        <v>47</v>
      </c>
      <c r="C2673" s="14" t="s">
        <v>48</v>
      </c>
      <c r="D2673" s="14" t="s">
        <v>103</v>
      </c>
      <c r="E2673" s="14" t="s">
        <v>104</v>
      </c>
      <c r="F2673" s="15" t="s">
        <v>51</v>
      </c>
      <c r="G2673" s="14" t="s">
        <v>105</v>
      </c>
      <c r="H2673" s="14" t="s">
        <v>106</v>
      </c>
      <c r="I2673" s="14" t="s">
        <v>59</v>
      </c>
      <c r="J2673" s="14" t="s">
        <v>200</v>
      </c>
      <c r="K2673" s="14" t="s">
        <v>232</v>
      </c>
      <c r="L2673" s="14" t="s">
        <v>487</v>
      </c>
      <c r="M2673" s="14" t="s">
        <v>788</v>
      </c>
      <c r="N2673" s="14" t="s">
        <v>789</v>
      </c>
      <c r="O2673" s="14">
        <v>0.0</v>
      </c>
      <c r="P2673" s="23">
        <v>0.0</v>
      </c>
      <c r="Q2673" s="22" t="str">
        <f t="shared" ref="Q2673:R2673" si="1577">"+0.00%"</f>
        <v>+0.00%</v>
      </c>
      <c r="R2673" s="18" t="str">
        <f t="shared" si="1577"/>
        <v>+0.00%</v>
      </c>
      <c r="S2673" s="14" t="s">
        <v>285</v>
      </c>
    </row>
    <row r="2674">
      <c r="A2674" s="13">
        <v>45901.0</v>
      </c>
      <c r="B2674" s="14" t="s">
        <v>47</v>
      </c>
      <c r="C2674" s="14" t="s">
        <v>48</v>
      </c>
      <c r="D2674" s="14" t="s">
        <v>149</v>
      </c>
      <c r="E2674" s="14" t="s">
        <v>150</v>
      </c>
      <c r="F2674" s="15" t="s">
        <v>51</v>
      </c>
      <c r="G2674" s="14" t="s">
        <v>151</v>
      </c>
      <c r="H2674" s="14" t="s">
        <v>152</v>
      </c>
      <c r="I2674" s="14" t="s">
        <v>54</v>
      </c>
      <c r="J2674" s="14" t="s">
        <v>200</v>
      </c>
      <c r="K2674" s="14" t="s">
        <v>211</v>
      </c>
      <c r="L2674" s="14" t="s">
        <v>253</v>
      </c>
      <c r="M2674" s="14" t="s">
        <v>1247</v>
      </c>
      <c r="N2674" s="14" t="s">
        <v>1248</v>
      </c>
      <c r="O2674" s="14">
        <v>100.0</v>
      </c>
      <c r="P2674" s="23">
        <v>1.0</v>
      </c>
      <c r="Q2674" s="22" t="str">
        <f t="shared" ref="Q2674:R2674" si="1578">"+0.00%"</f>
        <v>+0.00%</v>
      </c>
      <c r="R2674" s="18" t="str">
        <f t="shared" si="1578"/>
        <v>+0.00%</v>
      </c>
      <c r="S2674" s="14" t="s">
        <v>1863</v>
      </c>
    </row>
    <row r="2675">
      <c r="A2675" s="13">
        <v>45901.0</v>
      </c>
      <c r="B2675" s="14" t="s">
        <v>47</v>
      </c>
      <c r="C2675" s="14" t="s">
        <v>48</v>
      </c>
      <c r="D2675" s="14" t="s">
        <v>69</v>
      </c>
      <c r="E2675" s="14" t="s">
        <v>70</v>
      </c>
      <c r="F2675" s="15" t="s">
        <v>51</v>
      </c>
      <c r="G2675" s="14" t="s">
        <v>115</v>
      </c>
      <c r="H2675" s="14" t="s">
        <v>72</v>
      </c>
      <c r="I2675" s="14" t="s">
        <v>54</v>
      </c>
      <c r="J2675" s="14" t="s">
        <v>200</v>
      </c>
      <c r="K2675" s="14" t="s">
        <v>213</v>
      </c>
      <c r="L2675" s="14" t="s">
        <v>257</v>
      </c>
      <c r="M2675" s="14" t="s">
        <v>517</v>
      </c>
      <c r="N2675" s="14" t="s">
        <v>518</v>
      </c>
      <c r="O2675" s="14">
        <v>100.0</v>
      </c>
      <c r="P2675" s="21">
        <v>36.0</v>
      </c>
      <c r="Q2675" s="22" t="str">
        <f t="shared" ref="Q2675:R2675" si="1579">"+0"</f>
        <v>+0</v>
      </c>
      <c r="R2675" s="18" t="str">
        <f t="shared" si="1579"/>
        <v>+0</v>
      </c>
      <c r="S2675" s="14" t="s">
        <v>260</v>
      </c>
    </row>
    <row r="2676">
      <c r="A2676" s="13">
        <v>45901.0</v>
      </c>
      <c r="B2676" s="14" t="s">
        <v>47</v>
      </c>
      <c r="C2676" s="14" t="s">
        <v>48</v>
      </c>
      <c r="D2676" s="14" t="s">
        <v>96</v>
      </c>
      <c r="E2676" s="14" t="s">
        <v>97</v>
      </c>
      <c r="F2676" s="15" t="s">
        <v>51</v>
      </c>
      <c r="G2676" s="14" t="s">
        <v>98</v>
      </c>
      <c r="H2676" s="14" t="s">
        <v>96</v>
      </c>
      <c r="I2676" s="14" t="s">
        <v>59</v>
      </c>
      <c r="J2676" s="14" t="s">
        <v>200</v>
      </c>
      <c r="K2676" s="14" t="s">
        <v>223</v>
      </c>
      <c r="L2676" s="14" t="s">
        <v>607</v>
      </c>
      <c r="M2676" s="14" t="s">
        <v>1312</v>
      </c>
      <c r="N2676" s="14" t="s">
        <v>1313</v>
      </c>
      <c r="O2676" s="14">
        <v>0.0</v>
      </c>
      <c r="P2676" s="23">
        <v>0.0</v>
      </c>
      <c r="Q2676" s="22" t="str">
        <f t="shared" ref="Q2676:R2676" si="1580">"+0.00%"</f>
        <v>+0.00%</v>
      </c>
      <c r="R2676" s="18" t="str">
        <f t="shared" si="1580"/>
        <v>+0.00%</v>
      </c>
      <c r="S2676" s="14" t="s">
        <v>285</v>
      </c>
    </row>
    <row r="2677">
      <c r="A2677" s="13">
        <v>45901.0</v>
      </c>
      <c r="B2677" s="14" t="s">
        <v>47</v>
      </c>
      <c r="C2677" s="14" t="s">
        <v>48</v>
      </c>
      <c r="D2677" s="14" t="s">
        <v>112</v>
      </c>
      <c r="E2677" s="14" t="s">
        <v>113</v>
      </c>
      <c r="F2677" s="15" t="s">
        <v>51</v>
      </c>
      <c r="G2677" s="14" t="s">
        <v>114</v>
      </c>
      <c r="H2677" s="14" t="s">
        <v>112</v>
      </c>
      <c r="I2677" s="14" t="s">
        <v>59</v>
      </c>
      <c r="J2677" s="14" t="s">
        <v>198</v>
      </c>
      <c r="K2677" s="14" t="s">
        <v>205</v>
      </c>
      <c r="L2677" s="14" t="s">
        <v>274</v>
      </c>
      <c r="M2677" s="14" t="s">
        <v>767</v>
      </c>
      <c r="N2677" s="14" t="s">
        <v>768</v>
      </c>
      <c r="O2677" s="14">
        <v>100.0</v>
      </c>
      <c r="P2677" s="21">
        <v>1.0</v>
      </c>
      <c r="Q2677" s="22" t="str">
        <f t="shared" ref="Q2677:Q2678" si="1581">"+0"</f>
        <v>+0</v>
      </c>
      <c r="S2677" s="14" t="s">
        <v>281</v>
      </c>
    </row>
    <row r="2678">
      <c r="A2678" s="13">
        <v>45901.0</v>
      </c>
      <c r="B2678" s="14" t="s">
        <v>47</v>
      </c>
      <c r="C2678" s="14" t="s">
        <v>48</v>
      </c>
      <c r="D2678" s="14" t="s">
        <v>112</v>
      </c>
      <c r="E2678" s="14" t="s">
        <v>113</v>
      </c>
      <c r="F2678" s="15" t="s">
        <v>51</v>
      </c>
      <c r="G2678" s="14" t="s">
        <v>114</v>
      </c>
      <c r="H2678" s="14" t="s">
        <v>112</v>
      </c>
      <c r="I2678" s="14" t="s">
        <v>59</v>
      </c>
      <c r="J2678" s="14" t="s">
        <v>199</v>
      </c>
      <c r="K2678" s="14" t="s">
        <v>206</v>
      </c>
      <c r="L2678" s="14" t="s">
        <v>531</v>
      </c>
      <c r="M2678" s="14" t="s">
        <v>531</v>
      </c>
      <c r="N2678" s="14" t="s">
        <v>532</v>
      </c>
      <c r="O2678" s="14">
        <v>0.0</v>
      </c>
      <c r="P2678" s="21">
        <v>0.0</v>
      </c>
      <c r="Q2678" s="22" t="str">
        <f t="shared" si="1581"/>
        <v>+0</v>
      </c>
      <c r="R2678" s="18" t="str">
        <f>"+0"</f>
        <v>+0</v>
      </c>
      <c r="S2678" s="14" t="s">
        <v>260</v>
      </c>
    </row>
    <row r="2679">
      <c r="A2679" s="13">
        <v>45901.0</v>
      </c>
      <c r="B2679" s="14" t="s">
        <v>47</v>
      </c>
      <c r="C2679" s="14" t="s">
        <v>48</v>
      </c>
      <c r="D2679" s="14" t="s">
        <v>140</v>
      </c>
      <c r="E2679" s="14" t="s">
        <v>141</v>
      </c>
      <c r="F2679" s="15" t="s">
        <v>51</v>
      </c>
      <c r="G2679" s="14" t="s">
        <v>142</v>
      </c>
      <c r="H2679" s="14" t="s">
        <v>140</v>
      </c>
      <c r="I2679" s="14" t="s">
        <v>59</v>
      </c>
      <c r="J2679" s="14" t="s">
        <v>200</v>
      </c>
      <c r="K2679" s="14" t="s">
        <v>213</v>
      </c>
      <c r="L2679" s="14" t="s">
        <v>676</v>
      </c>
      <c r="M2679" s="14" t="s">
        <v>858</v>
      </c>
      <c r="N2679" s="14" t="s">
        <v>859</v>
      </c>
      <c r="O2679" s="14">
        <v>0.0</v>
      </c>
      <c r="P2679" s="23">
        <v>-1.0</v>
      </c>
      <c r="Q2679" s="22" t="str">
        <f t="shared" ref="Q2679:R2679" si="1582">"+0.00%"</f>
        <v>+0.00%</v>
      </c>
      <c r="R2679" s="18" t="str">
        <f t="shared" si="1582"/>
        <v>+0.00%</v>
      </c>
      <c r="S2679" s="14" t="s">
        <v>1864</v>
      </c>
    </row>
    <row r="2680">
      <c r="A2680" s="13">
        <v>45901.0</v>
      </c>
      <c r="B2680" s="14" t="s">
        <v>47</v>
      </c>
      <c r="C2680" s="14" t="s">
        <v>48</v>
      </c>
      <c r="D2680" s="14" t="s">
        <v>56</v>
      </c>
      <c r="E2680" s="14" t="s">
        <v>57</v>
      </c>
      <c r="F2680" s="14" t="s">
        <v>71</v>
      </c>
      <c r="G2680" s="14">
        <v>5.36003976E8</v>
      </c>
      <c r="H2680" s="14" t="s">
        <v>56</v>
      </c>
      <c r="I2680" s="14" t="s">
        <v>59</v>
      </c>
      <c r="J2680" s="14" t="s">
        <v>199</v>
      </c>
      <c r="K2680" s="14" t="s">
        <v>203</v>
      </c>
      <c r="L2680" s="14" t="s">
        <v>736</v>
      </c>
      <c r="M2680" s="14" t="s">
        <v>736</v>
      </c>
      <c r="N2680" s="14" t="s">
        <v>737</v>
      </c>
      <c r="O2680" s="14">
        <v>0.0</v>
      </c>
      <c r="P2680" s="21">
        <v>0.0</v>
      </c>
      <c r="Q2680" s="22" t="str">
        <f t="shared" ref="Q2680:R2680" si="1583">"+0"</f>
        <v>+0</v>
      </c>
      <c r="R2680" s="18" t="str">
        <f t="shared" si="1583"/>
        <v>+0</v>
      </c>
      <c r="S2680" s="14" t="s">
        <v>260</v>
      </c>
    </row>
    <row r="2681">
      <c r="A2681" s="13">
        <v>45901.0</v>
      </c>
      <c r="B2681" s="14" t="s">
        <v>47</v>
      </c>
      <c r="C2681" s="14" t="s">
        <v>48</v>
      </c>
      <c r="D2681" s="14" t="s">
        <v>181</v>
      </c>
      <c r="E2681" s="14" t="s">
        <v>182</v>
      </c>
      <c r="F2681" s="15" t="s">
        <v>51</v>
      </c>
      <c r="G2681" s="14" t="s">
        <v>183</v>
      </c>
      <c r="H2681" s="14" t="s">
        <v>181</v>
      </c>
      <c r="I2681" s="14" t="s">
        <v>59</v>
      </c>
      <c r="J2681" s="14" t="s">
        <v>200</v>
      </c>
      <c r="K2681" s="14" t="s">
        <v>232</v>
      </c>
      <c r="L2681" s="14" t="s">
        <v>607</v>
      </c>
      <c r="M2681" s="14" t="s">
        <v>886</v>
      </c>
      <c r="N2681" s="14" t="s">
        <v>887</v>
      </c>
      <c r="O2681" s="14">
        <v>0.0</v>
      </c>
      <c r="P2681" s="23">
        <v>0.0</v>
      </c>
      <c r="Q2681" s="22" t="str">
        <f t="shared" ref="Q2681:R2681" si="1584">"+0.00%"</f>
        <v>+0.00%</v>
      </c>
      <c r="R2681" s="18" t="str">
        <f t="shared" si="1584"/>
        <v>+0.00%</v>
      </c>
      <c r="S2681" s="14" t="s">
        <v>1865</v>
      </c>
    </row>
    <row r="2682">
      <c r="A2682" s="13">
        <v>45901.0</v>
      </c>
      <c r="B2682" s="14" t="s">
        <v>47</v>
      </c>
      <c r="C2682" s="14" t="s">
        <v>48</v>
      </c>
      <c r="D2682" s="14" t="s">
        <v>60</v>
      </c>
      <c r="E2682" s="14" t="s">
        <v>61</v>
      </c>
      <c r="F2682" s="15" t="s">
        <v>51</v>
      </c>
      <c r="G2682" s="14" t="s">
        <v>62</v>
      </c>
      <c r="H2682" s="14" t="s">
        <v>60</v>
      </c>
      <c r="I2682" s="14" t="s">
        <v>59</v>
      </c>
      <c r="J2682" s="14" t="s">
        <v>200</v>
      </c>
      <c r="K2682" s="14" t="s">
        <v>223</v>
      </c>
      <c r="L2682" s="14" t="s">
        <v>487</v>
      </c>
      <c r="M2682" s="14" t="s">
        <v>788</v>
      </c>
      <c r="N2682" s="14" t="s">
        <v>789</v>
      </c>
      <c r="O2682" s="14">
        <v>100.0</v>
      </c>
      <c r="P2682" s="23">
        <v>0.6275</v>
      </c>
      <c r="Q2682" s="22" t="str">
        <f>"+3.29%"</f>
        <v>+3.29%</v>
      </c>
      <c r="R2682" s="18" t="str">
        <f>"-0.22%"</f>
        <v>-0.22%</v>
      </c>
      <c r="S2682" s="14" t="s">
        <v>285</v>
      </c>
    </row>
    <row r="2683">
      <c r="A2683" s="13">
        <v>45901.0</v>
      </c>
      <c r="B2683" s="14" t="s">
        <v>47</v>
      </c>
      <c r="C2683" s="14" t="s">
        <v>48</v>
      </c>
      <c r="D2683" s="14" t="s">
        <v>165</v>
      </c>
      <c r="E2683" s="14" t="s">
        <v>166</v>
      </c>
      <c r="F2683" s="15" t="s">
        <v>51</v>
      </c>
      <c r="G2683" s="14" t="s">
        <v>167</v>
      </c>
      <c r="H2683" s="14" t="s">
        <v>165</v>
      </c>
      <c r="I2683" s="14" t="s">
        <v>54</v>
      </c>
      <c r="J2683" s="14" t="s">
        <v>200</v>
      </c>
      <c r="K2683" s="14" t="s">
        <v>228</v>
      </c>
      <c r="L2683" s="14" t="s">
        <v>253</v>
      </c>
      <c r="M2683" s="14" t="s">
        <v>1165</v>
      </c>
      <c r="N2683" s="14" t="s">
        <v>1166</v>
      </c>
      <c r="O2683" s="14">
        <v>91.0</v>
      </c>
      <c r="P2683" s="23">
        <v>0.914</v>
      </c>
      <c r="Q2683" s="22" t="str">
        <f>"+0.49%"</f>
        <v>+0.49%</v>
      </c>
      <c r="R2683" s="18" t="str">
        <f>"+1.00%"</f>
        <v>+1.00%</v>
      </c>
      <c r="S2683" s="14" t="s">
        <v>1747</v>
      </c>
    </row>
    <row r="2684">
      <c r="A2684" s="13">
        <v>45901.0</v>
      </c>
      <c r="B2684" s="14" t="s">
        <v>47</v>
      </c>
      <c r="C2684" s="14" t="s">
        <v>48</v>
      </c>
      <c r="D2684" s="14" t="s">
        <v>49</v>
      </c>
      <c r="E2684" s="14" t="s">
        <v>50</v>
      </c>
      <c r="F2684" s="15" t="s">
        <v>51</v>
      </c>
      <c r="G2684" s="14" t="s">
        <v>52</v>
      </c>
      <c r="H2684" s="14" t="s">
        <v>53</v>
      </c>
      <c r="I2684" s="14" t="s">
        <v>54</v>
      </c>
      <c r="J2684" s="14" t="s">
        <v>198</v>
      </c>
      <c r="K2684" s="14" t="s">
        <v>210</v>
      </c>
      <c r="L2684" s="14" t="s">
        <v>264</v>
      </c>
      <c r="M2684" s="14" t="s">
        <v>456</v>
      </c>
      <c r="N2684" s="14" t="s">
        <v>457</v>
      </c>
      <c r="O2684" s="14">
        <v>0.0</v>
      </c>
      <c r="P2684" s="21">
        <v>0.0</v>
      </c>
      <c r="Q2684" s="22" t="str">
        <f t="shared" ref="Q2684:R2684" si="1585">"+0"</f>
        <v>+0</v>
      </c>
      <c r="R2684" s="18" t="str">
        <f t="shared" si="1585"/>
        <v>+0</v>
      </c>
      <c r="S2684" s="14" t="s">
        <v>277</v>
      </c>
    </row>
    <row r="2685">
      <c r="A2685" s="13">
        <v>45901.0</v>
      </c>
      <c r="B2685" s="14" t="s">
        <v>47</v>
      </c>
      <c r="C2685" s="14" t="s">
        <v>48</v>
      </c>
      <c r="D2685" s="14" t="s">
        <v>63</v>
      </c>
      <c r="E2685" s="14" t="s">
        <v>64</v>
      </c>
      <c r="F2685" s="15" t="s">
        <v>51</v>
      </c>
      <c r="G2685" s="14" t="s">
        <v>65</v>
      </c>
      <c r="H2685" s="14" t="s">
        <v>63</v>
      </c>
      <c r="I2685" s="14" t="s">
        <v>54</v>
      </c>
      <c r="J2685" s="14" t="s">
        <v>198</v>
      </c>
      <c r="K2685" s="14" t="s">
        <v>210</v>
      </c>
      <c r="L2685" s="14" t="s">
        <v>505</v>
      </c>
      <c r="M2685" s="14" t="s">
        <v>746</v>
      </c>
      <c r="N2685" s="14" t="s">
        <v>747</v>
      </c>
      <c r="O2685" s="14">
        <v>0.0</v>
      </c>
      <c r="P2685" s="21">
        <v>0.0</v>
      </c>
      <c r="Q2685" s="22" t="str">
        <f t="shared" ref="Q2685:R2685" si="1586">"+0"</f>
        <v>+0</v>
      </c>
      <c r="R2685" s="18" t="str">
        <f t="shared" si="1586"/>
        <v>+0</v>
      </c>
      <c r="S2685" s="14" t="s">
        <v>277</v>
      </c>
    </row>
    <row r="2686">
      <c r="A2686" s="13">
        <v>45901.0</v>
      </c>
      <c r="B2686" s="14" t="s">
        <v>47</v>
      </c>
      <c r="C2686" s="14" t="s">
        <v>48</v>
      </c>
      <c r="D2686" s="14" t="s">
        <v>99</v>
      </c>
      <c r="E2686" s="14" t="s">
        <v>100</v>
      </c>
      <c r="F2686" s="15" t="s">
        <v>51</v>
      </c>
      <c r="G2686" s="14" t="s">
        <v>101</v>
      </c>
      <c r="H2686" s="14" t="s">
        <v>102</v>
      </c>
      <c r="I2686" s="14" t="s">
        <v>54</v>
      </c>
      <c r="J2686" s="14" t="s">
        <v>198</v>
      </c>
      <c r="K2686" s="14" t="s">
        <v>210</v>
      </c>
      <c r="L2686" s="14" t="s">
        <v>264</v>
      </c>
      <c r="M2686" s="14" t="s">
        <v>989</v>
      </c>
      <c r="N2686" s="14" t="s">
        <v>990</v>
      </c>
      <c r="O2686" s="14">
        <v>0.0</v>
      </c>
      <c r="P2686" s="21">
        <v>0.0</v>
      </c>
      <c r="Q2686" s="22" t="str">
        <f t="shared" ref="Q2686:R2686" si="1587">"+0"</f>
        <v>+0</v>
      </c>
      <c r="R2686" s="18" t="str">
        <f t="shared" si="1587"/>
        <v>+0</v>
      </c>
      <c r="S2686" s="14" t="s">
        <v>277</v>
      </c>
    </row>
    <row r="2687">
      <c r="A2687" s="13">
        <v>45901.0</v>
      </c>
      <c r="B2687" s="14" t="s">
        <v>47</v>
      </c>
      <c r="C2687" s="14" t="s">
        <v>48</v>
      </c>
      <c r="D2687" s="14" t="s">
        <v>91</v>
      </c>
      <c r="E2687" s="14" t="s">
        <v>92</v>
      </c>
      <c r="F2687" s="14" t="s">
        <v>71</v>
      </c>
      <c r="G2687" s="14">
        <v>5.10000484E8</v>
      </c>
      <c r="H2687" s="14" t="s">
        <v>91</v>
      </c>
      <c r="I2687" s="14" t="s">
        <v>54</v>
      </c>
      <c r="J2687" s="14" t="s">
        <v>199</v>
      </c>
      <c r="K2687" s="14" t="s">
        <v>203</v>
      </c>
      <c r="L2687" s="14" t="s">
        <v>1088</v>
      </c>
      <c r="M2687" s="14" t="s">
        <v>1089</v>
      </c>
      <c r="N2687" s="14" t="s">
        <v>1090</v>
      </c>
      <c r="O2687" s="14">
        <v>100.0</v>
      </c>
      <c r="P2687" s="21">
        <v>1.0</v>
      </c>
      <c r="Q2687" s="22" t="str">
        <f>"+0"</f>
        <v>+0</v>
      </c>
      <c r="R2687" s="18" t="str">
        <f>"+1"</f>
        <v>+1</v>
      </c>
      <c r="S2687" s="14" t="s">
        <v>260</v>
      </c>
    </row>
    <row r="2688">
      <c r="A2688" s="13">
        <v>45901.0</v>
      </c>
      <c r="B2688" s="14" t="s">
        <v>47</v>
      </c>
      <c r="C2688" s="14" t="s">
        <v>48</v>
      </c>
      <c r="D2688" s="14" t="s">
        <v>91</v>
      </c>
      <c r="E2688" s="14" t="s">
        <v>92</v>
      </c>
      <c r="F2688" s="15" t="s">
        <v>51</v>
      </c>
      <c r="G2688" s="14" t="s">
        <v>163</v>
      </c>
      <c r="H2688" s="14" t="s">
        <v>91</v>
      </c>
      <c r="I2688" s="14" t="s">
        <v>59</v>
      </c>
      <c r="J2688" s="14" t="s">
        <v>200</v>
      </c>
      <c r="K2688" s="14" t="s">
        <v>223</v>
      </c>
      <c r="L2688" s="14" t="s">
        <v>257</v>
      </c>
      <c r="M2688" s="14" t="s">
        <v>622</v>
      </c>
      <c r="N2688" s="14" t="s">
        <v>623</v>
      </c>
      <c r="O2688" s="14">
        <v>51.0</v>
      </c>
      <c r="P2688" s="23">
        <v>0.035</v>
      </c>
      <c r="Q2688" s="22" t="str">
        <f>"+59.75%"</f>
        <v>+59.75%</v>
      </c>
      <c r="R2688" s="18" t="str">
        <f>"-5.59%"</f>
        <v>-5.59%</v>
      </c>
      <c r="S2688" s="14" t="s">
        <v>1866</v>
      </c>
    </row>
    <row r="2689">
      <c r="A2689" s="13">
        <v>45901.0</v>
      </c>
      <c r="B2689" s="14" t="s">
        <v>47</v>
      </c>
      <c r="C2689" s="14" t="s">
        <v>48</v>
      </c>
      <c r="D2689" s="14" t="s">
        <v>91</v>
      </c>
      <c r="E2689" s="14" t="s">
        <v>92</v>
      </c>
      <c r="F2689" s="15" t="s">
        <v>51</v>
      </c>
      <c r="G2689" s="14" t="s">
        <v>163</v>
      </c>
      <c r="H2689" s="14" t="s">
        <v>91</v>
      </c>
      <c r="I2689" s="14" t="s">
        <v>59</v>
      </c>
      <c r="J2689" s="14" t="s">
        <v>198</v>
      </c>
      <c r="K2689" s="14" t="s">
        <v>205</v>
      </c>
      <c r="L2689" s="14" t="s">
        <v>274</v>
      </c>
      <c r="M2689" s="14" t="s">
        <v>738</v>
      </c>
      <c r="N2689" s="14" t="s">
        <v>739</v>
      </c>
      <c r="O2689" s="14">
        <v>0.0</v>
      </c>
      <c r="P2689" s="21">
        <v>0.0</v>
      </c>
      <c r="Q2689" s="22" t="str">
        <f t="shared" ref="Q2689:Q2690" si="1588">"+0"</f>
        <v>+0</v>
      </c>
      <c r="S2689" s="14" t="s">
        <v>281</v>
      </c>
    </row>
    <row r="2690">
      <c r="A2690" s="13">
        <v>45901.0</v>
      </c>
      <c r="B2690" s="14" t="s">
        <v>47</v>
      </c>
      <c r="C2690" s="14" t="s">
        <v>48</v>
      </c>
      <c r="D2690" s="14" t="s">
        <v>66</v>
      </c>
      <c r="E2690" s="14" t="s">
        <v>67</v>
      </c>
      <c r="F2690" s="15" t="s">
        <v>51</v>
      </c>
      <c r="G2690" s="14" t="s">
        <v>68</v>
      </c>
      <c r="H2690" s="14" t="s">
        <v>66</v>
      </c>
      <c r="I2690" s="14" t="s">
        <v>59</v>
      </c>
      <c r="J2690" s="14" t="s">
        <v>200</v>
      </c>
      <c r="K2690" s="14" t="s">
        <v>231</v>
      </c>
      <c r="L2690" s="14" t="s">
        <v>512</v>
      </c>
      <c r="M2690" s="14" t="s">
        <v>1117</v>
      </c>
      <c r="N2690" s="14" t="s">
        <v>1118</v>
      </c>
      <c r="O2690" s="14">
        <v>0.0</v>
      </c>
      <c r="P2690" s="21">
        <v>0.0</v>
      </c>
      <c r="Q2690" s="22" t="str">
        <f t="shared" si="1588"/>
        <v>+0</v>
      </c>
      <c r="R2690" s="18" t="str">
        <f>"+0"</f>
        <v>+0</v>
      </c>
      <c r="S2690" s="14" t="s">
        <v>260</v>
      </c>
    </row>
    <row r="2691">
      <c r="A2691" s="13">
        <v>45901.0</v>
      </c>
      <c r="B2691" s="14" t="s">
        <v>47</v>
      </c>
      <c r="C2691" s="14" t="s">
        <v>48</v>
      </c>
      <c r="D2691" s="14" t="s">
        <v>82</v>
      </c>
      <c r="E2691" s="14" t="s">
        <v>83</v>
      </c>
      <c r="F2691" s="15" t="s">
        <v>51</v>
      </c>
      <c r="G2691" s="14" t="s">
        <v>84</v>
      </c>
      <c r="H2691" s="14" t="s">
        <v>82</v>
      </c>
      <c r="I2691" s="14" t="s">
        <v>59</v>
      </c>
      <c r="J2691" s="14" t="s">
        <v>200</v>
      </c>
      <c r="K2691" s="14" t="s">
        <v>213</v>
      </c>
      <c r="L2691" s="14" t="s">
        <v>307</v>
      </c>
      <c r="M2691" s="14" t="s">
        <v>561</v>
      </c>
      <c r="N2691" s="14" t="s">
        <v>562</v>
      </c>
      <c r="O2691" s="14">
        <v>0.0</v>
      </c>
      <c r="P2691" s="23">
        <v>0.0</v>
      </c>
      <c r="Q2691" s="22" t="str">
        <f t="shared" ref="Q2691:R2691" si="1589">"+0.00%"</f>
        <v>+0.00%</v>
      </c>
      <c r="R2691" s="18" t="str">
        <f t="shared" si="1589"/>
        <v>+0.00%</v>
      </c>
      <c r="S2691" s="14" t="s">
        <v>285</v>
      </c>
    </row>
    <row r="2692">
      <c r="A2692" s="13">
        <v>45901.0</v>
      </c>
      <c r="B2692" s="14" t="s">
        <v>47</v>
      </c>
      <c r="C2692" s="14" t="s">
        <v>48</v>
      </c>
      <c r="D2692" s="14" t="s">
        <v>66</v>
      </c>
      <c r="E2692" s="14" t="s">
        <v>67</v>
      </c>
      <c r="F2692" s="15" t="s">
        <v>51</v>
      </c>
      <c r="G2692" s="14" t="s">
        <v>68</v>
      </c>
      <c r="H2692" s="14" t="s">
        <v>66</v>
      </c>
      <c r="I2692" s="14" t="s">
        <v>59</v>
      </c>
      <c r="J2692" s="14" t="s">
        <v>198</v>
      </c>
      <c r="K2692" s="14" t="s">
        <v>210</v>
      </c>
      <c r="L2692" s="14" t="s">
        <v>278</v>
      </c>
      <c r="M2692" s="14" t="s">
        <v>443</v>
      </c>
      <c r="N2692" s="14" t="s">
        <v>444</v>
      </c>
      <c r="O2692" s="14">
        <v>44.0</v>
      </c>
      <c r="P2692" s="21">
        <v>127.0</v>
      </c>
      <c r="Q2692" s="22" t="str">
        <f>"+12"</f>
        <v>+12</v>
      </c>
      <c r="R2692" s="18" t="str">
        <f>"+18"</f>
        <v>+18</v>
      </c>
      <c r="S2692" s="14" t="s">
        <v>1867</v>
      </c>
    </row>
    <row r="2693">
      <c r="A2693" s="13">
        <v>45901.0</v>
      </c>
      <c r="B2693" s="14" t="s">
        <v>47</v>
      </c>
      <c r="C2693" s="14" t="s">
        <v>48</v>
      </c>
      <c r="D2693" s="14" t="s">
        <v>82</v>
      </c>
      <c r="E2693" s="14" t="s">
        <v>83</v>
      </c>
      <c r="F2693" s="15" t="s">
        <v>51</v>
      </c>
      <c r="G2693" s="14" t="s">
        <v>84</v>
      </c>
      <c r="H2693" s="14" t="s">
        <v>82</v>
      </c>
      <c r="I2693" s="14" t="s">
        <v>59</v>
      </c>
      <c r="J2693" s="14" t="s">
        <v>200</v>
      </c>
      <c r="K2693" s="14" t="s">
        <v>213</v>
      </c>
      <c r="L2693" s="14" t="s">
        <v>307</v>
      </c>
      <c r="M2693" s="14" t="s">
        <v>308</v>
      </c>
      <c r="N2693" s="14" t="s">
        <v>309</v>
      </c>
      <c r="O2693" s="14">
        <v>0.0</v>
      </c>
      <c r="P2693" s="23">
        <v>0.0</v>
      </c>
      <c r="Q2693" s="22" t="str">
        <f t="shared" ref="Q2693:R2693" si="1590">"+0.00%"</f>
        <v>+0.00%</v>
      </c>
      <c r="R2693" s="18" t="str">
        <f t="shared" si="1590"/>
        <v>+0.00%</v>
      </c>
      <c r="S2693" s="14" t="s">
        <v>285</v>
      </c>
    </row>
    <row r="2694">
      <c r="A2694" s="13">
        <v>45901.0</v>
      </c>
      <c r="B2694" s="14" t="s">
        <v>47</v>
      </c>
      <c r="C2694" s="14" t="s">
        <v>48</v>
      </c>
      <c r="D2694" s="14" t="s">
        <v>143</v>
      </c>
      <c r="E2694" s="14" t="s">
        <v>144</v>
      </c>
      <c r="F2694" s="15" t="s">
        <v>51</v>
      </c>
      <c r="G2694" s="14" t="s">
        <v>145</v>
      </c>
      <c r="H2694" s="14" t="s">
        <v>143</v>
      </c>
      <c r="I2694" s="14" t="s">
        <v>59</v>
      </c>
      <c r="J2694" s="14" t="s">
        <v>200</v>
      </c>
      <c r="K2694" s="14" t="s">
        <v>222</v>
      </c>
      <c r="L2694" s="14" t="s">
        <v>337</v>
      </c>
      <c r="M2694" s="14" t="s">
        <v>338</v>
      </c>
      <c r="N2694" s="14" t="s">
        <v>339</v>
      </c>
      <c r="O2694" s="14">
        <v>0.0</v>
      </c>
      <c r="P2694" s="21">
        <v>0.0</v>
      </c>
      <c r="Q2694" s="22" t="str">
        <f t="shared" ref="Q2694:R2694" si="1591">"+0"</f>
        <v>+0</v>
      </c>
      <c r="R2694" s="18" t="str">
        <f t="shared" si="1591"/>
        <v>+0</v>
      </c>
      <c r="S2694" s="14" t="s">
        <v>260</v>
      </c>
    </row>
    <row r="2695">
      <c r="A2695" s="13">
        <v>45901.0</v>
      </c>
      <c r="B2695" s="14" t="s">
        <v>47</v>
      </c>
      <c r="C2695" s="14" t="s">
        <v>48</v>
      </c>
      <c r="D2695" s="14" t="s">
        <v>149</v>
      </c>
      <c r="E2695" s="14" t="s">
        <v>150</v>
      </c>
      <c r="F2695" s="15" t="s">
        <v>51</v>
      </c>
      <c r="G2695" s="14" t="s">
        <v>151</v>
      </c>
      <c r="H2695" s="14" t="s">
        <v>152</v>
      </c>
      <c r="I2695" s="14" t="s">
        <v>54</v>
      </c>
      <c r="J2695" s="14" t="s">
        <v>200</v>
      </c>
      <c r="K2695" s="14" t="s">
        <v>224</v>
      </c>
      <c r="L2695" s="14" t="s">
        <v>392</v>
      </c>
      <c r="M2695" s="14" t="s">
        <v>1172</v>
      </c>
      <c r="N2695" s="14" t="s">
        <v>1173</v>
      </c>
      <c r="O2695" s="14">
        <v>33.0</v>
      </c>
      <c r="P2695" s="23">
        <v>0.3333</v>
      </c>
      <c r="Q2695" s="22" t="str">
        <f>"-16.67%"</f>
        <v>-16.67%</v>
      </c>
      <c r="R2695" s="18" t="str">
        <f>"-66.67%"</f>
        <v>-66.67%</v>
      </c>
      <c r="S2695" s="14" t="s">
        <v>1868</v>
      </c>
    </row>
    <row r="2696">
      <c r="A2696" s="13">
        <v>45901.0</v>
      </c>
      <c r="B2696" s="14" t="s">
        <v>47</v>
      </c>
      <c r="C2696" s="14" t="s">
        <v>48</v>
      </c>
      <c r="D2696" s="14" t="s">
        <v>149</v>
      </c>
      <c r="E2696" s="14" t="s">
        <v>150</v>
      </c>
      <c r="F2696" s="15" t="s">
        <v>51</v>
      </c>
      <c r="G2696" s="14" t="s">
        <v>151</v>
      </c>
      <c r="H2696" s="14" t="s">
        <v>152</v>
      </c>
      <c r="I2696" s="14" t="s">
        <v>54</v>
      </c>
      <c r="J2696" s="14" t="s">
        <v>200</v>
      </c>
      <c r="K2696" s="14" t="s">
        <v>231</v>
      </c>
      <c r="L2696" s="14" t="s">
        <v>253</v>
      </c>
      <c r="M2696" s="14" t="s">
        <v>389</v>
      </c>
      <c r="N2696" s="14" t="s">
        <v>390</v>
      </c>
      <c r="O2696" s="14">
        <v>100.0</v>
      </c>
      <c r="P2696" s="23">
        <v>1.0</v>
      </c>
      <c r="Q2696" s="22" t="str">
        <f t="shared" ref="Q2696:R2696" si="1592">"+0.00%"</f>
        <v>+0.00%</v>
      </c>
      <c r="R2696" s="18" t="str">
        <f t="shared" si="1592"/>
        <v>+0.00%</v>
      </c>
      <c r="S2696" s="14" t="s">
        <v>1618</v>
      </c>
    </row>
    <row r="2697">
      <c r="A2697" s="13">
        <v>45901.0</v>
      </c>
      <c r="B2697" s="14" t="s">
        <v>47</v>
      </c>
      <c r="C2697" s="14" t="s">
        <v>48</v>
      </c>
      <c r="D2697" s="14" t="s">
        <v>136</v>
      </c>
      <c r="E2697" s="14" t="s">
        <v>137</v>
      </c>
      <c r="F2697" s="15" t="s">
        <v>51</v>
      </c>
      <c r="G2697" s="14" t="s">
        <v>138</v>
      </c>
      <c r="H2697" s="14" t="s">
        <v>139</v>
      </c>
      <c r="I2697" s="14" t="s">
        <v>59</v>
      </c>
      <c r="J2697" s="14" t="s">
        <v>200</v>
      </c>
      <c r="K2697" s="14" t="s">
        <v>224</v>
      </c>
      <c r="L2697" s="14" t="s">
        <v>427</v>
      </c>
      <c r="M2697" s="14" t="s">
        <v>1575</v>
      </c>
      <c r="N2697" s="14" t="s">
        <v>1576</v>
      </c>
      <c r="O2697" s="14">
        <v>0.0</v>
      </c>
      <c r="P2697" s="23">
        <v>0.0</v>
      </c>
      <c r="Q2697" s="22" t="str">
        <f>"+0.00%"</f>
        <v>+0.00%</v>
      </c>
      <c r="S2697" s="14" t="s">
        <v>1869</v>
      </c>
    </row>
    <row r="2698">
      <c r="A2698" s="13">
        <v>45901.0</v>
      </c>
      <c r="B2698" s="14" t="s">
        <v>47</v>
      </c>
      <c r="C2698" s="14" t="s">
        <v>48</v>
      </c>
      <c r="D2698" s="14" t="s">
        <v>171</v>
      </c>
      <c r="E2698" s="14" t="s">
        <v>172</v>
      </c>
      <c r="F2698" s="15" t="s">
        <v>51</v>
      </c>
      <c r="G2698" s="14" t="s">
        <v>173</v>
      </c>
      <c r="H2698" s="14" t="s">
        <v>171</v>
      </c>
      <c r="I2698" s="14" t="s">
        <v>59</v>
      </c>
      <c r="J2698" s="14" t="s">
        <v>200</v>
      </c>
      <c r="K2698" s="14" t="s">
        <v>213</v>
      </c>
      <c r="L2698" s="14" t="s">
        <v>359</v>
      </c>
      <c r="M2698" s="14" t="s">
        <v>519</v>
      </c>
      <c r="N2698" s="14" t="s">
        <v>520</v>
      </c>
      <c r="O2698" s="14">
        <v>0.0</v>
      </c>
      <c r="P2698" s="21">
        <v>0.0</v>
      </c>
      <c r="Q2698" s="22" t="str">
        <f t="shared" ref="Q2698:R2698" si="1593">"+0"</f>
        <v>+0</v>
      </c>
      <c r="R2698" s="18" t="str">
        <f t="shared" si="1593"/>
        <v>+0</v>
      </c>
      <c r="S2698" s="14" t="s">
        <v>260</v>
      </c>
    </row>
    <row r="2699">
      <c r="A2699" s="13">
        <v>45901.0</v>
      </c>
      <c r="B2699" s="14" t="s">
        <v>47</v>
      </c>
      <c r="C2699" s="14" t="s">
        <v>48</v>
      </c>
      <c r="D2699" s="14" t="s">
        <v>69</v>
      </c>
      <c r="E2699" s="14" t="s">
        <v>70</v>
      </c>
      <c r="F2699" s="15" t="s">
        <v>51</v>
      </c>
      <c r="G2699" s="14" t="s">
        <v>115</v>
      </c>
      <c r="H2699" s="14" t="s">
        <v>72</v>
      </c>
      <c r="I2699" s="14" t="s">
        <v>54</v>
      </c>
      <c r="J2699" s="14" t="s">
        <v>200</v>
      </c>
      <c r="K2699" s="14" t="s">
        <v>224</v>
      </c>
      <c r="L2699" s="14" t="s">
        <v>427</v>
      </c>
      <c r="M2699" s="14" t="s">
        <v>925</v>
      </c>
      <c r="N2699" s="14" t="s">
        <v>926</v>
      </c>
      <c r="O2699" s="14">
        <v>0.0</v>
      </c>
      <c r="P2699" s="23">
        <v>0.0</v>
      </c>
      <c r="Q2699" s="22" t="str">
        <f>"+0.00%"</f>
        <v>+0.00%</v>
      </c>
      <c r="R2699" s="18" t="str">
        <f>"-20.00%"</f>
        <v>-20.00%</v>
      </c>
      <c r="S2699" s="14" t="s">
        <v>927</v>
      </c>
    </row>
    <row r="2700">
      <c r="A2700" s="13">
        <v>45901.0</v>
      </c>
      <c r="B2700" s="14" t="s">
        <v>47</v>
      </c>
      <c r="C2700" s="14" t="s">
        <v>48</v>
      </c>
      <c r="D2700" s="14" t="s">
        <v>85</v>
      </c>
      <c r="E2700" s="14" t="s">
        <v>86</v>
      </c>
      <c r="F2700" s="15" t="s">
        <v>51</v>
      </c>
      <c r="G2700" s="14" t="s">
        <v>148</v>
      </c>
      <c r="H2700" s="14" t="s">
        <v>85</v>
      </c>
      <c r="I2700" s="14" t="s">
        <v>59</v>
      </c>
      <c r="J2700" s="14" t="s">
        <v>200</v>
      </c>
      <c r="K2700" s="14" t="s">
        <v>227</v>
      </c>
      <c r="L2700" s="14" t="s">
        <v>328</v>
      </c>
      <c r="M2700" s="14" t="s">
        <v>329</v>
      </c>
      <c r="N2700" s="14" t="s">
        <v>330</v>
      </c>
      <c r="O2700" s="14">
        <v>100.0</v>
      </c>
      <c r="P2700" s="21">
        <v>2.0</v>
      </c>
      <c r="Q2700" s="22" t="str">
        <f t="shared" ref="Q2700:R2700" si="1594">"-1"</f>
        <v>-1</v>
      </c>
      <c r="R2700" s="18" t="str">
        <f t="shared" si="1594"/>
        <v>-1</v>
      </c>
      <c r="S2700" s="14" t="s">
        <v>260</v>
      </c>
    </row>
    <row r="2701">
      <c r="A2701" s="13">
        <v>45901.0</v>
      </c>
      <c r="B2701" s="14" t="s">
        <v>47</v>
      </c>
      <c r="C2701" s="14" t="s">
        <v>48</v>
      </c>
      <c r="D2701" s="14" t="s">
        <v>96</v>
      </c>
      <c r="E2701" s="14" t="s">
        <v>97</v>
      </c>
      <c r="F2701" s="15" t="s">
        <v>51</v>
      </c>
      <c r="G2701" s="14" t="s">
        <v>98</v>
      </c>
      <c r="H2701" s="14" t="s">
        <v>96</v>
      </c>
      <c r="I2701" s="14" t="s">
        <v>59</v>
      </c>
      <c r="J2701" s="14" t="s">
        <v>199</v>
      </c>
      <c r="K2701" s="14" t="s">
        <v>208</v>
      </c>
      <c r="L2701" s="14" t="s">
        <v>352</v>
      </c>
      <c r="M2701" s="14" t="s">
        <v>352</v>
      </c>
      <c r="N2701" s="14" t="s">
        <v>353</v>
      </c>
      <c r="O2701" s="14">
        <v>100.0</v>
      </c>
      <c r="P2701" s="21">
        <v>9.0</v>
      </c>
      <c r="Q2701" s="22" t="str">
        <f t="shared" ref="Q2701:R2701" si="1595">"+0"</f>
        <v>+0</v>
      </c>
      <c r="R2701" s="18" t="str">
        <f t="shared" si="1595"/>
        <v>+0</v>
      </c>
      <c r="S2701" s="14" t="s">
        <v>260</v>
      </c>
    </row>
    <row r="2702">
      <c r="A2702" s="13">
        <v>45901.0</v>
      </c>
      <c r="B2702" s="14" t="s">
        <v>47</v>
      </c>
      <c r="C2702" s="14" t="s">
        <v>48</v>
      </c>
      <c r="D2702" s="14" t="s">
        <v>96</v>
      </c>
      <c r="E2702" s="14" t="s">
        <v>97</v>
      </c>
      <c r="F2702" s="15" t="s">
        <v>51</v>
      </c>
      <c r="G2702" s="14" t="s">
        <v>98</v>
      </c>
      <c r="H2702" s="14" t="s">
        <v>96</v>
      </c>
      <c r="I2702" s="14" t="s">
        <v>59</v>
      </c>
      <c r="J2702" s="14" t="s">
        <v>200</v>
      </c>
      <c r="K2702" s="14" t="s">
        <v>227</v>
      </c>
      <c r="L2702" s="14" t="s">
        <v>270</v>
      </c>
      <c r="M2702" s="14" t="s">
        <v>400</v>
      </c>
      <c r="N2702" s="14" t="s">
        <v>401</v>
      </c>
      <c r="O2702" s="14">
        <v>0.0</v>
      </c>
      <c r="P2702" s="21">
        <v>0.0</v>
      </c>
      <c r="Q2702" s="22" t="str">
        <f t="shared" ref="Q2702:R2702" si="1596">"+0"</f>
        <v>+0</v>
      </c>
      <c r="R2702" s="18" t="str">
        <f t="shared" si="1596"/>
        <v>+0</v>
      </c>
      <c r="S2702" s="14" t="s">
        <v>260</v>
      </c>
    </row>
    <row r="2703">
      <c r="A2703" s="13">
        <v>45901.0</v>
      </c>
      <c r="B2703" s="14" t="s">
        <v>47</v>
      </c>
      <c r="C2703" s="14" t="s">
        <v>48</v>
      </c>
      <c r="D2703" s="14" t="s">
        <v>69</v>
      </c>
      <c r="E2703" s="14" t="s">
        <v>70</v>
      </c>
      <c r="F2703" s="15" t="s">
        <v>51</v>
      </c>
      <c r="G2703" s="14" t="s">
        <v>115</v>
      </c>
      <c r="H2703" s="14" t="s">
        <v>72</v>
      </c>
      <c r="I2703" s="14" t="s">
        <v>54</v>
      </c>
      <c r="J2703" s="14" t="s">
        <v>198</v>
      </c>
      <c r="K2703" s="14" t="s">
        <v>212</v>
      </c>
      <c r="L2703" s="14" t="s">
        <v>249</v>
      </c>
      <c r="M2703" s="14" t="s">
        <v>686</v>
      </c>
      <c r="N2703" s="14" t="s">
        <v>687</v>
      </c>
      <c r="O2703" s="14">
        <v>0.0</v>
      </c>
      <c r="P2703" s="21">
        <v>0.0</v>
      </c>
      <c r="Q2703" s="22" t="str">
        <f t="shared" ref="Q2703:R2703" si="1597">"+0"</f>
        <v>+0</v>
      </c>
      <c r="R2703" s="18" t="str">
        <f t="shared" si="1597"/>
        <v>+0</v>
      </c>
      <c r="S2703" s="14" t="s">
        <v>277</v>
      </c>
    </row>
    <row r="2704">
      <c r="A2704" s="13">
        <v>45901.0</v>
      </c>
      <c r="B2704" s="14" t="s">
        <v>47</v>
      </c>
      <c r="C2704" s="14" t="s">
        <v>48</v>
      </c>
      <c r="D2704" s="14" t="s">
        <v>69</v>
      </c>
      <c r="E2704" s="14" t="s">
        <v>70</v>
      </c>
      <c r="F2704" s="15" t="s">
        <v>51</v>
      </c>
      <c r="G2704" s="14" t="s">
        <v>115</v>
      </c>
      <c r="H2704" s="14" t="s">
        <v>72</v>
      </c>
      <c r="I2704" s="14" t="s">
        <v>54</v>
      </c>
      <c r="J2704" s="14" t="s">
        <v>198</v>
      </c>
      <c r="K2704" s="14" t="s">
        <v>210</v>
      </c>
      <c r="L2704" s="14" t="s">
        <v>264</v>
      </c>
      <c r="M2704" s="14" t="s">
        <v>357</v>
      </c>
      <c r="N2704" s="14" t="s">
        <v>358</v>
      </c>
      <c r="O2704" s="14">
        <v>100.0</v>
      </c>
      <c r="P2704" s="21">
        <v>0.0</v>
      </c>
      <c r="Q2704" s="22" t="str">
        <f>"-9"</f>
        <v>-9</v>
      </c>
      <c r="R2704" s="18" t="str">
        <f>"-58,390"</f>
        <v>-58,390</v>
      </c>
      <c r="S2704" s="14" t="s">
        <v>281</v>
      </c>
    </row>
    <row r="2705">
      <c r="A2705" s="13">
        <v>45901.0</v>
      </c>
      <c r="B2705" s="14" t="s">
        <v>47</v>
      </c>
      <c r="C2705" s="14" t="s">
        <v>48</v>
      </c>
      <c r="D2705" s="14" t="s">
        <v>125</v>
      </c>
      <c r="E2705" s="14" t="s">
        <v>126</v>
      </c>
      <c r="F2705" s="15" t="s">
        <v>51</v>
      </c>
      <c r="G2705" s="14" t="s">
        <v>127</v>
      </c>
      <c r="H2705" s="14" t="s">
        <v>125</v>
      </c>
      <c r="I2705" s="14" t="s">
        <v>59</v>
      </c>
      <c r="J2705" s="14" t="s">
        <v>198</v>
      </c>
      <c r="K2705" s="14" t="s">
        <v>205</v>
      </c>
      <c r="L2705" s="14" t="s">
        <v>274</v>
      </c>
      <c r="M2705" s="14" t="s">
        <v>575</v>
      </c>
      <c r="N2705" s="14" t="s">
        <v>576</v>
      </c>
      <c r="O2705" s="14">
        <v>100.0</v>
      </c>
      <c r="P2705" s="21">
        <v>90.0</v>
      </c>
      <c r="Q2705" s="22" t="str">
        <f>"+0"</f>
        <v>+0</v>
      </c>
      <c r="S2705" s="14" t="s">
        <v>577</v>
      </c>
    </row>
    <row r="2706">
      <c r="A2706" s="13">
        <v>45901.0</v>
      </c>
      <c r="B2706" s="14" t="s">
        <v>47</v>
      </c>
      <c r="C2706" s="14" t="s">
        <v>48</v>
      </c>
      <c r="D2706" s="14" t="s">
        <v>116</v>
      </c>
      <c r="E2706" s="14" t="s">
        <v>117</v>
      </c>
      <c r="F2706" s="15" t="s">
        <v>51</v>
      </c>
      <c r="G2706" s="14" t="s">
        <v>161</v>
      </c>
      <c r="H2706" s="14" t="s">
        <v>116</v>
      </c>
      <c r="I2706" s="14" t="s">
        <v>54</v>
      </c>
      <c r="J2706" s="14" t="s">
        <v>200</v>
      </c>
      <c r="K2706" s="14" t="s">
        <v>227</v>
      </c>
      <c r="L2706" s="14" t="s">
        <v>253</v>
      </c>
      <c r="M2706" s="14" t="s">
        <v>254</v>
      </c>
      <c r="N2706" s="14" t="s">
        <v>255</v>
      </c>
      <c r="O2706" s="14">
        <v>13.0</v>
      </c>
      <c r="P2706" s="23">
        <v>0.1391</v>
      </c>
      <c r="Q2706" s="22" t="str">
        <f>"-0.87%"</f>
        <v>-0.87%</v>
      </c>
      <c r="R2706" s="18" t="str">
        <f>"-6.09%"</f>
        <v>-6.09%</v>
      </c>
      <c r="S2706" s="14" t="s">
        <v>399</v>
      </c>
    </row>
    <row r="2707">
      <c r="A2707" s="13">
        <v>45901.0</v>
      </c>
      <c r="B2707" s="14" t="s">
        <v>47</v>
      </c>
      <c r="C2707" s="14" t="s">
        <v>48</v>
      </c>
      <c r="D2707" s="14" t="s">
        <v>77</v>
      </c>
      <c r="E2707" s="14" t="s">
        <v>78</v>
      </c>
      <c r="F2707" s="15" t="s">
        <v>51</v>
      </c>
      <c r="G2707" s="14" t="s">
        <v>128</v>
      </c>
      <c r="H2707" s="14" t="s">
        <v>81</v>
      </c>
      <c r="I2707" s="14" t="s">
        <v>59</v>
      </c>
      <c r="J2707" s="14" t="s">
        <v>200</v>
      </c>
      <c r="K2707" s="14" t="s">
        <v>216</v>
      </c>
      <c r="L2707" s="14" t="s">
        <v>1870</v>
      </c>
      <c r="M2707" s="14" t="s">
        <v>1871</v>
      </c>
      <c r="N2707" s="14" t="s">
        <v>1872</v>
      </c>
      <c r="O2707" s="14">
        <v>0.0</v>
      </c>
      <c r="P2707" s="21">
        <v>0.0</v>
      </c>
      <c r="Q2707" s="22" t="str">
        <f t="shared" ref="Q2707:R2707" si="1598">"+0"</f>
        <v>+0</v>
      </c>
      <c r="R2707" s="18" t="str">
        <f t="shared" si="1598"/>
        <v>+0</v>
      </c>
      <c r="S2707" s="14" t="s">
        <v>260</v>
      </c>
    </row>
    <row r="2708">
      <c r="A2708" s="13">
        <v>45901.0</v>
      </c>
      <c r="B2708" s="14" t="s">
        <v>47</v>
      </c>
      <c r="C2708" s="14" t="s">
        <v>48</v>
      </c>
      <c r="D2708" s="14" t="s">
        <v>158</v>
      </c>
      <c r="E2708" s="14" t="s">
        <v>159</v>
      </c>
      <c r="F2708" s="15" t="s">
        <v>51</v>
      </c>
      <c r="G2708" s="14" t="s">
        <v>160</v>
      </c>
      <c r="H2708" s="14" t="s">
        <v>158</v>
      </c>
      <c r="I2708" s="14" t="s">
        <v>54</v>
      </c>
      <c r="J2708" s="14" t="s">
        <v>200</v>
      </c>
      <c r="K2708" s="14" t="s">
        <v>222</v>
      </c>
      <c r="L2708" s="14" t="s">
        <v>301</v>
      </c>
      <c r="M2708" s="14" t="s">
        <v>302</v>
      </c>
      <c r="N2708" s="14" t="s">
        <v>303</v>
      </c>
      <c r="O2708" s="14">
        <v>0.0</v>
      </c>
      <c r="P2708" s="21">
        <v>0.0</v>
      </c>
      <c r="Q2708" s="22" t="str">
        <f t="shared" ref="Q2708:R2708" si="1599">"+0"</f>
        <v>+0</v>
      </c>
      <c r="R2708" s="18" t="str">
        <f t="shared" si="1599"/>
        <v>+0</v>
      </c>
      <c r="S2708" s="14" t="s">
        <v>260</v>
      </c>
    </row>
    <row r="2709">
      <c r="A2709" s="13">
        <v>45901.0</v>
      </c>
      <c r="B2709" s="14" t="s">
        <v>47</v>
      </c>
      <c r="C2709" s="14" t="s">
        <v>48</v>
      </c>
      <c r="D2709" s="14" t="s">
        <v>112</v>
      </c>
      <c r="E2709" s="14" t="s">
        <v>113</v>
      </c>
      <c r="F2709" s="15" t="s">
        <v>51</v>
      </c>
      <c r="G2709" s="14" t="s">
        <v>114</v>
      </c>
      <c r="H2709" s="14" t="s">
        <v>112</v>
      </c>
      <c r="I2709" s="14" t="s">
        <v>59</v>
      </c>
      <c r="J2709" s="14" t="s">
        <v>198</v>
      </c>
      <c r="K2709" s="14" t="s">
        <v>210</v>
      </c>
      <c r="L2709" s="14" t="s">
        <v>505</v>
      </c>
      <c r="M2709" s="14" t="s">
        <v>506</v>
      </c>
      <c r="N2709" s="14" t="s">
        <v>507</v>
      </c>
      <c r="O2709" s="14">
        <v>100.0</v>
      </c>
      <c r="P2709" s="21">
        <v>0.0</v>
      </c>
      <c r="Q2709" s="22" t="str">
        <f t="shared" ref="Q2709:R2709" si="1600">"+0"</f>
        <v>+0</v>
      </c>
      <c r="R2709" s="18" t="str">
        <f t="shared" si="1600"/>
        <v>+0</v>
      </c>
      <c r="S2709" s="14" t="s">
        <v>281</v>
      </c>
    </row>
    <row r="2710">
      <c r="A2710" s="13">
        <v>45901.0</v>
      </c>
      <c r="B2710" s="14" t="s">
        <v>47</v>
      </c>
      <c r="C2710" s="14" t="s">
        <v>48</v>
      </c>
      <c r="D2710" s="14" t="s">
        <v>116</v>
      </c>
      <c r="E2710" s="14" t="s">
        <v>117</v>
      </c>
      <c r="F2710" s="15" t="s">
        <v>51</v>
      </c>
      <c r="G2710" s="14" t="s">
        <v>161</v>
      </c>
      <c r="H2710" s="14" t="s">
        <v>116</v>
      </c>
      <c r="I2710" s="14" t="s">
        <v>54</v>
      </c>
      <c r="J2710" s="14" t="s">
        <v>198</v>
      </c>
      <c r="K2710" s="14" t="s">
        <v>210</v>
      </c>
      <c r="L2710" s="14" t="s">
        <v>278</v>
      </c>
      <c r="M2710" s="14" t="s">
        <v>279</v>
      </c>
      <c r="N2710" s="14" t="s">
        <v>280</v>
      </c>
      <c r="O2710" s="14">
        <v>100.0</v>
      </c>
      <c r="P2710" s="21">
        <v>0.0</v>
      </c>
      <c r="Q2710" s="22" t="str">
        <f t="shared" ref="Q2710:R2710" si="1601">"+0"</f>
        <v>+0</v>
      </c>
      <c r="R2710" s="18" t="str">
        <f t="shared" si="1601"/>
        <v>+0</v>
      </c>
      <c r="S2710" s="14" t="s">
        <v>281</v>
      </c>
    </row>
    <row r="2711">
      <c r="A2711" s="13">
        <v>45901.0</v>
      </c>
      <c r="B2711" s="14" t="s">
        <v>47</v>
      </c>
      <c r="C2711" s="14" t="s">
        <v>48</v>
      </c>
      <c r="D2711" s="14" t="s">
        <v>116</v>
      </c>
      <c r="E2711" s="14" t="s">
        <v>117</v>
      </c>
      <c r="F2711" s="15" t="s">
        <v>51</v>
      </c>
      <c r="G2711" s="14" t="s">
        <v>161</v>
      </c>
      <c r="H2711" s="14" t="s">
        <v>116</v>
      </c>
      <c r="I2711" s="14" t="s">
        <v>54</v>
      </c>
      <c r="J2711" s="14" t="s">
        <v>199</v>
      </c>
      <c r="K2711" s="14" t="s">
        <v>203</v>
      </c>
      <c r="L2711" s="14" t="s">
        <v>1088</v>
      </c>
      <c r="M2711" s="14" t="s">
        <v>1089</v>
      </c>
      <c r="N2711" s="14" t="s">
        <v>1090</v>
      </c>
      <c r="O2711" s="14">
        <v>0.0</v>
      </c>
      <c r="P2711" s="21">
        <v>0.0</v>
      </c>
      <c r="Q2711" s="22" t="str">
        <f t="shared" ref="Q2711:R2711" si="1602">"+0"</f>
        <v>+0</v>
      </c>
      <c r="R2711" s="18" t="str">
        <f t="shared" si="1602"/>
        <v>+0</v>
      </c>
      <c r="S2711" s="14" t="s">
        <v>260</v>
      </c>
    </row>
    <row r="2712">
      <c r="A2712" s="13">
        <v>45901.0</v>
      </c>
      <c r="B2712" s="14" t="s">
        <v>47</v>
      </c>
      <c r="C2712" s="14" t="s">
        <v>48</v>
      </c>
      <c r="D2712" s="14" t="s">
        <v>77</v>
      </c>
      <c r="E2712" s="14" t="s">
        <v>78</v>
      </c>
      <c r="F2712" s="15" t="s">
        <v>51</v>
      </c>
      <c r="G2712" s="14" t="s">
        <v>128</v>
      </c>
      <c r="H2712" s="14" t="s">
        <v>81</v>
      </c>
      <c r="I2712" s="14" t="s">
        <v>59</v>
      </c>
      <c r="J2712" s="14" t="s">
        <v>200</v>
      </c>
      <c r="K2712" s="14" t="s">
        <v>216</v>
      </c>
      <c r="L2712" s="14" t="s">
        <v>779</v>
      </c>
      <c r="M2712" s="14" t="s">
        <v>1873</v>
      </c>
      <c r="N2712" s="14" t="s">
        <v>1874</v>
      </c>
      <c r="O2712" s="14">
        <v>0.0</v>
      </c>
      <c r="P2712" s="21">
        <v>0.0</v>
      </c>
      <c r="Q2712" s="22" t="str">
        <f t="shared" ref="Q2712:R2712" si="1603">"+0"</f>
        <v>+0</v>
      </c>
      <c r="R2712" s="18" t="str">
        <f t="shared" si="1603"/>
        <v>+0</v>
      </c>
      <c r="S2712" s="14" t="s">
        <v>260</v>
      </c>
    </row>
    <row r="2713">
      <c r="A2713" s="13">
        <v>45901.0</v>
      </c>
      <c r="B2713" s="14" t="s">
        <v>47</v>
      </c>
      <c r="C2713" s="14" t="s">
        <v>48</v>
      </c>
      <c r="D2713" s="14" t="s">
        <v>108</v>
      </c>
      <c r="E2713" s="14" t="s">
        <v>109</v>
      </c>
      <c r="F2713" s="15" t="s">
        <v>51</v>
      </c>
      <c r="G2713" s="14" t="s">
        <v>110</v>
      </c>
      <c r="H2713" s="14" t="s">
        <v>108</v>
      </c>
      <c r="I2713" s="14" t="s">
        <v>59</v>
      </c>
      <c r="J2713" s="14" t="s">
        <v>198</v>
      </c>
      <c r="K2713" s="14" t="s">
        <v>205</v>
      </c>
      <c r="L2713" s="14" t="s">
        <v>274</v>
      </c>
      <c r="M2713" s="14" t="s">
        <v>696</v>
      </c>
      <c r="N2713" s="14" t="s">
        <v>697</v>
      </c>
      <c r="O2713" s="14">
        <v>100.0</v>
      </c>
      <c r="P2713" s="21">
        <v>1.0</v>
      </c>
      <c r="Q2713" s="22" t="str">
        <f>"+0"</f>
        <v>+0</v>
      </c>
      <c r="S2713" s="14" t="s">
        <v>281</v>
      </c>
    </row>
    <row r="2714">
      <c r="A2714" s="13">
        <v>45901.0</v>
      </c>
      <c r="B2714" s="14" t="s">
        <v>47</v>
      </c>
      <c r="C2714" s="14" t="s">
        <v>48</v>
      </c>
      <c r="D2714" s="14" t="s">
        <v>77</v>
      </c>
      <c r="E2714" s="14" t="s">
        <v>78</v>
      </c>
      <c r="F2714" s="15" t="s">
        <v>51</v>
      </c>
      <c r="G2714" s="14" t="s">
        <v>128</v>
      </c>
      <c r="H2714" s="14" t="s">
        <v>81</v>
      </c>
      <c r="I2714" s="14" t="s">
        <v>59</v>
      </c>
      <c r="J2714" s="14" t="s">
        <v>200</v>
      </c>
      <c r="K2714" s="14" t="s">
        <v>223</v>
      </c>
      <c r="L2714" s="14" t="s">
        <v>375</v>
      </c>
      <c r="M2714" s="14" t="s">
        <v>376</v>
      </c>
      <c r="N2714" s="14" t="s">
        <v>377</v>
      </c>
      <c r="O2714" s="14">
        <v>0.0</v>
      </c>
      <c r="P2714" s="23">
        <v>0.0</v>
      </c>
      <c r="Q2714" s="22" t="str">
        <f t="shared" ref="Q2714:R2714" si="1604">"+0.00%"</f>
        <v>+0.00%</v>
      </c>
      <c r="R2714" s="18" t="str">
        <f t="shared" si="1604"/>
        <v>+0.00%</v>
      </c>
      <c r="S2714" s="14" t="s">
        <v>1875</v>
      </c>
    </row>
    <row r="2715">
      <c r="A2715" s="13">
        <v>45901.0</v>
      </c>
      <c r="B2715" s="14" t="s">
        <v>47</v>
      </c>
      <c r="C2715" s="14" t="s">
        <v>48</v>
      </c>
      <c r="D2715" s="14" t="s">
        <v>56</v>
      </c>
      <c r="E2715" s="14" t="s">
        <v>57</v>
      </c>
      <c r="F2715" s="15" t="s">
        <v>51</v>
      </c>
      <c r="G2715" s="14" t="s">
        <v>58</v>
      </c>
      <c r="H2715" s="14" t="s">
        <v>56</v>
      </c>
      <c r="I2715" s="14" t="s">
        <v>59</v>
      </c>
      <c r="J2715" s="14" t="s">
        <v>198</v>
      </c>
      <c r="K2715" s="14" t="s">
        <v>205</v>
      </c>
      <c r="L2715" s="14" t="s">
        <v>274</v>
      </c>
      <c r="M2715" s="14" t="s">
        <v>448</v>
      </c>
      <c r="N2715" s="14" t="s">
        <v>449</v>
      </c>
      <c r="O2715" s="14">
        <v>100.0</v>
      </c>
      <c r="P2715" s="21">
        <v>3.0</v>
      </c>
      <c r="Q2715" s="22" t="str">
        <f t="shared" ref="Q2715:Q2717" si="1605">"+0"</f>
        <v>+0</v>
      </c>
      <c r="S2715" s="14" t="s">
        <v>450</v>
      </c>
    </row>
    <row r="2716">
      <c r="A2716" s="13">
        <v>45901.0</v>
      </c>
      <c r="B2716" s="14" t="s">
        <v>47</v>
      </c>
      <c r="C2716" s="14" t="s">
        <v>48</v>
      </c>
      <c r="D2716" s="14" t="s">
        <v>165</v>
      </c>
      <c r="E2716" s="14" t="s">
        <v>166</v>
      </c>
      <c r="F2716" s="15" t="s">
        <v>51</v>
      </c>
      <c r="G2716" s="14" t="s">
        <v>167</v>
      </c>
      <c r="H2716" s="14" t="s">
        <v>165</v>
      </c>
      <c r="I2716" s="14" t="s">
        <v>54</v>
      </c>
      <c r="J2716" s="14" t="s">
        <v>198</v>
      </c>
      <c r="K2716" s="14" t="s">
        <v>210</v>
      </c>
      <c r="L2716" s="14" t="s">
        <v>458</v>
      </c>
      <c r="M2716" s="14" t="s">
        <v>1489</v>
      </c>
      <c r="N2716" s="14" t="s">
        <v>1490</v>
      </c>
      <c r="O2716" s="14">
        <v>0.0</v>
      </c>
      <c r="P2716" s="21">
        <v>0.0</v>
      </c>
      <c r="Q2716" s="22" t="str">
        <f t="shared" si="1605"/>
        <v>+0</v>
      </c>
      <c r="R2716" s="18" t="str">
        <f>"+0"</f>
        <v>+0</v>
      </c>
      <c r="S2716" s="14" t="s">
        <v>277</v>
      </c>
    </row>
    <row r="2717">
      <c r="A2717" s="13">
        <v>45901.0</v>
      </c>
      <c r="B2717" s="14" t="s">
        <v>47</v>
      </c>
      <c r="C2717" s="14" t="s">
        <v>48</v>
      </c>
      <c r="D2717" s="14" t="s">
        <v>165</v>
      </c>
      <c r="E2717" s="14" t="s">
        <v>166</v>
      </c>
      <c r="F2717" s="15" t="s">
        <v>51</v>
      </c>
      <c r="G2717" s="14" t="s">
        <v>167</v>
      </c>
      <c r="H2717" s="14" t="s">
        <v>165</v>
      </c>
      <c r="I2717" s="14" t="s">
        <v>54</v>
      </c>
      <c r="J2717" s="14" t="s">
        <v>198</v>
      </c>
      <c r="K2717" s="14" t="s">
        <v>205</v>
      </c>
      <c r="L2717" s="14" t="s">
        <v>274</v>
      </c>
      <c r="M2717" s="14" t="s">
        <v>354</v>
      </c>
      <c r="N2717" s="14" t="s">
        <v>355</v>
      </c>
      <c r="O2717" s="14">
        <v>50.0</v>
      </c>
      <c r="P2717" s="21">
        <v>5.0</v>
      </c>
      <c r="Q2717" s="22" t="str">
        <f t="shared" si="1605"/>
        <v>+0</v>
      </c>
      <c r="S2717" s="14" t="s">
        <v>356</v>
      </c>
    </row>
    <row r="2718">
      <c r="A2718" s="13">
        <v>45901.0</v>
      </c>
      <c r="B2718" s="14" t="s">
        <v>47</v>
      </c>
      <c r="C2718" s="14" t="s">
        <v>48</v>
      </c>
      <c r="D2718" s="14" t="s">
        <v>165</v>
      </c>
      <c r="E2718" s="14" t="s">
        <v>166</v>
      </c>
      <c r="F2718" s="15" t="s">
        <v>51</v>
      </c>
      <c r="G2718" s="14" t="s">
        <v>167</v>
      </c>
      <c r="H2718" s="14" t="s">
        <v>165</v>
      </c>
      <c r="I2718" s="14" t="s">
        <v>54</v>
      </c>
      <c r="J2718" s="14" t="s">
        <v>200</v>
      </c>
      <c r="K2718" s="14" t="s">
        <v>227</v>
      </c>
      <c r="L2718" s="14" t="s">
        <v>270</v>
      </c>
      <c r="M2718" s="14" t="s">
        <v>417</v>
      </c>
      <c r="N2718" s="14" t="s">
        <v>418</v>
      </c>
      <c r="O2718" s="14">
        <v>50.0</v>
      </c>
      <c r="P2718" s="21">
        <v>9.0</v>
      </c>
      <c r="Q2718" s="22" t="str">
        <f>"+7"</f>
        <v>+7</v>
      </c>
      <c r="R2718" s="18" t="str">
        <f>"+1"</f>
        <v>+1</v>
      </c>
      <c r="S2718" s="14" t="s">
        <v>260</v>
      </c>
    </row>
    <row r="2719">
      <c r="A2719" s="13">
        <v>45901.0</v>
      </c>
      <c r="B2719" s="14" t="s">
        <v>47</v>
      </c>
      <c r="C2719" s="14" t="s">
        <v>48</v>
      </c>
      <c r="D2719" s="14" t="s">
        <v>49</v>
      </c>
      <c r="E2719" s="14" t="s">
        <v>50</v>
      </c>
      <c r="F2719" s="15" t="s">
        <v>51</v>
      </c>
      <c r="G2719" s="14" t="s">
        <v>52</v>
      </c>
      <c r="H2719" s="14" t="s">
        <v>53</v>
      </c>
      <c r="I2719" s="14" t="s">
        <v>54</v>
      </c>
      <c r="J2719" s="14" t="s">
        <v>198</v>
      </c>
      <c r="K2719" s="14" t="s">
        <v>210</v>
      </c>
      <c r="L2719" s="14" t="s">
        <v>505</v>
      </c>
      <c r="M2719" s="14" t="s">
        <v>1128</v>
      </c>
      <c r="N2719" s="14" t="s">
        <v>1129</v>
      </c>
      <c r="O2719" s="14">
        <v>0.0</v>
      </c>
      <c r="P2719" s="21">
        <v>0.0</v>
      </c>
      <c r="Q2719" s="22" t="str">
        <f t="shared" ref="Q2719:R2719" si="1606">"+0"</f>
        <v>+0</v>
      </c>
      <c r="R2719" s="18" t="str">
        <f t="shared" si="1606"/>
        <v>+0</v>
      </c>
      <c r="S2719" s="14" t="s">
        <v>277</v>
      </c>
    </row>
    <row r="2720">
      <c r="A2720" s="13">
        <v>45901.0</v>
      </c>
      <c r="B2720" s="14" t="s">
        <v>47</v>
      </c>
      <c r="C2720" s="14" t="s">
        <v>48</v>
      </c>
      <c r="D2720" s="14" t="s">
        <v>91</v>
      </c>
      <c r="E2720" s="14" t="s">
        <v>92</v>
      </c>
      <c r="F2720" s="15" t="s">
        <v>51</v>
      </c>
      <c r="G2720" s="14" t="s">
        <v>163</v>
      </c>
      <c r="H2720" s="14" t="s">
        <v>91</v>
      </c>
      <c r="I2720" s="14" t="s">
        <v>59</v>
      </c>
      <c r="J2720" s="14" t="s">
        <v>200</v>
      </c>
      <c r="K2720" s="14" t="s">
        <v>223</v>
      </c>
      <c r="L2720" s="14" t="s">
        <v>286</v>
      </c>
      <c r="M2720" s="14" t="s">
        <v>1199</v>
      </c>
      <c r="N2720" s="14" t="s">
        <v>1200</v>
      </c>
      <c r="O2720" s="14">
        <v>0.0</v>
      </c>
      <c r="P2720" s="23">
        <v>0.0</v>
      </c>
      <c r="Q2720" s="22" t="str">
        <f t="shared" ref="Q2720:R2720" si="1607">"+0.00%"</f>
        <v>+0.00%</v>
      </c>
      <c r="R2720" s="18" t="str">
        <f t="shared" si="1607"/>
        <v>+0.00%</v>
      </c>
      <c r="S2720" s="14" t="s">
        <v>285</v>
      </c>
    </row>
    <row r="2721">
      <c r="A2721" s="13">
        <v>45901.0</v>
      </c>
      <c r="B2721" s="14" t="s">
        <v>47</v>
      </c>
      <c r="C2721" s="14" t="s">
        <v>48</v>
      </c>
      <c r="D2721" s="14" t="s">
        <v>91</v>
      </c>
      <c r="E2721" s="14" t="s">
        <v>92</v>
      </c>
      <c r="F2721" s="14" t="s">
        <v>79</v>
      </c>
      <c r="G2721" s="14" t="s">
        <v>164</v>
      </c>
      <c r="H2721" s="14" t="s">
        <v>91</v>
      </c>
      <c r="I2721" s="14" t="s">
        <v>154</v>
      </c>
      <c r="J2721" s="14" t="s">
        <v>200</v>
      </c>
      <c r="K2721" s="14" t="s">
        <v>238</v>
      </c>
      <c r="L2721" s="14" t="s">
        <v>333</v>
      </c>
      <c r="M2721" s="14" t="s">
        <v>1606</v>
      </c>
      <c r="N2721" s="14" t="s">
        <v>1607</v>
      </c>
      <c r="O2721" s="14">
        <v>0.0</v>
      </c>
      <c r="P2721" s="23">
        <v>-1.0</v>
      </c>
      <c r="Q2721" s="22" t="str">
        <f t="shared" ref="Q2721:R2721" si="1608">"+0.00%"</f>
        <v>+0.00%</v>
      </c>
      <c r="R2721" s="18" t="str">
        <f t="shared" si="1608"/>
        <v>+0.00%</v>
      </c>
      <c r="S2721" s="14" t="s">
        <v>336</v>
      </c>
    </row>
    <row r="2722">
      <c r="A2722" s="13">
        <v>45901.0</v>
      </c>
      <c r="B2722" s="14" t="s">
        <v>47</v>
      </c>
      <c r="C2722" s="14" t="s">
        <v>48</v>
      </c>
      <c r="D2722" s="14" t="s">
        <v>63</v>
      </c>
      <c r="E2722" s="14" t="s">
        <v>64</v>
      </c>
      <c r="F2722" s="15" t="s">
        <v>51</v>
      </c>
      <c r="G2722" s="14" t="s">
        <v>65</v>
      </c>
      <c r="H2722" s="14" t="s">
        <v>63</v>
      </c>
      <c r="I2722" s="14" t="s">
        <v>54</v>
      </c>
      <c r="J2722" s="14" t="s">
        <v>200</v>
      </c>
      <c r="K2722" s="14" t="s">
        <v>222</v>
      </c>
      <c r="L2722" s="14" t="s">
        <v>1158</v>
      </c>
      <c r="M2722" s="14" t="s">
        <v>1159</v>
      </c>
      <c r="N2722" s="14" t="s">
        <v>1160</v>
      </c>
      <c r="O2722" s="14">
        <v>0.0</v>
      </c>
      <c r="P2722" s="21">
        <v>0.0</v>
      </c>
      <c r="Q2722" s="22" t="str">
        <f t="shared" ref="Q2722:R2722" si="1609">"+0"</f>
        <v>+0</v>
      </c>
      <c r="R2722" s="18" t="str">
        <f t="shared" si="1609"/>
        <v>+0</v>
      </c>
      <c r="S2722" s="14" t="s">
        <v>260</v>
      </c>
    </row>
    <row r="2723">
      <c r="A2723" s="13">
        <v>45901.0</v>
      </c>
      <c r="B2723" s="14" t="s">
        <v>47</v>
      </c>
      <c r="C2723" s="14" t="s">
        <v>48</v>
      </c>
      <c r="D2723" s="14" t="s">
        <v>177</v>
      </c>
      <c r="E2723" s="14" t="s">
        <v>178</v>
      </c>
      <c r="F2723" s="14" t="s">
        <v>146</v>
      </c>
      <c r="G2723" s="14" t="s">
        <v>179</v>
      </c>
      <c r="H2723" s="14" t="s">
        <v>177</v>
      </c>
      <c r="I2723" s="14" t="s">
        <v>107</v>
      </c>
      <c r="J2723" s="14" t="s">
        <v>199</v>
      </c>
      <c r="K2723" s="14" t="s">
        <v>206</v>
      </c>
      <c r="L2723" s="14" t="s">
        <v>295</v>
      </c>
      <c r="M2723" s="14" t="s">
        <v>651</v>
      </c>
      <c r="N2723" s="14" t="s">
        <v>652</v>
      </c>
      <c r="O2723" s="14">
        <v>0.0</v>
      </c>
      <c r="P2723" s="21">
        <v>0.0</v>
      </c>
      <c r="Q2723" s="22" t="str">
        <f t="shared" ref="Q2723:R2723" si="1610">"+0"</f>
        <v>+0</v>
      </c>
      <c r="R2723" s="18" t="str">
        <f t="shared" si="1610"/>
        <v>+0</v>
      </c>
      <c r="S2723" s="14" t="s">
        <v>260</v>
      </c>
    </row>
    <row r="2724">
      <c r="A2724" s="13">
        <v>45901.0</v>
      </c>
      <c r="B2724" s="14" t="s">
        <v>47</v>
      </c>
      <c r="C2724" s="14" t="s">
        <v>48</v>
      </c>
      <c r="D2724" s="14" t="s">
        <v>63</v>
      </c>
      <c r="E2724" s="14" t="s">
        <v>64</v>
      </c>
      <c r="F2724" s="15" t="s">
        <v>51</v>
      </c>
      <c r="G2724" s="14" t="s">
        <v>65</v>
      </c>
      <c r="H2724" s="14" t="s">
        <v>63</v>
      </c>
      <c r="I2724" s="14" t="s">
        <v>54</v>
      </c>
      <c r="J2724" s="14" t="s">
        <v>200</v>
      </c>
      <c r="K2724" s="14" t="s">
        <v>235</v>
      </c>
      <c r="L2724" s="14" t="s">
        <v>253</v>
      </c>
      <c r="M2724" s="14" t="s">
        <v>366</v>
      </c>
      <c r="N2724" s="14" t="s">
        <v>367</v>
      </c>
      <c r="O2724" s="14">
        <v>100.0</v>
      </c>
      <c r="P2724" s="23">
        <v>1.0</v>
      </c>
      <c r="Q2724" s="22" t="str">
        <f t="shared" ref="Q2724:R2724" si="1611">"+0.00%"</f>
        <v>+0.00%</v>
      </c>
      <c r="R2724" s="18" t="str">
        <f t="shared" si="1611"/>
        <v>+0.00%</v>
      </c>
      <c r="S2724" s="14" t="s">
        <v>1876</v>
      </c>
    </row>
    <row r="2725">
      <c r="A2725" s="13">
        <v>45901.0</v>
      </c>
      <c r="B2725" s="14" t="s">
        <v>47</v>
      </c>
      <c r="C2725" s="14" t="s">
        <v>48</v>
      </c>
      <c r="D2725" s="14" t="s">
        <v>63</v>
      </c>
      <c r="E2725" s="14" t="s">
        <v>64</v>
      </c>
      <c r="F2725" s="14" t="s">
        <v>111</v>
      </c>
      <c r="G2725" s="14">
        <v>4916210.0</v>
      </c>
      <c r="H2725" s="14" t="s">
        <v>63</v>
      </c>
      <c r="I2725" s="14" t="s">
        <v>59</v>
      </c>
      <c r="J2725" s="14" t="s">
        <v>199</v>
      </c>
      <c r="K2725" s="14" t="s">
        <v>203</v>
      </c>
      <c r="L2725" s="14" t="s">
        <v>340</v>
      </c>
      <c r="M2725" s="14" t="s">
        <v>340</v>
      </c>
      <c r="N2725" s="14" t="s">
        <v>341</v>
      </c>
      <c r="O2725" s="14">
        <v>0.0</v>
      </c>
      <c r="P2725" s="21">
        <v>0.0</v>
      </c>
      <c r="Q2725" s="22" t="str">
        <f t="shared" ref="Q2725:R2725" si="1612">"+0"</f>
        <v>+0</v>
      </c>
      <c r="R2725" s="18" t="str">
        <f t="shared" si="1612"/>
        <v>+0</v>
      </c>
      <c r="S2725" s="14" t="s">
        <v>260</v>
      </c>
    </row>
    <row r="2726">
      <c r="A2726" s="13">
        <v>45901.0</v>
      </c>
      <c r="B2726" s="14" t="s">
        <v>47</v>
      </c>
      <c r="C2726" s="14" t="s">
        <v>48</v>
      </c>
      <c r="D2726" s="14" t="s">
        <v>91</v>
      </c>
      <c r="E2726" s="14" t="s">
        <v>92</v>
      </c>
      <c r="F2726" s="14" t="s">
        <v>71</v>
      </c>
      <c r="G2726" s="14">
        <v>5.10001669E8</v>
      </c>
      <c r="H2726" s="14" t="s">
        <v>91</v>
      </c>
      <c r="I2726" s="14" t="s">
        <v>107</v>
      </c>
      <c r="J2726" s="14" t="s">
        <v>199</v>
      </c>
      <c r="K2726" s="14" t="s">
        <v>206</v>
      </c>
      <c r="L2726" s="14" t="s">
        <v>295</v>
      </c>
      <c r="M2726" s="14" t="s">
        <v>461</v>
      </c>
      <c r="N2726" s="14" t="s">
        <v>462</v>
      </c>
      <c r="O2726" s="14">
        <v>0.0</v>
      </c>
      <c r="P2726" s="21">
        <v>0.0</v>
      </c>
      <c r="Q2726" s="22" t="str">
        <f t="shared" ref="Q2726:R2726" si="1613">"+0"</f>
        <v>+0</v>
      </c>
      <c r="R2726" s="18" t="str">
        <f t="shared" si="1613"/>
        <v>+0</v>
      </c>
      <c r="S2726" s="14" t="s">
        <v>260</v>
      </c>
    </row>
    <row r="2727">
      <c r="A2727" s="13">
        <v>45901.0</v>
      </c>
      <c r="B2727" s="14" t="s">
        <v>47</v>
      </c>
      <c r="C2727" s="14" t="s">
        <v>48</v>
      </c>
      <c r="D2727" s="14" t="s">
        <v>99</v>
      </c>
      <c r="E2727" s="14" t="s">
        <v>100</v>
      </c>
      <c r="F2727" s="15" t="s">
        <v>51</v>
      </c>
      <c r="G2727" s="14" t="s">
        <v>101</v>
      </c>
      <c r="H2727" s="14" t="s">
        <v>102</v>
      </c>
      <c r="I2727" s="14" t="s">
        <v>54</v>
      </c>
      <c r="J2727" s="14" t="s">
        <v>200</v>
      </c>
      <c r="K2727" s="14" t="s">
        <v>213</v>
      </c>
      <c r="L2727" s="14" t="s">
        <v>253</v>
      </c>
      <c r="M2727" s="14" t="s">
        <v>366</v>
      </c>
      <c r="N2727" s="14" t="s">
        <v>367</v>
      </c>
      <c r="O2727" s="14">
        <v>100.0</v>
      </c>
      <c r="P2727" s="23">
        <v>1.0</v>
      </c>
      <c r="Q2727" s="22" t="str">
        <f t="shared" ref="Q2727:R2727" si="1614">"+0.00%"</f>
        <v>+0.00%</v>
      </c>
      <c r="R2727" s="18" t="str">
        <f t="shared" si="1614"/>
        <v>+0.00%</v>
      </c>
      <c r="S2727" s="14" t="s">
        <v>1877</v>
      </c>
    </row>
    <row r="2728">
      <c r="A2728" s="13">
        <v>45901.0</v>
      </c>
      <c r="B2728" s="14" t="s">
        <v>47</v>
      </c>
      <c r="C2728" s="14" t="s">
        <v>48</v>
      </c>
      <c r="D2728" s="14" t="s">
        <v>136</v>
      </c>
      <c r="E2728" s="14" t="s">
        <v>137</v>
      </c>
      <c r="F2728" s="15" t="s">
        <v>51</v>
      </c>
      <c r="G2728" s="14" t="s">
        <v>138</v>
      </c>
      <c r="H2728" s="14" t="s">
        <v>139</v>
      </c>
      <c r="I2728" s="14" t="s">
        <v>59</v>
      </c>
      <c r="J2728" s="14" t="s">
        <v>200</v>
      </c>
      <c r="K2728" s="14" t="s">
        <v>214</v>
      </c>
      <c r="L2728" s="14" t="s">
        <v>253</v>
      </c>
      <c r="M2728" s="14" t="s">
        <v>366</v>
      </c>
      <c r="N2728" s="14" t="s">
        <v>367</v>
      </c>
      <c r="O2728" s="14">
        <v>95.0</v>
      </c>
      <c r="P2728" s="23">
        <v>0.9518</v>
      </c>
      <c r="Q2728" s="22" t="str">
        <f>"-0.43%"</f>
        <v>-0.43%</v>
      </c>
      <c r="R2728" s="18" t="str">
        <f>"-4.54%"</f>
        <v>-4.54%</v>
      </c>
      <c r="S2728" s="14" t="s">
        <v>1878</v>
      </c>
    </row>
    <row r="2729">
      <c r="A2729" s="13">
        <v>45901.0</v>
      </c>
      <c r="B2729" s="14" t="s">
        <v>47</v>
      </c>
      <c r="C2729" s="14" t="s">
        <v>48</v>
      </c>
      <c r="D2729" s="14" t="s">
        <v>149</v>
      </c>
      <c r="E2729" s="14" t="s">
        <v>150</v>
      </c>
      <c r="F2729" s="15" t="s">
        <v>51</v>
      </c>
      <c r="G2729" s="14" t="s">
        <v>151</v>
      </c>
      <c r="H2729" s="14" t="s">
        <v>152</v>
      </c>
      <c r="I2729" s="14" t="s">
        <v>54</v>
      </c>
      <c r="J2729" s="14" t="s">
        <v>200</v>
      </c>
      <c r="K2729" s="14" t="s">
        <v>231</v>
      </c>
      <c r="L2729" s="14" t="s">
        <v>762</v>
      </c>
      <c r="M2729" s="14" t="s">
        <v>1329</v>
      </c>
      <c r="N2729" s="14" t="s">
        <v>1330</v>
      </c>
      <c r="O2729" s="14">
        <v>100.0</v>
      </c>
      <c r="P2729" s="23">
        <v>1.0</v>
      </c>
      <c r="Q2729" s="22" t="str">
        <f t="shared" ref="Q2729:Q2730" si="1615">"+0.00%"</f>
        <v>+0.00%</v>
      </c>
      <c r="R2729" s="18" t="str">
        <f>"+45.52%"</f>
        <v>+45.52%</v>
      </c>
      <c r="S2729" s="14" t="s">
        <v>1331</v>
      </c>
    </row>
    <row r="2730">
      <c r="A2730" s="13">
        <v>45901.0</v>
      </c>
      <c r="B2730" s="14" t="s">
        <v>47</v>
      </c>
      <c r="C2730" s="14" t="s">
        <v>48</v>
      </c>
      <c r="D2730" s="14" t="s">
        <v>87</v>
      </c>
      <c r="E2730" s="14" t="s">
        <v>88</v>
      </c>
      <c r="F2730" s="15" t="s">
        <v>51</v>
      </c>
      <c r="G2730" s="14" t="s">
        <v>89</v>
      </c>
      <c r="H2730" s="14" t="s">
        <v>90</v>
      </c>
      <c r="I2730" s="14" t="s">
        <v>59</v>
      </c>
      <c r="J2730" s="14" t="s">
        <v>200</v>
      </c>
      <c r="K2730" s="14" t="s">
        <v>246</v>
      </c>
      <c r="L2730" s="14" t="s">
        <v>220</v>
      </c>
      <c r="M2730" s="14" t="s">
        <v>1879</v>
      </c>
      <c r="N2730" s="14" t="s">
        <v>1880</v>
      </c>
      <c r="O2730" s="14">
        <v>0.0</v>
      </c>
      <c r="P2730" s="23">
        <v>-1.0</v>
      </c>
      <c r="Q2730" s="22" t="str">
        <f t="shared" si="1615"/>
        <v>+0.00%</v>
      </c>
      <c r="R2730" s="18" t="str">
        <f>"+0.00%"</f>
        <v>+0.00%</v>
      </c>
      <c r="S2730" s="14" t="s">
        <v>1881</v>
      </c>
    </row>
    <row r="2731">
      <c r="A2731" s="13">
        <v>45901.0</v>
      </c>
      <c r="B2731" s="14" t="s">
        <v>47</v>
      </c>
      <c r="C2731" s="14" t="s">
        <v>48</v>
      </c>
      <c r="D2731" s="14" t="s">
        <v>77</v>
      </c>
      <c r="E2731" s="14" t="s">
        <v>78</v>
      </c>
      <c r="F2731" s="15" t="s">
        <v>51</v>
      </c>
      <c r="G2731" s="14" t="s">
        <v>128</v>
      </c>
      <c r="H2731" s="14" t="s">
        <v>81</v>
      </c>
      <c r="I2731" s="14" t="s">
        <v>59</v>
      </c>
      <c r="J2731" s="14" t="s">
        <v>200</v>
      </c>
      <c r="K2731" s="14" t="s">
        <v>216</v>
      </c>
      <c r="L2731" s="14" t="s">
        <v>1491</v>
      </c>
      <c r="M2731" s="14" t="s">
        <v>1882</v>
      </c>
      <c r="N2731" s="14" t="s">
        <v>1883</v>
      </c>
      <c r="O2731" s="14">
        <v>0.0</v>
      </c>
      <c r="P2731" s="21">
        <v>0.0</v>
      </c>
      <c r="Q2731" s="22" t="str">
        <f t="shared" ref="Q2731:R2731" si="1616">"+0"</f>
        <v>+0</v>
      </c>
      <c r="R2731" s="18" t="str">
        <f t="shared" si="1616"/>
        <v>+0</v>
      </c>
      <c r="S2731" s="14" t="s">
        <v>327</v>
      </c>
    </row>
    <row r="2732">
      <c r="A2732" s="13">
        <v>45901.0</v>
      </c>
      <c r="B2732" s="14" t="s">
        <v>47</v>
      </c>
      <c r="C2732" s="14" t="s">
        <v>48</v>
      </c>
      <c r="D2732" s="14" t="s">
        <v>158</v>
      </c>
      <c r="E2732" s="14" t="s">
        <v>159</v>
      </c>
      <c r="F2732" s="15" t="s">
        <v>51</v>
      </c>
      <c r="G2732" s="14" t="s">
        <v>160</v>
      </c>
      <c r="H2732" s="14" t="s">
        <v>158</v>
      </c>
      <c r="I2732" s="14" t="s">
        <v>54</v>
      </c>
      <c r="J2732" s="14" t="s">
        <v>200</v>
      </c>
      <c r="K2732" s="14" t="s">
        <v>224</v>
      </c>
      <c r="L2732" s="14" t="s">
        <v>392</v>
      </c>
      <c r="M2732" s="14" t="s">
        <v>393</v>
      </c>
      <c r="N2732" s="14" t="s">
        <v>394</v>
      </c>
      <c r="O2732" s="14">
        <v>0.0</v>
      </c>
      <c r="P2732" s="17"/>
      <c r="Q2732" s="22"/>
      <c r="S2732" s="14" t="s">
        <v>1884</v>
      </c>
    </row>
    <row r="2733">
      <c r="A2733" s="13">
        <v>45901.0</v>
      </c>
      <c r="B2733" s="14" t="s">
        <v>47</v>
      </c>
      <c r="C2733" s="14" t="s">
        <v>48</v>
      </c>
      <c r="D2733" s="14" t="s">
        <v>60</v>
      </c>
      <c r="E2733" s="14" t="s">
        <v>61</v>
      </c>
      <c r="F2733" s="15" t="s">
        <v>51</v>
      </c>
      <c r="G2733" s="14" t="s">
        <v>62</v>
      </c>
      <c r="H2733" s="14" t="s">
        <v>60</v>
      </c>
      <c r="I2733" s="14" t="s">
        <v>59</v>
      </c>
      <c r="J2733" s="14" t="s">
        <v>199</v>
      </c>
      <c r="K2733" s="14" t="s">
        <v>208</v>
      </c>
      <c r="L2733" s="14" t="s">
        <v>412</v>
      </c>
      <c r="M2733" s="14" t="s">
        <v>412</v>
      </c>
      <c r="N2733" s="14" t="s">
        <v>413</v>
      </c>
      <c r="O2733" s="14">
        <v>75.0</v>
      </c>
      <c r="P2733" s="21">
        <v>1.0</v>
      </c>
      <c r="Q2733" s="22" t="str">
        <f t="shared" ref="Q2733:R2733" si="1617">"+0"</f>
        <v>+0</v>
      </c>
      <c r="R2733" s="18" t="str">
        <f t="shared" si="1617"/>
        <v>+0</v>
      </c>
      <c r="S2733" s="14" t="s">
        <v>260</v>
      </c>
    </row>
    <row r="2734">
      <c r="A2734" s="13">
        <v>45901.0</v>
      </c>
      <c r="B2734" s="14" t="s">
        <v>47</v>
      </c>
      <c r="C2734" s="14" t="s">
        <v>48</v>
      </c>
      <c r="D2734" s="14" t="s">
        <v>121</v>
      </c>
      <c r="E2734" s="14" t="s">
        <v>122</v>
      </c>
      <c r="F2734" s="15" t="s">
        <v>51</v>
      </c>
      <c r="G2734" s="14" t="s">
        <v>123</v>
      </c>
      <c r="H2734" s="14" t="s">
        <v>124</v>
      </c>
      <c r="I2734" s="14" t="s">
        <v>59</v>
      </c>
      <c r="J2734" s="14" t="s">
        <v>200</v>
      </c>
      <c r="K2734" s="14" t="s">
        <v>202</v>
      </c>
      <c r="L2734" s="14" t="s">
        <v>253</v>
      </c>
      <c r="M2734" s="14" t="s">
        <v>874</v>
      </c>
      <c r="N2734" s="14" t="s">
        <v>875</v>
      </c>
      <c r="O2734" s="14">
        <v>11.0</v>
      </c>
      <c r="P2734" s="23">
        <v>0.1111</v>
      </c>
      <c r="Q2734" s="22"/>
      <c r="R2734" s="18" t="str">
        <f>"-8.89%"</f>
        <v>-8.89%</v>
      </c>
      <c r="S2734" s="14" t="s">
        <v>1885</v>
      </c>
    </row>
    <row r="2735">
      <c r="A2735" s="13">
        <v>45901.0</v>
      </c>
      <c r="B2735" s="14" t="s">
        <v>47</v>
      </c>
      <c r="C2735" s="14" t="s">
        <v>48</v>
      </c>
      <c r="D2735" s="14" t="s">
        <v>184</v>
      </c>
      <c r="E2735" s="14" t="s">
        <v>185</v>
      </c>
      <c r="F2735" s="15" t="s">
        <v>51</v>
      </c>
      <c r="G2735" s="14" t="s">
        <v>186</v>
      </c>
      <c r="H2735" s="14" t="s">
        <v>187</v>
      </c>
      <c r="I2735" s="14" t="s">
        <v>59</v>
      </c>
      <c r="J2735" s="14" t="s">
        <v>200</v>
      </c>
      <c r="K2735" s="14" t="s">
        <v>209</v>
      </c>
      <c r="L2735" s="14" t="s">
        <v>253</v>
      </c>
      <c r="M2735" s="14" t="s">
        <v>817</v>
      </c>
      <c r="N2735" s="14" t="s">
        <v>818</v>
      </c>
      <c r="O2735" s="14">
        <v>83.0</v>
      </c>
      <c r="P2735" s="23">
        <v>0.8333</v>
      </c>
      <c r="Q2735" s="22" t="str">
        <f>"+0.03%"</f>
        <v>+0.03%</v>
      </c>
      <c r="R2735" s="18" t="str">
        <f>"+0.06%"</f>
        <v>+0.06%</v>
      </c>
      <c r="S2735" s="14" t="s">
        <v>1886</v>
      </c>
    </row>
    <row r="2736">
      <c r="A2736" s="13">
        <v>45901.0</v>
      </c>
      <c r="B2736" s="14" t="s">
        <v>47</v>
      </c>
      <c r="C2736" s="14" t="s">
        <v>48</v>
      </c>
      <c r="D2736" s="14" t="s">
        <v>192</v>
      </c>
      <c r="E2736" s="14" t="s">
        <v>193</v>
      </c>
      <c r="F2736" s="15" t="s">
        <v>51</v>
      </c>
      <c r="G2736" s="14" t="s">
        <v>194</v>
      </c>
      <c r="H2736" s="14" t="s">
        <v>192</v>
      </c>
      <c r="I2736" s="14" t="s">
        <v>54</v>
      </c>
      <c r="J2736" s="14" t="s">
        <v>200</v>
      </c>
      <c r="K2736" s="14" t="s">
        <v>231</v>
      </c>
      <c r="L2736" s="14" t="s">
        <v>512</v>
      </c>
      <c r="M2736" s="14" t="s">
        <v>1810</v>
      </c>
      <c r="N2736" s="14" t="s">
        <v>1811</v>
      </c>
      <c r="O2736" s="14">
        <v>0.0</v>
      </c>
      <c r="P2736" s="21">
        <v>0.0</v>
      </c>
      <c r="Q2736" s="22" t="str">
        <f t="shared" ref="Q2736:R2736" si="1618">"+0"</f>
        <v>+0</v>
      </c>
      <c r="R2736" s="18" t="str">
        <f t="shared" si="1618"/>
        <v>+0</v>
      </c>
      <c r="S2736" s="14" t="s">
        <v>260</v>
      </c>
    </row>
    <row r="2737">
      <c r="A2737" s="13">
        <v>45901.0</v>
      </c>
      <c r="B2737" s="14" t="s">
        <v>47</v>
      </c>
      <c r="C2737" s="14" t="s">
        <v>48</v>
      </c>
      <c r="D2737" s="14" t="s">
        <v>73</v>
      </c>
      <c r="E2737" s="14" t="s">
        <v>74</v>
      </c>
      <c r="F2737" s="15" t="s">
        <v>51</v>
      </c>
      <c r="G2737" s="14" t="s">
        <v>75</v>
      </c>
      <c r="H2737" s="14" t="s">
        <v>76</v>
      </c>
      <c r="I2737" s="14" t="s">
        <v>59</v>
      </c>
      <c r="J2737" s="14" t="s">
        <v>200</v>
      </c>
      <c r="K2737" s="14" t="s">
        <v>202</v>
      </c>
      <c r="L2737" s="14" t="s">
        <v>253</v>
      </c>
      <c r="M2737" s="14" t="s">
        <v>347</v>
      </c>
      <c r="N2737" s="14" t="s">
        <v>348</v>
      </c>
      <c r="O2737" s="14">
        <v>9.0</v>
      </c>
      <c r="P2737" s="23">
        <v>0.1</v>
      </c>
      <c r="Q2737" s="22" t="str">
        <f t="shared" ref="Q2737:R2737" si="1619">"+0.00%"</f>
        <v>+0.00%</v>
      </c>
      <c r="R2737" s="18" t="str">
        <f t="shared" si="1619"/>
        <v>+0.00%</v>
      </c>
      <c r="S2737" s="14" t="s">
        <v>1887</v>
      </c>
    </row>
    <row r="2738">
      <c r="A2738" s="13">
        <v>45901.0</v>
      </c>
      <c r="B2738" s="14" t="s">
        <v>47</v>
      </c>
      <c r="C2738" s="14" t="s">
        <v>48</v>
      </c>
      <c r="D2738" s="14" t="s">
        <v>149</v>
      </c>
      <c r="E2738" s="14" t="s">
        <v>150</v>
      </c>
      <c r="F2738" s="15" t="s">
        <v>51</v>
      </c>
      <c r="G2738" s="14" t="s">
        <v>151</v>
      </c>
      <c r="H2738" s="14" t="s">
        <v>152</v>
      </c>
      <c r="I2738" s="14" t="s">
        <v>54</v>
      </c>
      <c r="J2738" s="14" t="s">
        <v>198</v>
      </c>
      <c r="K2738" s="14" t="s">
        <v>210</v>
      </c>
      <c r="L2738" s="14" t="s">
        <v>458</v>
      </c>
      <c r="M2738" s="14" t="s">
        <v>620</v>
      </c>
      <c r="N2738" s="14" t="s">
        <v>621</v>
      </c>
      <c r="O2738" s="14">
        <v>0.0</v>
      </c>
      <c r="P2738" s="21">
        <v>0.0</v>
      </c>
      <c r="Q2738" s="22" t="str">
        <f t="shared" ref="Q2738:R2738" si="1620">"+0"</f>
        <v>+0</v>
      </c>
      <c r="R2738" s="18" t="str">
        <f t="shared" si="1620"/>
        <v>+0</v>
      </c>
      <c r="S2738" s="14" t="s">
        <v>277</v>
      </c>
    </row>
    <row r="2739">
      <c r="A2739" s="13">
        <v>45901.0</v>
      </c>
      <c r="B2739" s="14" t="s">
        <v>47</v>
      </c>
      <c r="C2739" s="14" t="s">
        <v>48</v>
      </c>
      <c r="D2739" s="14" t="s">
        <v>149</v>
      </c>
      <c r="E2739" s="14" t="s">
        <v>150</v>
      </c>
      <c r="F2739" s="15" t="s">
        <v>51</v>
      </c>
      <c r="G2739" s="14" t="s">
        <v>151</v>
      </c>
      <c r="H2739" s="14" t="s">
        <v>152</v>
      </c>
      <c r="I2739" s="14" t="s">
        <v>54</v>
      </c>
      <c r="J2739" s="14" t="s">
        <v>200</v>
      </c>
      <c r="K2739" s="14" t="s">
        <v>223</v>
      </c>
      <c r="L2739" s="14" t="s">
        <v>289</v>
      </c>
      <c r="M2739" s="14" t="s">
        <v>984</v>
      </c>
      <c r="N2739" s="14" t="s">
        <v>985</v>
      </c>
      <c r="O2739" s="14">
        <v>0.0</v>
      </c>
      <c r="P2739" s="23">
        <v>0.0</v>
      </c>
      <c r="Q2739" s="22" t="str">
        <f t="shared" ref="Q2739:R2739" si="1621">"+0.00%"</f>
        <v>+0.00%</v>
      </c>
      <c r="R2739" s="18" t="str">
        <f t="shared" si="1621"/>
        <v>+0.00%</v>
      </c>
      <c r="S2739" s="14" t="s">
        <v>285</v>
      </c>
    </row>
    <row r="2740">
      <c r="A2740" s="13">
        <v>45901.0</v>
      </c>
      <c r="B2740" s="14" t="s">
        <v>47</v>
      </c>
      <c r="C2740" s="14" t="s">
        <v>48</v>
      </c>
      <c r="D2740" s="14" t="s">
        <v>149</v>
      </c>
      <c r="E2740" s="14" t="s">
        <v>150</v>
      </c>
      <c r="F2740" s="15" t="s">
        <v>51</v>
      </c>
      <c r="G2740" s="14" t="s">
        <v>151</v>
      </c>
      <c r="H2740" s="14" t="s">
        <v>152</v>
      </c>
      <c r="I2740" s="14" t="s">
        <v>54</v>
      </c>
      <c r="J2740" s="14" t="s">
        <v>198</v>
      </c>
      <c r="K2740" s="14" t="s">
        <v>210</v>
      </c>
      <c r="L2740" s="14" t="s">
        <v>278</v>
      </c>
      <c r="M2740" s="14" t="s">
        <v>668</v>
      </c>
      <c r="N2740" s="14" t="s">
        <v>669</v>
      </c>
      <c r="O2740" s="14">
        <v>0.0</v>
      </c>
      <c r="P2740" s="21">
        <v>0.0</v>
      </c>
      <c r="Q2740" s="22" t="str">
        <f t="shared" ref="Q2740:R2740" si="1622">"+0"</f>
        <v>+0</v>
      </c>
      <c r="R2740" s="18" t="str">
        <f t="shared" si="1622"/>
        <v>+0</v>
      </c>
      <c r="S2740" s="14" t="s">
        <v>277</v>
      </c>
    </row>
    <row r="2741">
      <c r="A2741" s="13">
        <v>45901.0</v>
      </c>
      <c r="B2741" s="14" t="s">
        <v>47</v>
      </c>
      <c r="C2741" s="14" t="s">
        <v>48</v>
      </c>
      <c r="D2741" s="14" t="s">
        <v>171</v>
      </c>
      <c r="E2741" s="14" t="s">
        <v>172</v>
      </c>
      <c r="F2741" s="15" t="s">
        <v>51</v>
      </c>
      <c r="G2741" s="14" t="s">
        <v>173</v>
      </c>
      <c r="H2741" s="14" t="s">
        <v>171</v>
      </c>
      <c r="I2741" s="14" t="s">
        <v>59</v>
      </c>
      <c r="J2741" s="14" t="s">
        <v>200</v>
      </c>
      <c r="K2741" s="14" t="s">
        <v>201</v>
      </c>
      <c r="L2741" s="14" t="s">
        <v>253</v>
      </c>
      <c r="M2741" s="14" t="s">
        <v>585</v>
      </c>
      <c r="N2741" s="14" t="s">
        <v>586</v>
      </c>
      <c r="O2741" s="14">
        <v>1.0</v>
      </c>
      <c r="P2741" s="23">
        <v>0.0</v>
      </c>
      <c r="Q2741" s="22" t="str">
        <f t="shared" ref="Q2741:R2741" si="1623">"-0.00%"</f>
        <v>-0.00%</v>
      </c>
      <c r="R2741" s="18" t="str">
        <f t="shared" si="1623"/>
        <v>-0.00%</v>
      </c>
      <c r="S2741" s="14" t="s">
        <v>1454</v>
      </c>
    </row>
    <row r="2742">
      <c r="A2742" s="13">
        <v>45901.0</v>
      </c>
      <c r="B2742" s="14" t="s">
        <v>47</v>
      </c>
      <c r="C2742" s="14" t="s">
        <v>48</v>
      </c>
      <c r="D2742" s="14" t="s">
        <v>87</v>
      </c>
      <c r="E2742" s="14" t="s">
        <v>88</v>
      </c>
      <c r="F2742" s="15" t="s">
        <v>51</v>
      </c>
      <c r="G2742" s="14" t="s">
        <v>89</v>
      </c>
      <c r="H2742" s="14" t="s">
        <v>90</v>
      </c>
      <c r="I2742" s="14" t="s">
        <v>59</v>
      </c>
      <c r="J2742" s="14" t="s">
        <v>199</v>
      </c>
      <c r="K2742" s="14" t="s">
        <v>208</v>
      </c>
      <c r="L2742" s="14" t="s">
        <v>412</v>
      </c>
      <c r="M2742" s="14" t="s">
        <v>412</v>
      </c>
      <c r="N2742" s="14" t="s">
        <v>413</v>
      </c>
      <c r="O2742" s="14">
        <v>85.0</v>
      </c>
      <c r="P2742" s="21">
        <v>3.0</v>
      </c>
      <c r="Q2742" s="22" t="str">
        <f t="shared" ref="Q2742:R2742" si="1624">"+0"</f>
        <v>+0</v>
      </c>
      <c r="R2742" s="18" t="str">
        <f t="shared" si="1624"/>
        <v>+0</v>
      </c>
      <c r="S2742" s="14" t="s">
        <v>260</v>
      </c>
    </row>
    <row r="2743">
      <c r="A2743" s="13">
        <v>45901.0</v>
      </c>
      <c r="B2743" s="14" t="s">
        <v>47</v>
      </c>
      <c r="C2743" s="14" t="s">
        <v>48</v>
      </c>
      <c r="D2743" s="14" t="s">
        <v>149</v>
      </c>
      <c r="E2743" s="14" t="s">
        <v>150</v>
      </c>
      <c r="F2743" s="15" t="s">
        <v>51</v>
      </c>
      <c r="G2743" s="14" t="s">
        <v>151</v>
      </c>
      <c r="H2743" s="14" t="s">
        <v>152</v>
      </c>
      <c r="I2743" s="14" t="s">
        <v>54</v>
      </c>
      <c r="J2743" s="14" t="s">
        <v>198</v>
      </c>
      <c r="K2743" s="14" t="s">
        <v>207</v>
      </c>
      <c r="L2743" s="14" t="s">
        <v>318</v>
      </c>
      <c r="M2743" s="14" t="s">
        <v>319</v>
      </c>
      <c r="N2743" s="14" t="s">
        <v>320</v>
      </c>
      <c r="O2743" s="14">
        <v>100.0</v>
      </c>
      <c r="P2743" s="21">
        <v>1.0</v>
      </c>
      <c r="Q2743" s="22" t="str">
        <f t="shared" ref="Q2743:Q2746" si="1625">"+0"</f>
        <v>+0</v>
      </c>
      <c r="S2743" s="14" t="s">
        <v>281</v>
      </c>
    </row>
    <row r="2744">
      <c r="A2744" s="13">
        <v>45901.0</v>
      </c>
      <c r="B2744" s="14" t="s">
        <v>47</v>
      </c>
      <c r="C2744" s="14" t="s">
        <v>48</v>
      </c>
      <c r="D2744" s="14" t="s">
        <v>125</v>
      </c>
      <c r="E2744" s="14" t="s">
        <v>126</v>
      </c>
      <c r="F2744" s="15" t="s">
        <v>51</v>
      </c>
      <c r="G2744" s="14" t="s">
        <v>127</v>
      </c>
      <c r="H2744" s="14" t="s">
        <v>125</v>
      </c>
      <c r="I2744" s="14" t="s">
        <v>59</v>
      </c>
      <c r="J2744" s="14" t="s">
        <v>199</v>
      </c>
      <c r="K2744" s="14" t="s">
        <v>206</v>
      </c>
      <c r="L2744" s="14" t="s">
        <v>268</v>
      </c>
      <c r="M2744" s="14" t="s">
        <v>268</v>
      </c>
      <c r="N2744" s="14" t="s">
        <v>269</v>
      </c>
      <c r="O2744" s="14">
        <v>0.0</v>
      </c>
      <c r="P2744" s="21">
        <v>0.0</v>
      </c>
      <c r="Q2744" s="22" t="str">
        <f t="shared" si="1625"/>
        <v>+0</v>
      </c>
      <c r="R2744" s="18" t="str">
        <f t="shared" ref="R2744:R2746" si="1626">"+0"</f>
        <v>+0</v>
      </c>
      <c r="S2744" s="14" t="s">
        <v>260</v>
      </c>
    </row>
    <row r="2745">
      <c r="A2745" s="13">
        <v>45901.0</v>
      </c>
      <c r="B2745" s="14" t="s">
        <v>47</v>
      </c>
      <c r="C2745" s="14" t="s">
        <v>48</v>
      </c>
      <c r="D2745" s="14" t="s">
        <v>69</v>
      </c>
      <c r="E2745" s="14" t="s">
        <v>70</v>
      </c>
      <c r="F2745" s="14" t="s">
        <v>71</v>
      </c>
      <c r="G2745" s="14">
        <v>1.00002092E8</v>
      </c>
      <c r="H2745" s="14" t="s">
        <v>72</v>
      </c>
      <c r="I2745" s="14" t="s">
        <v>54</v>
      </c>
      <c r="J2745" s="14" t="s">
        <v>199</v>
      </c>
      <c r="K2745" s="14" t="s">
        <v>203</v>
      </c>
      <c r="L2745" s="14" t="s">
        <v>536</v>
      </c>
      <c r="M2745" s="14" t="s">
        <v>536</v>
      </c>
      <c r="N2745" s="14" t="s">
        <v>537</v>
      </c>
      <c r="O2745" s="14">
        <v>100.0</v>
      </c>
      <c r="P2745" s="21">
        <v>2.0</v>
      </c>
      <c r="Q2745" s="22" t="str">
        <f t="shared" si="1625"/>
        <v>+0</v>
      </c>
      <c r="R2745" s="18" t="str">
        <f t="shared" si="1626"/>
        <v>+0</v>
      </c>
      <c r="S2745" s="14" t="s">
        <v>260</v>
      </c>
    </row>
    <row r="2746">
      <c r="A2746" s="13">
        <v>45901.0</v>
      </c>
      <c r="B2746" s="14" t="s">
        <v>47</v>
      </c>
      <c r="C2746" s="14" t="s">
        <v>48</v>
      </c>
      <c r="D2746" s="14" t="s">
        <v>96</v>
      </c>
      <c r="E2746" s="14" t="s">
        <v>97</v>
      </c>
      <c r="F2746" s="15" t="s">
        <v>51</v>
      </c>
      <c r="G2746" s="14" t="s">
        <v>98</v>
      </c>
      <c r="H2746" s="14" t="s">
        <v>96</v>
      </c>
      <c r="I2746" s="14" t="s">
        <v>59</v>
      </c>
      <c r="J2746" s="14" t="s">
        <v>200</v>
      </c>
      <c r="K2746" s="14" t="s">
        <v>223</v>
      </c>
      <c r="L2746" s="14" t="s">
        <v>257</v>
      </c>
      <c r="M2746" s="14" t="s">
        <v>517</v>
      </c>
      <c r="N2746" s="14" t="s">
        <v>518</v>
      </c>
      <c r="O2746" s="14">
        <v>100.0</v>
      </c>
      <c r="P2746" s="21">
        <v>24.0</v>
      </c>
      <c r="Q2746" s="22" t="str">
        <f t="shared" si="1625"/>
        <v>+0</v>
      </c>
      <c r="R2746" s="18" t="str">
        <f t="shared" si="1626"/>
        <v>+0</v>
      </c>
      <c r="S2746" s="14" t="s">
        <v>260</v>
      </c>
    </row>
    <row r="2747">
      <c r="A2747" s="13">
        <v>45901.0</v>
      </c>
      <c r="B2747" s="14" t="s">
        <v>47</v>
      </c>
      <c r="C2747" s="14" t="s">
        <v>48</v>
      </c>
      <c r="D2747" s="14" t="s">
        <v>77</v>
      </c>
      <c r="E2747" s="14" t="s">
        <v>78</v>
      </c>
      <c r="F2747" s="15" t="s">
        <v>51</v>
      </c>
      <c r="G2747" s="14" t="s">
        <v>128</v>
      </c>
      <c r="H2747" s="14" t="s">
        <v>81</v>
      </c>
      <c r="I2747" s="14" t="s">
        <v>59</v>
      </c>
      <c r="J2747" s="14" t="s">
        <v>200</v>
      </c>
      <c r="K2747" s="14" t="s">
        <v>223</v>
      </c>
      <c r="L2747" s="14" t="s">
        <v>883</v>
      </c>
      <c r="M2747" s="14" t="s">
        <v>884</v>
      </c>
      <c r="N2747" s="14" t="s">
        <v>885</v>
      </c>
      <c r="O2747" s="14">
        <v>0.0</v>
      </c>
      <c r="P2747" s="23">
        <v>0.0</v>
      </c>
      <c r="Q2747" s="22" t="str">
        <f t="shared" ref="Q2747:R2747" si="1627">"+0.00%"</f>
        <v>+0.00%</v>
      </c>
      <c r="R2747" s="18" t="str">
        <f t="shared" si="1627"/>
        <v>+0.00%</v>
      </c>
      <c r="S2747" s="14" t="s">
        <v>285</v>
      </c>
    </row>
    <row r="2748">
      <c r="A2748" s="13">
        <v>45901.0</v>
      </c>
      <c r="B2748" s="14" t="s">
        <v>47</v>
      </c>
      <c r="C2748" s="14" t="s">
        <v>48</v>
      </c>
      <c r="D2748" s="14" t="s">
        <v>116</v>
      </c>
      <c r="E2748" s="14" t="s">
        <v>117</v>
      </c>
      <c r="F2748" s="15" t="s">
        <v>51</v>
      </c>
      <c r="G2748" s="14" t="s">
        <v>161</v>
      </c>
      <c r="H2748" s="14" t="s">
        <v>116</v>
      </c>
      <c r="I2748" s="14" t="s">
        <v>54</v>
      </c>
      <c r="J2748" s="14" t="s">
        <v>198</v>
      </c>
      <c r="K2748" s="14" t="s">
        <v>210</v>
      </c>
      <c r="L2748" s="14" t="s">
        <v>264</v>
      </c>
      <c r="M2748" s="14" t="s">
        <v>313</v>
      </c>
      <c r="N2748" s="14" t="s">
        <v>314</v>
      </c>
      <c r="O2748" s="14">
        <v>0.0</v>
      </c>
      <c r="P2748" s="21">
        <v>0.0</v>
      </c>
      <c r="Q2748" s="22" t="str">
        <f>"+0"</f>
        <v>+0</v>
      </c>
      <c r="R2748" s="18" t="str">
        <f>"-1"</f>
        <v>-1</v>
      </c>
      <c r="S2748" s="14" t="s">
        <v>277</v>
      </c>
    </row>
    <row r="2749">
      <c r="A2749" s="13">
        <v>45901.0</v>
      </c>
      <c r="B2749" s="14" t="s">
        <v>47</v>
      </c>
      <c r="C2749" s="14" t="s">
        <v>48</v>
      </c>
      <c r="D2749" s="14" t="s">
        <v>112</v>
      </c>
      <c r="E2749" s="14" t="s">
        <v>113</v>
      </c>
      <c r="F2749" s="15" t="s">
        <v>51</v>
      </c>
      <c r="G2749" s="14" t="s">
        <v>114</v>
      </c>
      <c r="H2749" s="14" t="s">
        <v>112</v>
      </c>
      <c r="I2749" s="14" t="s">
        <v>59</v>
      </c>
      <c r="J2749" s="14" t="s">
        <v>200</v>
      </c>
      <c r="K2749" s="14" t="s">
        <v>204</v>
      </c>
      <c r="L2749" s="14" t="s">
        <v>253</v>
      </c>
      <c r="M2749" s="14" t="s">
        <v>490</v>
      </c>
      <c r="N2749" s="14" t="s">
        <v>491</v>
      </c>
      <c r="O2749" s="14">
        <v>1.0</v>
      </c>
      <c r="P2749" s="23">
        <v>0.01</v>
      </c>
      <c r="Q2749" s="22" t="str">
        <f t="shared" ref="Q2749:R2749" si="1628">"+0.00%"</f>
        <v>+0.00%</v>
      </c>
      <c r="R2749" s="18" t="str">
        <f t="shared" si="1628"/>
        <v>+0.00%</v>
      </c>
      <c r="S2749" s="14" t="s">
        <v>492</v>
      </c>
    </row>
    <row r="2750">
      <c r="A2750" s="13">
        <v>45901.0</v>
      </c>
      <c r="B2750" s="14" t="s">
        <v>47</v>
      </c>
      <c r="C2750" s="14" t="s">
        <v>48</v>
      </c>
      <c r="D2750" s="14" t="s">
        <v>56</v>
      </c>
      <c r="E2750" s="14" t="s">
        <v>57</v>
      </c>
      <c r="F2750" s="15" t="s">
        <v>51</v>
      </c>
      <c r="G2750" s="14" t="s">
        <v>58</v>
      </c>
      <c r="H2750" s="14" t="s">
        <v>56</v>
      </c>
      <c r="I2750" s="14" t="s">
        <v>59</v>
      </c>
      <c r="J2750" s="14" t="s">
        <v>200</v>
      </c>
      <c r="K2750" s="14" t="s">
        <v>223</v>
      </c>
      <c r="L2750" s="14" t="s">
        <v>363</v>
      </c>
      <c r="M2750" s="14" t="s">
        <v>379</v>
      </c>
      <c r="N2750" s="14" t="s">
        <v>380</v>
      </c>
      <c r="O2750" s="14">
        <v>0.0</v>
      </c>
      <c r="P2750" s="21">
        <v>0.0</v>
      </c>
      <c r="Q2750" s="22" t="str">
        <f t="shared" ref="Q2750:R2750" si="1629">"+0"</f>
        <v>+0</v>
      </c>
      <c r="R2750" s="18" t="str">
        <f t="shared" si="1629"/>
        <v>+0</v>
      </c>
      <c r="S2750" s="14" t="s">
        <v>260</v>
      </c>
    </row>
    <row r="2751">
      <c r="A2751" s="13">
        <v>45901.0</v>
      </c>
      <c r="B2751" s="14" t="s">
        <v>47</v>
      </c>
      <c r="C2751" s="14" t="s">
        <v>48</v>
      </c>
      <c r="D2751" s="14" t="s">
        <v>155</v>
      </c>
      <c r="E2751" s="14" t="s">
        <v>156</v>
      </c>
      <c r="F2751" s="15" t="s">
        <v>51</v>
      </c>
      <c r="G2751" s="14" t="s">
        <v>157</v>
      </c>
      <c r="H2751" s="14" t="s">
        <v>155</v>
      </c>
      <c r="I2751" s="14" t="s">
        <v>59</v>
      </c>
      <c r="J2751" s="14" t="s">
        <v>200</v>
      </c>
      <c r="K2751" s="14" t="s">
        <v>223</v>
      </c>
      <c r="L2751" s="14" t="s">
        <v>571</v>
      </c>
      <c r="M2751" s="14" t="s">
        <v>578</v>
      </c>
      <c r="N2751" s="14" t="s">
        <v>579</v>
      </c>
      <c r="O2751" s="14">
        <v>0.0</v>
      </c>
      <c r="P2751" s="17"/>
      <c r="Q2751" s="22"/>
      <c r="S2751" s="14" t="s">
        <v>285</v>
      </c>
    </row>
    <row r="2752">
      <c r="A2752" s="13">
        <v>45901.0</v>
      </c>
      <c r="B2752" s="14" t="s">
        <v>47</v>
      </c>
      <c r="C2752" s="14" t="s">
        <v>48</v>
      </c>
      <c r="D2752" s="14" t="s">
        <v>49</v>
      </c>
      <c r="E2752" s="14" t="s">
        <v>50</v>
      </c>
      <c r="F2752" s="15" t="s">
        <v>51</v>
      </c>
      <c r="G2752" s="14" t="s">
        <v>52</v>
      </c>
      <c r="H2752" s="14" t="s">
        <v>53</v>
      </c>
      <c r="I2752" s="14" t="s">
        <v>54</v>
      </c>
      <c r="J2752" s="14" t="s">
        <v>200</v>
      </c>
      <c r="K2752" s="14" t="s">
        <v>204</v>
      </c>
      <c r="L2752" s="14" t="s">
        <v>253</v>
      </c>
      <c r="M2752" s="14" t="s">
        <v>490</v>
      </c>
      <c r="N2752" s="14" t="s">
        <v>491</v>
      </c>
      <c r="O2752" s="14">
        <v>0.0</v>
      </c>
      <c r="P2752" s="23">
        <v>0.0</v>
      </c>
      <c r="Q2752" s="22" t="str">
        <f t="shared" ref="Q2752:R2752" si="1630">"+0.00%"</f>
        <v>+0.00%</v>
      </c>
      <c r="R2752" s="18" t="str">
        <f t="shared" si="1630"/>
        <v>+0.00%</v>
      </c>
      <c r="S2752" s="14" t="s">
        <v>492</v>
      </c>
    </row>
    <row r="2753">
      <c r="A2753" s="13">
        <v>45901.0</v>
      </c>
      <c r="B2753" s="14" t="s">
        <v>47</v>
      </c>
      <c r="C2753" s="14" t="s">
        <v>48</v>
      </c>
      <c r="D2753" s="14" t="s">
        <v>165</v>
      </c>
      <c r="E2753" s="14" t="s">
        <v>166</v>
      </c>
      <c r="F2753" s="15" t="s">
        <v>51</v>
      </c>
      <c r="G2753" s="14" t="s">
        <v>167</v>
      </c>
      <c r="H2753" s="14" t="s">
        <v>165</v>
      </c>
      <c r="I2753" s="14" t="s">
        <v>54</v>
      </c>
      <c r="J2753" s="14" t="s">
        <v>199</v>
      </c>
      <c r="K2753" s="14" t="s">
        <v>203</v>
      </c>
      <c r="L2753" s="14" t="s">
        <v>862</v>
      </c>
      <c r="M2753" s="14" t="s">
        <v>862</v>
      </c>
      <c r="N2753" s="14" t="s">
        <v>863</v>
      </c>
      <c r="O2753" s="14">
        <v>100.0</v>
      </c>
      <c r="P2753" s="21">
        <v>1.0</v>
      </c>
      <c r="Q2753" s="22" t="str">
        <f t="shared" ref="Q2753:R2753" si="1631">"+0"</f>
        <v>+0</v>
      </c>
      <c r="R2753" s="18" t="str">
        <f t="shared" si="1631"/>
        <v>+0</v>
      </c>
      <c r="S2753" s="14" t="s">
        <v>260</v>
      </c>
    </row>
    <row r="2754">
      <c r="A2754" s="13">
        <v>45901.0</v>
      </c>
      <c r="B2754" s="14" t="s">
        <v>47</v>
      </c>
      <c r="C2754" s="14" t="s">
        <v>48</v>
      </c>
      <c r="D2754" s="14" t="s">
        <v>165</v>
      </c>
      <c r="E2754" s="14" t="s">
        <v>166</v>
      </c>
      <c r="F2754" s="15" t="s">
        <v>51</v>
      </c>
      <c r="G2754" s="14" t="s">
        <v>167</v>
      </c>
      <c r="H2754" s="14" t="s">
        <v>165</v>
      </c>
      <c r="I2754" s="14" t="s">
        <v>54</v>
      </c>
      <c r="J2754" s="14" t="s">
        <v>198</v>
      </c>
      <c r="K2754" s="14" t="s">
        <v>210</v>
      </c>
      <c r="L2754" s="14" t="s">
        <v>264</v>
      </c>
      <c r="M2754" s="14" t="s">
        <v>350</v>
      </c>
      <c r="N2754" s="14" t="s">
        <v>351</v>
      </c>
      <c r="O2754" s="14">
        <v>0.0</v>
      </c>
      <c r="P2754" s="21">
        <v>0.0</v>
      </c>
      <c r="Q2754" s="22" t="str">
        <f t="shared" ref="Q2754:R2754" si="1632">"+0"</f>
        <v>+0</v>
      </c>
      <c r="R2754" s="18" t="str">
        <f t="shared" si="1632"/>
        <v>+0</v>
      </c>
      <c r="S2754" s="14" t="s">
        <v>277</v>
      </c>
    </row>
    <row r="2755">
      <c r="A2755" s="13">
        <v>45901.0</v>
      </c>
      <c r="B2755" s="14" t="s">
        <v>47</v>
      </c>
      <c r="C2755" s="14" t="s">
        <v>48</v>
      </c>
      <c r="D2755" s="14" t="s">
        <v>91</v>
      </c>
      <c r="E2755" s="14" t="s">
        <v>92</v>
      </c>
      <c r="F2755" s="14" t="s">
        <v>146</v>
      </c>
      <c r="G2755" s="14" t="s">
        <v>147</v>
      </c>
      <c r="H2755" s="14" t="s">
        <v>91</v>
      </c>
      <c r="I2755" s="14" t="s">
        <v>107</v>
      </c>
      <c r="J2755" s="14" t="s">
        <v>200</v>
      </c>
      <c r="K2755" s="14" t="s">
        <v>226</v>
      </c>
      <c r="L2755" s="14" t="s">
        <v>672</v>
      </c>
      <c r="M2755" s="14" t="s">
        <v>1888</v>
      </c>
      <c r="N2755" s="14" t="s">
        <v>1889</v>
      </c>
      <c r="O2755" s="14">
        <v>49.0</v>
      </c>
      <c r="P2755" s="23">
        <v>0.0</v>
      </c>
      <c r="Q2755" s="22" t="str">
        <f t="shared" ref="Q2755:R2755" si="1633">"+0.00%"</f>
        <v>+0.00%</v>
      </c>
      <c r="R2755" s="18" t="str">
        <f t="shared" si="1633"/>
        <v>+0.00%</v>
      </c>
      <c r="S2755" s="14" t="s">
        <v>1890</v>
      </c>
    </row>
    <row r="2756">
      <c r="A2756" s="13">
        <v>45901.0</v>
      </c>
      <c r="B2756" s="14" t="s">
        <v>47</v>
      </c>
      <c r="C2756" s="14" t="s">
        <v>48</v>
      </c>
      <c r="D2756" s="14" t="s">
        <v>91</v>
      </c>
      <c r="E2756" s="14" t="s">
        <v>92</v>
      </c>
      <c r="F2756" s="14" t="s">
        <v>71</v>
      </c>
      <c r="G2756" s="14">
        <v>5.00008612E8</v>
      </c>
      <c r="H2756" s="14" t="s">
        <v>91</v>
      </c>
      <c r="I2756" s="14" t="s">
        <v>59</v>
      </c>
      <c r="J2756" s="14" t="s">
        <v>199</v>
      </c>
      <c r="K2756" s="14" t="s">
        <v>203</v>
      </c>
      <c r="L2756" s="14" t="s">
        <v>601</v>
      </c>
      <c r="M2756" s="14" t="s">
        <v>601</v>
      </c>
      <c r="N2756" s="14" t="s">
        <v>602</v>
      </c>
      <c r="O2756" s="14">
        <v>0.0</v>
      </c>
      <c r="P2756" s="21">
        <v>0.0</v>
      </c>
      <c r="Q2756" s="22" t="str">
        <f t="shared" ref="Q2756:R2756" si="1634">"+0"</f>
        <v>+0</v>
      </c>
      <c r="R2756" s="18" t="str">
        <f t="shared" si="1634"/>
        <v>+0</v>
      </c>
      <c r="S2756" s="14" t="s">
        <v>260</v>
      </c>
    </row>
    <row r="2757">
      <c r="A2757" s="13">
        <v>45901.0</v>
      </c>
      <c r="B2757" s="14" t="s">
        <v>47</v>
      </c>
      <c r="C2757" s="14" t="s">
        <v>48</v>
      </c>
      <c r="D2757" s="14" t="s">
        <v>118</v>
      </c>
      <c r="E2757" s="14" t="s">
        <v>119</v>
      </c>
      <c r="F2757" s="15" t="s">
        <v>51</v>
      </c>
      <c r="G2757" s="14" t="s">
        <v>120</v>
      </c>
      <c r="H2757" s="14" t="s">
        <v>118</v>
      </c>
      <c r="I2757" s="14" t="s">
        <v>59</v>
      </c>
      <c r="J2757" s="14" t="s">
        <v>200</v>
      </c>
      <c r="K2757" s="14" t="s">
        <v>213</v>
      </c>
      <c r="L2757" s="14" t="s">
        <v>257</v>
      </c>
      <c r="M2757" s="14" t="s">
        <v>315</v>
      </c>
      <c r="N2757" s="14" t="s">
        <v>316</v>
      </c>
      <c r="O2757" s="14">
        <v>7.0</v>
      </c>
      <c r="P2757" s="23">
        <v>0.0737</v>
      </c>
      <c r="Q2757" s="22" t="str">
        <f>"-0.57%"</f>
        <v>-0.57%</v>
      </c>
      <c r="R2757" s="18" t="str">
        <f>"-2.76%"</f>
        <v>-2.76%</v>
      </c>
      <c r="S2757" s="14" t="s">
        <v>1891</v>
      </c>
    </row>
    <row r="2758">
      <c r="A2758" s="13">
        <v>45901.0</v>
      </c>
      <c r="B2758" s="14" t="s">
        <v>47</v>
      </c>
      <c r="C2758" s="14" t="s">
        <v>48</v>
      </c>
      <c r="D2758" s="14" t="s">
        <v>63</v>
      </c>
      <c r="E2758" s="14" t="s">
        <v>64</v>
      </c>
      <c r="F2758" s="15" t="s">
        <v>51</v>
      </c>
      <c r="G2758" s="14" t="s">
        <v>65</v>
      </c>
      <c r="H2758" s="14" t="s">
        <v>63</v>
      </c>
      <c r="I2758" s="14" t="s">
        <v>54</v>
      </c>
      <c r="J2758" s="14" t="s">
        <v>200</v>
      </c>
      <c r="K2758" s="14" t="s">
        <v>224</v>
      </c>
      <c r="L2758" s="14" t="s">
        <v>964</v>
      </c>
      <c r="M2758" s="14" t="s">
        <v>965</v>
      </c>
      <c r="N2758" s="14" t="s">
        <v>966</v>
      </c>
      <c r="O2758" s="14">
        <v>0.0</v>
      </c>
      <c r="P2758" s="23">
        <v>0.0</v>
      </c>
      <c r="Q2758" s="22" t="str">
        <f t="shared" ref="Q2758:R2758" si="1635">"+0.00%"</f>
        <v>+0.00%</v>
      </c>
      <c r="R2758" s="18" t="str">
        <f t="shared" si="1635"/>
        <v>+0.00%</v>
      </c>
      <c r="S2758" s="14" t="s">
        <v>1892</v>
      </c>
    </row>
    <row r="2759">
      <c r="A2759" s="13">
        <v>45901.0</v>
      </c>
      <c r="B2759" s="14" t="s">
        <v>47</v>
      </c>
      <c r="C2759" s="14" t="s">
        <v>48</v>
      </c>
      <c r="D2759" s="14" t="s">
        <v>91</v>
      </c>
      <c r="E2759" s="14" t="s">
        <v>92</v>
      </c>
      <c r="F2759" s="14" t="s">
        <v>71</v>
      </c>
      <c r="G2759" s="14">
        <v>5.00008613E8</v>
      </c>
      <c r="H2759" s="14" t="s">
        <v>91</v>
      </c>
      <c r="I2759" s="14" t="s">
        <v>59</v>
      </c>
      <c r="J2759" s="14" t="s">
        <v>200</v>
      </c>
      <c r="K2759" s="14" t="s">
        <v>218</v>
      </c>
      <c r="L2759" s="14" t="s">
        <v>253</v>
      </c>
      <c r="M2759" s="14" t="s">
        <v>1628</v>
      </c>
      <c r="N2759" s="14" t="s">
        <v>1629</v>
      </c>
      <c r="O2759" s="14">
        <v>20.0</v>
      </c>
      <c r="P2759" s="23">
        <v>0.207</v>
      </c>
      <c r="Q2759" s="22" t="str">
        <f>"+1.00%"</f>
        <v>+1.00%</v>
      </c>
      <c r="R2759" s="18" t="str">
        <f>"+2.85%"</f>
        <v>+2.85%</v>
      </c>
      <c r="S2759" s="14" t="s">
        <v>1893</v>
      </c>
    </row>
    <row r="2760">
      <c r="A2760" s="13">
        <v>45901.0</v>
      </c>
      <c r="B2760" s="14" t="s">
        <v>47</v>
      </c>
      <c r="C2760" s="14" t="s">
        <v>48</v>
      </c>
      <c r="D2760" s="14" t="s">
        <v>103</v>
      </c>
      <c r="E2760" s="14" t="s">
        <v>104</v>
      </c>
      <c r="F2760" s="15" t="s">
        <v>51</v>
      </c>
      <c r="G2760" s="14" t="s">
        <v>105</v>
      </c>
      <c r="H2760" s="14" t="s">
        <v>106</v>
      </c>
      <c r="I2760" s="14" t="s">
        <v>59</v>
      </c>
      <c r="J2760" s="14" t="s">
        <v>198</v>
      </c>
      <c r="K2760" s="14" t="s">
        <v>205</v>
      </c>
      <c r="L2760" s="14" t="s">
        <v>274</v>
      </c>
      <c r="M2760" s="14" t="s">
        <v>275</v>
      </c>
      <c r="N2760" s="14" t="s">
        <v>276</v>
      </c>
      <c r="O2760" s="14">
        <v>0.0</v>
      </c>
      <c r="P2760" s="21">
        <v>1.0</v>
      </c>
      <c r="Q2760" s="22" t="str">
        <f t="shared" ref="Q2760:Q2763" si="1636">"+0"</f>
        <v>+0</v>
      </c>
      <c r="S2760" s="14" t="s">
        <v>277</v>
      </c>
    </row>
    <row r="2761">
      <c r="A2761" s="13">
        <v>45901.0</v>
      </c>
      <c r="B2761" s="14" t="s">
        <v>47</v>
      </c>
      <c r="C2761" s="14" t="s">
        <v>48</v>
      </c>
      <c r="D2761" s="14" t="s">
        <v>149</v>
      </c>
      <c r="E2761" s="14" t="s">
        <v>150</v>
      </c>
      <c r="F2761" s="15" t="s">
        <v>51</v>
      </c>
      <c r="G2761" s="14" t="s">
        <v>151</v>
      </c>
      <c r="H2761" s="14" t="s">
        <v>152</v>
      </c>
      <c r="I2761" s="14" t="s">
        <v>54</v>
      </c>
      <c r="J2761" s="14" t="s">
        <v>198</v>
      </c>
      <c r="K2761" s="14" t="s">
        <v>210</v>
      </c>
      <c r="L2761" s="14" t="s">
        <v>264</v>
      </c>
      <c r="M2761" s="14" t="s">
        <v>1802</v>
      </c>
      <c r="N2761" s="14" t="s">
        <v>1803</v>
      </c>
      <c r="O2761" s="14">
        <v>0.0</v>
      </c>
      <c r="P2761" s="21">
        <v>0.0</v>
      </c>
      <c r="Q2761" s="22" t="str">
        <f t="shared" si="1636"/>
        <v>+0</v>
      </c>
      <c r="R2761" s="18" t="str">
        <f>"+0"</f>
        <v>+0</v>
      </c>
      <c r="S2761" s="14" t="s">
        <v>277</v>
      </c>
    </row>
    <row r="2762">
      <c r="A2762" s="13">
        <v>45901.0</v>
      </c>
      <c r="B2762" s="14" t="s">
        <v>47</v>
      </c>
      <c r="C2762" s="14" t="s">
        <v>48</v>
      </c>
      <c r="D2762" s="14" t="s">
        <v>96</v>
      </c>
      <c r="E2762" s="14" t="s">
        <v>97</v>
      </c>
      <c r="F2762" s="15" t="s">
        <v>51</v>
      </c>
      <c r="G2762" s="14" t="s">
        <v>98</v>
      </c>
      <c r="H2762" s="14" t="s">
        <v>96</v>
      </c>
      <c r="I2762" s="14" t="s">
        <v>59</v>
      </c>
      <c r="J2762" s="14" t="s">
        <v>198</v>
      </c>
      <c r="K2762" s="14" t="s">
        <v>205</v>
      </c>
      <c r="L2762" s="14" t="s">
        <v>274</v>
      </c>
      <c r="M2762" s="14" t="s">
        <v>738</v>
      </c>
      <c r="N2762" s="14" t="s">
        <v>739</v>
      </c>
      <c r="O2762" s="14">
        <v>0.0</v>
      </c>
      <c r="P2762" s="21">
        <v>0.0</v>
      </c>
      <c r="Q2762" s="22" t="str">
        <f t="shared" si="1636"/>
        <v>+0</v>
      </c>
      <c r="S2762" s="14" t="s">
        <v>281</v>
      </c>
    </row>
    <row r="2763">
      <c r="A2763" s="13">
        <v>45901.0</v>
      </c>
      <c r="B2763" s="14" t="s">
        <v>47</v>
      </c>
      <c r="C2763" s="14" t="s">
        <v>48</v>
      </c>
      <c r="D2763" s="14" t="s">
        <v>195</v>
      </c>
      <c r="E2763" s="14" t="s">
        <v>196</v>
      </c>
      <c r="F2763" s="14" t="s">
        <v>111</v>
      </c>
      <c r="G2763" s="14">
        <v>5252823.0</v>
      </c>
      <c r="H2763" s="14" t="s">
        <v>197</v>
      </c>
      <c r="I2763" s="14" t="s">
        <v>59</v>
      </c>
      <c r="J2763" s="14" t="s">
        <v>199</v>
      </c>
      <c r="K2763" s="14" t="s">
        <v>206</v>
      </c>
      <c r="L2763" s="14" t="s">
        <v>381</v>
      </c>
      <c r="M2763" s="14" t="s">
        <v>381</v>
      </c>
      <c r="N2763" s="14" t="s">
        <v>382</v>
      </c>
      <c r="O2763" s="14">
        <v>0.0</v>
      </c>
      <c r="P2763" s="21">
        <v>0.0</v>
      </c>
      <c r="Q2763" s="22" t="str">
        <f t="shared" si="1636"/>
        <v>+0</v>
      </c>
      <c r="R2763" s="18" t="str">
        <f>"+0"</f>
        <v>+0</v>
      </c>
      <c r="S2763" s="14" t="s">
        <v>383</v>
      </c>
    </row>
    <row r="2764">
      <c r="A2764" s="13">
        <v>45901.0</v>
      </c>
      <c r="B2764" s="14" t="s">
        <v>47</v>
      </c>
      <c r="C2764" s="14" t="s">
        <v>48</v>
      </c>
      <c r="D2764" s="14" t="s">
        <v>60</v>
      </c>
      <c r="E2764" s="14" t="s">
        <v>61</v>
      </c>
      <c r="F2764" s="15" t="s">
        <v>51</v>
      </c>
      <c r="G2764" s="14" t="s">
        <v>62</v>
      </c>
      <c r="H2764" s="14" t="s">
        <v>60</v>
      </c>
      <c r="I2764" s="14" t="s">
        <v>59</v>
      </c>
      <c r="J2764" s="14" t="s">
        <v>200</v>
      </c>
      <c r="K2764" s="14" t="s">
        <v>223</v>
      </c>
      <c r="L2764" s="14" t="s">
        <v>257</v>
      </c>
      <c r="M2764" s="14" t="s">
        <v>499</v>
      </c>
      <c r="N2764" s="14" t="s">
        <v>500</v>
      </c>
      <c r="O2764" s="14">
        <v>0.0</v>
      </c>
      <c r="P2764" s="23">
        <v>0.0</v>
      </c>
      <c r="Q2764" s="22" t="str">
        <f t="shared" ref="Q2764:R2764" si="1637">"+0.00%"</f>
        <v>+0.00%</v>
      </c>
      <c r="R2764" s="18" t="str">
        <f t="shared" si="1637"/>
        <v>+0.00%</v>
      </c>
      <c r="S2764" s="14" t="s">
        <v>1894</v>
      </c>
    </row>
    <row r="2765">
      <c r="A2765" s="13">
        <v>45901.0</v>
      </c>
      <c r="B2765" s="14" t="s">
        <v>47</v>
      </c>
      <c r="C2765" s="14" t="s">
        <v>48</v>
      </c>
      <c r="D2765" s="14" t="s">
        <v>99</v>
      </c>
      <c r="E2765" s="14" t="s">
        <v>100</v>
      </c>
      <c r="F2765" s="15" t="s">
        <v>51</v>
      </c>
      <c r="G2765" s="14" t="s">
        <v>101</v>
      </c>
      <c r="H2765" s="14" t="s">
        <v>102</v>
      </c>
      <c r="I2765" s="14" t="s">
        <v>54</v>
      </c>
      <c r="J2765" s="14" t="s">
        <v>200</v>
      </c>
      <c r="K2765" s="14" t="s">
        <v>227</v>
      </c>
      <c r="L2765" s="14" t="s">
        <v>253</v>
      </c>
      <c r="M2765" s="14" t="s">
        <v>396</v>
      </c>
      <c r="N2765" s="14" t="s">
        <v>397</v>
      </c>
      <c r="O2765" s="14">
        <v>100.0</v>
      </c>
      <c r="P2765" s="23">
        <v>1.0</v>
      </c>
      <c r="Q2765" s="22" t="str">
        <f t="shared" ref="Q2765:R2765" si="1638">"+0.00%"</f>
        <v>+0.00%</v>
      </c>
      <c r="R2765" s="18" t="str">
        <f t="shared" si="1638"/>
        <v>+0.00%</v>
      </c>
      <c r="S2765" s="14" t="s">
        <v>916</v>
      </c>
    </row>
    <row r="2766">
      <c r="A2766" s="13">
        <v>45901.0</v>
      </c>
      <c r="B2766" s="14" t="s">
        <v>47</v>
      </c>
      <c r="C2766" s="14" t="s">
        <v>48</v>
      </c>
      <c r="D2766" s="14" t="s">
        <v>192</v>
      </c>
      <c r="E2766" s="14" t="s">
        <v>193</v>
      </c>
      <c r="F2766" s="15" t="s">
        <v>51</v>
      </c>
      <c r="G2766" s="14" t="s">
        <v>194</v>
      </c>
      <c r="H2766" s="14" t="s">
        <v>192</v>
      </c>
      <c r="I2766" s="14" t="s">
        <v>54</v>
      </c>
      <c r="J2766" s="14" t="s">
        <v>199</v>
      </c>
      <c r="K2766" s="14" t="s">
        <v>203</v>
      </c>
      <c r="L2766" s="14" t="s">
        <v>1083</v>
      </c>
      <c r="M2766" s="14" t="s">
        <v>1083</v>
      </c>
      <c r="N2766" s="14" t="s">
        <v>1084</v>
      </c>
      <c r="O2766" s="14">
        <v>100.0</v>
      </c>
      <c r="P2766" s="21">
        <v>1.0</v>
      </c>
      <c r="Q2766" s="22" t="str">
        <f>"+0"</f>
        <v>+0</v>
      </c>
      <c r="R2766" s="18" t="str">
        <f>"-2"</f>
        <v>-2</v>
      </c>
      <c r="S2766" s="14" t="s">
        <v>260</v>
      </c>
    </row>
    <row r="2767">
      <c r="A2767" s="13">
        <v>45901.0</v>
      </c>
      <c r="B2767" s="14" t="s">
        <v>47</v>
      </c>
      <c r="C2767" s="14" t="s">
        <v>48</v>
      </c>
      <c r="D2767" s="14" t="s">
        <v>82</v>
      </c>
      <c r="E2767" s="14" t="s">
        <v>83</v>
      </c>
      <c r="F2767" s="15" t="s">
        <v>51</v>
      </c>
      <c r="G2767" s="14" t="s">
        <v>84</v>
      </c>
      <c r="H2767" s="14" t="s">
        <v>82</v>
      </c>
      <c r="I2767" s="14" t="s">
        <v>59</v>
      </c>
      <c r="J2767" s="14" t="s">
        <v>200</v>
      </c>
      <c r="K2767" s="14" t="s">
        <v>213</v>
      </c>
      <c r="L2767" s="14" t="s">
        <v>571</v>
      </c>
      <c r="M2767" s="14" t="s">
        <v>578</v>
      </c>
      <c r="N2767" s="14" t="s">
        <v>579</v>
      </c>
      <c r="O2767" s="14">
        <v>0.0</v>
      </c>
      <c r="P2767" s="23">
        <v>0.0</v>
      </c>
      <c r="Q2767" s="22" t="str">
        <f t="shared" ref="Q2767:R2767" si="1639">"+0.00%"</f>
        <v>+0.00%</v>
      </c>
      <c r="R2767" s="18" t="str">
        <f t="shared" si="1639"/>
        <v>+0.00%</v>
      </c>
      <c r="S2767" s="14" t="s">
        <v>285</v>
      </c>
    </row>
    <row r="2768">
      <c r="A2768" s="13">
        <v>45901.0</v>
      </c>
      <c r="B2768" s="14" t="s">
        <v>47</v>
      </c>
      <c r="C2768" s="14" t="s">
        <v>48</v>
      </c>
      <c r="D2768" s="14" t="s">
        <v>132</v>
      </c>
      <c r="E2768" s="14" t="s">
        <v>133</v>
      </c>
      <c r="F2768" s="15" t="s">
        <v>51</v>
      </c>
      <c r="G2768" s="14" t="s">
        <v>134</v>
      </c>
      <c r="H2768" s="14" t="s">
        <v>135</v>
      </c>
      <c r="I2768" s="14" t="s">
        <v>59</v>
      </c>
      <c r="J2768" s="14" t="s">
        <v>200</v>
      </c>
      <c r="K2768" s="14" t="s">
        <v>213</v>
      </c>
      <c r="L2768" s="14" t="s">
        <v>289</v>
      </c>
      <c r="M2768" s="14" t="s">
        <v>984</v>
      </c>
      <c r="N2768" s="14" t="s">
        <v>985</v>
      </c>
      <c r="O2768" s="14">
        <v>0.0</v>
      </c>
      <c r="P2768" s="23">
        <v>0.0</v>
      </c>
      <c r="Q2768" s="22" t="str">
        <f t="shared" ref="Q2768:R2768" si="1640">"+0.00%"</f>
        <v>+0.00%</v>
      </c>
      <c r="R2768" s="18" t="str">
        <f t="shared" si="1640"/>
        <v>+0.00%</v>
      </c>
      <c r="S2768" s="14" t="s">
        <v>285</v>
      </c>
    </row>
    <row r="2769">
      <c r="A2769" s="13">
        <v>45901.0</v>
      </c>
      <c r="B2769" s="14" t="s">
        <v>47</v>
      </c>
      <c r="C2769" s="14" t="s">
        <v>48</v>
      </c>
      <c r="D2769" s="14" t="s">
        <v>132</v>
      </c>
      <c r="E2769" s="14" t="s">
        <v>133</v>
      </c>
      <c r="F2769" s="15" t="s">
        <v>51</v>
      </c>
      <c r="G2769" s="14" t="s">
        <v>134</v>
      </c>
      <c r="H2769" s="14" t="s">
        <v>135</v>
      </c>
      <c r="I2769" s="14" t="s">
        <v>59</v>
      </c>
      <c r="J2769" s="14" t="s">
        <v>200</v>
      </c>
      <c r="K2769" s="14" t="s">
        <v>213</v>
      </c>
      <c r="L2769" s="14" t="s">
        <v>253</v>
      </c>
      <c r="M2769" s="14" t="s">
        <v>389</v>
      </c>
      <c r="N2769" s="14" t="s">
        <v>390</v>
      </c>
      <c r="O2769" s="14">
        <v>70.0</v>
      </c>
      <c r="P2769" s="23">
        <v>0.7</v>
      </c>
      <c r="Q2769" s="22" t="str">
        <f>"+18.39%"</f>
        <v>+18.39%</v>
      </c>
      <c r="R2769" s="18" t="str">
        <f>"-4.19%"</f>
        <v>-4.19%</v>
      </c>
      <c r="S2769" s="14" t="s">
        <v>1895</v>
      </c>
    </row>
    <row r="2770">
      <c r="A2770" s="13">
        <v>45901.0</v>
      </c>
      <c r="B2770" s="14" t="s">
        <v>47</v>
      </c>
      <c r="C2770" s="14" t="s">
        <v>48</v>
      </c>
      <c r="D2770" s="14" t="s">
        <v>136</v>
      </c>
      <c r="E2770" s="14" t="s">
        <v>137</v>
      </c>
      <c r="F2770" s="15" t="s">
        <v>51</v>
      </c>
      <c r="G2770" s="14" t="s">
        <v>138</v>
      </c>
      <c r="H2770" s="14" t="s">
        <v>139</v>
      </c>
      <c r="I2770" s="14" t="s">
        <v>59</v>
      </c>
      <c r="J2770" s="14" t="s">
        <v>200</v>
      </c>
      <c r="K2770" s="14" t="s">
        <v>202</v>
      </c>
      <c r="L2770" s="14" t="s">
        <v>253</v>
      </c>
      <c r="M2770" s="14" t="s">
        <v>874</v>
      </c>
      <c r="N2770" s="14" t="s">
        <v>875</v>
      </c>
      <c r="O2770" s="14">
        <v>100.0</v>
      </c>
      <c r="P2770" s="23">
        <v>1.0</v>
      </c>
      <c r="Q2770" s="22" t="str">
        <f t="shared" ref="Q2770:R2770" si="1641">"+0.00%"</f>
        <v>+0.00%</v>
      </c>
      <c r="R2770" s="18" t="str">
        <f t="shared" si="1641"/>
        <v>+0.00%</v>
      </c>
      <c r="S2770" s="14" t="s">
        <v>1896</v>
      </c>
    </row>
    <row r="2771">
      <c r="A2771" s="13">
        <v>45901.0</v>
      </c>
      <c r="B2771" s="14" t="s">
        <v>47</v>
      </c>
      <c r="C2771" s="14" t="s">
        <v>48</v>
      </c>
      <c r="D2771" s="14" t="s">
        <v>149</v>
      </c>
      <c r="E2771" s="14" t="s">
        <v>150</v>
      </c>
      <c r="F2771" s="15" t="s">
        <v>51</v>
      </c>
      <c r="G2771" s="14" t="s">
        <v>151</v>
      </c>
      <c r="H2771" s="14" t="s">
        <v>152</v>
      </c>
      <c r="I2771" s="14" t="s">
        <v>54</v>
      </c>
      <c r="J2771" s="14" t="s">
        <v>200</v>
      </c>
      <c r="K2771" s="14" t="s">
        <v>231</v>
      </c>
      <c r="L2771" s="14" t="s">
        <v>512</v>
      </c>
      <c r="M2771" s="14" t="s">
        <v>1897</v>
      </c>
      <c r="N2771" s="14" t="s">
        <v>1898</v>
      </c>
      <c r="O2771" s="14">
        <v>38.0</v>
      </c>
      <c r="P2771" s="23">
        <v>-0.2341</v>
      </c>
      <c r="Q2771" s="22" t="str">
        <f>"-28.69%"</f>
        <v>-28.69%</v>
      </c>
      <c r="R2771" s="18" t="str">
        <f>"-51.53%"</f>
        <v>-51.53%</v>
      </c>
      <c r="S2771" s="14" t="s">
        <v>1899</v>
      </c>
    </row>
    <row r="2772">
      <c r="A2772" s="13">
        <v>45901.0</v>
      </c>
      <c r="B2772" s="14" t="s">
        <v>47</v>
      </c>
      <c r="C2772" s="14" t="s">
        <v>48</v>
      </c>
      <c r="D2772" s="14" t="s">
        <v>136</v>
      </c>
      <c r="E2772" s="14" t="s">
        <v>137</v>
      </c>
      <c r="F2772" s="15" t="s">
        <v>51</v>
      </c>
      <c r="G2772" s="14" t="s">
        <v>138</v>
      </c>
      <c r="H2772" s="14" t="s">
        <v>139</v>
      </c>
      <c r="I2772" s="14" t="s">
        <v>59</v>
      </c>
      <c r="J2772" s="14" t="s">
        <v>200</v>
      </c>
      <c r="K2772" s="14" t="s">
        <v>224</v>
      </c>
      <c r="L2772" s="14" t="s">
        <v>964</v>
      </c>
      <c r="M2772" s="14" t="s">
        <v>965</v>
      </c>
      <c r="N2772" s="14" t="s">
        <v>966</v>
      </c>
      <c r="O2772" s="14">
        <v>0.0</v>
      </c>
      <c r="P2772" s="23">
        <v>0.0</v>
      </c>
      <c r="Q2772" s="22" t="str">
        <f>"+0.00%"</f>
        <v>+0.00%</v>
      </c>
      <c r="S2772" s="14" t="s">
        <v>1900</v>
      </c>
    </row>
    <row r="2773">
      <c r="A2773" s="13">
        <v>45901.0</v>
      </c>
      <c r="B2773" s="14" t="s">
        <v>47</v>
      </c>
      <c r="C2773" s="14" t="s">
        <v>48</v>
      </c>
      <c r="D2773" s="14" t="s">
        <v>195</v>
      </c>
      <c r="E2773" s="14" t="s">
        <v>196</v>
      </c>
      <c r="F2773" s="14" t="s">
        <v>111</v>
      </c>
      <c r="G2773" s="14">
        <v>5252823.0</v>
      </c>
      <c r="H2773" s="14" t="s">
        <v>197</v>
      </c>
      <c r="I2773" s="14" t="s">
        <v>59</v>
      </c>
      <c r="J2773" s="14" t="s">
        <v>199</v>
      </c>
      <c r="K2773" s="14" t="s">
        <v>208</v>
      </c>
      <c r="L2773" s="14" t="s">
        <v>412</v>
      </c>
      <c r="M2773" s="14" t="s">
        <v>412</v>
      </c>
      <c r="N2773" s="14" t="s">
        <v>413</v>
      </c>
      <c r="O2773" s="14">
        <v>0.0</v>
      </c>
      <c r="P2773" s="21">
        <v>0.0</v>
      </c>
      <c r="Q2773" s="22" t="str">
        <f t="shared" ref="Q2773:R2773" si="1642">"+0"</f>
        <v>+0</v>
      </c>
      <c r="R2773" s="18" t="str">
        <f t="shared" si="1642"/>
        <v>+0</v>
      </c>
      <c r="S2773" s="14" t="s">
        <v>260</v>
      </c>
    </row>
    <row r="2774">
      <c r="A2774" s="13">
        <v>45901.0</v>
      </c>
      <c r="B2774" s="14" t="s">
        <v>47</v>
      </c>
      <c r="C2774" s="14" t="s">
        <v>48</v>
      </c>
      <c r="D2774" s="14" t="s">
        <v>85</v>
      </c>
      <c r="E2774" s="14" t="s">
        <v>86</v>
      </c>
      <c r="F2774" s="15" t="s">
        <v>51</v>
      </c>
      <c r="G2774" s="14" t="s">
        <v>148</v>
      </c>
      <c r="H2774" s="14" t="s">
        <v>85</v>
      </c>
      <c r="I2774" s="14" t="s">
        <v>59</v>
      </c>
      <c r="J2774" s="14" t="s">
        <v>200</v>
      </c>
      <c r="K2774" s="14" t="s">
        <v>213</v>
      </c>
      <c r="L2774" s="14" t="s">
        <v>571</v>
      </c>
      <c r="M2774" s="14" t="s">
        <v>572</v>
      </c>
      <c r="N2774" s="14" t="s">
        <v>573</v>
      </c>
      <c r="O2774" s="14">
        <v>0.0</v>
      </c>
      <c r="P2774" s="23">
        <v>0.0</v>
      </c>
      <c r="Q2774" s="22" t="str">
        <f t="shared" ref="Q2774:R2774" si="1643">"+0.00%"</f>
        <v>+0.00%</v>
      </c>
      <c r="R2774" s="18" t="str">
        <f t="shared" si="1643"/>
        <v>+0.00%</v>
      </c>
      <c r="S2774" s="14" t="s">
        <v>285</v>
      </c>
    </row>
    <row r="2775">
      <c r="A2775" s="13">
        <v>45901.0</v>
      </c>
      <c r="B2775" s="14" t="s">
        <v>47</v>
      </c>
      <c r="C2775" s="14" t="s">
        <v>48</v>
      </c>
      <c r="D2775" s="14" t="s">
        <v>85</v>
      </c>
      <c r="E2775" s="14" t="s">
        <v>86</v>
      </c>
      <c r="F2775" s="15" t="s">
        <v>51</v>
      </c>
      <c r="G2775" s="14" t="s">
        <v>148</v>
      </c>
      <c r="H2775" s="14" t="s">
        <v>85</v>
      </c>
      <c r="I2775" s="14" t="s">
        <v>59</v>
      </c>
      <c r="J2775" s="14" t="s">
        <v>198</v>
      </c>
      <c r="K2775" s="14" t="s">
        <v>205</v>
      </c>
      <c r="L2775" s="14" t="s">
        <v>274</v>
      </c>
      <c r="M2775" s="14" t="s">
        <v>448</v>
      </c>
      <c r="N2775" s="14" t="s">
        <v>449</v>
      </c>
      <c r="O2775" s="14">
        <v>100.0</v>
      </c>
      <c r="P2775" s="21">
        <v>5.0</v>
      </c>
      <c r="Q2775" s="22" t="str">
        <f>"+0"</f>
        <v>+0</v>
      </c>
      <c r="S2775" s="14" t="s">
        <v>450</v>
      </c>
    </row>
    <row r="2776">
      <c r="A2776" s="13">
        <v>45901.0</v>
      </c>
      <c r="B2776" s="14" t="s">
        <v>47</v>
      </c>
      <c r="C2776" s="14" t="s">
        <v>48</v>
      </c>
      <c r="D2776" s="14" t="s">
        <v>112</v>
      </c>
      <c r="E2776" s="14" t="s">
        <v>113</v>
      </c>
      <c r="F2776" s="15" t="s">
        <v>51</v>
      </c>
      <c r="G2776" s="14" t="s">
        <v>114</v>
      </c>
      <c r="H2776" s="14" t="s">
        <v>112</v>
      </c>
      <c r="I2776" s="14" t="s">
        <v>59</v>
      </c>
      <c r="J2776" s="14" t="s">
        <v>200</v>
      </c>
      <c r="K2776" s="14" t="s">
        <v>227</v>
      </c>
      <c r="L2776" s="14" t="s">
        <v>253</v>
      </c>
      <c r="M2776" s="14" t="s">
        <v>849</v>
      </c>
      <c r="N2776" s="14" t="s">
        <v>850</v>
      </c>
      <c r="O2776" s="14">
        <v>0.0</v>
      </c>
      <c r="P2776" s="23">
        <v>0.0</v>
      </c>
      <c r="Q2776" s="22" t="str">
        <f t="shared" ref="Q2776:R2776" si="1644">"+0.00%"</f>
        <v>+0.00%</v>
      </c>
      <c r="R2776" s="18" t="str">
        <f t="shared" si="1644"/>
        <v>+0.00%</v>
      </c>
      <c r="S2776" s="14" t="s">
        <v>851</v>
      </c>
    </row>
    <row r="2777">
      <c r="A2777" s="13">
        <v>45901.0</v>
      </c>
      <c r="B2777" s="14" t="s">
        <v>47</v>
      </c>
      <c r="C2777" s="14" t="s">
        <v>48</v>
      </c>
      <c r="D2777" s="14" t="s">
        <v>158</v>
      </c>
      <c r="E2777" s="14" t="s">
        <v>159</v>
      </c>
      <c r="F2777" s="15" t="s">
        <v>51</v>
      </c>
      <c r="G2777" s="14" t="s">
        <v>160</v>
      </c>
      <c r="H2777" s="14" t="s">
        <v>158</v>
      </c>
      <c r="I2777" s="14" t="s">
        <v>54</v>
      </c>
      <c r="J2777" s="14" t="s">
        <v>200</v>
      </c>
      <c r="K2777" s="14" t="s">
        <v>222</v>
      </c>
      <c r="L2777" s="14" t="s">
        <v>337</v>
      </c>
      <c r="M2777" s="14" t="s">
        <v>1000</v>
      </c>
      <c r="N2777" s="14" t="s">
        <v>1001</v>
      </c>
      <c r="O2777" s="14">
        <v>0.0</v>
      </c>
      <c r="P2777" s="21">
        <v>0.0</v>
      </c>
      <c r="Q2777" s="22" t="str">
        <f t="shared" ref="Q2777:R2777" si="1645">"+0"</f>
        <v>+0</v>
      </c>
      <c r="R2777" s="18" t="str">
        <f t="shared" si="1645"/>
        <v>+0</v>
      </c>
      <c r="S2777" s="14" t="s">
        <v>260</v>
      </c>
    </row>
    <row r="2778">
      <c r="A2778" s="13">
        <v>45901.0</v>
      </c>
      <c r="B2778" s="14" t="s">
        <v>47</v>
      </c>
      <c r="C2778" s="14" t="s">
        <v>48</v>
      </c>
      <c r="D2778" s="14" t="s">
        <v>77</v>
      </c>
      <c r="E2778" s="14" t="s">
        <v>78</v>
      </c>
      <c r="F2778" s="15" t="s">
        <v>51</v>
      </c>
      <c r="G2778" s="14" t="s">
        <v>128</v>
      </c>
      <c r="H2778" s="14" t="s">
        <v>81</v>
      </c>
      <c r="I2778" s="14" t="s">
        <v>59</v>
      </c>
      <c r="J2778" s="14" t="s">
        <v>200</v>
      </c>
      <c r="K2778" s="14" t="s">
        <v>222</v>
      </c>
      <c r="L2778" s="14" t="s">
        <v>337</v>
      </c>
      <c r="M2778" s="14" t="s">
        <v>1000</v>
      </c>
      <c r="N2778" s="14" t="s">
        <v>1001</v>
      </c>
      <c r="O2778" s="14">
        <v>0.0</v>
      </c>
      <c r="P2778" s="21">
        <v>0.0</v>
      </c>
      <c r="Q2778" s="22" t="str">
        <f t="shared" ref="Q2778:R2778" si="1646">"+0"</f>
        <v>+0</v>
      </c>
      <c r="R2778" s="18" t="str">
        <f t="shared" si="1646"/>
        <v>+0</v>
      </c>
      <c r="S2778" s="14" t="s">
        <v>260</v>
      </c>
    </row>
    <row r="2779">
      <c r="A2779" s="13">
        <v>45901.0</v>
      </c>
      <c r="B2779" s="14" t="s">
        <v>47</v>
      </c>
      <c r="C2779" s="14" t="s">
        <v>48</v>
      </c>
      <c r="D2779" s="14" t="s">
        <v>77</v>
      </c>
      <c r="E2779" s="14" t="s">
        <v>78</v>
      </c>
      <c r="F2779" s="15" t="s">
        <v>51</v>
      </c>
      <c r="G2779" s="14" t="s">
        <v>128</v>
      </c>
      <c r="H2779" s="14" t="s">
        <v>81</v>
      </c>
      <c r="I2779" s="14" t="s">
        <v>59</v>
      </c>
      <c r="J2779" s="14" t="s">
        <v>200</v>
      </c>
      <c r="K2779" s="14" t="s">
        <v>223</v>
      </c>
      <c r="L2779" s="14" t="s">
        <v>257</v>
      </c>
      <c r="M2779" s="14" t="s">
        <v>258</v>
      </c>
      <c r="N2779" s="14" t="s">
        <v>259</v>
      </c>
      <c r="O2779" s="14">
        <v>100.0</v>
      </c>
      <c r="P2779" s="21">
        <v>3.0</v>
      </c>
      <c r="Q2779" s="22" t="str">
        <f t="shared" ref="Q2779:R2779" si="1647">"+0"</f>
        <v>+0</v>
      </c>
      <c r="R2779" s="18" t="str">
        <f t="shared" si="1647"/>
        <v>+0</v>
      </c>
      <c r="S2779" s="14" t="s">
        <v>260</v>
      </c>
    </row>
    <row r="2780">
      <c r="A2780" s="13">
        <v>45901.0</v>
      </c>
      <c r="B2780" s="14" t="s">
        <v>47</v>
      </c>
      <c r="C2780" s="14" t="s">
        <v>48</v>
      </c>
      <c r="D2780" s="14" t="s">
        <v>108</v>
      </c>
      <c r="E2780" s="14" t="s">
        <v>109</v>
      </c>
      <c r="F2780" s="14" t="s">
        <v>146</v>
      </c>
      <c r="G2780" s="14" t="s">
        <v>180</v>
      </c>
      <c r="H2780" s="14" t="s">
        <v>108</v>
      </c>
      <c r="I2780" s="14" t="s">
        <v>59</v>
      </c>
      <c r="J2780" s="14" t="s">
        <v>200</v>
      </c>
      <c r="K2780" s="14" t="s">
        <v>226</v>
      </c>
      <c r="L2780" s="14" t="s">
        <v>1105</v>
      </c>
      <c r="M2780" s="14" t="s">
        <v>1147</v>
      </c>
      <c r="N2780" s="14" t="s">
        <v>1148</v>
      </c>
      <c r="O2780" s="14">
        <v>100.0</v>
      </c>
      <c r="P2780" s="21">
        <v>1.0</v>
      </c>
      <c r="Q2780" s="22" t="str">
        <f t="shared" ref="Q2780:Q2781" si="1648">"+0"</f>
        <v>+0</v>
      </c>
      <c r="S2780" s="14" t="s">
        <v>260</v>
      </c>
    </row>
    <row r="2781">
      <c r="A2781" s="13">
        <v>45901.0</v>
      </c>
      <c r="B2781" s="14" t="s">
        <v>47</v>
      </c>
      <c r="C2781" s="14" t="s">
        <v>48</v>
      </c>
      <c r="D2781" s="14" t="s">
        <v>60</v>
      </c>
      <c r="E2781" s="14" t="s">
        <v>61</v>
      </c>
      <c r="F2781" s="15" t="s">
        <v>51</v>
      </c>
      <c r="G2781" s="14" t="s">
        <v>62</v>
      </c>
      <c r="H2781" s="14" t="s">
        <v>60</v>
      </c>
      <c r="I2781" s="14" t="s">
        <v>59</v>
      </c>
      <c r="J2781" s="14" t="s">
        <v>200</v>
      </c>
      <c r="K2781" s="14" t="s">
        <v>216</v>
      </c>
      <c r="L2781" s="14" t="s">
        <v>1491</v>
      </c>
      <c r="M2781" s="14" t="s">
        <v>1882</v>
      </c>
      <c r="N2781" s="14" t="s">
        <v>1883</v>
      </c>
      <c r="O2781" s="14">
        <v>0.0</v>
      </c>
      <c r="P2781" s="21">
        <v>0.0</v>
      </c>
      <c r="Q2781" s="22" t="str">
        <f t="shared" si="1648"/>
        <v>+0</v>
      </c>
      <c r="R2781" s="18" t="str">
        <f>"+0"</f>
        <v>+0</v>
      </c>
      <c r="S2781" s="14" t="s">
        <v>327</v>
      </c>
    </row>
    <row r="2782">
      <c r="A2782" s="13">
        <v>45901.0</v>
      </c>
      <c r="B2782" s="14" t="s">
        <v>47</v>
      </c>
      <c r="C2782" s="14" t="s">
        <v>48</v>
      </c>
      <c r="D2782" s="14" t="s">
        <v>181</v>
      </c>
      <c r="E2782" s="14" t="s">
        <v>182</v>
      </c>
      <c r="F2782" s="15" t="s">
        <v>51</v>
      </c>
      <c r="G2782" s="14" t="s">
        <v>183</v>
      </c>
      <c r="H2782" s="14" t="s">
        <v>181</v>
      </c>
      <c r="I2782" s="14" t="s">
        <v>59</v>
      </c>
      <c r="J2782" s="14" t="s">
        <v>200</v>
      </c>
      <c r="K2782" s="14" t="s">
        <v>232</v>
      </c>
      <c r="L2782" s="14" t="s">
        <v>422</v>
      </c>
      <c r="M2782" s="14" t="s">
        <v>1197</v>
      </c>
      <c r="N2782" s="14" t="s">
        <v>1198</v>
      </c>
      <c r="O2782" s="14">
        <v>0.0</v>
      </c>
      <c r="P2782" s="23">
        <v>0.0</v>
      </c>
      <c r="Q2782" s="22" t="str">
        <f t="shared" ref="Q2782:R2782" si="1649">"+0.00%"</f>
        <v>+0.00%</v>
      </c>
      <c r="R2782" s="18" t="str">
        <f t="shared" si="1649"/>
        <v>+0.00%</v>
      </c>
      <c r="S2782" s="14" t="s">
        <v>285</v>
      </c>
    </row>
    <row r="2783">
      <c r="A2783" s="13">
        <v>45901.0</v>
      </c>
      <c r="B2783" s="14" t="s">
        <v>47</v>
      </c>
      <c r="C2783" s="14" t="s">
        <v>48</v>
      </c>
      <c r="D2783" s="14" t="s">
        <v>140</v>
      </c>
      <c r="E2783" s="14" t="s">
        <v>141</v>
      </c>
      <c r="F2783" s="15" t="s">
        <v>51</v>
      </c>
      <c r="G2783" s="14" t="s">
        <v>142</v>
      </c>
      <c r="H2783" s="14" t="s">
        <v>140</v>
      </c>
      <c r="I2783" s="14" t="s">
        <v>59</v>
      </c>
      <c r="J2783" s="14" t="s">
        <v>200</v>
      </c>
      <c r="K2783" s="14" t="s">
        <v>209</v>
      </c>
      <c r="L2783" s="14" t="s">
        <v>253</v>
      </c>
      <c r="M2783" s="14" t="s">
        <v>402</v>
      </c>
      <c r="N2783" s="14" t="s">
        <v>403</v>
      </c>
      <c r="O2783" s="14">
        <v>8.0</v>
      </c>
      <c r="P2783" s="23">
        <v>0.0895</v>
      </c>
      <c r="Q2783" s="22" t="str">
        <f>"+0.02%"</f>
        <v>+0.02%</v>
      </c>
      <c r="R2783" s="18" t="str">
        <f>"+0.07%"</f>
        <v>+0.07%</v>
      </c>
      <c r="S2783" s="14" t="s">
        <v>1901</v>
      </c>
    </row>
    <row r="2784">
      <c r="A2784" s="13">
        <v>45901.0</v>
      </c>
      <c r="B2784" s="14" t="s">
        <v>47</v>
      </c>
      <c r="C2784" s="14" t="s">
        <v>48</v>
      </c>
      <c r="D2784" s="14" t="s">
        <v>165</v>
      </c>
      <c r="E2784" s="14" t="s">
        <v>166</v>
      </c>
      <c r="F2784" s="14" t="s">
        <v>111</v>
      </c>
      <c r="G2784" s="14">
        <v>7116371.0</v>
      </c>
      <c r="H2784" s="14" t="s">
        <v>165</v>
      </c>
      <c r="I2784" s="14" t="s">
        <v>59</v>
      </c>
      <c r="J2784" s="14" t="s">
        <v>199</v>
      </c>
      <c r="K2784" s="14" t="s">
        <v>206</v>
      </c>
      <c r="L2784" s="14" t="s">
        <v>569</v>
      </c>
      <c r="M2784" s="14" t="s">
        <v>569</v>
      </c>
      <c r="N2784" s="14" t="s">
        <v>570</v>
      </c>
      <c r="O2784" s="14">
        <v>100.0</v>
      </c>
      <c r="P2784" s="21">
        <v>39.0</v>
      </c>
      <c r="Q2784" s="22" t="str">
        <f>"+11"</f>
        <v>+11</v>
      </c>
      <c r="R2784" s="18" t="str">
        <f>"-12"</f>
        <v>-12</v>
      </c>
      <c r="S2784" s="14" t="s">
        <v>383</v>
      </c>
    </row>
    <row r="2785">
      <c r="A2785" s="13">
        <v>45901.0</v>
      </c>
      <c r="B2785" s="14" t="s">
        <v>47</v>
      </c>
      <c r="C2785" s="14" t="s">
        <v>48</v>
      </c>
      <c r="D2785" s="14" t="s">
        <v>91</v>
      </c>
      <c r="E2785" s="14" t="s">
        <v>92</v>
      </c>
      <c r="F2785" s="14" t="s">
        <v>71</v>
      </c>
      <c r="G2785" s="14">
        <v>1.00004432E8</v>
      </c>
      <c r="H2785" s="14" t="s">
        <v>91</v>
      </c>
      <c r="I2785" s="14" t="s">
        <v>59</v>
      </c>
      <c r="J2785" s="14" t="s">
        <v>199</v>
      </c>
      <c r="K2785" s="14" t="s">
        <v>206</v>
      </c>
      <c r="L2785" s="14" t="s">
        <v>531</v>
      </c>
      <c r="M2785" s="14" t="s">
        <v>531</v>
      </c>
      <c r="N2785" s="14" t="s">
        <v>532</v>
      </c>
      <c r="O2785" s="14">
        <v>100.0</v>
      </c>
      <c r="P2785" s="21">
        <v>13.0</v>
      </c>
      <c r="Q2785" s="22" t="str">
        <f t="shared" ref="Q2785:R2785" si="1650">"+0"</f>
        <v>+0</v>
      </c>
      <c r="R2785" s="18" t="str">
        <f t="shared" si="1650"/>
        <v>+0</v>
      </c>
      <c r="S2785" s="14" t="s">
        <v>260</v>
      </c>
    </row>
    <row r="2786">
      <c r="A2786" s="13">
        <v>45901.0</v>
      </c>
      <c r="B2786" s="14" t="s">
        <v>47</v>
      </c>
      <c r="C2786" s="14" t="s">
        <v>48</v>
      </c>
      <c r="D2786" s="14" t="s">
        <v>91</v>
      </c>
      <c r="E2786" s="14" t="s">
        <v>92</v>
      </c>
      <c r="F2786" s="14" t="s">
        <v>146</v>
      </c>
      <c r="G2786" s="14" t="s">
        <v>147</v>
      </c>
      <c r="H2786" s="14" t="s">
        <v>91</v>
      </c>
      <c r="I2786" s="14" t="s">
        <v>107</v>
      </c>
      <c r="J2786" s="14" t="s">
        <v>200</v>
      </c>
      <c r="K2786" s="14" t="s">
        <v>226</v>
      </c>
      <c r="L2786" s="14" t="s">
        <v>253</v>
      </c>
      <c r="M2786" s="14" t="s">
        <v>1009</v>
      </c>
      <c r="N2786" s="14" t="s">
        <v>1010</v>
      </c>
      <c r="O2786" s="14">
        <v>95.0</v>
      </c>
      <c r="P2786" s="23">
        <v>0.9</v>
      </c>
      <c r="Q2786" s="22" t="str">
        <f t="shared" ref="Q2786:R2786" si="1651">"+2.00%"</f>
        <v>+2.00%</v>
      </c>
      <c r="R2786" s="18" t="str">
        <f t="shared" si="1651"/>
        <v>+2.00%</v>
      </c>
      <c r="S2786" s="14" t="s">
        <v>1902</v>
      </c>
    </row>
    <row r="2787">
      <c r="A2787" s="13">
        <v>45901.0</v>
      </c>
      <c r="B2787" s="14" t="s">
        <v>47</v>
      </c>
      <c r="C2787" s="14" t="s">
        <v>48</v>
      </c>
      <c r="D2787" s="14" t="s">
        <v>118</v>
      </c>
      <c r="E2787" s="14" t="s">
        <v>119</v>
      </c>
      <c r="F2787" s="15" t="s">
        <v>51</v>
      </c>
      <c r="G2787" s="14" t="s">
        <v>120</v>
      </c>
      <c r="H2787" s="14" t="s">
        <v>118</v>
      </c>
      <c r="I2787" s="14" t="s">
        <v>59</v>
      </c>
      <c r="J2787" s="14" t="s">
        <v>200</v>
      </c>
      <c r="K2787" s="14" t="s">
        <v>213</v>
      </c>
      <c r="L2787" s="14" t="s">
        <v>257</v>
      </c>
      <c r="M2787" s="14" t="s">
        <v>258</v>
      </c>
      <c r="N2787" s="14" t="s">
        <v>259</v>
      </c>
      <c r="O2787" s="14">
        <v>100.0</v>
      </c>
      <c r="P2787" s="21">
        <v>1.0</v>
      </c>
      <c r="Q2787" s="22" t="str">
        <f t="shared" ref="Q2787:R2787" si="1652">"+0"</f>
        <v>+0</v>
      </c>
      <c r="R2787" s="18" t="str">
        <f t="shared" si="1652"/>
        <v>+0</v>
      </c>
      <c r="S2787" s="14" t="s">
        <v>260</v>
      </c>
    </row>
    <row r="2788">
      <c r="A2788" s="13">
        <v>45901.0</v>
      </c>
      <c r="B2788" s="14" t="s">
        <v>47</v>
      </c>
      <c r="C2788" s="14" t="s">
        <v>48</v>
      </c>
      <c r="D2788" s="14" t="s">
        <v>63</v>
      </c>
      <c r="E2788" s="14" t="s">
        <v>64</v>
      </c>
      <c r="F2788" s="15" t="s">
        <v>51</v>
      </c>
      <c r="G2788" s="14" t="s">
        <v>65</v>
      </c>
      <c r="H2788" s="14" t="s">
        <v>63</v>
      </c>
      <c r="I2788" s="14" t="s">
        <v>54</v>
      </c>
      <c r="J2788" s="14" t="s">
        <v>198</v>
      </c>
      <c r="K2788" s="14" t="s">
        <v>210</v>
      </c>
      <c r="L2788" s="14" t="s">
        <v>264</v>
      </c>
      <c r="M2788" s="14" t="s">
        <v>959</v>
      </c>
      <c r="N2788" s="14" t="s">
        <v>960</v>
      </c>
      <c r="O2788" s="14">
        <v>0.0</v>
      </c>
      <c r="P2788" s="21">
        <v>0.0</v>
      </c>
      <c r="Q2788" s="22" t="str">
        <f t="shared" ref="Q2788:R2788" si="1653">"+0"</f>
        <v>+0</v>
      </c>
      <c r="R2788" s="18" t="str">
        <f t="shared" si="1653"/>
        <v>+0</v>
      </c>
      <c r="S2788" s="14" t="s">
        <v>277</v>
      </c>
    </row>
    <row r="2789">
      <c r="A2789" s="13">
        <v>45901.0</v>
      </c>
      <c r="B2789" s="14" t="s">
        <v>47</v>
      </c>
      <c r="C2789" s="14" t="s">
        <v>48</v>
      </c>
      <c r="D2789" s="14" t="s">
        <v>73</v>
      </c>
      <c r="E2789" s="14" t="s">
        <v>74</v>
      </c>
      <c r="F2789" s="15" t="s">
        <v>51</v>
      </c>
      <c r="G2789" s="14" t="s">
        <v>75</v>
      </c>
      <c r="H2789" s="14" t="s">
        <v>76</v>
      </c>
      <c r="I2789" s="14" t="s">
        <v>59</v>
      </c>
      <c r="J2789" s="14" t="s">
        <v>198</v>
      </c>
      <c r="K2789" s="14" t="s">
        <v>210</v>
      </c>
      <c r="L2789" s="14" t="s">
        <v>278</v>
      </c>
      <c r="M2789" s="14" t="s">
        <v>443</v>
      </c>
      <c r="N2789" s="14" t="s">
        <v>444</v>
      </c>
      <c r="O2789" s="14">
        <v>52.0</v>
      </c>
      <c r="P2789" s="21">
        <v>104.0</v>
      </c>
      <c r="Q2789" s="22" t="str">
        <f>"-1"</f>
        <v>-1</v>
      </c>
      <c r="R2789" s="18" t="str">
        <f>"-8"</f>
        <v>-8</v>
      </c>
      <c r="S2789" s="14" t="s">
        <v>267</v>
      </c>
    </row>
    <row r="2790">
      <c r="A2790" s="13">
        <v>45901.0</v>
      </c>
      <c r="B2790" s="14" t="s">
        <v>47</v>
      </c>
      <c r="C2790" s="14" t="s">
        <v>48</v>
      </c>
      <c r="D2790" s="14" t="s">
        <v>73</v>
      </c>
      <c r="E2790" s="14" t="s">
        <v>74</v>
      </c>
      <c r="F2790" s="15" t="s">
        <v>51</v>
      </c>
      <c r="G2790" s="14" t="s">
        <v>75</v>
      </c>
      <c r="H2790" s="14" t="s">
        <v>76</v>
      </c>
      <c r="I2790" s="14" t="s">
        <v>59</v>
      </c>
      <c r="J2790" s="14" t="s">
        <v>200</v>
      </c>
      <c r="K2790" s="14" t="s">
        <v>232</v>
      </c>
      <c r="L2790" s="14" t="s">
        <v>253</v>
      </c>
      <c r="M2790" s="14" t="s">
        <v>366</v>
      </c>
      <c r="N2790" s="14" t="s">
        <v>367</v>
      </c>
      <c r="O2790" s="14">
        <v>100.0</v>
      </c>
      <c r="P2790" s="23">
        <v>1.0</v>
      </c>
      <c r="Q2790" s="22" t="str">
        <f t="shared" ref="Q2790:R2790" si="1654">"+0.00%"</f>
        <v>+0.00%</v>
      </c>
      <c r="R2790" s="18" t="str">
        <f t="shared" si="1654"/>
        <v>+0.00%</v>
      </c>
      <c r="S2790" s="14" t="s">
        <v>1903</v>
      </c>
    </row>
    <row r="2791">
      <c r="A2791" s="13">
        <v>45901.0</v>
      </c>
      <c r="B2791" s="14" t="s">
        <v>47</v>
      </c>
      <c r="C2791" s="14" t="s">
        <v>48</v>
      </c>
      <c r="D2791" s="14" t="s">
        <v>73</v>
      </c>
      <c r="E2791" s="14" t="s">
        <v>74</v>
      </c>
      <c r="F2791" s="15" t="s">
        <v>51</v>
      </c>
      <c r="G2791" s="14" t="s">
        <v>75</v>
      </c>
      <c r="H2791" s="14" t="s">
        <v>76</v>
      </c>
      <c r="I2791" s="14" t="s">
        <v>59</v>
      </c>
      <c r="J2791" s="14" t="s">
        <v>200</v>
      </c>
      <c r="K2791" s="14" t="s">
        <v>232</v>
      </c>
      <c r="L2791" s="14" t="s">
        <v>286</v>
      </c>
      <c r="M2791" s="14" t="s">
        <v>979</v>
      </c>
      <c r="N2791" s="14" t="s">
        <v>980</v>
      </c>
      <c r="O2791" s="14">
        <v>0.0</v>
      </c>
      <c r="P2791" s="23">
        <v>0.0</v>
      </c>
      <c r="Q2791" s="22" t="str">
        <f t="shared" ref="Q2791:R2791" si="1655">"+0.00%"</f>
        <v>+0.00%</v>
      </c>
      <c r="R2791" s="18" t="str">
        <f t="shared" si="1655"/>
        <v>+0.00%</v>
      </c>
      <c r="S2791" s="14" t="s">
        <v>1904</v>
      </c>
    </row>
    <row r="2792">
      <c r="A2792" s="13">
        <v>45901.0</v>
      </c>
      <c r="B2792" s="14" t="s">
        <v>47</v>
      </c>
      <c r="C2792" s="14" t="s">
        <v>48</v>
      </c>
      <c r="D2792" s="14" t="s">
        <v>149</v>
      </c>
      <c r="E2792" s="14" t="s">
        <v>150</v>
      </c>
      <c r="F2792" s="15" t="s">
        <v>51</v>
      </c>
      <c r="G2792" s="14" t="s">
        <v>151</v>
      </c>
      <c r="H2792" s="14" t="s">
        <v>152</v>
      </c>
      <c r="I2792" s="14" t="s">
        <v>54</v>
      </c>
      <c r="J2792" s="14" t="s">
        <v>200</v>
      </c>
      <c r="K2792" s="14" t="s">
        <v>223</v>
      </c>
      <c r="L2792" s="14" t="s">
        <v>257</v>
      </c>
      <c r="M2792" s="14" t="s">
        <v>517</v>
      </c>
      <c r="N2792" s="14" t="s">
        <v>518</v>
      </c>
      <c r="O2792" s="14">
        <v>100.0</v>
      </c>
      <c r="P2792" s="21">
        <v>23.0</v>
      </c>
      <c r="Q2792" s="22" t="str">
        <f t="shared" ref="Q2792:R2792" si="1656">"+0"</f>
        <v>+0</v>
      </c>
      <c r="R2792" s="18" t="str">
        <f t="shared" si="1656"/>
        <v>+0</v>
      </c>
      <c r="S2792" s="14" t="s">
        <v>260</v>
      </c>
    </row>
    <row r="2793">
      <c r="A2793" s="13">
        <v>45901.0</v>
      </c>
      <c r="B2793" s="14" t="s">
        <v>47</v>
      </c>
      <c r="C2793" s="14" t="s">
        <v>48</v>
      </c>
      <c r="D2793" s="14" t="s">
        <v>149</v>
      </c>
      <c r="E2793" s="14" t="s">
        <v>150</v>
      </c>
      <c r="F2793" s="15" t="s">
        <v>51</v>
      </c>
      <c r="G2793" s="14" t="s">
        <v>151</v>
      </c>
      <c r="H2793" s="14" t="s">
        <v>152</v>
      </c>
      <c r="I2793" s="14" t="s">
        <v>54</v>
      </c>
      <c r="J2793" s="14" t="s">
        <v>200</v>
      </c>
      <c r="K2793" s="14" t="s">
        <v>227</v>
      </c>
      <c r="L2793" s="14" t="s">
        <v>721</v>
      </c>
      <c r="M2793" s="14" t="s">
        <v>1060</v>
      </c>
      <c r="N2793" s="14" t="s">
        <v>1061</v>
      </c>
      <c r="O2793" s="14">
        <v>51.0</v>
      </c>
      <c r="P2793" s="23">
        <v>0.022</v>
      </c>
      <c r="Q2793" s="22" t="str">
        <f>"-1.99%"</f>
        <v>-1.99%</v>
      </c>
      <c r="R2793" s="18" t="str">
        <f>"-0.56%"</f>
        <v>-0.56%</v>
      </c>
      <c r="S2793" s="14" t="s">
        <v>1062</v>
      </c>
    </row>
    <row r="2794">
      <c r="A2794" s="13">
        <v>45901.0</v>
      </c>
      <c r="B2794" s="14" t="s">
        <v>47</v>
      </c>
      <c r="C2794" s="14" t="s">
        <v>48</v>
      </c>
      <c r="D2794" s="14" t="s">
        <v>149</v>
      </c>
      <c r="E2794" s="14" t="s">
        <v>150</v>
      </c>
      <c r="F2794" s="15" t="s">
        <v>51</v>
      </c>
      <c r="G2794" s="14" t="s">
        <v>151</v>
      </c>
      <c r="H2794" s="14" t="s">
        <v>152</v>
      </c>
      <c r="I2794" s="14" t="s">
        <v>54</v>
      </c>
      <c r="J2794" s="14" t="s">
        <v>199</v>
      </c>
      <c r="K2794" s="14" t="s">
        <v>203</v>
      </c>
      <c r="L2794" s="14" t="s">
        <v>1088</v>
      </c>
      <c r="M2794" s="14" t="s">
        <v>1089</v>
      </c>
      <c r="N2794" s="14" t="s">
        <v>1090</v>
      </c>
      <c r="O2794" s="14">
        <v>0.0</v>
      </c>
      <c r="P2794" s="21">
        <v>0.0</v>
      </c>
      <c r="Q2794" s="22" t="str">
        <f t="shared" ref="Q2794:R2794" si="1657">"+0"</f>
        <v>+0</v>
      </c>
      <c r="R2794" s="18" t="str">
        <f t="shared" si="1657"/>
        <v>+0</v>
      </c>
      <c r="S2794" s="14" t="s">
        <v>260</v>
      </c>
    </row>
    <row r="2795">
      <c r="A2795" s="13">
        <v>45901.0</v>
      </c>
      <c r="B2795" s="14" t="s">
        <v>47</v>
      </c>
      <c r="C2795" s="14" t="s">
        <v>48</v>
      </c>
      <c r="D2795" s="14" t="s">
        <v>129</v>
      </c>
      <c r="E2795" s="14" t="s">
        <v>130</v>
      </c>
      <c r="F2795" s="15" t="s">
        <v>51</v>
      </c>
      <c r="G2795" s="14" t="s">
        <v>131</v>
      </c>
      <c r="H2795" s="14" t="s">
        <v>129</v>
      </c>
      <c r="I2795" s="14" t="s">
        <v>59</v>
      </c>
      <c r="J2795" s="14" t="s">
        <v>200</v>
      </c>
      <c r="K2795" s="14" t="s">
        <v>227</v>
      </c>
      <c r="L2795" s="14" t="s">
        <v>328</v>
      </c>
      <c r="M2795" s="14" t="s">
        <v>329</v>
      </c>
      <c r="N2795" s="14" t="s">
        <v>330</v>
      </c>
      <c r="O2795" s="14">
        <v>12.0</v>
      </c>
      <c r="P2795" s="21">
        <v>1.0</v>
      </c>
      <c r="Q2795" s="22" t="str">
        <f t="shared" ref="Q2795:Q2796" si="1658">"+0"</f>
        <v>+0</v>
      </c>
      <c r="R2795" s="18" t="str">
        <f>"-1"</f>
        <v>-1</v>
      </c>
      <c r="S2795" s="14" t="s">
        <v>260</v>
      </c>
    </row>
    <row r="2796">
      <c r="A2796" s="13">
        <v>45901.0</v>
      </c>
      <c r="B2796" s="14" t="s">
        <v>47</v>
      </c>
      <c r="C2796" s="14" t="s">
        <v>48</v>
      </c>
      <c r="D2796" s="14" t="s">
        <v>149</v>
      </c>
      <c r="E2796" s="14" t="s">
        <v>150</v>
      </c>
      <c r="F2796" s="15" t="s">
        <v>51</v>
      </c>
      <c r="G2796" s="14" t="s">
        <v>151</v>
      </c>
      <c r="H2796" s="14" t="s">
        <v>152</v>
      </c>
      <c r="I2796" s="14" t="s">
        <v>54</v>
      </c>
      <c r="J2796" s="14" t="s">
        <v>198</v>
      </c>
      <c r="K2796" s="14" t="s">
        <v>210</v>
      </c>
      <c r="L2796" s="14" t="s">
        <v>458</v>
      </c>
      <c r="M2796" s="14" t="s">
        <v>829</v>
      </c>
      <c r="N2796" s="14" t="s">
        <v>830</v>
      </c>
      <c r="O2796" s="14">
        <v>0.0</v>
      </c>
      <c r="P2796" s="21">
        <v>0.0</v>
      </c>
      <c r="Q2796" s="22" t="str">
        <f t="shared" si="1658"/>
        <v>+0</v>
      </c>
      <c r="R2796" s="18" t="str">
        <f>"+0"</f>
        <v>+0</v>
      </c>
      <c r="S2796" s="14" t="s">
        <v>277</v>
      </c>
    </row>
    <row r="2797">
      <c r="A2797" s="13">
        <v>45901.0</v>
      </c>
      <c r="B2797" s="14" t="s">
        <v>47</v>
      </c>
      <c r="C2797" s="14" t="s">
        <v>48</v>
      </c>
      <c r="D2797" s="14" t="s">
        <v>171</v>
      </c>
      <c r="E2797" s="14" t="s">
        <v>172</v>
      </c>
      <c r="F2797" s="15" t="s">
        <v>51</v>
      </c>
      <c r="G2797" s="14" t="s">
        <v>173</v>
      </c>
      <c r="H2797" s="14" t="s">
        <v>171</v>
      </c>
      <c r="I2797" s="14" t="s">
        <v>59</v>
      </c>
      <c r="J2797" s="14" t="s">
        <v>200</v>
      </c>
      <c r="K2797" s="14" t="s">
        <v>213</v>
      </c>
      <c r="L2797" s="14" t="s">
        <v>307</v>
      </c>
      <c r="M2797" s="14" t="s">
        <v>308</v>
      </c>
      <c r="N2797" s="14" t="s">
        <v>309</v>
      </c>
      <c r="O2797" s="14">
        <v>0.0</v>
      </c>
      <c r="P2797" s="23">
        <v>0.0</v>
      </c>
      <c r="Q2797" s="22" t="str">
        <f t="shared" ref="Q2797:R2797" si="1659">"+0.00%"</f>
        <v>+0.00%</v>
      </c>
      <c r="R2797" s="18" t="str">
        <f t="shared" si="1659"/>
        <v>+0.00%</v>
      </c>
      <c r="S2797" s="14" t="s">
        <v>285</v>
      </c>
    </row>
    <row r="2798">
      <c r="A2798" s="13">
        <v>45901.0</v>
      </c>
      <c r="B2798" s="14" t="s">
        <v>47</v>
      </c>
      <c r="C2798" s="14" t="s">
        <v>48</v>
      </c>
      <c r="D2798" s="14" t="s">
        <v>87</v>
      </c>
      <c r="E2798" s="14" t="s">
        <v>88</v>
      </c>
      <c r="F2798" s="15" t="s">
        <v>51</v>
      </c>
      <c r="G2798" s="14" t="s">
        <v>89</v>
      </c>
      <c r="H2798" s="14" t="s">
        <v>90</v>
      </c>
      <c r="I2798" s="14" t="s">
        <v>59</v>
      </c>
      <c r="J2798" s="14" t="s">
        <v>200</v>
      </c>
      <c r="K2798" s="14" t="s">
        <v>222</v>
      </c>
      <c r="L2798" s="14" t="s">
        <v>337</v>
      </c>
      <c r="M2798" s="14" t="s">
        <v>1000</v>
      </c>
      <c r="N2798" s="14" t="s">
        <v>1001</v>
      </c>
      <c r="O2798" s="14">
        <v>0.0</v>
      </c>
      <c r="P2798" s="21">
        <v>0.0</v>
      </c>
      <c r="Q2798" s="22" t="str">
        <f t="shared" ref="Q2798:R2798" si="1660">"+0"</f>
        <v>+0</v>
      </c>
      <c r="R2798" s="18" t="str">
        <f t="shared" si="1660"/>
        <v>+0</v>
      </c>
      <c r="S2798" s="14" t="s">
        <v>260</v>
      </c>
    </row>
    <row r="2799">
      <c r="A2799" s="13">
        <v>45901.0</v>
      </c>
      <c r="B2799" s="14" t="s">
        <v>47</v>
      </c>
      <c r="C2799" s="14" t="s">
        <v>48</v>
      </c>
      <c r="D2799" s="14" t="s">
        <v>96</v>
      </c>
      <c r="E2799" s="14" t="s">
        <v>97</v>
      </c>
      <c r="F2799" s="15" t="s">
        <v>51</v>
      </c>
      <c r="G2799" s="14" t="s">
        <v>98</v>
      </c>
      <c r="H2799" s="14" t="s">
        <v>96</v>
      </c>
      <c r="I2799" s="14" t="s">
        <v>59</v>
      </c>
      <c r="J2799" s="14" t="s">
        <v>198</v>
      </c>
      <c r="K2799" s="14" t="s">
        <v>212</v>
      </c>
      <c r="L2799" s="14" t="s">
        <v>249</v>
      </c>
      <c r="M2799" s="14" t="s">
        <v>598</v>
      </c>
      <c r="N2799" s="14" t="s">
        <v>599</v>
      </c>
      <c r="O2799" s="14">
        <v>0.0</v>
      </c>
      <c r="P2799" s="21">
        <v>4860.0</v>
      </c>
      <c r="Q2799" s="22" t="str">
        <f>"-162"</f>
        <v>-162</v>
      </c>
      <c r="R2799" s="18" t="str">
        <f>"+0"</f>
        <v>+0</v>
      </c>
      <c r="S2799" s="14" t="s">
        <v>1905</v>
      </c>
    </row>
    <row r="2800">
      <c r="A2800" s="13">
        <v>45901.0</v>
      </c>
      <c r="B2800" s="14" t="s">
        <v>47</v>
      </c>
      <c r="C2800" s="14" t="s">
        <v>48</v>
      </c>
      <c r="D2800" s="14" t="s">
        <v>69</v>
      </c>
      <c r="E2800" s="14" t="s">
        <v>70</v>
      </c>
      <c r="F2800" s="15" t="s">
        <v>51</v>
      </c>
      <c r="G2800" s="14" t="s">
        <v>115</v>
      </c>
      <c r="H2800" s="14" t="s">
        <v>72</v>
      </c>
      <c r="I2800" s="14" t="s">
        <v>54</v>
      </c>
      <c r="J2800" s="14" t="s">
        <v>198</v>
      </c>
      <c r="K2800" s="14" t="s">
        <v>210</v>
      </c>
      <c r="L2800" s="14" t="s">
        <v>278</v>
      </c>
      <c r="M2800" s="14" t="s">
        <v>668</v>
      </c>
      <c r="N2800" s="14" t="s">
        <v>669</v>
      </c>
      <c r="O2800" s="14">
        <v>0.0</v>
      </c>
      <c r="P2800" s="21">
        <v>0.0</v>
      </c>
      <c r="Q2800" s="22" t="str">
        <f t="shared" ref="Q2800:R2800" si="1661">"+0"</f>
        <v>+0</v>
      </c>
      <c r="R2800" s="18" t="str">
        <f t="shared" si="1661"/>
        <v>+0</v>
      </c>
      <c r="S2800" s="14" t="s">
        <v>277</v>
      </c>
    </row>
    <row r="2801">
      <c r="A2801" s="13">
        <v>45901.0</v>
      </c>
      <c r="B2801" s="14" t="s">
        <v>47</v>
      </c>
      <c r="C2801" s="14" t="s">
        <v>48</v>
      </c>
      <c r="D2801" s="14" t="s">
        <v>116</v>
      </c>
      <c r="E2801" s="14" t="s">
        <v>117</v>
      </c>
      <c r="F2801" s="15" t="s">
        <v>51</v>
      </c>
      <c r="G2801" s="14" t="s">
        <v>161</v>
      </c>
      <c r="H2801" s="14" t="s">
        <v>116</v>
      </c>
      <c r="I2801" s="14" t="s">
        <v>54</v>
      </c>
      <c r="J2801" s="14" t="s">
        <v>200</v>
      </c>
      <c r="K2801" s="14" t="s">
        <v>227</v>
      </c>
      <c r="L2801" s="14" t="s">
        <v>253</v>
      </c>
      <c r="M2801" s="14" t="s">
        <v>811</v>
      </c>
      <c r="N2801" s="14" t="s">
        <v>812</v>
      </c>
      <c r="O2801" s="14">
        <v>100.0</v>
      </c>
      <c r="P2801" s="23">
        <v>1.0</v>
      </c>
      <c r="Q2801" s="22" t="str">
        <f t="shared" ref="Q2801:R2801" si="1662">"+0.00%"</f>
        <v>+0.00%</v>
      </c>
      <c r="R2801" s="18" t="str">
        <f t="shared" si="1662"/>
        <v>+0.00%</v>
      </c>
      <c r="S2801" s="14" t="s">
        <v>813</v>
      </c>
    </row>
    <row r="2802">
      <c r="A2802" s="13">
        <v>45901.0</v>
      </c>
      <c r="B2802" s="14" t="s">
        <v>47</v>
      </c>
      <c r="C2802" s="14" t="s">
        <v>48</v>
      </c>
      <c r="D2802" s="14" t="s">
        <v>155</v>
      </c>
      <c r="E2802" s="14" t="s">
        <v>156</v>
      </c>
      <c r="F2802" s="15" t="s">
        <v>51</v>
      </c>
      <c r="G2802" s="14" t="s">
        <v>157</v>
      </c>
      <c r="H2802" s="14" t="s">
        <v>155</v>
      </c>
      <c r="I2802" s="14" t="s">
        <v>59</v>
      </c>
      <c r="J2802" s="14" t="s">
        <v>200</v>
      </c>
      <c r="K2802" s="14" t="s">
        <v>223</v>
      </c>
      <c r="L2802" s="14" t="s">
        <v>591</v>
      </c>
      <c r="M2802" s="14" t="s">
        <v>592</v>
      </c>
      <c r="N2802" s="14" t="s">
        <v>593</v>
      </c>
      <c r="O2802" s="14">
        <v>0.0</v>
      </c>
      <c r="P2802" s="17"/>
      <c r="Q2802" s="22"/>
      <c r="S2802" s="14" t="s">
        <v>285</v>
      </c>
    </row>
    <row r="2803">
      <c r="A2803" s="13">
        <v>45901.0</v>
      </c>
      <c r="B2803" s="14" t="s">
        <v>47</v>
      </c>
      <c r="C2803" s="14" t="s">
        <v>48</v>
      </c>
      <c r="D2803" s="14" t="s">
        <v>56</v>
      </c>
      <c r="E2803" s="14" t="s">
        <v>57</v>
      </c>
      <c r="F2803" s="15" t="s">
        <v>51</v>
      </c>
      <c r="G2803" s="14" t="s">
        <v>58</v>
      </c>
      <c r="H2803" s="14" t="s">
        <v>56</v>
      </c>
      <c r="I2803" s="14" t="s">
        <v>59</v>
      </c>
      <c r="J2803" s="14" t="s">
        <v>200</v>
      </c>
      <c r="K2803" s="14" t="s">
        <v>223</v>
      </c>
      <c r="L2803" s="14" t="s">
        <v>607</v>
      </c>
      <c r="M2803" s="14" t="s">
        <v>1204</v>
      </c>
      <c r="N2803" s="14" t="s">
        <v>1205</v>
      </c>
      <c r="O2803" s="14">
        <v>0.0</v>
      </c>
      <c r="P2803" s="21">
        <v>0.0</v>
      </c>
      <c r="Q2803" s="22" t="str">
        <f t="shared" ref="Q2803:R2803" si="1663">"+0"</f>
        <v>+0</v>
      </c>
      <c r="R2803" s="18" t="str">
        <f t="shared" si="1663"/>
        <v>+0</v>
      </c>
      <c r="S2803" s="14" t="s">
        <v>260</v>
      </c>
    </row>
    <row r="2804">
      <c r="A2804" s="13">
        <v>45901.0</v>
      </c>
      <c r="B2804" s="14" t="s">
        <v>47</v>
      </c>
      <c r="C2804" s="14" t="s">
        <v>48</v>
      </c>
      <c r="D2804" s="14" t="s">
        <v>91</v>
      </c>
      <c r="E2804" s="14" t="s">
        <v>92</v>
      </c>
      <c r="F2804" s="15" t="s">
        <v>51</v>
      </c>
      <c r="G2804" s="14" t="s">
        <v>163</v>
      </c>
      <c r="H2804" s="14" t="s">
        <v>91</v>
      </c>
      <c r="I2804" s="14" t="s">
        <v>59</v>
      </c>
      <c r="J2804" s="14" t="s">
        <v>200</v>
      </c>
      <c r="K2804" s="14" t="s">
        <v>211</v>
      </c>
      <c r="L2804" s="14" t="s">
        <v>253</v>
      </c>
      <c r="M2804" s="14" t="s">
        <v>366</v>
      </c>
      <c r="N2804" s="14" t="s">
        <v>367</v>
      </c>
      <c r="O2804" s="14">
        <v>0.0</v>
      </c>
      <c r="P2804" s="23">
        <v>0.0</v>
      </c>
      <c r="Q2804" s="22" t="str">
        <f t="shared" ref="Q2804:R2804" si="1664">"+0.00%"</f>
        <v>+0.00%</v>
      </c>
      <c r="R2804" s="18" t="str">
        <f t="shared" si="1664"/>
        <v>+0.00%</v>
      </c>
      <c r="S2804" s="14" t="s">
        <v>1695</v>
      </c>
    </row>
    <row r="2805">
      <c r="A2805" s="13">
        <v>45901.0</v>
      </c>
      <c r="B2805" s="14" t="s">
        <v>47</v>
      </c>
      <c r="C2805" s="14" t="s">
        <v>48</v>
      </c>
      <c r="D2805" s="14" t="s">
        <v>63</v>
      </c>
      <c r="E2805" s="14" t="s">
        <v>64</v>
      </c>
      <c r="F2805" s="15" t="s">
        <v>51</v>
      </c>
      <c r="G2805" s="14" t="s">
        <v>65</v>
      </c>
      <c r="H2805" s="14" t="s">
        <v>63</v>
      </c>
      <c r="I2805" s="14" t="s">
        <v>54</v>
      </c>
      <c r="J2805" s="14" t="s">
        <v>200</v>
      </c>
      <c r="K2805" s="14" t="s">
        <v>213</v>
      </c>
      <c r="L2805" s="14" t="s">
        <v>257</v>
      </c>
      <c r="M2805" s="14" t="s">
        <v>499</v>
      </c>
      <c r="N2805" s="14" t="s">
        <v>500</v>
      </c>
      <c r="O2805" s="14">
        <v>0.0</v>
      </c>
      <c r="P2805" s="23">
        <v>0.0</v>
      </c>
      <c r="Q2805" s="22" t="str">
        <f t="shared" ref="Q2805:R2805" si="1665">"+0.00%"</f>
        <v>+0.00%</v>
      </c>
      <c r="R2805" s="18" t="str">
        <f t="shared" si="1665"/>
        <v>+0.00%</v>
      </c>
      <c r="S2805" s="14" t="s">
        <v>501</v>
      </c>
    </row>
    <row r="2806">
      <c r="A2806" s="13">
        <v>45901.0</v>
      </c>
      <c r="B2806" s="14" t="s">
        <v>47</v>
      </c>
      <c r="C2806" s="14" t="s">
        <v>48</v>
      </c>
      <c r="D2806" s="14" t="s">
        <v>91</v>
      </c>
      <c r="E2806" s="14" t="s">
        <v>92</v>
      </c>
      <c r="F2806" s="14" t="s">
        <v>71</v>
      </c>
      <c r="G2806" s="14">
        <v>1.00004432E8</v>
      </c>
      <c r="H2806" s="14" t="s">
        <v>91</v>
      </c>
      <c r="I2806" s="14" t="s">
        <v>59</v>
      </c>
      <c r="J2806" s="14" t="s">
        <v>200</v>
      </c>
      <c r="K2806" s="14" t="s">
        <v>218</v>
      </c>
      <c r="L2806" s="14" t="s">
        <v>253</v>
      </c>
      <c r="M2806" s="14" t="s">
        <v>1628</v>
      </c>
      <c r="N2806" s="14" t="s">
        <v>1629</v>
      </c>
      <c r="O2806" s="14">
        <v>59.0</v>
      </c>
      <c r="P2806" s="23">
        <v>0.5914</v>
      </c>
      <c r="Q2806" s="22" t="str">
        <f t="shared" ref="Q2806:R2806" si="1666">"-40.86%"</f>
        <v>-40.86%</v>
      </c>
      <c r="R2806" s="18" t="str">
        <f t="shared" si="1666"/>
        <v>-40.86%</v>
      </c>
      <c r="S2806" s="14" t="s">
        <v>1906</v>
      </c>
    </row>
    <row r="2807">
      <c r="A2807" s="13">
        <v>45901.0</v>
      </c>
      <c r="B2807" s="14" t="s">
        <v>47</v>
      </c>
      <c r="C2807" s="14" t="s">
        <v>48</v>
      </c>
      <c r="D2807" s="14" t="s">
        <v>118</v>
      </c>
      <c r="E2807" s="14" t="s">
        <v>119</v>
      </c>
      <c r="F2807" s="15" t="s">
        <v>51</v>
      </c>
      <c r="G2807" s="14" t="s">
        <v>120</v>
      </c>
      <c r="H2807" s="14" t="s">
        <v>118</v>
      </c>
      <c r="I2807" s="14" t="s">
        <v>59</v>
      </c>
      <c r="J2807" s="14" t="s">
        <v>199</v>
      </c>
      <c r="K2807" s="14" t="s">
        <v>203</v>
      </c>
      <c r="L2807" s="14" t="s">
        <v>601</v>
      </c>
      <c r="M2807" s="14" t="s">
        <v>601</v>
      </c>
      <c r="N2807" s="14" t="s">
        <v>602</v>
      </c>
      <c r="O2807" s="14">
        <v>0.0</v>
      </c>
      <c r="P2807" s="21">
        <v>0.0</v>
      </c>
      <c r="Q2807" s="22" t="str">
        <f t="shared" ref="Q2807:R2807" si="1667">"+0"</f>
        <v>+0</v>
      </c>
      <c r="R2807" s="18" t="str">
        <f t="shared" si="1667"/>
        <v>+0</v>
      </c>
      <c r="S2807" s="14" t="s">
        <v>260</v>
      </c>
    </row>
    <row r="2808">
      <c r="A2808" s="13">
        <v>45901.0</v>
      </c>
      <c r="B2808" s="14" t="s">
        <v>47</v>
      </c>
      <c r="C2808" s="14" t="s">
        <v>48</v>
      </c>
      <c r="D2808" s="14" t="s">
        <v>99</v>
      </c>
      <c r="E2808" s="14" t="s">
        <v>100</v>
      </c>
      <c r="F2808" s="15" t="s">
        <v>51</v>
      </c>
      <c r="G2808" s="14" t="s">
        <v>101</v>
      </c>
      <c r="H2808" s="14" t="s">
        <v>102</v>
      </c>
      <c r="I2808" s="14" t="s">
        <v>54</v>
      </c>
      <c r="J2808" s="14" t="s">
        <v>200</v>
      </c>
      <c r="K2808" s="14" t="s">
        <v>213</v>
      </c>
      <c r="L2808" s="14" t="s">
        <v>676</v>
      </c>
      <c r="M2808" s="14" t="s">
        <v>677</v>
      </c>
      <c r="N2808" s="14" t="s">
        <v>678</v>
      </c>
      <c r="O2808" s="14">
        <v>0.0</v>
      </c>
      <c r="P2808" s="23">
        <v>0.0</v>
      </c>
      <c r="Q2808" s="22" t="str">
        <f t="shared" ref="Q2808:R2808" si="1668">"+0.00%"</f>
        <v>+0.00%</v>
      </c>
      <c r="R2808" s="18" t="str">
        <f t="shared" si="1668"/>
        <v>+0.00%</v>
      </c>
      <c r="S2808" s="14" t="s">
        <v>285</v>
      </c>
    </row>
    <row r="2809">
      <c r="A2809" s="13">
        <v>45901.0</v>
      </c>
      <c r="B2809" s="14" t="s">
        <v>47</v>
      </c>
      <c r="C2809" s="14" t="s">
        <v>48</v>
      </c>
      <c r="D2809" s="14" t="s">
        <v>96</v>
      </c>
      <c r="E2809" s="14" t="s">
        <v>97</v>
      </c>
      <c r="F2809" s="15" t="s">
        <v>51</v>
      </c>
      <c r="G2809" s="14" t="s">
        <v>98</v>
      </c>
      <c r="H2809" s="14" t="s">
        <v>96</v>
      </c>
      <c r="I2809" s="14" t="s">
        <v>59</v>
      </c>
      <c r="J2809" s="14" t="s">
        <v>200</v>
      </c>
      <c r="K2809" s="14" t="s">
        <v>227</v>
      </c>
      <c r="L2809" s="14" t="s">
        <v>721</v>
      </c>
      <c r="M2809" s="14" t="s">
        <v>1060</v>
      </c>
      <c r="N2809" s="14" t="s">
        <v>1061</v>
      </c>
      <c r="O2809" s="14">
        <v>50.0</v>
      </c>
      <c r="P2809" s="23">
        <v>0.0076</v>
      </c>
      <c r="Q2809" s="22" t="str">
        <f>"+18.95%"</f>
        <v>+18.95%</v>
      </c>
      <c r="R2809" s="18" t="str">
        <f>"-51.62%"</f>
        <v>-51.62%</v>
      </c>
      <c r="S2809" s="14" t="s">
        <v>1062</v>
      </c>
    </row>
    <row r="2810">
      <c r="A2810" s="13">
        <v>45901.0</v>
      </c>
      <c r="B2810" s="14" t="s">
        <v>47</v>
      </c>
      <c r="C2810" s="14" t="s">
        <v>48</v>
      </c>
      <c r="D2810" s="14" t="s">
        <v>73</v>
      </c>
      <c r="E2810" s="14" t="s">
        <v>74</v>
      </c>
      <c r="F2810" s="15" t="s">
        <v>51</v>
      </c>
      <c r="G2810" s="14" t="s">
        <v>75</v>
      </c>
      <c r="H2810" s="14" t="s">
        <v>76</v>
      </c>
      <c r="I2810" s="14" t="s">
        <v>59</v>
      </c>
      <c r="J2810" s="14" t="s">
        <v>200</v>
      </c>
      <c r="K2810" s="14" t="s">
        <v>232</v>
      </c>
      <c r="L2810" s="14" t="s">
        <v>286</v>
      </c>
      <c r="M2810" s="14" t="s">
        <v>625</v>
      </c>
      <c r="N2810" s="14" t="s">
        <v>626</v>
      </c>
      <c r="O2810" s="14">
        <v>0.0</v>
      </c>
      <c r="P2810" s="23">
        <v>0.0</v>
      </c>
      <c r="Q2810" s="22" t="str">
        <f t="shared" ref="Q2810:R2810" si="1669">"+0.00%"</f>
        <v>+0.00%</v>
      </c>
      <c r="R2810" s="18" t="str">
        <f t="shared" si="1669"/>
        <v>+0.00%</v>
      </c>
      <c r="S2810" s="14" t="s">
        <v>1907</v>
      </c>
    </row>
    <row r="2811">
      <c r="A2811" s="13">
        <v>45901.0</v>
      </c>
      <c r="B2811" s="14" t="s">
        <v>47</v>
      </c>
      <c r="C2811" s="14" t="s">
        <v>48</v>
      </c>
      <c r="D2811" s="14" t="s">
        <v>49</v>
      </c>
      <c r="E2811" s="14" t="s">
        <v>50</v>
      </c>
      <c r="F2811" s="15" t="s">
        <v>51</v>
      </c>
      <c r="G2811" s="14" t="s">
        <v>52</v>
      </c>
      <c r="H2811" s="14" t="s">
        <v>53</v>
      </c>
      <c r="I2811" s="14" t="s">
        <v>54</v>
      </c>
      <c r="J2811" s="14" t="s">
        <v>199</v>
      </c>
      <c r="K2811" s="14" t="s">
        <v>203</v>
      </c>
      <c r="L2811" s="14" t="s">
        <v>1631</v>
      </c>
      <c r="M2811" s="14" t="s">
        <v>1632</v>
      </c>
      <c r="N2811" s="14" t="s">
        <v>1633</v>
      </c>
      <c r="O2811" s="14">
        <v>100.0</v>
      </c>
      <c r="P2811" s="21">
        <v>1.0</v>
      </c>
      <c r="Q2811" s="22" t="str">
        <f t="shared" ref="Q2811:R2811" si="1670">"-1"</f>
        <v>-1</v>
      </c>
      <c r="R2811" s="18" t="str">
        <f t="shared" si="1670"/>
        <v>-1</v>
      </c>
      <c r="S2811" s="14" t="s">
        <v>260</v>
      </c>
    </row>
    <row r="2812">
      <c r="A2812" s="13">
        <v>45901.0</v>
      </c>
      <c r="B2812" s="14" t="s">
        <v>47</v>
      </c>
      <c r="C2812" s="14" t="s">
        <v>48</v>
      </c>
      <c r="D2812" s="14" t="s">
        <v>192</v>
      </c>
      <c r="E2812" s="14" t="s">
        <v>193</v>
      </c>
      <c r="F2812" s="15" t="s">
        <v>51</v>
      </c>
      <c r="G2812" s="14" t="s">
        <v>194</v>
      </c>
      <c r="H2812" s="14" t="s">
        <v>192</v>
      </c>
      <c r="I2812" s="14" t="s">
        <v>54</v>
      </c>
      <c r="J2812" s="14" t="s">
        <v>200</v>
      </c>
      <c r="K2812" s="14" t="s">
        <v>223</v>
      </c>
      <c r="L2812" s="14" t="s">
        <v>422</v>
      </c>
      <c r="M2812" s="14" t="s">
        <v>1197</v>
      </c>
      <c r="N2812" s="14" t="s">
        <v>1198</v>
      </c>
      <c r="O2812" s="14">
        <v>100.0</v>
      </c>
      <c r="P2812" s="23">
        <v>0.1074</v>
      </c>
      <c r="Q2812" s="22" t="str">
        <f>"+1.12%"</f>
        <v>+1.12%</v>
      </c>
      <c r="R2812" s="18" t="str">
        <f>"-0.71%"</f>
        <v>-0.71%</v>
      </c>
      <c r="S2812" s="14" t="s">
        <v>285</v>
      </c>
    </row>
    <row r="2813">
      <c r="A2813" s="13">
        <v>45901.0</v>
      </c>
      <c r="B2813" s="14" t="s">
        <v>47</v>
      </c>
      <c r="C2813" s="14" t="s">
        <v>48</v>
      </c>
      <c r="D2813" s="14" t="s">
        <v>192</v>
      </c>
      <c r="E2813" s="14" t="s">
        <v>193</v>
      </c>
      <c r="F2813" s="15" t="s">
        <v>51</v>
      </c>
      <c r="G2813" s="14" t="s">
        <v>194</v>
      </c>
      <c r="H2813" s="14" t="s">
        <v>192</v>
      </c>
      <c r="I2813" s="14" t="s">
        <v>54</v>
      </c>
      <c r="J2813" s="14" t="s">
        <v>198</v>
      </c>
      <c r="K2813" s="14" t="s">
        <v>210</v>
      </c>
      <c r="L2813" s="14" t="s">
        <v>264</v>
      </c>
      <c r="M2813" s="14" t="s">
        <v>357</v>
      </c>
      <c r="N2813" s="14" t="s">
        <v>358</v>
      </c>
      <c r="O2813" s="14">
        <v>38.0</v>
      </c>
      <c r="P2813" s="21">
        <v>9109.0</v>
      </c>
      <c r="Q2813" s="22" t="str">
        <f>"+3,400"</f>
        <v>+3,400</v>
      </c>
      <c r="R2813" s="18" t="str">
        <f>"+1,814"</f>
        <v>+1,814</v>
      </c>
      <c r="S2813" s="14" t="s">
        <v>1908</v>
      </c>
    </row>
    <row r="2814">
      <c r="A2814" s="13">
        <v>45901.0</v>
      </c>
      <c r="B2814" s="14" t="s">
        <v>47</v>
      </c>
      <c r="C2814" s="14" t="s">
        <v>48</v>
      </c>
      <c r="D2814" s="14" t="s">
        <v>82</v>
      </c>
      <c r="E2814" s="14" t="s">
        <v>83</v>
      </c>
      <c r="F2814" s="15" t="s">
        <v>51</v>
      </c>
      <c r="G2814" s="14" t="s">
        <v>84</v>
      </c>
      <c r="H2814" s="14" t="s">
        <v>82</v>
      </c>
      <c r="I2814" s="14" t="s">
        <v>59</v>
      </c>
      <c r="J2814" s="14" t="s">
        <v>200</v>
      </c>
      <c r="K2814" s="14" t="s">
        <v>209</v>
      </c>
      <c r="L2814" s="14" t="s">
        <v>253</v>
      </c>
      <c r="M2814" s="14" t="s">
        <v>402</v>
      </c>
      <c r="N2814" s="14" t="s">
        <v>403</v>
      </c>
      <c r="O2814" s="14">
        <v>55.0</v>
      </c>
      <c r="P2814" s="23">
        <v>0.5519</v>
      </c>
      <c r="Q2814" s="22" t="str">
        <f>"+0.89%"</f>
        <v>+0.89%</v>
      </c>
      <c r="R2814" s="18" t="str">
        <f>"+3.15%"</f>
        <v>+3.15%</v>
      </c>
      <c r="S2814" s="14" t="s">
        <v>1909</v>
      </c>
    </row>
    <row r="2815">
      <c r="A2815" s="13">
        <v>45901.0</v>
      </c>
      <c r="B2815" s="14" t="s">
        <v>47</v>
      </c>
      <c r="C2815" s="14" t="s">
        <v>48</v>
      </c>
      <c r="D2815" s="14" t="s">
        <v>132</v>
      </c>
      <c r="E2815" s="14" t="s">
        <v>133</v>
      </c>
      <c r="F2815" s="15" t="s">
        <v>51</v>
      </c>
      <c r="G2815" s="14" t="s">
        <v>134</v>
      </c>
      <c r="H2815" s="14" t="s">
        <v>135</v>
      </c>
      <c r="I2815" s="14" t="s">
        <v>59</v>
      </c>
      <c r="J2815" s="14" t="s">
        <v>198</v>
      </c>
      <c r="K2815" s="14" t="s">
        <v>205</v>
      </c>
      <c r="L2815" s="14" t="s">
        <v>274</v>
      </c>
      <c r="M2815" s="14" t="s">
        <v>575</v>
      </c>
      <c r="N2815" s="14" t="s">
        <v>576</v>
      </c>
      <c r="O2815" s="14">
        <v>100.0</v>
      </c>
      <c r="P2815" s="21">
        <v>90.0</v>
      </c>
      <c r="Q2815" s="22" t="str">
        <f>"+0"</f>
        <v>+0</v>
      </c>
      <c r="S2815" s="14" t="s">
        <v>577</v>
      </c>
    </row>
    <row r="2816">
      <c r="A2816" s="13">
        <v>45901.0</v>
      </c>
      <c r="B2816" s="14" t="s">
        <v>47</v>
      </c>
      <c r="C2816" s="14" t="s">
        <v>48</v>
      </c>
      <c r="D2816" s="14" t="s">
        <v>143</v>
      </c>
      <c r="E2816" s="14" t="s">
        <v>144</v>
      </c>
      <c r="F2816" s="15" t="s">
        <v>51</v>
      </c>
      <c r="G2816" s="14" t="s">
        <v>145</v>
      </c>
      <c r="H2816" s="14" t="s">
        <v>143</v>
      </c>
      <c r="I2816" s="14" t="s">
        <v>59</v>
      </c>
      <c r="J2816" s="14" t="s">
        <v>200</v>
      </c>
      <c r="K2816" s="14" t="s">
        <v>202</v>
      </c>
      <c r="L2816" s="14" t="s">
        <v>253</v>
      </c>
      <c r="M2816" s="14" t="s">
        <v>347</v>
      </c>
      <c r="N2816" s="14" t="s">
        <v>348</v>
      </c>
      <c r="O2816" s="14">
        <v>38.0</v>
      </c>
      <c r="P2816" s="23">
        <v>0.375</v>
      </c>
      <c r="Q2816" s="22" t="str">
        <f t="shared" ref="Q2816:R2816" si="1671">"+0.00%"</f>
        <v>+0.00%</v>
      </c>
      <c r="R2816" s="18" t="str">
        <f t="shared" si="1671"/>
        <v>+0.00%</v>
      </c>
      <c r="S2816" s="14" t="s">
        <v>1466</v>
      </c>
    </row>
    <row r="2817">
      <c r="A2817" s="13">
        <v>45901.0</v>
      </c>
      <c r="B2817" s="14" t="s">
        <v>47</v>
      </c>
      <c r="C2817" s="14" t="s">
        <v>48</v>
      </c>
      <c r="D2817" s="14" t="s">
        <v>143</v>
      </c>
      <c r="E2817" s="14" t="s">
        <v>144</v>
      </c>
      <c r="F2817" s="15" t="s">
        <v>51</v>
      </c>
      <c r="G2817" s="14" t="s">
        <v>145</v>
      </c>
      <c r="H2817" s="14" t="s">
        <v>143</v>
      </c>
      <c r="I2817" s="14" t="s">
        <v>59</v>
      </c>
      <c r="J2817" s="14" t="s">
        <v>200</v>
      </c>
      <c r="K2817" s="14" t="s">
        <v>224</v>
      </c>
      <c r="L2817" s="14" t="s">
        <v>427</v>
      </c>
      <c r="M2817" s="14" t="s">
        <v>925</v>
      </c>
      <c r="N2817" s="14" t="s">
        <v>926</v>
      </c>
      <c r="O2817" s="14">
        <v>0.0</v>
      </c>
      <c r="P2817" s="23">
        <v>0.0</v>
      </c>
      <c r="Q2817" s="22" t="str">
        <f t="shared" ref="Q2817:Q2820" si="1672">"+0.00%"</f>
        <v>+0.00%</v>
      </c>
      <c r="S2817" s="14" t="s">
        <v>927</v>
      </c>
    </row>
    <row r="2818">
      <c r="A2818" s="13">
        <v>45901.0</v>
      </c>
      <c r="B2818" s="14" t="s">
        <v>47</v>
      </c>
      <c r="C2818" s="14" t="s">
        <v>48</v>
      </c>
      <c r="D2818" s="14" t="s">
        <v>103</v>
      </c>
      <c r="E2818" s="14" t="s">
        <v>104</v>
      </c>
      <c r="F2818" s="15" t="s">
        <v>51</v>
      </c>
      <c r="G2818" s="14" t="s">
        <v>105</v>
      </c>
      <c r="H2818" s="14" t="s">
        <v>106</v>
      </c>
      <c r="I2818" s="14" t="s">
        <v>59</v>
      </c>
      <c r="J2818" s="14" t="s">
        <v>200</v>
      </c>
      <c r="K2818" s="14" t="s">
        <v>232</v>
      </c>
      <c r="L2818" s="14" t="s">
        <v>286</v>
      </c>
      <c r="M2818" s="14" t="s">
        <v>369</v>
      </c>
      <c r="N2818" s="14" t="s">
        <v>370</v>
      </c>
      <c r="O2818" s="14">
        <v>0.0</v>
      </c>
      <c r="P2818" s="23">
        <v>0.0</v>
      </c>
      <c r="Q2818" s="22" t="str">
        <f t="shared" si="1672"/>
        <v>+0.00%</v>
      </c>
      <c r="R2818" s="18" t="str">
        <f t="shared" ref="R2818:R2819" si="1673">"+0.00%"</f>
        <v>+0.00%</v>
      </c>
      <c r="S2818" s="14" t="s">
        <v>1910</v>
      </c>
    </row>
    <row r="2819">
      <c r="A2819" s="13">
        <v>45901.0</v>
      </c>
      <c r="B2819" s="14" t="s">
        <v>47</v>
      </c>
      <c r="C2819" s="14" t="s">
        <v>48</v>
      </c>
      <c r="D2819" s="14" t="s">
        <v>132</v>
      </c>
      <c r="E2819" s="14" t="s">
        <v>133</v>
      </c>
      <c r="F2819" s="15" t="s">
        <v>51</v>
      </c>
      <c r="G2819" s="14" t="s">
        <v>134</v>
      </c>
      <c r="H2819" s="14" t="s">
        <v>135</v>
      </c>
      <c r="I2819" s="14" t="s">
        <v>59</v>
      </c>
      <c r="J2819" s="14" t="s">
        <v>200</v>
      </c>
      <c r="K2819" s="14" t="s">
        <v>213</v>
      </c>
      <c r="L2819" s="14" t="s">
        <v>440</v>
      </c>
      <c r="M2819" s="14" t="s">
        <v>510</v>
      </c>
      <c r="N2819" s="14" t="s">
        <v>511</v>
      </c>
      <c r="O2819" s="14">
        <v>0.0</v>
      </c>
      <c r="P2819" s="23">
        <v>0.0</v>
      </c>
      <c r="Q2819" s="22" t="str">
        <f t="shared" si="1672"/>
        <v>+0.00%</v>
      </c>
      <c r="R2819" s="18" t="str">
        <f t="shared" si="1673"/>
        <v>+0.00%</v>
      </c>
      <c r="S2819" s="14" t="s">
        <v>285</v>
      </c>
    </row>
    <row r="2820">
      <c r="A2820" s="13">
        <v>45901.0</v>
      </c>
      <c r="B2820" s="14" t="s">
        <v>47</v>
      </c>
      <c r="C2820" s="14" t="s">
        <v>48</v>
      </c>
      <c r="D2820" s="14" t="s">
        <v>136</v>
      </c>
      <c r="E2820" s="14" t="s">
        <v>137</v>
      </c>
      <c r="F2820" s="15" t="s">
        <v>51</v>
      </c>
      <c r="G2820" s="14" t="s">
        <v>138</v>
      </c>
      <c r="H2820" s="14" t="s">
        <v>139</v>
      </c>
      <c r="I2820" s="14" t="s">
        <v>59</v>
      </c>
      <c r="J2820" s="14" t="s">
        <v>200</v>
      </c>
      <c r="K2820" s="14" t="s">
        <v>224</v>
      </c>
      <c r="L2820" s="14" t="s">
        <v>253</v>
      </c>
      <c r="M2820" s="14" t="s">
        <v>1224</v>
      </c>
      <c r="N2820" s="14" t="s">
        <v>1225</v>
      </c>
      <c r="O2820" s="14">
        <v>20.0</v>
      </c>
      <c r="P2820" s="23">
        <v>0.2</v>
      </c>
      <c r="Q2820" s="22" t="str">
        <f t="shared" si="1672"/>
        <v>+0.00%</v>
      </c>
      <c r="R2820" s="18" t="str">
        <f>"+20.00%"</f>
        <v>+20.00%</v>
      </c>
      <c r="S2820" s="14" t="s">
        <v>1911</v>
      </c>
    </row>
    <row r="2821">
      <c r="A2821" s="13">
        <v>45901.0</v>
      </c>
      <c r="B2821" s="14" t="s">
        <v>47</v>
      </c>
      <c r="C2821" s="14" t="s">
        <v>48</v>
      </c>
      <c r="D2821" s="14" t="s">
        <v>149</v>
      </c>
      <c r="E2821" s="14" t="s">
        <v>150</v>
      </c>
      <c r="F2821" s="15" t="s">
        <v>51</v>
      </c>
      <c r="G2821" s="14" t="s">
        <v>151</v>
      </c>
      <c r="H2821" s="14" t="s">
        <v>152</v>
      </c>
      <c r="I2821" s="14" t="s">
        <v>54</v>
      </c>
      <c r="J2821" s="14" t="s">
        <v>198</v>
      </c>
      <c r="K2821" s="14" t="s">
        <v>210</v>
      </c>
      <c r="L2821" s="14" t="s">
        <v>264</v>
      </c>
      <c r="M2821" s="14" t="s">
        <v>1596</v>
      </c>
      <c r="N2821" s="14" t="s">
        <v>1597</v>
      </c>
      <c r="O2821" s="14">
        <v>0.0</v>
      </c>
      <c r="P2821" s="21">
        <v>0.0</v>
      </c>
      <c r="Q2821" s="22" t="str">
        <f t="shared" ref="Q2821:R2821" si="1674">"+0"</f>
        <v>+0</v>
      </c>
      <c r="R2821" s="18" t="str">
        <f t="shared" si="1674"/>
        <v>+0</v>
      </c>
      <c r="S2821" s="14" t="s">
        <v>277</v>
      </c>
    </row>
    <row r="2822">
      <c r="A2822" s="13">
        <v>45901.0</v>
      </c>
      <c r="B2822" s="14" t="s">
        <v>47</v>
      </c>
      <c r="C2822" s="14" t="s">
        <v>48</v>
      </c>
      <c r="D2822" s="14" t="s">
        <v>136</v>
      </c>
      <c r="E2822" s="14" t="s">
        <v>137</v>
      </c>
      <c r="F2822" s="15" t="s">
        <v>51</v>
      </c>
      <c r="G2822" s="14" t="s">
        <v>138</v>
      </c>
      <c r="H2822" s="14" t="s">
        <v>139</v>
      </c>
      <c r="I2822" s="14" t="s">
        <v>59</v>
      </c>
      <c r="J2822" s="14" t="s">
        <v>198</v>
      </c>
      <c r="K2822" s="14" t="s">
        <v>207</v>
      </c>
      <c r="L2822" s="14" t="s">
        <v>318</v>
      </c>
      <c r="M2822" s="14" t="s">
        <v>319</v>
      </c>
      <c r="N2822" s="14" t="s">
        <v>320</v>
      </c>
      <c r="O2822" s="14">
        <v>100.0</v>
      </c>
      <c r="P2822" s="21">
        <v>1.0</v>
      </c>
      <c r="Q2822" s="22" t="str">
        <f>"+0"</f>
        <v>+0</v>
      </c>
      <c r="S2822" s="14" t="s">
        <v>281</v>
      </c>
    </row>
    <row r="2823">
      <c r="A2823" s="13">
        <v>45901.0</v>
      </c>
      <c r="B2823" s="14" t="s">
        <v>47</v>
      </c>
      <c r="C2823" s="14" t="s">
        <v>48</v>
      </c>
      <c r="D2823" s="14" t="s">
        <v>85</v>
      </c>
      <c r="E2823" s="14" t="s">
        <v>86</v>
      </c>
      <c r="F2823" s="15" t="s">
        <v>51</v>
      </c>
      <c r="G2823" s="14" t="s">
        <v>148</v>
      </c>
      <c r="H2823" s="14" t="s">
        <v>85</v>
      </c>
      <c r="I2823" s="14" t="s">
        <v>59</v>
      </c>
      <c r="J2823" s="14" t="s">
        <v>200</v>
      </c>
      <c r="K2823" s="14" t="s">
        <v>213</v>
      </c>
      <c r="L2823" s="14" t="s">
        <v>253</v>
      </c>
      <c r="M2823" s="14" t="s">
        <v>366</v>
      </c>
      <c r="N2823" s="14" t="s">
        <v>367</v>
      </c>
      <c r="O2823" s="14">
        <v>68.0</v>
      </c>
      <c r="P2823" s="23">
        <v>0.6829</v>
      </c>
      <c r="Q2823" s="22" t="str">
        <f>"-1.22%"</f>
        <v>-1.22%</v>
      </c>
      <c r="R2823" s="18" t="str">
        <f>"-3.25%"</f>
        <v>-3.25%</v>
      </c>
      <c r="S2823" s="14" t="s">
        <v>1912</v>
      </c>
    </row>
    <row r="2824">
      <c r="A2824" s="13">
        <v>45901.0</v>
      </c>
      <c r="B2824" s="14" t="s">
        <v>47</v>
      </c>
      <c r="C2824" s="14" t="s">
        <v>48</v>
      </c>
      <c r="D2824" s="14" t="s">
        <v>96</v>
      </c>
      <c r="E2824" s="14" t="s">
        <v>97</v>
      </c>
      <c r="F2824" s="15" t="s">
        <v>51</v>
      </c>
      <c r="G2824" s="14" t="s">
        <v>98</v>
      </c>
      <c r="H2824" s="14" t="s">
        <v>96</v>
      </c>
      <c r="I2824" s="14" t="s">
        <v>59</v>
      </c>
      <c r="J2824" s="14" t="s">
        <v>200</v>
      </c>
      <c r="K2824" s="14" t="s">
        <v>223</v>
      </c>
      <c r="L2824" s="14" t="s">
        <v>257</v>
      </c>
      <c r="M2824" s="14" t="s">
        <v>315</v>
      </c>
      <c r="N2824" s="14" t="s">
        <v>316</v>
      </c>
      <c r="O2824" s="14">
        <v>9.0</v>
      </c>
      <c r="P2824" s="23">
        <v>0.0909</v>
      </c>
      <c r="Q2824" s="22" t="str">
        <f>"+0.00%"</f>
        <v>+0.00%</v>
      </c>
      <c r="R2824" s="18" t="str">
        <f>"+2.84%"</f>
        <v>+2.84%</v>
      </c>
      <c r="S2824" s="14" t="s">
        <v>1913</v>
      </c>
    </row>
    <row r="2825">
      <c r="A2825" s="13">
        <v>45901.0</v>
      </c>
      <c r="B2825" s="14" t="s">
        <v>47</v>
      </c>
      <c r="C2825" s="14" t="s">
        <v>48</v>
      </c>
      <c r="D2825" s="14" t="s">
        <v>69</v>
      </c>
      <c r="E2825" s="14" t="s">
        <v>70</v>
      </c>
      <c r="F2825" s="15" t="s">
        <v>51</v>
      </c>
      <c r="G2825" s="14" t="s">
        <v>115</v>
      </c>
      <c r="H2825" s="14" t="s">
        <v>72</v>
      </c>
      <c r="I2825" s="14" t="s">
        <v>54</v>
      </c>
      <c r="J2825" s="14" t="s">
        <v>200</v>
      </c>
      <c r="K2825" s="14" t="s">
        <v>219</v>
      </c>
      <c r="L2825" s="14" t="s">
        <v>253</v>
      </c>
      <c r="M2825" s="14" t="s">
        <v>1914</v>
      </c>
      <c r="N2825" s="14" t="s">
        <v>1915</v>
      </c>
      <c r="O2825" s="14">
        <v>0.0</v>
      </c>
      <c r="P2825" s="17"/>
      <c r="Q2825" s="22"/>
      <c r="S2825" s="14" t="s">
        <v>285</v>
      </c>
    </row>
    <row r="2826">
      <c r="A2826" s="13">
        <v>45901.0</v>
      </c>
      <c r="B2826" s="14" t="s">
        <v>47</v>
      </c>
      <c r="C2826" s="14" t="s">
        <v>48</v>
      </c>
      <c r="D2826" s="14" t="s">
        <v>125</v>
      </c>
      <c r="E2826" s="14" t="s">
        <v>126</v>
      </c>
      <c r="F2826" s="15" t="s">
        <v>51</v>
      </c>
      <c r="G2826" s="14" t="s">
        <v>127</v>
      </c>
      <c r="H2826" s="14" t="s">
        <v>125</v>
      </c>
      <c r="I2826" s="14" t="s">
        <v>59</v>
      </c>
      <c r="J2826" s="14" t="s">
        <v>200</v>
      </c>
      <c r="K2826" s="14" t="s">
        <v>224</v>
      </c>
      <c r="L2826" s="14" t="s">
        <v>594</v>
      </c>
      <c r="M2826" s="14" t="s">
        <v>595</v>
      </c>
      <c r="N2826" s="14" t="s">
        <v>596</v>
      </c>
      <c r="O2826" s="14">
        <v>0.0</v>
      </c>
      <c r="P2826" s="17"/>
      <c r="Q2826" s="22"/>
      <c r="S2826" s="14" t="s">
        <v>1916</v>
      </c>
    </row>
    <row r="2827">
      <c r="A2827" s="13">
        <v>45901.0</v>
      </c>
      <c r="B2827" s="14" t="s">
        <v>47</v>
      </c>
      <c r="C2827" s="14" t="s">
        <v>48</v>
      </c>
      <c r="D2827" s="14" t="s">
        <v>69</v>
      </c>
      <c r="E2827" s="14" t="s">
        <v>70</v>
      </c>
      <c r="F2827" s="15" t="s">
        <v>51</v>
      </c>
      <c r="G2827" s="14" t="s">
        <v>115</v>
      </c>
      <c r="H2827" s="14" t="s">
        <v>72</v>
      </c>
      <c r="I2827" s="14" t="s">
        <v>54</v>
      </c>
      <c r="J2827" s="14" t="s">
        <v>199</v>
      </c>
      <c r="K2827" s="14" t="s">
        <v>203</v>
      </c>
      <c r="L2827" s="14" t="s">
        <v>1631</v>
      </c>
      <c r="M2827" s="14" t="s">
        <v>1632</v>
      </c>
      <c r="N2827" s="14" t="s">
        <v>1633</v>
      </c>
      <c r="O2827" s="14">
        <v>100.0</v>
      </c>
      <c r="P2827" s="21">
        <v>1.0</v>
      </c>
      <c r="Q2827" s="22" t="str">
        <f t="shared" ref="Q2827:R2827" si="1675">"-1"</f>
        <v>-1</v>
      </c>
      <c r="R2827" s="18" t="str">
        <f t="shared" si="1675"/>
        <v>-1</v>
      </c>
      <c r="S2827" s="14" t="s">
        <v>260</v>
      </c>
    </row>
    <row r="2828">
      <c r="A2828" s="13">
        <v>45901.0</v>
      </c>
      <c r="B2828" s="14" t="s">
        <v>47</v>
      </c>
      <c r="C2828" s="14" t="s">
        <v>48</v>
      </c>
      <c r="D2828" s="14" t="s">
        <v>108</v>
      </c>
      <c r="E2828" s="14" t="s">
        <v>109</v>
      </c>
      <c r="F2828" s="15" t="s">
        <v>51</v>
      </c>
      <c r="G2828" s="14" t="s">
        <v>110</v>
      </c>
      <c r="H2828" s="14" t="s">
        <v>108</v>
      </c>
      <c r="I2828" s="14" t="s">
        <v>59</v>
      </c>
      <c r="J2828" s="14" t="s">
        <v>200</v>
      </c>
      <c r="K2828" s="14" t="s">
        <v>213</v>
      </c>
      <c r="L2828" s="14" t="s">
        <v>257</v>
      </c>
      <c r="M2828" s="14" t="s">
        <v>493</v>
      </c>
      <c r="N2828" s="14" t="s">
        <v>494</v>
      </c>
      <c r="O2828" s="14">
        <v>0.0</v>
      </c>
      <c r="P2828" s="23">
        <v>-1.0</v>
      </c>
      <c r="Q2828" s="22" t="str">
        <f>"+0.00%"</f>
        <v>+0.00%</v>
      </c>
      <c r="S2828" s="14" t="s">
        <v>1917</v>
      </c>
    </row>
    <row r="2829">
      <c r="A2829" s="13">
        <v>45901.0</v>
      </c>
      <c r="B2829" s="14" t="s">
        <v>47</v>
      </c>
      <c r="C2829" s="14" t="s">
        <v>48</v>
      </c>
      <c r="D2829" s="14" t="s">
        <v>108</v>
      </c>
      <c r="E2829" s="14" t="s">
        <v>109</v>
      </c>
      <c r="F2829" s="15" t="s">
        <v>51</v>
      </c>
      <c r="G2829" s="14" t="s">
        <v>110</v>
      </c>
      <c r="H2829" s="14" t="s">
        <v>108</v>
      </c>
      <c r="I2829" s="14" t="s">
        <v>59</v>
      </c>
      <c r="J2829" s="14" t="s">
        <v>199</v>
      </c>
      <c r="K2829" s="14" t="s">
        <v>203</v>
      </c>
      <c r="L2829" s="14" t="s">
        <v>601</v>
      </c>
      <c r="M2829" s="14" t="s">
        <v>601</v>
      </c>
      <c r="N2829" s="14" t="s">
        <v>602</v>
      </c>
      <c r="O2829" s="14">
        <v>0.0</v>
      </c>
      <c r="P2829" s="21">
        <v>0.0</v>
      </c>
      <c r="Q2829" s="22" t="str">
        <f t="shared" ref="Q2829:R2829" si="1676">"+0"</f>
        <v>+0</v>
      </c>
      <c r="R2829" s="18" t="str">
        <f t="shared" si="1676"/>
        <v>+0</v>
      </c>
      <c r="S2829" s="14" t="s">
        <v>260</v>
      </c>
    </row>
    <row r="2830">
      <c r="A2830" s="13">
        <v>45901.0</v>
      </c>
      <c r="B2830" s="14" t="s">
        <v>47</v>
      </c>
      <c r="C2830" s="14" t="s">
        <v>48</v>
      </c>
      <c r="D2830" s="14" t="s">
        <v>108</v>
      </c>
      <c r="E2830" s="14" t="s">
        <v>109</v>
      </c>
      <c r="F2830" s="15" t="s">
        <v>51</v>
      </c>
      <c r="G2830" s="14" t="s">
        <v>110</v>
      </c>
      <c r="H2830" s="14" t="s">
        <v>108</v>
      </c>
      <c r="I2830" s="14" t="s">
        <v>59</v>
      </c>
      <c r="J2830" s="14" t="s">
        <v>200</v>
      </c>
      <c r="K2830" s="14" t="s">
        <v>243</v>
      </c>
      <c r="L2830" s="14" t="s">
        <v>253</v>
      </c>
      <c r="M2830" s="14" t="s">
        <v>389</v>
      </c>
      <c r="N2830" s="14" t="s">
        <v>390</v>
      </c>
      <c r="O2830" s="14">
        <v>0.0</v>
      </c>
      <c r="P2830" s="17"/>
      <c r="Q2830" s="22"/>
      <c r="S2830" s="14" t="s">
        <v>1918</v>
      </c>
    </row>
    <row r="2831">
      <c r="A2831" s="13">
        <v>45901.0</v>
      </c>
      <c r="B2831" s="14" t="s">
        <v>47</v>
      </c>
      <c r="C2831" s="14" t="s">
        <v>48</v>
      </c>
      <c r="D2831" s="14" t="s">
        <v>77</v>
      </c>
      <c r="E2831" s="14" t="s">
        <v>78</v>
      </c>
      <c r="F2831" s="15" t="s">
        <v>51</v>
      </c>
      <c r="G2831" s="14" t="s">
        <v>128</v>
      </c>
      <c r="H2831" s="14" t="s">
        <v>81</v>
      </c>
      <c r="I2831" s="14" t="s">
        <v>59</v>
      </c>
      <c r="J2831" s="14" t="s">
        <v>200</v>
      </c>
      <c r="K2831" s="14" t="s">
        <v>223</v>
      </c>
      <c r="L2831" s="14" t="s">
        <v>422</v>
      </c>
      <c r="M2831" s="14" t="s">
        <v>1197</v>
      </c>
      <c r="N2831" s="14" t="s">
        <v>1198</v>
      </c>
      <c r="O2831" s="14">
        <v>0.0</v>
      </c>
      <c r="P2831" s="23">
        <v>0.0</v>
      </c>
      <c r="Q2831" s="22" t="str">
        <f t="shared" ref="Q2831:R2831" si="1677">"+0.00%"</f>
        <v>+0.00%</v>
      </c>
      <c r="R2831" s="18" t="str">
        <f t="shared" si="1677"/>
        <v>+0.00%</v>
      </c>
      <c r="S2831" s="14" t="s">
        <v>285</v>
      </c>
    </row>
    <row r="2832">
      <c r="A2832" s="13">
        <v>45901.0</v>
      </c>
      <c r="B2832" s="14" t="s">
        <v>47</v>
      </c>
      <c r="C2832" s="14" t="s">
        <v>48</v>
      </c>
      <c r="D2832" s="14" t="s">
        <v>112</v>
      </c>
      <c r="E2832" s="14" t="s">
        <v>113</v>
      </c>
      <c r="F2832" s="15" t="s">
        <v>51</v>
      </c>
      <c r="G2832" s="14" t="s">
        <v>114</v>
      </c>
      <c r="H2832" s="14" t="s">
        <v>112</v>
      </c>
      <c r="I2832" s="14" t="s">
        <v>59</v>
      </c>
      <c r="J2832" s="14" t="s">
        <v>200</v>
      </c>
      <c r="K2832" s="14" t="s">
        <v>213</v>
      </c>
      <c r="L2832" s="14" t="s">
        <v>359</v>
      </c>
      <c r="M2832" s="14" t="s">
        <v>519</v>
      </c>
      <c r="N2832" s="14" t="s">
        <v>520</v>
      </c>
      <c r="O2832" s="14">
        <v>0.0</v>
      </c>
      <c r="P2832" s="21">
        <v>0.0</v>
      </c>
      <c r="Q2832" s="22" t="str">
        <f t="shared" ref="Q2832:R2832" si="1678">"+0"</f>
        <v>+0</v>
      </c>
      <c r="R2832" s="18" t="str">
        <f t="shared" si="1678"/>
        <v>+0</v>
      </c>
      <c r="S2832" s="14" t="s">
        <v>260</v>
      </c>
    </row>
    <row r="2833">
      <c r="A2833" s="13">
        <v>45901.0</v>
      </c>
      <c r="B2833" s="14" t="s">
        <v>47</v>
      </c>
      <c r="C2833" s="14" t="s">
        <v>48</v>
      </c>
      <c r="D2833" s="14" t="s">
        <v>77</v>
      </c>
      <c r="E2833" s="14" t="s">
        <v>78</v>
      </c>
      <c r="F2833" s="15" t="s">
        <v>51</v>
      </c>
      <c r="G2833" s="14" t="s">
        <v>128</v>
      </c>
      <c r="H2833" s="14" t="s">
        <v>81</v>
      </c>
      <c r="I2833" s="14" t="s">
        <v>59</v>
      </c>
      <c r="J2833" s="14" t="s">
        <v>200</v>
      </c>
      <c r="K2833" s="14" t="s">
        <v>223</v>
      </c>
      <c r="L2833" s="14" t="s">
        <v>286</v>
      </c>
      <c r="M2833" s="14" t="s">
        <v>656</v>
      </c>
      <c r="N2833" s="14" t="s">
        <v>657</v>
      </c>
      <c r="O2833" s="14">
        <v>0.0</v>
      </c>
      <c r="P2833" s="23">
        <v>0.0</v>
      </c>
      <c r="Q2833" s="22" t="str">
        <f t="shared" ref="Q2833:R2833" si="1679">"+0.00%"</f>
        <v>+0.00%</v>
      </c>
      <c r="R2833" s="18" t="str">
        <f t="shared" si="1679"/>
        <v>+0.00%</v>
      </c>
      <c r="S2833" s="14" t="s">
        <v>285</v>
      </c>
    </row>
    <row r="2834">
      <c r="A2834" s="13">
        <v>45901.0</v>
      </c>
      <c r="B2834" s="14" t="s">
        <v>47</v>
      </c>
      <c r="C2834" s="14" t="s">
        <v>48</v>
      </c>
      <c r="D2834" s="14" t="s">
        <v>60</v>
      </c>
      <c r="E2834" s="14" t="s">
        <v>61</v>
      </c>
      <c r="F2834" s="15" t="s">
        <v>51</v>
      </c>
      <c r="G2834" s="14" t="s">
        <v>62</v>
      </c>
      <c r="H2834" s="14" t="s">
        <v>60</v>
      </c>
      <c r="I2834" s="14" t="s">
        <v>59</v>
      </c>
      <c r="J2834" s="14" t="s">
        <v>200</v>
      </c>
      <c r="K2834" s="14" t="s">
        <v>223</v>
      </c>
      <c r="L2834" s="14" t="s">
        <v>286</v>
      </c>
      <c r="M2834" s="14" t="s">
        <v>287</v>
      </c>
      <c r="N2834" s="14" t="s">
        <v>288</v>
      </c>
      <c r="O2834" s="14">
        <v>0.0</v>
      </c>
      <c r="P2834" s="23">
        <v>0.0</v>
      </c>
      <c r="Q2834" s="22" t="str">
        <f t="shared" ref="Q2834:R2834" si="1680">"+0.00%"</f>
        <v>+0.00%</v>
      </c>
      <c r="R2834" s="18" t="str">
        <f t="shared" si="1680"/>
        <v>+0.00%</v>
      </c>
      <c r="S2834" s="14" t="s">
        <v>285</v>
      </c>
    </row>
    <row r="2835">
      <c r="A2835" s="13">
        <v>45901.0</v>
      </c>
      <c r="B2835" s="14" t="s">
        <v>47</v>
      </c>
      <c r="C2835" s="14" t="s">
        <v>48</v>
      </c>
      <c r="D2835" s="14" t="s">
        <v>121</v>
      </c>
      <c r="E2835" s="14" t="s">
        <v>122</v>
      </c>
      <c r="F2835" s="15" t="s">
        <v>51</v>
      </c>
      <c r="G2835" s="14" t="s">
        <v>123</v>
      </c>
      <c r="H2835" s="14" t="s">
        <v>124</v>
      </c>
      <c r="I2835" s="14" t="s">
        <v>59</v>
      </c>
      <c r="J2835" s="14" t="s">
        <v>198</v>
      </c>
      <c r="K2835" s="14" t="s">
        <v>212</v>
      </c>
      <c r="L2835" s="14" t="s">
        <v>249</v>
      </c>
      <c r="M2835" s="14" t="s">
        <v>250</v>
      </c>
      <c r="N2835" s="14" t="s">
        <v>251</v>
      </c>
      <c r="O2835" s="14">
        <v>67.0</v>
      </c>
      <c r="P2835" s="21">
        <v>304.0</v>
      </c>
      <c r="Q2835" s="22" t="str">
        <f>"-29"</f>
        <v>-29</v>
      </c>
      <c r="R2835" s="18" t="str">
        <f>"-458"</f>
        <v>-458</v>
      </c>
      <c r="S2835" s="14" t="s">
        <v>1919</v>
      </c>
    </row>
    <row r="2836">
      <c r="A2836" s="13">
        <v>45901.0</v>
      </c>
      <c r="B2836" s="14" t="s">
        <v>47</v>
      </c>
      <c r="C2836" s="14" t="s">
        <v>48</v>
      </c>
      <c r="D2836" s="14" t="s">
        <v>56</v>
      </c>
      <c r="E2836" s="14" t="s">
        <v>57</v>
      </c>
      <c r="F2836" s="15" t="s">
        <v>51</v>
      </c>
      <c r="G2836" s="14" t="s">
        <v>58</v>
      </c>
      <c r="H2836" s="14" t="s">
        <v>56</v>
      </c>
      <c r="I2836" s="14" t="s">
        <v>59</v>
      </c>
      <c r="J2836" s="14" t="s">
        <v>198</v>
      </c>
      <c r="K2836" s="14" t="s">
        <v>205</v>
      </c>
      <c r="L2836" s="14" t="s">
        <v>274</v>
      </c>
      <c r="M2836" s="14" t="s">
        <v>636</v>
      </c>
      <c r="N2836" s="14" t="s">
        <v>637</v>
      </c>
      <c r="O2836" s="14">
        <v>0.0</v>
      </c>
      <c r="P2836" s="21">
        <v>0.0</v>
      </c>
      <c r="Q2836" s="22" t="str">
        <f>"+0"</f>
        <v>+0</v>
      </c>
      <c r="S2836" s="14" t="s">
        <v>281</v>
      </c>
    </row>
    <row r="2837">
      <c r="A2837" s="13">
        <v>45901.0</v>
      </c>
      <c r="B2837" s="14" t="s">
        <v>47</v>
      </c>
      <c r="C2837" s="14" t="s">
        <v>48</v>
      </c>
      <c r="D2837" s="14" t="s">
        <v>165</v>
      </c>
      <c r="E2837" s="14" t="s">
        <v>166</v>
      </c>
      <c r="F2837" s="15" t="s">
        <v>51</v>
      </c>
      <c r="G2837" s="14" t="s">
        <v>167</v>
      </c>
      <c r="H2837" s="14" t="s">
        <v>165</v>
      </c>
      <c r="I2837" s="14" t="s">
        <v>54</v>
      </c>
      <c r="J2837" s="14" t="s">
        <v>199</v>
      </c>
      <c r="K2837" s="14" t="s">
        <v>206</v>
      </c>
      <c r="L2837" s="14" t="s">
        <v>268</v>
      </c>
      <c r="M2837" s="14" t="s">
        <v>268</v>
      </c>
      <c r="N2837" s="14" t="s">
        <v>269</v>
      </c>
      <c r="O2837" s="14">
        <v>100.0</v>
      </c>
      <c r="P2837" s="21">
        <v>10.0</v>
      </c>
      <c r="Q2837" s="22" t="str">
        <f t="shared" ref="Q2837:R2837" si="1681">"+6"</f>
        <v>+6</v>
      </c>
      <c r="R2837" s="18" t="str">
        <f t="shared" si="1681"/>
        <v>+6</v>
      </c>
      <c r="S2837" s="14" t="s">
        <v>260</v>
      </c>
    </row>
    <row r="2838">
      <c r="A2838" s="13">
        <v>45901.0</v>
      </c>
      <c r="B2838" s="14" t="s">
        <v>47</v>
      </c>
      <c r="C2838" s="14" t="s">
        <v>48</v>
      </c>
      <c r="D2838" s="14" t="s">
        <v>165</v>
      </c>
      <c r="E2838" s="14" t="s">
        <v>166</v>
      </c>
      <c r="F2838" s="15" t="s">
        <v>51</v>
      </c>
      <c r="G2838" s="14" t="s">
        <v>167</v>
      </c>
      <c r="H2838" s="14" t="s">
        <v>165</v>
      </c>
      <c r="I2838" s="14" t="s">
        <v>54</v>
      </c>
      <c r="J2838" s="14" t="s">
        <v>199</v>
      </c>
      <c r="K2838" s="14" t="s">
        <v>203</v>
      </c>
      <c r="L2838" s="14" t="s">
        <v>679</v>
      </c>
      <c r="M2838" s="14" t="s">
        <v>679</v>
      </c>
      <c r="N2838" s="14" t="s">
        <v>680</v>
      </c>
      <c r="O2838" s="14">
        <v>0.0</v>
      </c>
      <c r="P2838" s="21">
        <v>0.0</v>
      </c>
      <c r="Q2838" s="22" t="str">
        <f t="shared" ref="Q2838:R2838" si="1682">"+0"</f>
        <v>+0</v>
      </c>
      <c r="R2838" s="18" t="str">
        <f t="shared" si="1682"/>
        <v>+0</v>
      </c>
      <c r="S2838" s="14" t="s">
        <v>260</v>
      </c>
    </row>
    <row r="2839">
      <c r="A2839" s="13">
        <v>45901.0</v>
      </c>
      <c r="B2839" s="14" t="s">
        <v>47</v>
      </c>
      <c r="C2839" s="14" t="s">
        <v>48</v>
      </c>
      <c r="D2839" s="14" t="s">
        <v>177</v>
      </c>
      <c r="E2839" s="14" t="s">
        <v>178</v>
      </c>
      <c r="F2839" s="14" t="s">
        <v>146</v>
      </c>
      <c r="G2839" s="14" t="s">
        <v>179</v>
      </c>
      <c r="H2839" s="14" t="s">
        <v>177</v>
      </c>
      <c r="I2839" s="14" t="s">
        <v>107</v>
      </c>
      <c r="J2839" s="14" t="s">
        <v>200</v>
      </c>
      <c r="K2839" s="14" t="s">
        <v>226</v>
      </c>
      <c r="L2839" s="14" t="s">
        <v>1105</v>
      </c>
      <c r="M2839" s="14" t="s">
        <v>1106</v>
      </c>
      <c r="N2839" s="14" t="s">
        <v>1107</v>
      </c>
      <c r="O2839" s="14">
        <v>0.0</v>
      </c>
      <c r="P2839" s="21">
        <v>0.0</v>
      </c>
      <c r="Q2839" s="22" t="str">
        <f t="shared" ref="Q2839:R2839" si="1683">"+0"</f>
        <v>+0</v>
      </c>
      <c r="R2839" s="18" t="str">
        <f t="shared" si="1683"/>
        <v>+0</v>
      </c>
      <c r="S2839" s="14" t="s">
        <v>260</v>
      </c>
    </row>
    <row r="2840">
      <c r="A2840" s="13">
        <v>45901.0</v>
      </c>
      <c r="B2840" s="14" t="s">
        <v>47</v>
      </c>
      <c r="C2840" s="14" t="s">
        <v>48</v>
      </c>
      <c r="D2840" s="14" t="s">
        <v>99</v>
      </c>
      <c r="E2840" s="14" t="s">
        <v>100</v>
      </c>
      <c r="F2840" s="15" t="s">
        <v>51</v>
      </c>
      <c r="G2840" s="14" t="s">
        <v>101</v>
      </c>
      <c r="H2840" s="14" t="s">
        <v>102</v>
      </c>
      <c r="I2840" s="14" t="s">
        <v>54</v>
      </c>
      <c r="J2840" s="14" t="s">
        <v>199</v>
      </c>
      <c r="K2840" s="14" t="s">
        <v>206</v>
      </c>
      <c r="L2840" s="14" t="s">
        <v>433</v>
      </c>
      <c r="M2840" s="14" t="s">
        <v>433</v>
      </c>
      <c r="N2840" s="14" t="s">
        <v>434</v>
      </c>
      <c r="O2840" s="14">
        <v>100.0</v>
      </c>
      <c r="P2840" s="21">
        <v>1.0</v>
      </c>
      <c r="Q2840" s="22" t="str">
        <f t="shared" ref="Q2840:R2840" si="1684">"-3"</f>
        <v>-3</v>
      </c>
      <c r="R2840" s="18" t="str">
        <f t="shared" si="1684"/>
        <v>-3</v>
      </c>
      <c r="S2840" s="14" t="s">
        <v>383</v>
      </c>
    </row>
    <row r="2841">
      <c r="A2841" s="13">
        <v>45901.0</v>
      </c>
      <c r="B2841" s="14" t="s">
        <v>47</v>
      </c>
      <c r="C2841" s="14" t="s">
        <v>48</v>
      </c>
      <c r="D2841" s="14" t="s">
        <v>63</v>
      </c>
      <c r="E2841" s="14" t="s">
        <v>64</v>
      </c>
      <c r="F2841" s="15" t="s">
        <v>51</v>
      </c>
      <c r="G2841" s="14" t="s">
        <v>65</v>
      </c>
      <c r="H2841" s="14" t="s">
        <v>63</v>
      </c>
      <c r="I2841" s="14" t="s">
        <v>54</v>
      </c>
      <c r="J2841" s="14" t="s">
        <v>199</v>
      </c>
      <c r="K2841" s="14" t="s">
        <v>203</v>
      </c>
      <c r="L2841" s="14" t="s">
        <v>485</v>
      </c>
      <c r="M2841" s="14" t="s">
        <v>485</v>
      </c>
      <c r="N2841" s="14" t="s">
        <v>486</v>
      </c>
      <c r="O2841" s="14">
        <v>0.0</v>
      </c>
      <c r="P2841" s="21">
        <v>0.0</v>
      </c>
      <c r="Q2841" s="22" t="str">
        <f t="shared" ref="Q2841:R2841" si="1685">"+0"</f>
        <v>+0</v>
      </c>
      <c r="R2841" s="18" t="str">
        <f t="shared" si="1685"/>
        <v>+0</v>
      </c>
      <c r="S2841" s="14" t="s">
        <v>260</v>
      </c>
    </row>
    <row r="2842">
      <c r="A2842" s="13">
        <v>45901.0</v>
      </c>
      <c r="B2842" s="14" t="s">
        <v>47</v>
      </c>
      <c r="C2842" s="14" t="s">
        <v>48</v>
      </c>
      <c r="D2842" s="14" t="s">
        <v>66</v>
      </c>
      <c r="E2842" s="14" t="s">
        <v>67</v>
      </c>
      <c r="F2842" s="15" t="s">
        <v>51</v>
      </c>
      <c r="G2842" s="14" t="s">
        <v>68</v>
      </c>
      <c r="H2842" s="14" t="s">
        <v>66</v>
      </c>
      <c r="I2842" s="14" t="s">
        <v>59</v>
      </c>
      <c r="J2842" s="14" t="s">
        <v>200</v>
      </c>
      <c r="K2842" s="14" t="s">
        <v>227</v>
      </c>
      <c r="L2842" s="14" t="s">
        <v>253</v>
      </c>
      <c r="M2842" s="14" t="s">
        <v>396</v>
      </c>
      <c r="N2842" s="14" t="s">
        <v>397</v>
      </c>
      <c r="O2842" s="14">
        <v>100.0</v>
      </c>
      <c r="P2842" s="23">
        <v>1.0</v>
      </c>
      <c r="Q2842" s="22" t="str">
        <f t="shared" ref="Q2842:R2842" si="1686">"+0.00%"</f>
        <v>+0.00%</v>
      </c>
      <c r="R2842" s="18" t="str">
        <f t="shared" si="1686"/>
        <v>+0.00%</v>
      </c>
      <c r="S2842" s="14" t="s">
        <v>398</v>
      </c>
    </row>
    <row r="2843">
      <c r="A2843" s="13">
        <v>45901.0</v>
      </c>
      <c r="B2843" s="14" t="s">
        <v>47</v>
      </c>
      <c r="C2843" s="14" t="s">
        <v>48</v>
      </c>
      <c r="D2843" s="14" t="s">
        <v>66</v>
      </c>
      <c r="E2843" s="14" t="s">
        <v>67</v>
      </c>
      <c r="F2843" s="15" t="s">
        <v>51</v>
      </c>
      <c r="G2843" s="14" t="s">
        <v>68</v>
      </c>
      <c r="H2843" s="14" t="s">
        <v>66</v>
      </c>
      <c r="I2843" s="14" t="s">
        <v>59</v>
      </c>
      <c r="J2843" s="14" t="s">
        <v>198</v>
      </c>
      <c r="K2843" s="14" t="s">
        <v>207</v>
      </c>
      <c r="L2843" s="14" t="s">
        <v>318</v>
      </c>
      <c r="M2843" s="14" t="s">
        <v>319</v>
      </c>
      <c r="N2843" s="14" t="s">
        <v>320</v>
      </c>
      <c r="O2843" s="14">
        <v>0.0</v>
      </c>
      <c r="P2843" s="21">
        <v>0.0</v>
      </c>
      <c r="Q2843" s="22" t="str">
        <f>"+0"</f>
        <v>+0</v>
      </c>
      <c r="S2843" s="14" t="s">
        <v>281</v>
      </c>
    </row>
    <row r="2844">
      <c r="A2844" s="13">
        <v>45901.0</v>
      </c>
      <c r="B2844" s="14" t="s">
        <v>47</v>
      </c>
      <c r="C2844" s="14" t="s">
        <v>48</v>
      </c>
      <c r="D2844" s="14" t="s">
        <v>192</v>
      </c>
      <c r="E2844" s="14" t="s">
        <v>193</v>
      </c>
      <c r="F2844" s="15" t="s">
        <v>51</v>
      </c>
      <c r="G2844" s="14" t="s">
        <v>194</v>
      </c>
      <c r="H2844" s="14" t="s">
        <v>192</v>
      </c>
      <c r="I2844" s="14" t="s">
        <v>54</v>
      </c>
      <c r="J2844" s="14" t="s">
        <v>200</v>
      </c>
      <c r="K2844" s="14" t="s">
        <v>231</v>
      </c>
      <c r="L2844" s="14" t="s">
        <v>751</v>
      </c>
      <c r="M2844" s="14" t="s">
        <v>1349</v>
      </c>
      <c r="N2844" s="14" t="s">
        <v>1350</v>
      </c>
      <c r="O2844" s="14">
        <v>0.0</v>
      </c>
      <c r="P2844" s="23">
        <v>0.0</v>
      </c>
      <c r="Q2844" s="22" t="str">
        <f t="shared" ref="Q2844:R2844" si="1687">"+0.00%"</f>
        <v>+0.00%</v>
      </c>
      <c r="R2844" s="18" t="str">
        <f t="shared" si="1687"/>
        <v>+0.00%</v>
      </c>
      <c r="S2844" s="14" t="s">
        <v>1920</v>
      </c>
    </row>
    <row r="2845">
      <c r="A2845" s="13">
        <v>45901.0</v>
      </c>
      <c r="B2845" s="14" t="s">
        <v>47</v>
      </c>
      <c r="C2845" s="14" t="s">
        <v>48</v>
      </c>
      <c r="D2845" s="14" t="s">
        <v>132</v>
      </c>
      <c r="E2845" s="14" t="s">
        <v>133</v>
      </c>
      <c r="F2845" s="15" t="s">
        <v>51</v>
      </c>
      <c r="G2845" s="14" t="s">
        <v>134</v>
      </c>
      <c r="H2845" s="14" t="s">
        <v>135</v>
      </c>
      <c r="I2845" s="14" t="s">
        <v>59</v>
      </c>
      <c r="J2845" s="14" t="s">
        <v>198</v>
      </c>
      <c r="K2845" s="14" t="s">
        <v>210</v>
      </c>
      <c r="L2845" s="14" t="s">
        <v>278</v>
      </c>
      <c r="M2845" s="14" t="s">
        <v>839</v>
      </c>
      <c r="N2845" s="14" t="s">
        <v>840</v>
      </c>
      <c r="O2845" s="14">
        <v>51.0</v>
      </c>
      <c r="P2845" s="21">
        <v>1150.0</v>
      </c>
      <c r="Q2845" s="22" t="str">
        <f>"-760"</f>
        <v>-760</v>
      </c>
      <c r="R2845" s="18" t="str">
        <f>"-60"</f>
        <v>-60</v>
      </c>
      <c r="S2845" s="14" t="s">
        <v>1921</v>
      </c>
    </row>
    <row r="2846">
      <c r="A2846" s="13">
        <v>45901.0</v>
      </c>
      <c r="B2846" s="14" t="s">
        <v>47</v>
      </c>
      <c r="C2846" s="14" t="s">
        <v>48</v>
      </c>
      <c r="D2846" s="14" t="s">
        <v>103</v>
      </c>
      <c r="E2846" s="14" t="s">
        <v>104</v>
      </c>
      <c r="F2846" s="15" t="s">
        <v>51</v>
      </c>
      <c r="G2846" s="14" t="s">
        <v>105</v>
      </c>
      <c r="H2846" s="14" t="s">
        <v>106</v>
      </c>
      <c r="I2846" s="14" t="s">
        <v>59</v>
      </c>
      <c r="J2846" s="14" t="s">
        <v>200</v>
      </c>
      <c r="K2846" s="14" t="s">
        <v>232</v>
      </c>
      <c r="L2846" s="14" t="s">
        <v>607</v>
      </c>
      <c r="M2846" s="14" t="s">
        <v>1312</v>
      </c>
      <c r="N2846" s="14" t="s">
        <v>1313</v>
      </c>
      <c r="O2846" s="14">
        <v>0.0</v>
      </c>
      <c r="P2846" s="23">
        <v>0.0</v>
      </c>
      <c r="Q2846" s="22" t="str">
        <f t="shared" ref="Q2846:R2846" si="1688">"+0.00%"</f>
        <v>+0.00%</v>
      </c>
      <c r="R2846" s="18" t="str">
        <f t="shared" si="1688"/>
        <v>+0.00%</v>
      </c>
      <c r="S2846" s="14" t="s">
        <v>285</v>
      </c>
    </row>
    <row r="2847">
      <c r="A2847" s="13">
        <v>45901.0</v>
      </c>
      <c r="B2847" s="14" t="s">
        <v>47</v>
      </c>
      <c r="C2847" s="14" t="s">
        <v>48</v>
      </c>
      <c r="D2847" s="14" t="s">
        <v>149</v>
      </c>
      <c r="E2847" s="14" t="s">
        <v>150</v>
      </c>
      <c r="F2847" s="15" t="s">
        <v>51</v>
      </c>
      <c r="G2847" s="14" t="s">
        <v>151</v>
      </c>
      <c r="H2847" s="14" t="s">
        <v>152</v>
      </c>
      <c r="I2847" s="14" t="s">
        <v>54</v>
      </c>
      <c r="J2847" s="14" t="s">
        <v>200</v>
      </c>
      <c r="K2847" s="14" t="s">
        <v>211</v>
      </c>
      <c r="L2847" s="14" t="s">
        <v>253</v>
      </c>
      <c r="M2847" s="14" t="s">
        <v>366</v>
      </c>
      <c r="N2847" s="14" t="s">
        <v>367</v>
      </c>
      <c r="O2847" s="14">
        <v>88.0</v>
      </c>
      <c r="P2847" s="23">
        <v>0.8824</v>
      </c>
      <c r="Q2847" s="22" t="str">
        <f>"-8.47%"</f>
        <v>-8.47%</v>
      </c>
      <c r="R2847" s="18" t="str">
        <f>"-3.76%"</f>
        <v>-3.76%</v>
      </c>
      <c r="S2847" s="14" t="s">
        <v>1922</v>
      </c>
    </row>
    <row r="2848">
      <c r="A2848" s="13">
        <v>45901.0</v>
      </c>
      <c r="B2848" s="14" t="s">
        <v>47</v>
      </c>
      <c r="C2848" s="14" t="s">
        <v>48</v>
      </c>
      <c r="D2848" s="14" t="s">
        <v>171</v>
      </c>
      <c r="E2848" s="14" t="s">
        <v>172</v>
      </c>
      <c r="F2848" s="15" t="s">
        <v>51</v>
      </c>
      <c r="G2848" s="14" t="s">
        <v>173</v>
      </c>
      <c r="H2848" s="14" t="s">
        <v>171</v>
      </c>
      <c r="I2848" s="14" t="s">
        <v>59</v>
      </c>
      <c r="J2848" s="14" t="s">
        <v>199</v>
      </c>
      <c r="K2848" s="14" t="s">
        <v>203</v>
      </c>
      <c r="L2848" s="14" t="s">
        <v>342</v>
      </c>
      <c r="M2848" s="14" t="s">
        <v>342</v>
      </c>
      <c r="N2848" s="14" t="s">
        <v>343</v>
      </c>
      <c r="O2848" s="14">
        <v>100.0</v>
      </c>
      <c r="P2848" s="21">
        <v>1.0</v>
      </c>
      <c r="Q2848" s="22" t="str">
        <f t="shared" ref="Q2848:R2848" si="1689">"+0"</f>
        <v>+0</v>
      </c>
      <c r="R2848" s="18" t="str">
        <f t="shared" si="1689"/>
        <v>+0</v>
      </c>
      <c r="S2848" s="14" t="s">
        <v>260</v>
      </c>
    </row>
    <row r="2849">
      <c r="A2849" s="13">
        <v>45901.0</v>
      </c>
      <c r="B2849" s="14" t="s">
        <v>47</v>
      </c>
      <c r="C2849" s="14" t="s">
        <v>48</v>
      </c>
      <c r="D2849" s="14" t="s">
        <v>149</v>
      </c>
      <c r="E2849" s="14" t="s">
        <v>150</v>
      </c>
      <c r="F2849" s="15" t="s">
        <v>51</v>
      </c>
      <c r="G2849" s="14" t="s">
        <v>151</v>
      </c>
      <c r="H2849" s="14" t="s">
        <v>152</v>
      </c>
      <c r="I2849" s="14" t="s">
        <v>54</v>
      </c>
      <c r="J2849" s="14" t="s">
        <v>200</v>
      </c>
      <c r="K2849" s="14" t="s">
        <v>224</v>
      </c>
      <c r="L2849" s="14" t="s">
        <v>253</v>
      </c>
      <c r="M2849" s="14" t="s">
        <v>952</v>
      </c>
      <c r="N2849" s="14" t="s">
        <v>953</v>
      </c>
      <c r="O2849" s="14">
        <v>25.0</v>
      </c>
      <c r="P2849" s="23">
        <v>0.2593</v>
      </c>
      <c r="Q2849" s="22" t="str">
        <f>"+0.93%"</f>
        <v>+0.93%</v>
      </c>
      <c r="R2849" s="18" t="str">
        <f t="shared" ref="R2849:R2850" si="1690">"+0.00%"</f>
        <v>+0.00%</v>
      </c>
      <c r="S2849" s="14" t="s">
        <v>1923</v>
      </c>
    </row>
    <row r="2850">
      <c r="A2850" s="13">
        <v>45901.0</v>
      </c>
      <c r="B2850" s="14" t="s">
        <v>47</v>
      </c>
      <c r="C2850" s="14" t="s">
        <v>48</v>
      </c>
      <c r="D2850" s="14" t="s">
        <v>87</v>
      </c>
      <c r="E2850" s="14" t="s">
        <v>88</v>
      </c>
      <c r="F2850" s="15" t="s">
        <v>51</v>
      </c>
      <c r="G2850" s="14" t="s">
        <v>89</v>
      </c>
      <c r="H2850" s="14" t="s">
        <v>90</v>
      </c>
      <c r="I2850" s="14" t="s">
        <v>59</v>
      </c>
      <c r="J2850" s="14" t="s">
        <v>200</v>
      </c>
      <c r="K2850" s="14" t="s">
        <v>211</v>
      </c>
      <c r="L2850" s="14" t="s">
        <v>253</v>
      </c>
      <c r="M2850" s="14" t="s">
        <v>1247</v>
      </c>
      <c r="N2850" s="14" t="s">
        <v>1248</v>
      </c>
      <c r="O2850" s="14">
        <v>1.0</v>
      </c>
      <c r="P2850" s="23">
        <v>9.0E-4</v>
      </c>
      <c r="Q2850" s="22" t="str">
        <f>"-0.00%"</f>
        <v>-0.00%</v>
      </c>
      <c r="R2850" s="18" t="str">
        <f t="shared" si="1690"/>
        <v>+0.00%</v>
      </c>
      <c r="S2850" s="14" t="s">
        <v>1924</v>
      </c>
    </row>
    <row r="2851">
      <c r="A2851" s="13">
        <v>45901.0</v>
      </c>
      <c r="B2851" s="14" t="s">
        <v>47</v>
      </c>
      <c r="C2851" s="14" t="s">
        <v>48</v>
      </c>
      <c r="D2851" s="14" t="s">
        <v>136</v>
      </c>
      <c r="E2851" s="14" t="s">
        <v>137</v>
      </c>
      <c r="F2851" s="15" t="s">
        <v>51</v>
      </c>
      <c r="G2851" s="14" t="s">
        <v>138</v>
      </c>
      <c r="H2851" s="14" t="s">
        <v>139</v>
      </c>
      <c r="I2851" s="14" t="s">
        <v>59</v>
      </c>
      <c r="J2851" s="14" t="s">
        <v>200</v>
      </c>
      <c r="K2851" s="14" t="s">
        <v>213</v>
      </c>
      <c r="L2851" s="14" t="s">
        <v>289</v>
      </c>
      <c r="M2851" s="14" t="s">
        <v>290</v>
      </c>
      <c r="N2851" s="14" t="s">
        <v>291</v>
      </c>
      <c r="O2851" s="14">
        <v>0.0</v>
      </c>
      <c r="P2851" s="23">
        <v>0.0</v>
      </c>
      <c r="Q2851" s="22" t="str">
        <f t="shared" ref="Q2851:R2851" si="1691">"+0.00%"</f>
        <v>+0.00%</v>
      </c>
      <c r="R2851" s="18" t="str">
        <f t="shared" si="1691"/>
        <v>+0.00%</v>
      </c>
      <c r="S2851" s="14" t="s">
        <v>285</v>
      </c>
    </row>
    <row r="2852">
      <c r="A2852" s="13">
        <v>45901.0</v>
      </c>
      <c r="B2852" s="14" t="s">
        <v>47</v>
      </c>
      <c r="C2852" s="14" t="s">
        <v>48</v>
      </c>
      <c r="D2852" s="14" t="s">
        <v>174</v>
      </c>
      <c r="E2852" s="14" t="s">
        <v>175</v>
      </c>
      <c r="F2852" s="15" t="s">
        <v>51</v>
      </c>
      <c r="G2852" s="14" t="s">
        <v>176</v>
      </c>
      <c r="H2852" s="14" t="s">
        <v>174</v>
      </c>
      <c r="I2852" s="14" t="s">
        <v>59</v>
      </c>
      <c r="J2852" s="14" t="s">
        <v>200</v>
      </c>
      <c r="K2852" s="14" t="s">
        <v>213</v>
      </c>
      <c r="L2852" s="14" t="s">
        <v>676</v>
      </c>
      <c r="M2852" s="14" t="s">
        <v>677</v>
      </c>
      <c r="N2852" s="14" t="s">
        <v>678</v>
      </c>
      <c r="O2852" s="14">
        <v>0.0</v>
      </c>
      <c r="P2852" s="23">
        <v>0.0</v>
      </c>
      <c r="Q2852" s="22" t="str">
        <f t="shared" ref="Q2852:R2852" si="1692">"+0.00%"</f>
        <v>+0.00%</v>
      </c>
      <c r="R2852" s="18" t="str">
        <f t="shared" si="1692"/>
        <v>+0.00%</v>
      </c>
      <c r="S2852" s="14" t="s">
        <v>285</v>
      </c>
    </row>
    <row r="2853">
      <c r="A2853" s="13">
        <v>45901.0</v>
      </c>
      <c r="B2853" s="14" t="s">
        <v>47</v>
      </c>
      <c r="C2853" s="14" t="s">
        <v>48</v>
      </c>
      <c r="D2853" s="14" t="s">
        <v>116</v>
      </c>
      <c r="E2853" s="14" t="s">
        <v>117</v>
      </c>
      <c r="F2853" s="15" t="s">
        <v>51</v>
      </c>
      <c r="G2853" s="14" t="s">
        <v>161</v>
      </c>
      <c r="H2853" s="14" t="s">
        <v>116</v>
      </c>
      <c r="I2853" s="14" t="s">
        <v>54</v>
      </c>
      <c r="J2853" s="14" t="s">
        <v>200</v>
      </c>
      <c r="K2853" s="14" t="s">
        <v>211</v>
      </c>
      <c r="L2853" s="14" t="s">
        <v>253</v>
      </c>
      <c r="M2853" s="14" t="s">
        <v>1085</v>
      </c>
      <c r="N2853" s="14" t="s">
        <v>1086</v>
      </c>
      <c r="O2853" s="14">
        <v>0.0</v>
      </c>
      <c r="P2853" s="23">
        <v>0.0</v>
      </c>
      <c r="Q2853" s="22" t="str">
        <f t="shared" ref="Q2853:R2853" si="1693">"+0.00%"</f>
        <v>+0.00%</v>
      </c>
      <c r="R2853" s="18" t="str">
        <f t="shared" si="1693"/>
        <v>+0.00%</v>
      </c>
      <c r="S2853" s="14" t="s">
        <v>1217</v>
      </c>
    </row>
    <row r="2854">
      <c r="A2854" s="13">
        <v>45901.0</v>
      </c>
      <c r="B2854" s="14" t="s">
        <v>47</v>
      </c>
      <c r="C2854" s="14" t="s">
        <v>48</v>
      </c>
      <c r="D2854" s="14" t="s">
        <v>49</v>
      </c>
      <c r="E2854" s="14" t="s">
        <v>50</v>
      </c>
      <c r="F2854" s="15" t="s">
        <v>51</v>
      </c>
      <c r="G2854" s="14" t="s">
        <v>52</v>
      </c>
      <c r="H2854" s="14" t="s">
        <v>53</v>
      </c>
      <c r="I2854" s="14" t="s">
        <v>54</v>
      </c>
      <c r="J2854" s="14" t="s">
        <v>198</v>
      </c>
      <c r="K2854" s="14" t="s">
        <v>210</v>
      </c>
      <c r="L2854" s="14" t="s">
        <v>264</v>
      </c>
      <c r="M2854" s="14" t="s">
        <v>930</v>
      </c>
      <c r="N2854" s="14" t="s">
        <v>931</v>
      </c>
      <c r="O2854" s="14">
        <v>0.0</v>
      </c>
      <c r="P2854" s="21">
        <v>0.0</v>
      </c>
      <c r="Q2854" s="22" t="str">
        <f t="shared" ref="Q2854:R2854" si="1694">"+0"</f>
        <v>+0</v>
      </c>
      <c r="R2854" s="18" t="str">
        <f t="shared" si="1694"/>
        <v>+0</v>
      </c>
      <c r="S2854" s="14" t="s">
        <v>277</v>
      </c>
    </row>
    <row r="2855">
      <c r="A2855" s="13">
        <v>45901.0</v>
      </c>
      <c r="B2855" s="14" t="s">
        <v>47</v>
      </c>
      <c r="C2855" s="14" t="s">
        <v>48</v>
      </c>
      <c r="D2855" s="14" t="s">
        <v>91</v>
      </c>
      <c r="E2855" s="14" t="s">
        <v>92</v>
      </c>
      <c r="F2855" s="15" t="s">
        <v>51</v>
      </c>
      <c r="G2855" s="14" t="s">
        <v>163</v>
      </c>
      <c r="H2855" s="14" t="s">
        <v>91</v>
      </c>
      <c r="I2855" s="14" t="s">
        <v>59</v>
      </c>
      <c r="J2855" s="14" t="s">
        <v>198</v>
      </c>
      <c r="K2855" s="14" t="s">
        <v>210</v>
      </c>
      <c r="L2855" s="14" t="s">
        <v>278</v>
      </c>
      <c r="M2855" s="14" t="s">
        <v>443</v>
      </c>
      <c r="N2855" s="14" t="s">
        <v>444</v>
      </c>
      <c r="O2855" s="14">
        <v>17.0</v>
      </c>
      <c r="P2855" s="21">
        <v>202.0</v>
      </c>
      <c r="Q2855" s="22" t="str">
        <f>"+19"</f>
        <v>+19</v>
      </c>
      <c r="R2855" s="18" t="str">
        <f>"-26"</f>
        <v>-26</v>
      </c>
      <c r="S2855" s="14" t="s">
        <v>1257</v>
      </c>
    </row>
    <row r="2856">
      <c r="A2856" s="13">
        <v>45901.0</v>
      </c>
      <c r="B2856" s="14" t="s">
        <v>47</v>
      </c>
      <c r="C2856" s="14" t="s">
        <v>48</v>
      </c>
      <c r="D2856" s="14" t="s">
        <v>91</v>
      </c>
      <c r="E2856" s="14" t="s">
        <v>92</v>
      </c>
      <c r="F2856" s="15" t="s">
        <v>51</v>
      </c>
      <c r="G2856" s="14" t="s">
        <v>163</v>
      </c>
      <c r="H2856" s="14" t="s">
        <v>91</v>
      </c>
      <c r="I2856" s="14" t="s">
        <v>59</v>
      </c>
      <c r="J2856" s="14" t="s">
        <v>200</v>
      </c>
      <c r="K2856" s="14" t="s">
        <v>223</v>
      </c>
      <c r="L2856" s="14" t="s">
        <v>261</v>
      </c>
      <c r="M2856" s="14" t="s">
        <v>808</v>
      </c>
      <c r="N2856" s="14" t="s">
        <v>809</v>
      </c>
      <c r="O2856" s="14">
        <v>0.0</v>
      </c>
      <c r="P2856" s="23">
        <v>0.0</v>
      </c>
      <c r="Q2856" s="22" t="str">
        <f t="shared" ref="Q2856:R2856" si="1695">"+0.00%"</f>
        <v>+0.00%</v>
      </c>
      <c r="R2856" s="18" t="str">
        <f t="shared" si="1695"/>
        <v>+0.00%</v>
      </c>
      <c r="S2856" s="14" t="s">
        <v>1925</v>
      </c>
    </row>
    <row r="2857">
      <c r="A2857" s="13">
        <v>45901.0</v>
      </c>
      <c r="B2857" s="14" t="s">
        <v>47</v>
      </c>
      <c r="C2857" s="14" t="s">
        <v>48</v>
      </c>
      <c r="D2857" s="14" t="s">
        <v>99</v>
      </c>
      <c r="E2857" s="14" t="s">
        <v>100</v>
      </c>
      <c r="F2857" s="15" t="s">
        <v>51</v>
      </c>
      <c r="G2857" s="14" t="s">
        <v>101</v>
      </c>
      <c r="H2857" s="14" t="s">
        <v>102</v>
      </c>
      <c r="I2857" s="14" t="s">
        <v>54</v>
      </c>
      <c r="J2857" s="14" t="s">
        <v>200</v>
      </c>
      <c r="K2857" s="14" t="s">
        <v>213</v>
      </c>
      <c r="L2857" s="14" t="s">
        <v>440</v>
      </c>
      <c r="M2857" s="14" t="s">
        <v>510</v>
      </c>
      <c r="N2857" s="14" t="s">
        <v>511</v>
      </c>
      <c r="O2857" s="14">
        <v>0.0</v>
      </c>
      <c r="P2857" s="23">
        <v>0.0</v>
      </c>
      <c r="Q2857" s="22" t="str">
        <f t="shared" ref="Q2857:R2857" si="1696">"+0.00%"</f>
        <v>+0.00%</v>
      </c>
      <c r="R2857" s="18" t="str">
        <f t="shared" si="1696"/>
        <v>+0.00%</v>
      </c>
      <c r="S2857" s="14" t="s">
        <v>285</v>
      </c>
    </row>
    <row r="2858">
      <c r="A2858" s="13">
        <v>45901.0</v>
      </c>
      <c r="B2858" s="14" t="s">
        <v>47</v>
      </c>
      <c r="C2858" s="14" t="s">
        <v>48</v>
      </c>
      <c r="D2858" s="14" t="s">
        <v>192</v>
      </c>
      <c r="E2858" s="14" t="s">
        <v>193</v>
      </c>
      <c r="F2858" s="15" t="s">
        <v>51</v>
      </c>
      <c r="G2858" s="14" t="s">
        <v>194</v>
      </c>
      <c r="H2858" s="14" t="s">
        <v>192</v>
      </c>
      <c r="I2858" s="14" t="s">
        <v>54</v>
      </c>
      <c r="J2858" s="14" t="s">
        <v>198</v>
      </c>
      <c r="K2858" s="14" t="s">
        <v>210</v>
      </c>
      <c r="L2858" s="14" t="s">
        <v>264</v>
      </c>
      <c r="M2858" s="14" t="s">
        <v>1409</v>
      </c>
      <c r="N2858" s="14" t="s">
        <v>1410</v>
      </c>
      <c r="O2858" s="14">
        <v>0.0</v>
      </c>
      <c r="P2858" s="21">
        <v>0.0</v>
      </c>
      <c r="Q2858" s="22" t="str">
        <f t="shared" ref="Q2858:R2858" si="1697">"+0"</f>
        <v>+0</v>
      </c>
      <c r="R2858" s="18" t="str">
        <f t="shared" si="1697"/>
        <v>+0</v>
      </c>
      <c r="S2858" s="14" t="s">
        <v>277</v>
      </c>
    </row>
    <row r="2859">
      <c r="A2859" s="13">
        <v>45901.0</v>
      </c>
      <c r="B2859" s="14" t="s">
        <v>47</v>
      </c>
      <c r="C2859" s="14" t="s">
        <v>48</v>
      </c>
      <c r="D2859" s="14" t="s">
        <v>73</v>
      </c>
      <c r="E2859" s="14" t="s">
        <v>74</v>
      </c>
      <c r="F2859" s="15" t="s">
        <v>51</v>
      </c>
      <c r="G2859" s="14" t="s">
        <v>75</v>
      </c>
      <c r="H2859" s="14" t="s">
        <v>76</v>
      </c>
      <c r="I2859" s="14" t="s">
        <v>59</v>
      </c>
      <c r="J2859" s="14" t="s">
        <v>198</v>
      </c>
      <c r="K2859" s="14" t="s">
        <v>205</v>
      </c>
      <c r="L2859" s="14" t="s">
        <v>274</v>
      </c>
      <c r="M2859" s="14" t="s">
        <v>575</v>
      </c>
      <c r="N2859" s="14" t="s">
        <v>576</v>
      </c>
      <c r="O2859" s="14">
        <v>100.0</v>
      </c>
      <c r="P2859" s="21">
        <v>90.0</v>
      </c>
      <c r="Q2859" s="22" t="str">
        <f>"+0"</f>
        <v>+0</v>
      </c>
      <c r="S2859" s="14" t="s">
        <v>577</v>
      </c>
    </row>
    <row r="2860">
      <c r="A2860" s="13">
        <v>45901.0</v>
      </c>
      <c r="B2860" s="14" t="s">
        <v>47</v>
      </c>
      <c r="C2860" s="14" t="s">
        <v>48</v>
      </c>
      <c r="D2860" s="14" t="s">
        <v>143</v>
      </c>
      <c r="E2860" s="14" t="s">
        <v>144</v>
      </c>
      <c r="F2860" s="15" t="s">
        <v>51</v>
      </c>
      <c r="G2860" s="14" t="s">
        <v>145</v>
      </c>
      <c r="H2860" s="14" t="s">
        <v>143</v>
      </c>
      <c r="I2860" s="14" t="s">
        <v>59</v>
      </c>
      <c r="J2860" s="14" t="s">
        <v>200</v>
      </c>
      <c r="K2860" s="14" t="s">
        <v>232</v>
      </c>
      <c r="L2860" s="14" t="s">
        <v>607</v>
      </c>
      <c r="M2860" s="14" t="s">
        <v>1312</v>
      </c>
      <c r="N2860" s="14" t="s">
        <v>1313</v>
      </c>
      <c r="O2860" s="14">
        <v>0.0</v>
      </c>
      <c r="P2860" s="23">
        <v>0.0</v>
      </c>
      <c r="Q2860" s="22" t="str">
        <f t="shared" ref="Q2860:R2860" si="1698">"+0.00%"</f>
        <v>+0.00%</v>
      </c>
      <c r="R2860" s="18" t="str">
        <f t="shared" si="1698"/>
        <v>+0.00%</v>
      </c>
      <c r="S2860" s="14" t="s">
        <v>285</v>
      </c>
    </row>
    <row r="2861">
      <c r="A2861" s="13">
        <v>45901.0</v>
      </c>
      <c r="B2861" s="14" t="s">
        <v>47</v>
      </c>
      <c r="C2861" s="14" t="s">
        <v>48</v>
      </c>
      <c r="D2861" s="14" t="s">
        <v>132</v>
      </c>
      <c r="E2861" s="14" t="s">
        <v>133</v>
      </c>
      <c r="F2861" s="15" t="s">
        <v>51</v>
      </c>
      <c r="G2861" s="14" t="s">
        <v>134</v>
      </c>
      <c r="H2861" s="14" t="s">
        <v>135</v>
      </c>
      <c r="I2861" s="14" t="s">
        <v>59</v>
      </c>
      <c r="J2861" s="14" t="s">
        <v>199</v>
      </c>
      <c r="K2861" s="14" t="s">
        <v>206</v>
      </c>
      <c r="L2861" s="14" t="s">
        <v>268</v>
      </c>
      <c r="M2861" s="14" t="s">
        <v>268</v>
      </c>
      <c r="N2861" s="14" t="s">
        <v>269</v>
      </c>
      <c r="O2861" s="14">
        <v>0.0</v>
      </c>
      <c r="P2861" s="21">
        <v>0.0</v>
      </c>
      <c r="Q2861" s="22" t="str">
        <f t="shared" ref="Q2861:R2861" si="1699">"+0"</f>
        <v>+0</v>
      </c>
      <c r="R2861" s="18" t="str">
        <f t="shared" si="1699"/>
        <v>+0</v>
      </c>
      <c r="S2861" s="14" t="s">
        <v>260</v>
      </c>
    </row>
    <row r="2862">
      <c r="A2862" s="13">
        <v>45901.0</v>
      </c>
      <c r="B2862" s="14" t="s">
        <v>47</v>
      </c>
      <c r="C2862" s="14" t="s">
        <v>48</v>
      </c>
      <c r="D2862" s="14" t="s">
        <v>149</v>
      </c>
      <c r="E2862" s="14" t="s">
        <v>150</v>
      </c>
      <c r="F2862" s="15" t="s">
        <v>51</v>
      </c>
      <c r="G2862" s="14" t="s">
        <v>151</v>
      </c>
      <c r="H2862" s="14" t="s">
        <v>152</v>
      </c>
      <c r="I2862" s="14" t="s">
        <v>54</v>
      </c>
      <c r="J2862" s="14" t="s">
        <v>198</v>
      </c>
      <c r="K2862" s="14" t="s">
        <v>210</v>
      </c>
      <c r="L2862" s="14" t="s">
        <v>264</v>
      </c>
      <c r="M2862" s="14" t="s">
        <v>1031</v>
      </c>
      <c r="N2862" s="14" t="s">
        <v>1032</v>
      </c>
      <c r="O2862" s="14">
        <v>0.0</v>
      </c>
      <c r="P2862" s="21">
        <v>0.0</v>
      </c>
      <c r="Q2862" s="22" t="str">
        <f t="shared" ref="Q2862:R2862" si="1700">"+0"</f>
        <v>+0</v>
      </c>
      <c r="R2862" s="18" t="str">
        <f t="shared" si="1700"/>
        <v>+0</v>
      </c>
      <c r="S2862" s="14" t="s">
        <v>277</v>
      </c>
    </row>
    <row r="2863">
      <c r="A2863" s="13">
        <v>45901.0</v>
      </c>
      <c r="B2863" s="14" t="s">
        <v>47</v>
      </c>
      <c r="C2863" s="14" t="s">
        <v>48</v>
      </c>
      <c r="D2863" s="14" t="s">
        <v>171</v>
      </c>
      <c r="E2863" s="14" t="s">
        <v>172</v>
      </c>
      <c r="F2863" s="15" t="s">
        <v>51</v>
      </c>
      <c r="G2863" s="14" t="s">
        <v>173</v>
      </c>
      <c r="H2863" s="14" t="s">
        <v>171</v>
      </c>
      <c r="I2863" s="14" t="s">
        <v>59</v>
      </c>
      <c r="J2863" s="14" t="s">
        <v>200</v>
      </c>
      <c r="K2863" s="14" t="s">
        <v>214</v>
      </c>
      <c r="L2863" s="14" t="s">
        <v>253</v>
      </c>
      <c r="M2863" s="14" t="s">
        <v>366</v>
      </c>
      <c r="N2863" s="14" t="s">
        <v>367</v>
      </c>
      <c r="O2863" s="14">
        <v>23.0</v>
      </c>
      <c r="P2863" s="23">
        <v>0.2333</v>
      </c>
      <c r="Q2863" s="22" t="str">
        <f t="shared" ref="Q2863:R2863" si="1701">"+0.00%"</f>
        <v>+0.00%</v>
      </c>
      <c r="R2863" s="18" t="str">
        <f t="shared" si="1701"/>
        <v>+0.00%</v>
      </c>
      <c r="S2863" s="14" t="s">
        <v>1554</v>
      </c>
    </row>
    <row r="2864">
      <c r="A2864" s="13">
        <v>45901.0</v>
      </c>
      <c r="B2864" s="14" t="s">
        <v>47</v>
      </c>
      <c r="C2864" s="14" t="s">
        <v>48</v>
      </c>
      <c r="D2864" s="14" t="s">
        <v>87</v>
      </c>
      <c r="E2864" s="14" t="s">
        <v>88</v>
      </c>
      <c r="F2864" s="15" t="s">
        <v>51</v>
      </c>
      <c r="G2864" s="14" t="s">
        <v>89</v>
      </c>
      <c r="H2864" s="14" t="s">
        <v>90</v>
      </c>
      <c r="I2864" s="14" t="s">
        <v>59</v>
      </c>
      <c r="J2864" s="14" t="s">
        <v>198</v>
      </c>
      <c r="K2864" s="14" t="s">
        <v>205</v>
      </c>
      <c r="L2864" s="14" t="s">
        <v>274</v>
      </c>
      <c r="M2864" s="14" t="s">
        <v>738</v>
      </c>
      <c r="N2864" s="14" t="s">
        <v>739</v>
      </c>
      <c r="O2864" s="14">
        <v>0.0</v>
      </c>
      <c r="P2864" s="21">
        <v>0.0</v>
      </c>
      <c r="Q2864" s="22" t="str">
        <f>"+0"</f>
        <v>+0</v>
      </c>
      <c r="S2864" s="14" t="s">
        <v>281</v>
      </c>
    </row>
    <row r="2865">
      <c r="A2865" s="13">
        <v>45901.0</v>
      </c>
      <c r="B2865" s="14" t="s">
        <v>47</v>
      </c>
      <c r="C2865" s="14" t="s">
        <v>48</v>
      </c>
      <c r="D2865" s="14" t="s">
        <v>129</v>
      </c>
      <c r="E2865" s="14" t="s">
        <v>130</v>
      </c>
      <c r="F2865" s="15" t="s">
        <v>51</v>
      </c>
      <c r="G2865" s="14" t="s">
        <v>131</v>
      </c>
      <c r="H2865" s="14" t="s">
        <v>129</v>
      </c>
      <c r="I2865" s="14" t="s">
        <v>59</v>
      </c>
      <c r="J2865" s="14" t="s">
        <v>200</v>
      </c>
      <c r="K2865" s="14" t="s">
        <v>213</v>
      </c>
      <c r="L2865" s="14" t="s">
        <v>440</v>
      </c>
      <c r="M2865" s="14" t="s">
        <v>441</v>
      </c>
      <c r="N2865" s="14" t="s">
        <v>442</v>
      </c>
      <c r="O2865" s="14">
        <v>0.0</v>
      </c>
      <c r="P2865" s="23">
        <v>0.0</v>
      </c>
      <c r="Q2865" s="22" t="str">
        <f t="shared" ref="Q2865:R2865" si="1702">"+0.00%"</f>
        <v>+0.00%</v>
      </c>
      <c r="R2865" s="18" t="str">
        <f t="shared" si="1702"/>
        <v>+0.00%</v>
      </c>
      <c r="S2865" s="14" t="s">
        <v>285</v>
      </c>
    </row>
    <row r="2866">
      <c r="A2866" s="13">
        <v>45901.0</v>
      </c>
      <c r="B2866" s="14" t="s">
        <v>47</v>
      </c>
      <c r="C2866" s="14" t="s">
        <v>48</v>
      </c>
      <c r="D2866" s="14" t="s">
        <v>149</v>
      </c>
      <c r="E2866" s="14" t="s">
        <v>150</v>
      </c>
      <c r="F2866" s="15" t="s">
        <v>51</v>
      </c>
      <c r="G2866" s="14" t="s">
        <v>151</v>
      </c>
      <c r="H2866" s="14" t="s">
        <v>152</v>
      </c>
      <c r="I2866" s="14" t="s">
        <v>54</v>
      </c>
      <c r="J2866" s="14" t="s">
        <v>199</v>
      </c>
      <c r="K2866" s="14" t="s">
        <v>206</v>
      </c>
      <c r="L2866" s="14" t="s">
        <v>295</v>
      </c>
      <c r="M2866" s="14" t="s">
        <v>986</v>
      </c>
      <c r="N2866" s="14" t="s">
        <v>987</v>
      </c>
      <c r="O2866" s="14">
        <v>0.0</v>
      </c>
      <c r="P2866" s="21">
        <v>0.0</v>
      </c>
      <c r="Q2866" s="22" t="str">
        <f t="shared" ref="Q2866:R2866" si="1703">"+0"</f>
        <v>+0</v>
      </c>
      <c r="R2866" s="18" t="str">
        <f t="shared" si="1703"/>
        <v>+0</v>
      </c>
      <c r="S2866" s="14" t="s">
        <v>260</v>
      </c>
    </row>
    <row r="2867">
      <c r="A2867" s="13">
        <v>45901.0</v>
      </c>
      <c r="B2867" s="14" t="s">
        <v>47</v>
      </c>
      <c r="C2867" s="14" t="s">
        <v>48</v>
      </c>
      <c r="D2867" s="14" t="s">
        <v>149</v>
      </c>
      <c r="E2867" s="14" t="s">
        <v>150</v>
      </c>
      <c r="F2867" s="15" t="s">
        <v>51</v>
      </c>
      <c r="G2867" s="14" t="s">
        <v>151</v>
      </c>
      <c r="H2867" s="14" t="s">
        <v>152</v>
      </c>
      <c r="I2867" s="14" t="s">
        <v>54</v>
      </c>
      <c r="J2867" s="14" t="s">
        <v>200</v>
      </c>
      <c r="K2867" s="14" t="s">
        <v>231</v>
      </c>
      <c r="L2867" s="14" t="s">
        <v>751</v>
      </c>
      <c r="M2867" s="14" t="s">
        <v>1926</v>
      </c>
      <c r="N2867" s="14" t="s">
        <v>1927</v>
      </c>
      <c r="O2867" s="14">
        <v>0.0</v>
      </c>
      <c r="P2867" s="21">
        <v>0.0</v>
      </c>
      <c r="Q2867" s="22" t="str">
        <f t="shared" ref="Q2867:R2867" si="1704">"+0"</f>
        <v>+0</v>
      </c>
      <c r="R2867" s="18" t="str">
        <f t="shared" si="1704"/>
        <v>+0</v>
      </c>
      <c r="S2867" s="14" t="s">
        <v>260</v>
      </c>
    </row>
    <row r="2868">
      <c r="A2868" s="13">
        <v>45901.0</v>
      </c>
      <c r="B2868" s="14" t="s">
        <v>47</v>
      </c>
      <c r="C2868" s="14" t="s">
        <v>48</v>
      </c>
      <c r="D2868" s="14" t="s">
        <v>96</v>
      </c>
      <c r="E2868" s="14" t="s">
        <v>97</v>
      </c>
      <c r="F2868" s="15" t="s">
        <v>51</v>
      </c>
      <c r="G2868" s="14" t="s">
        <v>98</v>
      </c>
      <c r="H2868" s="14" t="s">
        <v>96</v>
      </c>
      <c r="I2868" s="14" t="s">
        <v>59</v>
      </c>
      <c r="J2868" s="14" t="s">
        <v>198</v>
      </c>
      <c r="K2868" s="14" t="s">
        <v>205</v>
      </c>
      <c r="L2868" s="14" t="s">
        <v>274</v>
      </c>
      <c r="M2868" s="14" t="s">
        <v>636</v>
      </c>
      <c r="N2868" s="14" t="s">
        <v>637</v>
      </c>
      <c r="O2868" s="14">
        <v>0.0</v>
      </c>
      <c r="P2868" s="21">
        <v>0.0</v>
      </c>
      <c r="Q2868" s="22" t="str">
        <f>"+0"</f>
        <v>+0</v>
      </c>
      <c r="S2868" s="14" t="s">
        <v>281</v>
      </c>
    </row>
    <row r="2869">
      <c r="A2869" s="13">
        <v>45901.0</v>
      </c>
      <c r="B2869" s="14" t="s">
        <v>47</v>
      </c>
      <c r="C2869" s="14" t="s">
        <v>48</v>
      </c>
      <c r="D2869" s="14" t="s">
        <v>125</v>
      </c>
      <c r="E2869" s="14" t="s">
        <v>126</v>
      </c>
      <c r="F2869" s="15" t="s">
        <v>51</v>
      </c>
      <c r="G2869" s="14" t="s">
        <v>127</v>
      </c>
      <c r="H2869" s="14" t="s">
        <v>125</v>
      </c>
      <c r="I2869" s="14" t="s">
        <v>59</v>
      </c>
      <c r="J2869" s="14" t="s">
        <v>200</v>
      </c>
      <c r="K2869" s="14" t="s">
        <v>232</v>
      </c>
      <c r="L2869" s="14" t="s">
        <v>363</v>
      </c>
      <c r="M2869" s="14" t="s">
        <v>708</v>
      </c>
      <c r="N2869" s="14" t="s">
        <v>709</v>
      </c>
      <c r="O2869" s="14">
        <v>0.0</v>
      </c>
      <c r="P2869" s="23">
        <v>0.0</v>
      </c>
      <c r="Q2869" s="22" t="str">
        <f t="shared" ref="Q2869:R2869" si="1705">"+0.00%"</f>
        <v>+0.00%</v>
      </c>
      <c r="R2869" s="18" t="str">
        <f t="shared" si="1705"/>
        <v>+0.00%</v>
      </c>
      <c r="S2869" s="14" t="s">
        <v>285</v>
      </c>
    </row>
    <row r="2870">
      <c r="A2870" s="13">
        <v>45901.0</v>
      </c>
      <c r="B2870" s="14" t="s">
        <v>47</v>
      </c>
      <c r="C2870" s="14" t="s">
        <v>48</v>
      </c>
      <c r="D2870" s="14" t="s">
        <v>125</v>
      </c>
      <c r="E2870" s="14" t="s">
        <v>126</v>
      </c>
      <c r="F2870" s="15" t="s">
        <v>51</v>
      </c>
      <c r="G2870" s="14" t="s">
        <v>127</v>
      </c>
      <c r="H2870" s="14" t="s">
        <v>125</v>
      </c>
      <c r="I2870" s="14" t="s">
        <v>59</v>
      </c>
      <c r="J2870" s="14" t="s">
        <v>200</v>
      </c>
      <c r="K2870" s="14" t="s">
        <v>224</v>
      </c>
      <c r="L2870" s="14" t="s">
        <v>392</v>
      </c>
      <c r="M2870" s="14" t="s">
        <v>1638</v>
      </c>
      <c r="N2870" s="14" t="s">
        <v>1639</v>
      </c>
      <c r="O2870" s="14">
        <v>0.0</v>
      </c>
      <c r="P2870" s="17"/>
      <c r="Q2870" s="22"/>
      <c r="S2870" s="14" t="s">
        <v>1928</v>
      </c>
    </row>
    <row r="2871">
      <c r="A2871" s="13">
        <v>45901.0</v>
      </c>
      <c r="B2871" s="14" t="s">
        <v>47</v>
      </c>
      <c r="C2871" s="14" t="s">
        <v>48</v>
      </c>
      <c r="D2871" s="14" t="s">
        <v>69</v>
      </c>
      <c r="E2871" s="14" t="s">
        <v>70</v>
      </c>
      <c r="F2871" s="15" t="s">
        <v>51</v>
      </c>
      <c r="G2871" s="14" t="s">
        <v>115</v>
      </c>
      <c r="H2871" s="14" t="s">
        <v>72</v>
      </c>
      <c r="I2871" s="14" t="s">
        <v>54</v>
      </c>
      <c r="J2871" s="14" t="s">
        <v>200</v>
      </c>
      <c r="K2871" s="14" t="s">
        <v>227</v>
      </c>
      <c r="L2871" s="14" t="s">
        <v>270</v>
      </c>
      <c r="M2871" s="14" t="s">
        <v>417</v>
      </c>
      <c r="N2871" s="14" t="s">
        <v>418</v>
      </c>
      <c r="O2871" s="14">
        <v>20.0</v>
      </c>
      <c r="P2871" s="21">
        <v>5.0</v>
      </c>
      <c r="Q2871" s="22" t="str">
        <f>"+0"</f>
        <v>+0</v>
      </c>
      <c r="R2871" s="18" t="str">
        <f>"-3"</f>
        <v>-3</v>
      </c>
      <c r="S2871" s="14" t="s">
        <v>260</v>
      </c>
    </row>
    <row r="2872">
      <c r="A2872" s="13">
        <v>45901.0</v>
      </c>
      <c r="B2872" s="14" t="s">
        <v>47</v>
      </c>
      <c r="C2872" s="14" t="s">
        <v>48</v>
      </c>
      <c r="D2872" s="14" t="s">
        <v>69</v>
      </c>
      <c r="E2872" s="14" t="s">
        <v>70</v>
      </c>
      <c r="F2872" s="15" t="s">
        <v>51</v>
      </c>
      <c r="G2872" s="14" t="s">
        <v>115</v>
      </c>
      <c r="H2872" s="14" t="s">
        <v>72</v>
      </c>
      <c r="I2872" s="14" t="s">
        <v>54</v>
      </c>
      <c r="J2872" s="14" t="s">
        <v>200</v>
      </c>
      <c r="K2872" s="14" t="s">
        <v>211</v>
      </c>
      <c r="L2872" s="14" t="s">
        <v>253</v>
      </c>
      <c r="M2872" s="14" t="s">
        <v>1085</v>
      </c>
      <c r="N2872" s="14" t="s">
        <v>1086</v>
      </c>
      <c r="O2872" s="14">
        <v>0.0</v>
      </c>
      <c r="P2872" s="23">
        <v>0.0</v>
      </c>
      <c r="Q2872" s="22" t="str">
        <f t="shared" ref="Q2872:R2872" si="1706">"+0.00%"</f>
        <v>+0.00%</v>
      </c>
      <c r="R2872" s="18" t="str">
        <f t="shared" si="1706"/>
        <v>+0.00%</v>
      </c>
      <c r="S2872" s="14" t="s">
        <v>1929</v>
      </c>
    </row>
    <row r="2873">
      <c r="A2873" s="13">
        <v>45901.0</v>
      </c>
      <c r="B2873" s="14" t="s">
        <v>47</v>
      </c>
      <c r="C2873" s="14" t="s">
        <v>48</v>
      </c>
      <c r="D2873" s="14" t="s">
        <v>69</v>
      </c>
      <c r="E2873" s="14" t="s">
        <v>70</v>
      </c>
      <c r="F2873" s="15" t="s">
        <v>51</v>
      </c>
      <c r="G2873" s="14" t="s">
        <v>115</v>
      </c>
      <c r="H2873" s="14" t="s">
        <v>72</v>
      </c>
      <c r="I2873" s="14" t="s">
        <v>54</v>
      </c>
      <c r="J2873" s="14" t="s">
        <v>198</v>
      </c>
      <c r="K2873" s="14" t="s">
        <v>210</v>
      </c>
      <c r="L2873" s="14" t="s">
        <v>264</v>
      </c>
      <c r="M2873" s="14" t="s">
        <v>470</v>
      </c>
      <c r="N2873" s="14" t="s">
        <v>471</v>
      </c>
      <c r="O2873" s="14">
        <v>0.0</v>
      </c>
      <c r="P2873" s="21">
        <v>299685.0</v>
      </c>
      <c r="Q2873" s="22" t="str">
        <f>"-78,074"</f>
        <v>-78,074</v>
      </c>
      <c r="R2873" s="18" t="str">
        <f>"+22,974"</f>
        <v>+22,974</v>
      </c>
      <c r="S2873" s="14" t="s">
        <v>1930</v>
      </c>
    </row>
    <row r="2874">
      <c r="A2874" s="13">
        <v>45901.0</v>
      </c>
      <c r="B2874" s="14" t="s">
        <v>47</v>
      </c>
      <c r="C2874" s="14" t="s">
        <v>48</v>
      </c>
      <c r="D2874" s="14" t="s">
        <v>77</v>
      </c>
      <c r="E2874" s="14" t="s">
        <v>78</v>
      </c>
      <c r="F2874" s="15" t="s">
        <v>51</v>
      </c>
      <c r="G2874" s="14" t="s">
        <v>128</v>
      </c>
      <c r="H2874" s="14" t="s">
        <v>81</v>
      </c>
      <c r="I2874" s="14" t="s">
        <v>59</v>
      </c>
      <c r="J2874" s="14" t="s">
        <v>200</v>
      </c>
      <c r="K2874" s="14" t="s">
        <v>223</v>
      </c>
      <c r="L2874" s="14" t="s">
        <v>487</v>
      </c>
      <c r="M2874" s="14" t="s">
        <v>1415</v>
      </c>
      <c r="N2874" s="14" t="s">
        <v>1416</v>
      </c>
      <c r="O2874" s="14">
        <v>0.0</v>
      </c>
      <c r="P2874" s="21">
        <v>0.0</v>
      </c>
      <c r="Q2874" s="22" t="str">
        <f t="shared" ref="Q2874:R2874" si="1707">"+0"</f>
        <v>+0</v>
      </c>
      <c r="R2874" s="18" t="str">
        <f t="shared" si="1707"/>
        <v>+0</v>
      </c>
      <c r="S2874" s="14" t="s">
        <v>260</v>
      </c>
    </row>
    <row r="2875">
      <c r="A2875" s="13">
        <v>45901.0</v>
      </c>
      <c r="B2875" s="14" t="s">
        <v>47</v>
      </c>
      <c r="C2875" s="14" t="s">
        <v>48</v>
      </c>
      <c r="D2875" s="14" t="s">
        <v>174</v>
      </c>
      <c r="E2875" s="14" t="s">
        <v>175</v>
      </c>
      <c r="F2875" s="15" t="s">
        <v>51</v>
      </c>
      <c r="G2875" s="14" t="s">
        <v>176</v>
      </c>
      <c r="H2875" s="14" t="s">
        <v>174</v>
      </c>
      <c r="I2875" s="14" t="s">
        <v>59</v>
      </c>
      <c r="J2875" s="14" t="s">
        <v>198</v>
      </c>
      <c r="K2875" s="14" t="s">
        <v>210</v>
      </c>
      <c r="L2875" s="14" t="s">
        <v>505</v>
      </c>
      <c r="M2875" s="14" t="s">
        <v>506</v>
      </c>
      <c r="N2875" s="14" t="s">
        <v>507</v>
      </c>
      <c r="O2875" s="14">
        <v>0.0</v>
      </c>
      <c r="P2875" s="21">
        <v>105.0</v>
      </c>
      <c r="Q2875" s="22" t="str">
        <f>"+76"</f>
        <v>+76</v>
      </c>
      <c r="R2875" s="18" t="str">
        <f>"+100"</f>
        <v>+100</v>
      </c>
      <c r="S2875" s="14" t="s">
        <v>1931</v>
      </c>
    </row>
    <row r="2876">
      <c r="A2876" s="13">
        <v>45901.0</v>
      </c>
      <c r="B2876" s="14" t="s">
        <v>47</v>
      </c>
      <c r="C2876" s="14" t="s">
        <v>48</v>
      </c>
      <c r="D2876" s="14" t="s">
        <v>77</v>
      </c>
      <c r="E2876" s="14" t="s">
        <v>78</v>
      </c>
      <c r="F2876" s="15" t="s">
        <v>51</v>
      </c>
      <c r="G2876" s="14" t="s">
        <v>128</v>
      </c>
      <c r="H2876" s="14" t="s">
        <v>81</v>
      </c>
      <c r="I2876" s="14" t="s">
        <v>59</v>
      </c>
      <c r="J2876" s="14" t="s">
        <v>200</v>
      </c>
      <c r="K2876" s="14" t="s">
        <v>214</v>
      </c>
      <c r="L2876" s="14" t="s">
        <v>253</v>
      </c>
      <c r="M2876" s="14" t="s">
        <v>389</v>
      </c>
      <c r="N2876" s="14" t="s">
        <v>390</v>
      </c>
      <c r="O2876" s="14">
        <v>0.0</v>
      </c>
      <c r="P2876" s="17"/>
      <c r="Q2876" s="22"/>
      <c r="S2876" s="14" t="s">
        <v>1932</v>
      </c>
    </row>
    <row r="2877">
      <c r="A2877" s="13">
        <v>45901.0</v>
      </c>
      <c r="B2877" s="14" t="s">
        <v>47</v>
      </c>
      <c r="C2877" s="14" t="s">
        <v>48</v>
      </c>
      <c r="D2877" s="14" t="s">
        <v>77</v>
      </c>
      <c r="E2877" s="14" t="s">
        <v>78</v>
      </c>
      <c r="F2877" s="15" t="s">
        <v>51</v>
      </c>
      <c r="G2877" s="14" t="s">
        <v>128</v>
      </c>
      <c r="H2877" s="14" t="s">
        <v>81</v>
      </c>
      <c r="I2877" s="14" t="s">
        <v>59</v>
      </c>
      <c r="J2877" s="14" t="s">
        <v>200</v>
      </c>
      <c r="K2877" s="14" t="s">
        <v>223</v>
      </c>
      <c r="L2877" s="14" t="s">
        <v>487</v>
      </c>
      <c r="M2877" s="14" t="s">
        <v>1075</v>
      </c>
      <c r="N2877" s="14" t="s">
        <v>1076</v>
      </c>
      <c r="O2877" s="14">
        <v>0.0</v>
      </c>
      <c r="P2877" s="23">
        <v>0.0</v>
      </c>
      <c r="Q2877" s="22" t="str">
        <f t="shared" ref="Q2877:R2877" si="1708">"+0.00%"</f>
        <v>+0.00%</v>
      </c>
      <c r="R2877" s="18" t="str">
        <f t="shared" si="1708"/>
        <v>+0.00%</v>
      </c>
      <c r="S2877" s="14" t="s">
        <v>285</v>
      </c>
    </row>
    <row r="2878">
      <c r="A2878" s="13">
        <v>45901.0</v>
      </c>
      <c r="B2878" s="14" t="s">
        <v>47</v>
      </c>
      <c r="C2878" s="14" t="s">
        <v>48</v>
      </c>
      <c r="D2878" s="14" t="s">
        <v>116</v>
      </c>
      <c r="E2878" s="14" t="s">
        <v>117</v>
      </c>
      <c r="F2878" s="15" t="s">
        <v>51</v>
      </c>
      <c r="G2878" s="14" t="s">
        <v>161</v>
      </c>
      <c r="H2878" s="14" t="s">
        <v>116</v>
      </c>
      <c r="I2878" s="14" t="s">
        <v>54</v>
      </c>
      <c r="J2878" s="14" t="s">
        <v>200</v>
      </c>
      <c r="K2878" s="14" t="s">
        <v>227</v>
      </c>
      <c r="L2878" s="14" t="s">
        <v>721</v>
      </c>
      <c r="M2878" s="14" t="s">
        <v>1060</v>
      </c>
      <c r="N2878" s="14" t="s">
        <v>1061</v>
      </c>
      <c r="O2878" s="14">
        <v>46.0</v>
      </c>
      <c r="P2878" s="23">
        <v>-0.0774</v>
      </c>
      <c r="Q2878" s="22" t="str">
        <f>"+15.93%"</f>
        <v>+15.93%</v>
      </c>
      <c r="R2878" s="18" t="str">
        <f>"+3.95%"</f>
        <v>+3.95%</v>
      </c>
      <c r="S2878" s="14" t="s">
        <v>1062</v>
      </c>
    </row>
    <row r="2879">
      <c r="A2879" s="13">
        <v>45901.0</v>
      </c>
      <c r="B2879" s="14" t="s">
        <v>47</v>
      </c>
      <c r="C2879" s="14" t="s">
        <v>48</v>
      </c>
      <c r="D2879" s="14" t="s">
        <v>77</v>
      </c>
      <c r="E2879" s="14" t="s">
        <v>78</v>
      </c>
      <c r="F2879" s="15" t="s">
        <v>51</v>
      </c>
      <c r="G2879" s="14" t="s">
        <v>128</v>
      </c>
      <c r="H2879" s="14" t="s">
        <v>81</v>
      </c>
      <c r="I2879" s="14" t="s">
        <v>59</v>
      </c>
      <c r="J2879" s="14" t="s">
        <v>198</v>
      </c>
      <c r="K2879" s="14" t="s">
        <v>212</v>
      </c>
      <c r="L2879" s="14" t="s">
        <v>249</v>
      </c>
      <c r="M2879" s="14" t="s">
        <v>598</v>
      </c>
      <c r="N2879" s="14" t="s">
        <v>599</v>
      </c>
      <c r="O2879" s="14">
        <v>0.0</v>
      </c>
      <c r="P2879" s="21">
        <v>60.0</v>
      </c>
      <c r="Q2879" s="22" t="str">
        <f>"-2"</f>
        <v>-2</v>
      </c>
      <c r="R2879" s="18" t="str">
        <f>"+32"</f>
        <v>+32</v>
      </c>
      <c r="S2879" s="14" t="s">
        <v>1933</v>
      </c>
    </row>
    <row r="2880">
      <c r="A2880" s="13">
        <v>45901.0</v>
      </c>
      <c r="B2880" s="14" t="s">
        <v>47</v>
      </c>
      <c r="C2880" s="14" t="s">
        <v>48</v>
      </c>
      <c r="D2880" s="14" t="s">
        <v>77</v>
      </c>
      <c r="E2880" s="14" t="s">
        <v>78</v>
      </c>
      <c r="F2880" s="15" t="s">
        <v>51</v>
      </c>
      <c r="G2880" s="14" t="s">
        <v>128</v>
      </c>
      <c r="H2880" s="14" t="s">
        <v>81</v>
      </c>
      <c r="I2880" s="14" t="s">
        <v>59</v>
      </c>
      <c r="J2880" s="14" t="s">
        <v>200</v>
      </c>
      <c r="K2880" s="14" t="s">
        <v>223</v>
      </c>
      <c r="L2880" s="14" t="s">
        <v>307</v>
      </c>
      <c r="M2880" s="14" t="s">
        <v>308</v>
      </c>
      <c r="N2880" s="14" t="s">
        <v>309</v>
      </c>
      <c r="O2880" s="14">
        <v>0.0</v>
      </c>
      <c r="P2880" s="23">
        <v>0.0</v>
      </c>
      <c r="Q2880" s="22" t="str">
        <f t="shared" ref="Q2880:R2880" si="1709">"+0.00%"</f>
        <v>+0.00%</v>
      </c>
      <c r="R2880" s="18" t="str">
        <f t="shared" si="1709"/>
        <v>+0.00%</v>
      </c>
      <c r="S2880" s="14" t="s">
        <v>285</v>
      </c>
    </row>
    <row r="2881">
      <c r="A2881" s="13">
        <v>45901.0</v>
      </c>
      <c r="B2881" s="14" t="s">
        <v>47</v>
      </c>
      <c r="C2881" s="14" t="s">
        <v>48</v>
      </c>
      <c r="D2881" s="14" t="s">
        <v>121</v>
      </c>
      <c r="E2881" s="14" t="s">
        <v>122</v>
      </c>
      <c r="F2881" s="15" t="s">
        <v>51</v>
      </c>
      <c r="G2881" s="14" t="s">
        <v>123</v>
      </c>
      <c r="H2881" s="14" t="s">
        <v>124</v>
      </c>
      <c r="I2881" s="14" t="s">
        <v>59</v>
      </c>
      <c r="J2881" s="14" t="s">
        <v>200</v>
      </c>
      <c r="K2881" s="14" t="s">
        <v>232</v>
      </c>
      <c r="L2881" s="14" t="s">
        <v>286</v>
      </c>
      <c r="M2881" s="14" t="s">
        <v>656</v>
      </c>
      <c r="N2881" s="14" t="s">
        <v>657</v>
      </c>
      <c r="O2881" s="14">
        <v>0.0</v>
      </c>
      <c r="P2881" s="23">
        <v>0.0</v>
      </c>
      <c r="Q2881" s="22" t="str">
        <f t="shared" ref="Q2881:R2881" si="1710">"+0.00%"</f>
        <v>+0.00%</v>
      </c>
      <c r="R2881" s="18" t="str">
        <f t="shared" si="1710"/>
        <v>+0.00%</v>
      </c>
      <c r="S2881" s="14" t="s">
        <v>285</v>
      </c>
    </row>
    <row r="2882">
      <c r="A2882" s="13">
        <v>45901.0</v>
      </c>
      <c r="B2882" s="14" t="s">
        <v>47</v>
      </c>
      <c r="C2882" s="14" t="s">
        <v>48</v>
      </c>
      <c r="D2882" s="14" t="s">
        <v>155</v>
      </c>
      <c r="E2882" s="14" t="s">
        <v>156</v>
      </c>
      <c r="F2882" s="15" t="s">
        <v>51</v>
      </c>
      <c r="G2882" s="14" t="s">
        <v>157</v>
      </c>
      <c r="H2882" s="14" t="s">
        <v>155</v>
      </c>
      <c r="I2882" s="14" t="s">
        <v>59</v>
      </c>
      <c r="J2882" s="14" t="s">
        <v>200</v>
      </c>
      <c r="K2882" s="14" t="s">
        <v>223</v>
      </c>
      <c r="L2882" s="14" t="s">
        <v>487</v>
      </c>
      <c r="M2882" s="14" t="s">
        <v>962</v>
      </c>
      <c r="N2882" s="14" t="s">
        <v>963</v>
      </c>
      <c r="O2882" s="14">
        <v>0.0</v>
      </c>
      <c r="P2882" s="17"/>
      <c r="Q2882" s="22"/>
      <c r="S2882" s="14" t="s">
        <v>285</v>
      </c>
    </row>
    <row r="2883">
      <c r="A2883" s="13">
        <v>45901.0</v>
      </c>
      <c r="B2883" s="14" t="s">
        <v>47</v>
      </c>
      <c r="C2883" s="14" t="s">
        <v>48</v>
      </c>
      <c r="D2883" s="14" t="s">
        <v>155</v>
      </c>
      <c r="E2883" s="14" t="s">
        <v>156</v>
      </c>
      <c r="F2883" s="15" t="s">
        <v>51</v>
      </c>
      <c r="G2883" s="14" t="s">
        <v>157</v>
      </c>
      <c r="H2883" s="14" t="s">
        <v>155</v>
      </c>
      <c r="I2883" s="14" t="s">
        <v>59</v>
      </c>
      <c r="J2883" s="14" t="s">
        <v>199</v>
      </c>
      <c r="K2883" s="14" t="s">
        <v>203</v>
      </c>
      <c r="L2883" s="14" t="s">
        <v>725</v>
      </c>
      <c r="M2883" s="14" t="s">
        <v>725</v>
      </c>
      <c r="N2883" s="14" t="s">
        <v>726</v>
      </c>
      <c r="O2883" s="14">
        <v>0.0</v>
      </c>
      <c r="P2883" s="21">
        <v>0.0</v>
      </c>
      <c r="Q2883" s="22" t="str">
        <f t="shared" ref="Q2883:R2883" si="1711">"+0"</f>
        <v>+0</v>
      </c>
      <c r="R2883" s="18" t="str">
        <f t="shared" si="1711"/>
        <v>+0</v>
      </c>
      <c r="S2883" s="14" t="s">
        <v>260</v>
      </c>
    </row>
    <row r="2884">
      <c r="A2884" s="13">
        <v>45901.0</v>
      </c>
      <c r="B2884" s="14" t="s">
        <v>47</v>
      </c>
      <c r="C2884" s="14" t="s">
        <v>48</v>
      </c>
      <c r="D2884" s="14" t="s">
        <v>168</v>
      </c>
      <c r="E2884" s="14" t="s">
        <v>169</v>
      </c>
      <c r="F2884" s="15" t="s">
        <v>51</v>
      </c>
      <c r="G2884" s="14" t="s">
        <v>170</v>
      </c>
      <c r="H2884" s="14" t="s">
        <v>168</v>
      </c>
      <c r="I2884" s="14" t="s">
        <v>59</v>
      </c>
      <c r="J2884" s="14" t="s">
        <v>199</v>
      </c>
      <c r="K2884" s="14" t="s">
        <v>206</v>
      </c>
      <c r="L2884" s="14" t="s">
        <v>569</v>
      </c>
      <c r="M2884" s="14" t="s">
        <v>569</v>
      </c>
      <c r="N2884" s="14" t="s">
        <v>570</v>
      </c>
      <c r="O2884" s="14">
        <v>75.0</v>
      </c>
      <c r="P2884" s="21">
        <v>1.0</v>
      </c>
      <c r="Q2884" s="22" t="str">
        <f t="shared" ref="Q2884:R2884" si="1712">"+0"</f>
        <v>+0</v>
      </c>
      <c r="R2884" s="18" t="str">
        <f t="shared" si="1712"/>
        <v>+0</v>
      </c>
      <c r="S2884" s="14" t="s">
        <v>383</v>
      </c>
    </row>
    <row r="2885">
      <c r="A2885" s="13">
        <v>45901.0</v>
      </c>
      <c r="B2885" s="14" t="s">
        <v>47</v>
      </c>
      <c r="C2885" s="14" t="s">
        <v>48</v>
      </c>
      <c r="D2885" s="14" t="s">
        <v>181</v>
      </c>
      <c r="E2885" s="14" t="s">
        <v>182</v>
      </c>
      <c r="F2885" s="15" t="s">
        <v>51</v>
      </c>
      <c r="G2885" s="14" t="s">
        <v>183</v>
      </c>
      <c r="H2885" s="14" t="s">
        <v>181</v>
      </c>
      <c r="I2885" s="14" t="s">
        <v>59</v>
      </c>
      <c r="J2885" s="14" t="s">
        <v>200</v>
      </c>
      <c r="K2885" s="14" t="s">
        <v>227</v>
      </c>
      <c r="L2885" s="14" t="s">
        <v>270</v>
      </c>
      <c r="M2885" s="14" t="s">
        <v>417</v>
      </c>
      <c r="N2885" s="14" t="s">
        <v>418</v>
      </c>
      <c r="O2885" s="14">
        <v>50.0</v>
      </c>
      <c r="P2885" s="21">
        <v>1.0</v>
      </c>
      <c r="Q2885" s="22" t="str">
        <f t="shared" ref="Q2885:R2885" si="1713">"+0"</f>
        <v>+0</v>
      </c>
      <c r="R2885" s="18" t="str">
        <f t="shared" si="1713"/>
        <v>+0</v>
      </c>
      <c r="S2885" s="14" t="s">
        <v>260</v>
      </c>
    </row>
    <row r="2886">
      <c r="A2886" s="13">
        <v>45901.0</v>
      </c>
      <c r="B2886" s="14" t="s">
        <v>47</v>
      </c>
      <c r="C2886" s="14" t="s">
        <v>48</v>
      </c>
      <c r="D2886" s="14" t="s">
        <v>56</v>
      </c>
      <c r="E2886" s="14" t="s">
        <v>57</v>
      </c>
      <c r="F2886" s="15" t="s">
        <v>51</v>
      </c>
      <c r="G2886" s="14" t="s">
        <v>58</v>
      </c>
      <c r="H2886" s="14" t="s">
        <v>56</v>
      </c>
      <c r="I2886" s="14" t="s">
        <v>59</v>
      </c>
      <c r="J2886" s="14" t="s">
        <v>198</v>
      </c>
      <c r="K2886" s="14" t="s">
        <v>205</v>
      </c>
      <c r="L2886" s="14" t="s">
        <v>274</v>
      </c>
      <c r="M2886" s="14" t="s">
        <v>482</v>
      </c>
      <c r="N2886" s="14" t="s">
        <v>483</v>
      </c>
      <c r="O2886" s="14">
        <v>100.0</v>
      </c>
      <c r="P2886" s="21">
        <v>8.0</v>
      </c>
      <c r="Q2886" s="22" t="str">
        <f t="shared" ref="Q2886:Q2888" si="1714">"+0"</f>
        <v>+0</v>
      </c>
      <c r="S2886" s="14" t="s">
        <v>484</v>
      </c>
    </row>
    <row r="2887">
      <c r="A2887" s="13">
        <v>45901.0</v>
      </c>
      <c r="B2887" s="14" t="s">
        <v>47</v>
      </c>
      <c r="C2887" s="14" t="s">
        <v>48</v>
      </c>
      <c r="D2887" s="14" t="s">
        <v>49</v>
      </c>
      <c r="E2887" s="14" t="s">
        <v>50</v>
      </c>
      <c r="F2887" s="15" t="s">
        <v>51</v>
      </c>
      <c r="G2887" s="14" t="s">
        <v>52</v>
      </c>
      <c r="H2887" s="14" t="s">
        <v>53</v>
      </c>
      <c r="I2887" s="14" t="s">
        <v>54</v>
      </c>
      <c r="J2887" s="14" t="s">
        <v>198</v>
      </c>
      <c r="K2887" s="14" t="s">
        <v>210</v>
      </c>
      <c r="L2887" s="14" t="s">
        <v>278</v>
      </c>
      <c r="M2887" s="14" t="s">
        <v>279</v>
      </c>
      <c r="N2887" s="14" t="s">
        <v>280</v>
      </c>
      <c r="O2887" s="14">
        <v>100.0</v>
      </c>
      <c r="P2887" s="21">
        <v>0.0</v>
      </c>
      <c r="Q2887" s="22" t="str">
        <f t="shared" si="1714"/>
        <v>+0</v>
      </c>
      <c r="R2887" s="18" t="str">
        <f t="shared" ref="R2887:R2888" si="1715">"+0"</f>
        <v>+0</v>
      </c>
      <c r="S2887" s="14" t="s">
        <v>281</v>
      </c>
    </row>
    <row r="2888">
      <c r="A2888" s="13">
        <v>45901.0</v>
      </c>
      <c r="B2888" s="14" t="s">
        <v>47</v>
      </c>
      <c r="C2888" s="14" t="s">
        <v>48</v>
      </c>
      <c r="D2888" s="14" t="s">
        <v>91</v>
      </c>
      <c r="E2888" s="14" t="s">
        <v>92</v>
      </c>
      <c r="F2888" s="14" t="s">
        <v>71</v>
      </c>
      <c r="G2888" s="14">
        <v>5.00008613E8</v>
      </c>
      <c r="H2888" s="14" t="s">
        <v>91</v>
      </c>
      <c r="I2888" s="14" t="s">
        <v>59</v>
      </c>
      <c r="J2888" s="14" t="s">
        <v>199</v>
      </c>
      <c r="K2888" s="14" t="s">
        <v>203</v>
      </c>
      <c r="L2888" s="14" t="s">
        <v>601</v>
      </c>
      <c r="M2888" s="14" t="s">
        <v>601</v>
      </c>
      <c r="N2888" s="14" t="s">
        <v>602</v>
      </c>
      <c r="O2888" s="14">
        <v>0.0</v>
      </c>
      <c r="P2888" s="21">
        <v>0.0</v>
      </c>
      <c r="Q2888" s="22" t="str">
        <f t="shared" si="1714"/>
        <v>+0</v>
      </c>
      <c r="R2888" s="18" t="str">
        <f t="shared" si="1715"/>
        <v>+0</v>
      </c>
      <c r="S2888" s="14" t="s">
        <v>260</v>
      </c>
    </row>
    <row r="2889">
      <c r="A2889" s="13">
        <v>45901.0</v>
      </c>
      <c r="B2889" s="14" t="s">
        <v>47</v>
      </c>
      <c r="C2889" s="14" t="s">
        <v>48</v>
      </c>
      <c r="D2889" s="14" t="s">
        <v>177</v>
      </c>
      <c r="E2889" s="14" t="s">
        <v>178</v>
      </c>
      <c r="F2889" s="14" t="s">
        <v>146</v>
      </c>
      <c r="G2889" s="14" t="s">
        <v>179</v>
      </c>
      <c r="H2889" s="14" t="s">
        <v>177</v>
      </c>
      <c r="I2889" s="14" t="s">
        <v>107</v>
      </c>
      <c r="J2889" s="14" t="s">
        <v>200</v>
      </c>
      <c r="K2889" s="14" t="s">
        <v>226</v>
      </c>
      <c r="L2889" s="14" t="s">
        <v>698</v>
      </c>
      <c r="M2889" s="14" t="s">
        <v>1934</v>
      </c>
      <c r="N2889" s="14" t="s">
        <v>1935</v>
      </c>
      <c r="O2889" s="14">
        <v>100.0</v>
      </c>
      <c r="P2889" s="23">
        <v>1.0</v>
      </c>
      <c r="Q2889" s="22" t="str">
        <f t="shared" ref="Q2889:R2889" si="1716">"+0.00%"</f>
        <v>+0.00%</v>
      </c>
      <c r="R2889" s="18" t="str">
        <f t="shared" si="1716"/>
        <v>+0.00%</v>
      </c>
      <c r="S2889" s="14" t="s">
        <v>1936</v>
      </c>
    </row>
    <row r="2890">
      <c r="A2890" s="13">
        <v>45901.0</v>
      </c>
      <c r="B2890" s="14" t="s">
        <v>47</v>
      </c>
      <c r="C2890" s="14" t="s">
        <v>48</v>
      </c>
      <c r="D2890" s="14" t="s">
        <v>91</v>
      </c>
      <c r="E2890" s="14" t="s">
        <v>92</v>
      </c>
      <c r="F2890" s="14" t="s">
        <v>71</v>
      </c>
      <c r="G2890" s="14">
        <v>1.00005882E8</v>
      </c>
      <c r="H2890" s="14" t="s">
        <v>91</v>
      </c>
      <c r="I2890" s="14" t="s">
        <v>59</v>
      </c>
      <c r="J2890" s="14" t="s">
        <v>199</v>
      </c>
      <c r="K2890" s="14" t="s">
        <v>206</v>
      </c>
      <c r="L2890" s="14" t="s">
        <v>295</v>
      </c>
      <c r="M2890" s="14" t="s">
        <v>461</v>
      </c>
      <c r="N2890" s="14" t="s">
        <v>462</v>
      </c>
      <c r="O2890" s="14">
        <v>0.0</v>
      </c>
      <c r="P2890" s="21">
        <v>0.0</v>
      </c>
      <c r="Q2890" s="22" t="str">
        <f t="shared" ref="Q2890:R2890" si="1717">"+0"</f>
        <v>+0</v>
      </c>
      <c r="R2890" s="18" t="str">
        <f t="shared" si="1717"/>
        <v>+0</v>
      </c>
      <c r="S2890" s="14" t="s">
        <v>260</v>
      </c>
    </row>
    <row r="2891">
      <c r="A2891" s="13">
        <v>45901.0</v>
      </c>
      <c r="B2891" s="14" t="s">
        <v>47</v>
      </c>
      <c r="C2891" s="14" t="s">
        <v>48</v>
      </c>
      <c r="D2891" s="14" t="s">
        <v>91</v>
      </c>
      <c r="E2891" s="14" t="s">
        <v>92</v>
      </c>
      <c r="F2891" s="14" t="s">
        <v>71</v>
      </c>
      <c r="G2891" s="14">
        <v>5.00008343E8</v>
      </c>
      <c r="H2891" s="14" t="s">
        <v>91</v>
      </c>
      <c r="I2891" s="14" t="s">
        <v>59</v>
      </c>
      <c r="J2891" s="14" t="s">
        <v>200</v>
      </c>
      <c r="K2891" s="14" t="s">
        <v>218</v>
      </c>
      <c r="L2891" s="14" t="s">
        <v>253</v>
      </c>
      <c r="M2891" s="14" t="s">
        <v>784</v>
      </c>
      <c r="N2891" s="14" t="s">
        <v>785</v>
      </c>
      <c r="O2891" s="14">
        <v>1.0</v>
      </c>
      <c r="P2891" s="23">
        <v>0.0062</v>
      </c>
      <c r="Q2891" s="22" t="str">
        <f>"+0.06%"</f>
        <v>+0.06%</v>
      </c>
      <c r="R2891" s="18" t="str">
        <f>"+0.15%"</f>
        <v>+0.15%</v>
      </c>
      <c r="S2891" s="14" t="s">
        <v>1345</v>
      </c>
    </row>
    <row r="2892">
      <c r="A2892" s="13">
        <v>45901.0</v>
      </c>
      <c r="B2892" s="14" t="s">
        <v>47</v>
      </c>
      <c r="C2892" s="14" t="s">
        <v>48</v>
      </c>
      <c r="D2892" s="14" t="s">
        <v>63</v>
      </c>
      <c r="E2892" s="14" t="s">
        <v>64</v>
      </c>
      <c r="F2892" s="15" t="s">
        <v>51</v>
      </c>
      <c r="G2892" s="14" t="s">
        <v>65</v>
      </c>
      <c r="H2892" s="14" t="s">
        <v>63</v>
      </c>
      <c r="I2892" s="14" t="s">
        <v>54</v>
      </c>
      <c r="J2892" s="14" t="s">
        <v>200</v>
      </c>
      <c r="K2892" s="14" t="s">
        <v>224</v>
      </c>
      <c r="L2892" s="14" t="s">
        <v>427</v>
      </c>
      <c r="M2892" s="14" t="s">
        <v>769</v>
      </c>
      <c r="N2892" s="14" t="s">
        <v>770</v>
      </c>
      <c r="O2892" s="14">
        <v>0.0</v>
      </c>
      <c r="P2892" s="23">
        <v>0.0</v>
      </c>
      <c r="Q2892" s="22" t="str">
        <f t="shared" ref="Q2892:R2892" si="1718">"+0.00%"</f>
        <v>+0.00%</v>
      </c>
      <c r="R2892" s="18" t="str">
        <f t="shared" si="1718"/>
        <v>+0.00%</v>
      </c>
      <c r="S2892" s="14" t="s">
        <v>771</v>
      </c>
    </row>
    <row r="2893">
      <c r="A2893" s="13">
        <v>45901.0</v>
      </c>
      <c r="B2893" s="14" t="s">
        <v>47</v>
      </c>
      <c r="C2893" s="14" t="s">
        <v>48</v>
      </c>
      <c r="D2893" s="14" t="s">
        <v>63</v>
      </c>
      <c r="E2893" s="14" t="s">
        <v>64</v>
      </c>
      <c r="F2893" s="15" t="s">
        <v>51</v>
      </c>
      <c r="G2893" s="14" t="s">
        <v>65</v>
      </c>
      <c r="H2893" s="14" t="s">
        <v>63</v>
      </c>
      <c r="I2893" s="14" t="s">
        <v>54</v>
      </c>
      <c r="J2893" s="14" t="s">
        <v>198</v>
      </c>
      <c r="K2893" s="14" t="s">
        <v>210</v>
      </c>
      <c r="L2893" s="14" t="s">
        <v>264</v>
      </c>
      <c r="M2893" s="14" t="s">
        <v>1802</v>
      </c>
      <c r="N2893" s="14" t="s">
        <v>1803</v>
      </c>
      <c r="O2893" s="14">
        <v>0.0</v>
      </c>
      <c r="P2893" s="21">
        <v>0.0</v>
      </c>
      <c r="Q2893" s="22" t="str">
        <f t="shared" ref="Q2893:R2893" si="1719">"+0"</f>
        <v>+0</v>
      </c>
      <c r="R2893" s="18" t="str">
        <f t="shared" si="1719"/>
        <v>+0</v>
      </c>
      <c r="S2893" s="14" t="s">
        <v>277</v>
      </c>
    </row>
    <row r="2894">
      <c r="A2894" s="13">
        <v>45901.0</v>
      </c>
      <c r="B2894" s="14" t="s">
        <v>47</v>
      </c>
      <c r="C2894" s="14" t="s">
        <v>48</v>
      </c>
      <c r="D2894" s="14" t="s">
        <v>91</v>
      </c>
      <c r="E2894" s="14" t="s">
        <v>92</v>
      </c>
      <c r="F2894" s="14" t="s">
        <v>71</v>
      </c>
      <c r="G2894" s="14">
        <v>1.00005882E8</v>
      </c>
      <c r="H2894" s="14" t="s">
        <v>91</v>
      </c>
      <c r="I2894" s="14" t="s">
        <v>59</v>
      </c>
      <c r="J2894" s="14" t="s">
        <v>200</v>
      </c>
      <c r="K2894" s="14" t="s">
        <v>218</v>
      </c>
      <c r="L2894" s="14" t="s">
        <v>253</v>
      </c>
      <c r="M2894" s="14" t="s">
        <v>784</v>
      </c>
      <c r="N2894" s="14" t="s">
        <v>785</v>
      </c>
      <c r="O2894" s="14">
        <v>5.0</v>
      </c>
      <c r="P2894" s="23">
        <v>0.0551</v>
      </c>
      <c r="Q2894" s="22" t="str">
        <f>"+0.01%"</f>
        <v>+0.01%</v>
      </c>
      <c r="R2894" s="18" t="str">
        <f>"+0.02%"</f>
        <v>+0.02%</v>
      </c>
      <c r="S2894" s="14" t="s">
        <v>786</v>
      </c>
    </row>
    <row r="2895">
      <c r="A2895" s="13">
        <v>45901.0</v>
      </c>
      <c r="B2895" s="14" t="s">
        <v>47</v>
      </c>
      <c r="C2895" s="14" t="s">
        <v>48</v>
      </c>
      <c r="D2895" s="14" t="s">
        <v>66</v>
      </c>
      <c r="E2895" s="14" t="s">
        <v>67</v>
      </c>
      <c r="F2895" s="15" t="s">
        <v>51</v>
      </c>
      <c r="G2895" s="14" t="s">
        <v>68</v>
      </c>
      <c r="H2895" s="14" t="s">
        <v>66</v>
      </c>
      <c r="I2895" s="14" t="s">
        <v>59</v>
      </c>
      <c r="J2895" s="14" t="s">
        <v>199</v>
      </c>
      <c r="K2895" s="14" t="s">
        <v>208</v>
      </c>
      <c r="L2895" s="14" t="s">
        <v>412</v>
      </c>
      <c r="M2895" s="14" t="s">
        <v>412</v>
      </c>
      <c r="N2895" s="14" t="s">
        <v>413</v>
      </c>
      <c r="O2895" s="14">
        <v>85.0</v>
      </c>
      <c r="P2895" s="21">
        <v>3.0</v>
      </c>
      <c r="Q2895" s="22" t="str">
        <f>"+0"</f>
        <v>+0</v>
      </c>
      <c r="R2895" s="18" t="str">
        <f>"+1"</f>
        <v>+1</v>
      </c>
      <c r="S2895" s="14" t="s">
        <v>260</v>
      </c>
    </row>
    <row r="2896">
      <c r="A2896" s="13">
        <v>45901.0</v>
      </c>
      <c r="B2896" s="14" t="s">
        <v>47</v>
      </c>
      <c r="C2896" s="14" t="s">
        <v>48</v>
      </c>
      <c r="D2896" s="14" t="s">
        <v>93</v>
      </c>
      <c r="E2896" s="14" t="s">
        <v>94</v>
      </c>
      <c r="F2896" s="15" t="s">
        <v>51</v>
      </c>
      <c r="G2896" s="14" t="s">
        <v>191</v>
      </c>
      <c r="H2896" s="14" t="s">
        <v>95</v>
      </c>
      <c r="I2896" s="14" t="s">
        <v>59</v>
      </c>
      <c r="J2896" s="14" t="s">
        <v>198</v>
      </c>
      <c r="K2896" s="14" t="s">
        <v>210</v>
      </c>
      <c r="L2896" s="14" t="s">
        <v>264</v>
      </c>
      <c r="M2896" s="14" t="s">
        <v>524</v>
      </c>
      <c r="N2896" s="14" t="s">
        <v>525</v>
      </c>
      <c r="O2896" s="14">
        <v>100.0</v>
      </c>
      <c r="P2896" s="21">
        <v>0.0</v>
      </c>
      <c r="Q2896" s="22" t="str">
        <f>"-5"</f>
        <v>-5</v>
      </c>
      <c r="R2896" s="18" t="str">
        <f>"+0"</f>
        <v>+0</v>
      </c>
      <c r="S2896" s="14" t="s">
        <v>281</v>
      </c>
    </row>
    <row r="2897">
      <c r="A2897" s="13">
        <v>45901.0</v>
      </c>
      <c r="B2897" s="14" t="s">
        <v>47</v>
      </c>
      <c r="C2897" s="14" t="s">
        <v>48</v>
      </c>
      <c r="D2897" s="14" t="s">
        <v>192</v>
      </c>
      <c r="E2897" s="14" t="s">
        <v>193</v>
      </c>
      <c r="F2897" s="15" t="s">
        <v>51</v>
      </c>
      <c r="G2897" s="14" t="s">
        <v>194</v>
      </c>
      <c r="H2897" s="14" t="s">
        <v>192</v>
      </c>
      <c r="I2897" s="14" t="s">
        <v>54</v>
      </c>
      <c r="J2897" s="14" t="s">
        <v>200</v>
      </c>
      <c r="K2897" s="14" t="s">
        <v>223</v>
      </c>
      <c r="L2897" s="14" t="s">
        <v>607</v>
      </c>
      <c r="M2897" s="14" t="s">
        <v>869</v>
      </c>
      <c r="N2897" s="14" t="s">
        <v>870</v>
      </c>
      <c r="O2897" s="14">
        <v>56.0</v>
      </c>
      <c r="P2897" s="23">
        <v>0.1217</v>
      </c>
      <c r="Q2897" s="22" t="str">
        <f>"-21.51%"</f>
        <v>-21.51%</v>
      </c>
      <c r="R2897" s="18" t="str">
        <f>"-16.46%"</f>
        <v>-16.46%</v>
      </c>
      <c r="S2897" s="14" t="s">
        <v>1602</v>
      </c>
    </row>
    <row r="2898">
      <c r="A2898" s="13">
        <v>45901.0</v>
      </c>
      <c r="B2898" s="14" t="s">
        <v>47</v>
      </c>
      <c r="C2898" s="14" t="s">
        <v>48</v>
      </c>
      <c r="D2898" s="14" t="s">
        <v>82</v>
      </c>
      <c r="E2898" s="14" t="s">
        <v>83</v>
      </c>
      <c r="F2898" s="15" t="s">
        <v>51</v>
      </c>
      <c r="G2898" s="14" t="s">
        <v>84</v>
      </c>
      <c r="H2898" s="14" t="s">
        <v>82</v>
      </c>
      <c r="I2898" s="14" t="s">
        <v>59</v>
      </c>
      <c r="J2898" s="14" t="s">
        <v>199</v>
      </c>
      <c r="K2898" s="14" t="s">
        <v>206</v>
      </c>
      <c r="L2898" s="14" t="s">
        <v>295</v>
      </c>
      <c r="M2898" s="14" t="s">
        <v>651</v>
      </c>
      <c r="N2898" s="14" t="s">
        <v>652</v>
      </c>
      <c r="O2898" s="14">
        <v>0.0</v>
      </c>
      <c r="P2898" s="21">
        <v>0.0</v>
      </c>
      <c r="Q2898" s="22" t="str">
        <f t="shared" ref="Q2898:R2898" si="1720">"+0"</f>
        <v>+0</v>
      </c>
      <c r="R2898" s="18" t="str">
        <f t="shared" si="1720"/>
        <v>+0</v>
      </c>
      <c r="S2898" s="14" t="s">
        <v>260</v>
      </c>
    </row>
    <row r="2899">
      <c r="A2899" s="13">
        <v>45901.0</v>
      </c>
      <c r="B2899" s="14" t="s">
        <v>47</v>
      </c>
      <c r="C2899" s="14" t="s">
        <v>48</v>
      </c>
      <c r="D2899" s="14" t="s">
        <v>192</v>
      </c>
      <c r="E2899" s="14" t="s">
        <v>193</v>
      </c>
      <c r="F2899" s="15" t="s">
        <v>51</v>
      </c>
      <c r="G2899" s="14" t="s">
        <v>194</v>
      </c>
      <c r="H2899" s="14" t="s">
        <v>192</v>
      </c>
      <c r="I2899" s="14" t="s">
        <v>54</v>
      </c>
      <c r="J2899" s="14" t="s">
        <v>200</v>
      </c>
      <c r="K2899" s="14" t="s">
        <v>231</v>
      </c>
      <c r="L2899" s="14" t="s">
        <v>512</v>
      </c>
      <c r="M2899" s="14" t="s">
        <v>1937</v>
      </c>
      <c r="N2899" s="14" t="s">
        <v>1938</v>
      </c>
      <c r="O2899" s="14">
        <v>0.0</v>
      </c>
      <c r="P2899" s="21">
        <v>0.0</v>
      </c>
      <c r="Q2899" s="22" t="str">
        <f t="shared" ref="Q2899:R2899" si="1721">"+0"</f>
        <v>+0</v>
      </c>
      <c r="R2899" s="18" t="str">
        <f t="shared" si="1721"/>
        <v>+0</v>
      </c>
      <c r="S2899" s="14" t="s">
        <v>260</v>
      </c>
    </row>
    <row r="2900">
      <c r="A2900" s="13">
        <v>45901.0</v>
      </c>
      <c r="B2900" s="14" t="s">
        <v>47</v>
      </c>
      <c r="C2900" s="14" t="s">
        <v>48</v>
      </c>
      <c r="D2900" s="14" t="s">
        <v>143</v>
      </c>
      <c r="E2900" s="14" t="s">
        <v>144</v>
      </c>
      <c r="F2900" s="15" t="s">
        <v>51</v>
      </c>
      <c r="G2900" s="14" t="s">
        <v>145</v>
      </c>
      <c r="H2900" s="14" t="s">
        <v>143</v>
      </c>
      <c r="I2900" s="14" t="s">
        <v>59</v>
      </c>
      <c r="J2900" s="14" t="s">
        <v>198</v>
      </c>
      <c r="K2900" s="14" t="s">
        <v>207</v>
      </c>
      <c r="L2900" s="14" t="s">
        <v>318</v>
      </c>
      <c r="M2900" s="14" t="s">
        <v>319</v>
      </c>
      <c r="N2900" s="14" t="s">
        <v>320</v>
      </c>
      <c r="O2900" s="14">
        <v>0.0</v>
      </c>
      <c r="P2900" s="21">
        <v>0.0</v>
      </c>
      <c r="Q2900" s="22" t="str">
        <f>"+0"</f>
        <v>+0</v>
      </c>
      <c r="S2900" s="14" t="s">
        <v>281</v>
      </c>
    </row>
    <row r="2901">
      <c r="A2901" s="13">
        <v>45901.0</v>
      </c>
      <c r="B2901" s="14" t="s">
        <v>47</v>
      </c>
      <c r="C2901" s="14" t="s">
        <v>48</v>
      </c>
      <c r="D2901" s="14" t="s">
        <v>103</v>
      </c>
      <c r="E2901" s="14" t="s">
        <v>104</v>
      </c>
      <c r="F2901" s="15" t="s">
        <v>51</v>
      </c>
      <c r="G2901" s="14" t="s">
        <v>105</v>
      </c>
      <c r="H2901" s="14" t="s">
        <v>106</v>
      </c>
      <c r="I2901" s="14" t="s">
        <v>59</v>
      </c>
      <c r="J2901" s="14" t="s">
        <v>200</v>
      </c>
      <c r="K2901" s="14" t="s">
        <v>232</v>
      </c>
      <c r="L2901" s="14" t="s">
        <v>286</v>
      </c>
      <c r="M2901" s="14" t="s">
        <v>730</v>
      </c>
      <c r="N2901" s="14" t="s">
        <v>731</v>
      </c>
      <c r="O2901" s="14">
        <v>0.0</v>
      </c>
      <c r="P2901" s="23">
        <v>0.0</v>
      </c>
      <c r="Q2901" s="22" t="str">
        <f t="shared" ref="Q2901:R2901" si="1722">"+0.00%"</f>
        <v>+0.00%</v>
      </c>
      <c r="R2901" s="18" t="str">
        <f t="shared" si="1722"/>
        <v>+0.00%</v>
      </c>
      <c r="S2901" s="14" t="s">
        <v>285</v>
      </c>
    </row>
    <row r="2902">
      <c r="A2902" s="13">
        <v>45901.0</v>
      </c>
      <c r="B2902" s="14" t="s">
        <v>47</v>
      </c>
      <c r="C2902" s="14" t="s">
        <v>48</v>
      </c>
      <c r="D2902" s="14" t="s">
        <v>143</v>
      </c>
      <c r="E2902" s="14" t="s">
        <v>144</v>
      </c>
      <c r="F2902" s="15" t="s">
        <v>51</v>
      </c>
      <c r="G2902" s="14" t="s">
        <v>145</v>
      </c>
      <c r="H2902" s="14" t="s">
        <v>143</v>
      </c>
      <c r="I2902" s="14" t="s">
        <v>59</v>
      </c>
      <c r="J2902" s="14" t="s">
        <v>198</v>
      </c>
      <c r="K2902" s="14" t="s">
        <v>205</v>
      </c>
      <c r="L2902" s="14" t="s">
        <v>274</v>
      </c>
      <c r="M2902" s="14" t="s">
        <v>473</v>
      </c>
      <c r="N2902" s="14" t="s">
        <v>474</v>
      </c>
      <c r="O2902" s="14">
        <v>100.0</v>
      </c>
      <c r="P2902" s="21">
        <v>30.0</v>
      </c>
      <c r="Q2902" s="22" t="str">
        <f t="shared" ref="Q2902:Q2903" si="1723">"+0"</f>
        <v>+0</v>
      </c>
      <c r="S2902" s="14" t="s">
        <v>475</v>
      </c>
    </row>
    <row r="2903">
      <c r="A2903" s="13">
        <v>45901.0</v>
      </c>
      <c r="B2903" s="14" t="s">
        <v>47</v>
      </c>
      <c r="C2903" s="14" t="s">
        <v>48</v>
      </c>
      <c r="D2903" s="14" t="s">
        <v>149</v>
      </c>
      <c r="E2903" s="14" t="s">
        <v>150</v>
      </c>
      <c r="F2903" s="15" t="s">
        <v>51</v>
      </c>
      <c r="G2903" s="14" t="s">
        <v>151</v>
      </c>
      <c r="H2903" s="14" t="s">
        <v>152</v>
      </c>
      <c r="I2903" s="14" t="s">
        <v>54</v>
      </c>
      <c r="J2903" s="14" t="s">
        <v>199</v>
      </c>
      <c r="K2903" s="14" t="s">
        <v>206</v>
      </c>
      <c r="L2903" s="14" t="s">
        <v>381</v>
      </c>
      <c r="M2903" s="14" t="s">
        <v>381</v>
      </c>
      <c r="N2903" s="14" t="s">
        <v>382</v>
      </c>
      <c r="O2903" s="14">
        <v>0.0</v>
      </c>
      <c r="P2903" s="21">
        <v>0.0</v>
      </c>
      <c r="Q2903" s="22" t="str">
        <f t="shared" si="1723"/>
        <v>+0</v>
      </c>
      <c r="R2903" s="18" t="str">
        <f>"+0"</f>
        <v>+0</v>
      </c>
      <c r="S2903" s="14" t="s">
        <v>383</v>
      </c>
    </row>
    <row r="2904">
      <c r="A2904" s="13">
        <v>45901.0</v>
      </c>
      <c r="B2904" s="14" t="s">
        <v>47</v>
      </c>
      <c r="C2904" s="14" t="s">
        <v>48</v>
      </c>
      <c r="D2904" s="14" t="s">
        <v>129</v>
      </c>
      <c r="E2904" s="14" t="s">
        <v>130</v>
      </c>
      <c r="F2904" s="15" t="s">
        <v>51</v>
      </c>
      <c r="G2904" s="14" t="s">
        <v>131</v>
      </c>
      <c r="H2904" s="14" t="s">
        <v>129</v>
      </c>
      <c r="I2904" s="14" t="s">
        <v>59</v>
      </c>
      <c r="J2904" s="14" t="s">
        <v>200</v>
      </c>
      <c r="K2904" s="14" t="s">
        <v>227</v>
      </c>
      <c r="L2904" s="14" t="s">
        <v>721</v>
      </c>
      <c r="M2904" s="14" t="s">
        <v>722</v>
      </c>
      <c r="N2904" s="14" t="s">
        <v>723</v>
      </c>
      <c r="O2904" s="14">
        <v>51.0</v>
      </c>
      <c r="P2904" s="23">
        <v>0.0328</v>
      </c>
      <c r="Q2904" s="22" t="str">
        <f>"+11.22%"</f>
        <v>+11.22%</v>
      </c>
      <c r="R2904" s="18" t="str">
        <f>"+6.15%"</f>
        <v>+6.15%</v>
      </c>
      <c r="S2904" s="14" t="s">
        <v>724</v>
      </c>
    </row>
    <row r="2905">
      <c r="A2905" s="13">
        <v>45901.0</v>
      </c>
      <c r="B2905" s="14" t="s">
        <v>47</v>
      </c>
      <c r="C2905" s="14" t="s">
        <v>48</v>
      </c>
      <c r="D2905" s="14" t="s">
        <v>129</v>
      </c>
      <c r="E2905" s="14" t="s">
        <v>130</v>
      </c>
      <c r="F2905" s="15" t="s">
        <v>51</v>
      </c>
      <c r="G2905" s="14" t="s">
        <v>131</v>
      </c>
      <c r="H2905" s="14" t="s">
        <v>129</v>
      </c>
      <c r="I2905" s="14" t="s">
        <v>59</v>
      </c>
      <c r="J2905" s="14" t="s">
        <v>200</v>
      </c>
      <c r="K2905" s="14" t="s">
        <v>231</v>
      </c>
      <c r="L2905" s="14" t="s">
        <v>512</v>
      </c>
      <c r="M2905" s="14" t="s">
        <v>1481</v>
      </c>
      <c r="N2905" s="14" t="s">
        <v>1482</v>
      </c>
      <c r="O2905" s="14">
        <v>100.0</v>
      </c>
      <c r="P2905" s="21">
        <v>9.0</v>
      </c>
      <c r="Q2905" s="22" t="str">
        <f>"-4"</f>
        <v>-4</v>
      </c>
      <c r="R2905" s="18" t="str">
        <f>"-2"</f>
        <v>-2</v>
      </c>
      <c r="S2905" s="14" t="s">
        <v>260</v>
      </c>
    </row>
    <row r="2906">
      <c r="A2906" s="13">
        <v>45901.0</v>
      </c>
      <c r="B2906" s="14" t="s">
        <v>47</v>
      </c>
      <c r="C2906" s="14" t="s">
        <v>48</v>
      </c>
      <c r="D2906" s="14" t="s">
        <v>149</v>
      </c>
      <c r="E2906" s="14" t="s">
        <v>150</v>
      </c>
      <c r="F2906" s="15" t="s">
        <v>51</v>
      </c>
      <c r="G2906" s="14" t="s">
        <v>151</v>
      </c>
      <c r="H2906" s="14" t="s">
        <v>152</v>
      </c>
      <c r="I2906" s="14" t="s">
        <v>54</v>
      </c>
      <c r="J2906" s="14" t="s">
        <v>200</v>
      </c>
      <c r="K2906" s="14" t="s">
        <v>227</v>
      </c>
      <c r="L2906" s="14" t="s">
        <v>253</v>
      </c>
      <c r="M2906" s="14" t="s">
        <v>396</v>
      </c>
      <c r="N2906" s="14" t="s">
        <v>397</v>
      </c>
      <c r="O2906" s="14">
        <v>100.0</v>
      </c>
      <c r="P2906" s="23">
        <v>1.0</v>
      </c>
      <c r="Q2906" s="22" t="str">
        <f t="shared" ref="Q2906:R2906" si="1724">"+0.00%"</f>
        <v>+0.00%</v>
      </c>
      <c r="R2906" s="18" t="str">
        <f t="shared" si="1724"/>
        <v>+0.00%</v>
      </c>
      <c r="S2906" s="14" t="s">
        <v>916</v>
      </c>
    </row>
    <row r="2907">
      <c r="A2907" s="13">
        <v>45901.0</v>
      </c>
      <c r="B2907" s="14" t="s">
        <v>47</v>
      </c>
      <c r="C2907" s="14" t="s">
        <v>48</v>
      </c>
      <c r="D2907" s="14" t="s">
        <v>87</v>
      </c>
      <c r="E2907" s="14" t="s">
        <v>88</v>
      </c>
      <c r="F2907" s="15" t="s">
        <v>51</v>
      </c>
      <c r="G2907" s="14" t="s">
        <v>89</v>
      </c>
      <c r="H2907" s="14" t="s">
        <v>90</v>
      </c>
      <c r="I2907" s="14" t="s">
        <v>59</v>
      </c>
      <c r="J2907" s="14" t="s">
        <v>200</v>
      </c>
      <c r="K2907" s="14" t="s">
        <v>204</v>
      </c>
      <c r="L2907" s="14" t="s">
        <v>253</v>
      </c>
      <c r="M2907" s="14" t="s">
        <v>844</v>
      </c>
      <c r="N2907" s="14" t="s">
        <v>845</v>
      </c>
      <c r="O2907" s="14">
        <v>0.0</v>
      </c>
      <c r="P2907" s="17"/>
      <c r="Q2907" s="22"/>
      <c r="S2907" s="14" t="s">
        <v>846</v>
      </c>
    </row>
    <row r="2908">
      <c r="A2908" s="13">
        <v>45901.0</v>
      </c>
      <c r="B2908" s="14" t="s">
        <v>47</v>
      </c>
      <c r="C2908" s="14" t="s">
        <v>48</v>
      </c>
      <c r="D2908" s="14" t="s">
        <v>149</v>
      </c>
      <c r="E2908" s="14" t="s">
        <v>150</v>
      </c>
      <c r="F2908" s="15" t="s">
        <v>51</v>
      </c>
      <c r="G2908" s="14" t="s">
        <v>151</v>
      </c>
      <c r="H2908" s="14" t="s">
        <v>152</v>
      </c>
      <c r="I2908" s="14" t="s">
        <v>54</v>
      </c>
      <c r="J2908" s="14" t="s">
        <v>200</v>
      </c>
      <c r="K2908" s="14" t="s">
        <v>223</v>
      </c>
      <c r="L2908" s="14" t="s">
        <v>289</v>
      </c>
      <c r="M2908" s="14" t="s">
        <v>331</v>
      </c>
      <c r="N2908" s="14" t="s">
        <v>332</v>
      </c>
      <c r="O2908" s="14">
        <v>0.0</v>
      </c>
      <c r="P2908" s="23">
        <v>0.0</v>
      </c>
      <c r="Q2908" s="22" t="str">
        <f t="shared" ref="Q2908:R2908" si="1725">"+0.00%"</f>
        <v>+0.00%</v>
      </c>
      <c r="R2908" s="18" t="str">
        <f t="shared" si="1725"/>
        <v>+0.00%</v>
      </c>
      <c r="S2908" s="14" t="s">
        <v>285</v>
      </c>
    </row>
    <row r="2909">
      <c r="A2909" s="13">
        <v>45901.0</v>
      </c>
      <c r="B2909" s="14" t="s">
        <v>47</v>
      </c>
      <c r="C2909" s="14" t="s">
        <v>48</v>
      </c>
      <c r="D2909" s="14" t="s">
        <v>149</v>
      </c>
      <c r="E2909" s="14" t="s">
        <v>150</v>
      </c>
      <c r="F2909" s="15" t="s">
        <v>51</v>
      </c>
      <c r="G2909" s="14" t="s">
        <v>151</v>
      </c>
      <c r="H2909" s="14" t="s">
        <v>152</v>
      </c>
      <c r="I2909" s="14" t="s">
        <v>54</v>
      </c>
      <c r="J2909" s="14" t="s">
        <v>198</v>
      </c>
      <c r="K2909" s="14" t="s">
        <v>210</v>
      </c>
      <c r="L2909" s="14" t="s">
        <v>264</v>
      </c>
      <c r="M2909" s="14" t="s">
        <v>1068</v>
      </c>
      <c r="N2909" s="14" t="s">
        <v>1069</v>
      </c>
      <c r="O2909" s="14">
        <v>0.0</v>
      </c>
      <c r="P2909" s="21">
        <v>0.0</v>
      </c>
      <c r="Q2909" s="22" t="str">
        <f t="shared" ref="Q2909:R2909" si="1726">"+0"</f>
        <v>+0</v>
      </c>
      <c r="R2909" s="18" t="str">
        <f t="shared" si="1726"/>
        <v>+0</v>
      </c>
      <c r="S2909" s="14" t="s">
        <v>277</v>
      </c>
    </row>
    <row r="2910">
      <c r="A2910" s="13">
        <v>45901.0</v>
      </c>
      <c r="B2910" s="14" t="s">
        <v>47</v>
      </c>
      <c r="C2910" s="14" t="s">
        <v>48</v>
      </c>
      <c r="D2910" s="14" t="s">
        <v>69</v>
      </c>
      <c r="E2910" s="14" t="s">
        <v>70</v>
      </c>
      <c r="F2910" s="15" t="s">
        <v>51</v>
      </c>
      <c r="G2910" s="14" t="s">
        <v>115</v>
      </c>
      <c r="H2910" s="14" t="s">
        <v>72</v>
      </c>
      <c r="I2910" s="14" t="s">
        <v>54</v>
      </c>
      <c r="J2910" s="14" t="s">
        <v>198</v>
      </c>
      <c r="K2910" s="14" t="s">
        <v>210</v>
      </c>
      <c r="L2910" s="14" t="s">
        <v>458</v>
      </c>
      <c r="M2910" s="14" t="s">
        <v>1939</v>
      </c>
      <c r="N2910" s="14" t="s">
        <v>1940</v>
      </c>
      <c r="O2910" s="14">
        <v>0.0</v>
      </c>
      <c r="P2910" s="21">
        <v>0.0</v>
      </c>
      <c r="Q2910" s="22" t="str">
        <f t="shared" ref="Q2910:R2910" si="1727">"+0"</f>
        <v>+0</v>
      </c>
      <c r="R2910" s="18" t="str">
        <f t="shared" si="1727"/>
        <v>+0</v>
      </c>
      <c r="S2910" s="14" t="s">
        <v>277</v>
      </c>
    </row>
    <row r="2911">
      <c r="A2911" s="13">
        <v>45901.0</v>
      </c>
      <c r="B2911" s="14" t="s">
        <v>47</v>
      </c>
      <c r="C2911" s="14" t="s">
        <v>48</v>
      </c>
      <c r="D2911" s="14" t="s">
        <v>85</v>
      </c>
      <c r="E2911" s="14" t="s">
        <v>86</v>
      </c>
      <c r="F2911" s="15" t="s">
        <v>51</v>
      </c>
      <c r="G2911" s="14" t="s">
        <v>148</v>
      </c>
      <c r="H2911" s="14" t="s">
        <v>85</v>
      </c>
      <c r="I2911" s="14" t="s">
        <v>59</v>
      </c>
      <c r="J2911" s="14" t="s">
        <v>200</v>
      </c>
      <c r="K2911" s="14" t="s">
        <v>213</v>
      </c>
      <c r="L2911" s="14" t="s">
        <v>307</v>
      </c>
      <c r="M2911" s="14" t="s">
        <v>856</v>
      </c>
      <c r="N2911" s="14" t="s">
        <v>857</v>
      </c>
      <c r="O2911" s="14">
        <v>0.0</v>
      </c>
      <c r="P2911" s="23">
        <v>0.0</v>
      </c>
      <c r="Q2911" s="22" t="str">
        <f t="shared" ref="Q2911:R2911" si="1728">"+0.00%"</f>
        <v>+0.00%</v>
      </c>
      <c r="R2911" s="18" t="str">
        <f t="shared" si="1728"/>
        <v>+0.00%</v>
      </c>
      <c r="S2911" s="14" t="s">
        <v>285</v>
      </c>
    </row>
    <row r="2912">
      <c r="A2912" s="13">
        <v>45901.0</v>
      </c>
      <c r="B2912" s="14" t="s">
        <v>47</v>
      </c>
      <c r="C2912" s="14" t="s">
        <v>48</v>
      </c>
      <c r="D2912" s="14" t="s">
        <v>85</v>
      </c>
      <c r="E2912" s="14" t="s">
        <v>86</v>
      </c>
      <c r="F2912" s="15" t="s">
        <v>51</v>
      </c>
      <c r="G2912" s="14" t="s">
        <v>148</v>
      </c>
      <c r="H2912" s="14" t="s">
        <v>85</v>
      </c>
      <c r="I2912" s="14" t="s">
        <v>59</v>
      </c>
      <c r="J2912" s="14" t="s">
        <v>198</v>
      </c>
      <c r="K2912" s="14" t="s">
        <v>210</v>
      </c>
      <c r="L2912" s="14" t="s">
        <v>278</v>
      </c>
      <c r="M2912" s="14" t="s">
        <v>839</v>
      </c>
      <c r="N2912" s="14" t="s">
        <v>840</v>
      </c>
      <c r="O2912" s="14">
        <v>0.0</v>
      </c>
      <c r="P2912" s="21">
        <v>2923.0</v>
      </c>
      <c r="Q2912" s="22" t="str">
        <f>"-216"</f>
        <v>-216</v>
      </c>
      <c r="R2912" s="18" t="str">
        <f>"-54"</f>
        <v>-54</v>
      </c>
      <c r="S2912" s="14" t="s">
        <v>1941</v>
      </c>
    </row>
    <row r="2913">
      <c r="A2913" s="13">
        <v>45901.0</v>
      </c>
      <c r="B2913" s="14" t="s">
        <v>47</v>
      </c>
      <c r="C2913" s="14" t="s">
        <v>48</v>
      </c>
      <c r="D2913" s="14" t="s">
        <v>69</v>
      </c>
      <c r="E2913" s="14" t="s">
        <v>70</v>
      </c>
      <c r="F2913" s="15" t="s">
        <v>51</v>
      </c>
      <c r="G2913" s="14" t="s">
        <v>115</v>
      </c>
      <c r="H2913" s="14" t="s">
        <v>72</v>
      </c>
      <c r="I2913" s="14" t="s">
        <v>54</v>
      </c>
      <c r="J2913" s="14" t="s">
        <v>198</v>
      </c>
      <c r="K2913" s="14" t="s">
        <v>212</v>
      </c>
      <c r="L2913" s="14" t="s">
        <v>249</v>
      </c>
      <c r="M2913" s="14" t="s">
        <v>250</v>
      </c>
      <c r="N2913" s="14" t="s">
        <v>251</v>
      </c>
      <c r="O2913" s="14">
        <v>0.0</v>
      </c>
      <c r="P2913" s="21">
        <v>1.826913194E9</v>
      </c>
      <c r="Q2913" s="22" t="str">
        <f>"+777,342,594"</f>
        <v>+777,342,594</v>
      </c>
      <c r="R2913" s="18" t="str">
        <f>"-778,827,739"</f>
        <v>-778,827,739</v>
      </c>
      <c r="S2913" s="14" t="s">
        <v>1942</v>
      </c>
    </row>
    <row r="2914">
      <c r="A2914" s="13">
        <v>45901.0</v>
      </c>
      <c r="B2914" s="14" t="s">
        <v>47</v>
      </c>
      <c r="C2914" s="14" t="s">
        <v>48</v>
      </c>
      <c r="D2914" s="14" t="s">
        <v>77</v>
      </c>
      <c r="E2914" s="14" t="s">
        <v>78</v>
      </c>
      <c r="F2914" s="15" t="s">
        <v>51</v>
      </c>
      <c r="G2914" s="14" t="s">
        <v>128</v>
      </c>
      <c r="H2914" s="14" t="s">
        <v>81</v>
      </c>
      <c r="I2914" s="14" t="s">
        <v>59</v>
      </c>
      <c r="J2914" s="14" t="s">
        <v>200</v>
      </c>
      <c r="K2914" s="14" t="s">
        <v>223</v>
      </c>
      <c r="L2914" s="14" t="s">
        <v>607</v>
      </c>
      <c r="M2914" s="14" t="s">
        <v>886</v>
      </c>
      <c r="N2914" s="14" t="s">
        <v>887</v>
      </c>
      <c r="O2914" s="14">
        <v>0.0</v>
      </c>
      <c r="P2914" s="23">
        <v>0.0</v>
      </c>
      <c r="Q2914" s="22" t="str">
        <f t="shared" ref="Q2914:R2914" si="1729">"+0.00%"</f>
        <v>+0.00%</v>
      </c>
      <c r="R2914" s="18" t="str">
        <f t="shared" si="1729"/>
        <v>+0.00%</v>
      </c>
      <c r="S2914" s="14" t="s">
        <v>371</v>
      </c>
    </row>
    <row r="2915">
      <c r="A2915" s="13">
        <v>45901.0</v>
      </c>
      <c r="B2915" s="14" t="s">
        <v>47</v>
      </c>
      <c r="C2915" s="14" t="s">
        <v>48</v>
      </c>
      <c r="D2915" s="14" t="s">
        <v>158</v>
      </c>
      <c r="E2915" s="14" t="s">
        <v>159</v>
      </c>
      <c r="F2915" s="15" t="s">
        <v>51</v>
      </c>
      <c r="G2915" s="14" t="s">
        <v>160</v>
      </c>
      <c r="H2915" s="14" t="s">
        <v>158</v>
      </c>
      <c r="I2915" s="14" t="s">
        <v>54</v>
      </c>
      <c r="J2915" s="14" t="s">
        <v>198</v>
      </c>
      <c r="K2915" s="14" t="s">
        <v>205</v>
      </c>
      <c r="L2915" s="14" t="s">
        <v>274</v>
      </c>
      <c r="M2915" s="14" t="s">
        <v>448</v>
      </c>
      <c r="N2915" s="14" t="s">
        <v>449</v>
      </c>
      <c r="O2915" s="14">
        <v>100.0</v>
      </c>
      <c r="P2915" s="21">
        <v>3.0</v>
      </c>
      <c r="Q2915" s="22" t="str">
        <f t="shared" ref="Q2915:Q2918" si="1730">"+0"</f>
        <v>+0</v>
      </c>
      <c r="S2915" s="14" t="s">
        <v>450</v>
      </c>
    </row>
    <row r="2916">
      <c r="A2916" s="13">
        <v>45901.0</v>
      </c>
      <c r="B2916" s="14" t="s">
        <v>47</v>
      </c>
      <c r="C2916" s="14" t="s">
        <v>48</v>
      </c>
      <c r="D2916" s="14" t="s">
        <v>77</v>
      </c>
      <c r="E2916" s="14" t="s">
        <v>78</v>
      </c>
      <c r="F2916" s="14" t="s">
        <v>71</v>
      </c>
      <c r="G2916" s="14">
        <v>5.36009043E8</v>
      </c>
      <c r="H2916" s="14" t="s">
        <v>81</v>
      </c>
      <c r="J2916" s="14" t="s">
        <v>199</v>
      </c>
      <c r="K2916" s="14" t="s">
        <v>206</v>
      </c>
      <c r="L2916" s="14" t="s">
        <v>515</v>
      </c>
      <c r="M2916" s="14" t="s">
        <v>515</v>
      </c>
      <c r="N2916" s="14" t="s">
        <v>516</v>
      </c>
      <c r="O2916" s="14">
        <v>0.0</v>
      </c>
      <c r="P2916" s="21">
        <v>0.0</v>
      </c>
      <c r="Q2916" s="22" t="str">
        <f t="shared" si="1730"/>
        <v>+0</v>
      </c>
      <c r="S2916" s="14" t="s">
        <v>383</v>
      </c>
    </row>
    <row r="2917">
      <c r="A2917" s="13">
        <v>45901.0</v>
      </c>
      <c r="B2917" s="14" t="s">
        <v>47</v>
      </c>
      <c r="C2917" s="14" t="s">
        <v>48</v>
      </c>
      <c r="D2917" s="14" t="s">
        <v>108</v>
      </c>
      <c r="E2917" s="14" t="s">
        <v>109</v>
      </c>
      <c r="F2917" s="14" t="s">
        <v>146</v>
      </c>
      <c r="G2917" s="14" t="s">
        <v>180</v>
      </c>
      <c r="H2917" s="14" t="s">
        <v>108</v>
      </c>
      <c r="I2917" s="14" t="s">
        <v>59</v>
      </c>
      <c r="J2917" s="14" t="s">
        <v>199</v>
      </c>
      <c r="K2917" s="14" t="s">
        <v>203</v>
      </c>
      <c r="L2917" s="14" t="s">
        <v>725</v>
      </c>
      <c r="M2917" s="14" t="s">
        <v>725</v>
      </c>
      <c r="N2917" s="14" t="s">
        <v>726</v>
      </c>
      <c r="O2917" s="14">
        <v>0.0</v>
      </c>
      <c r="P2917" s="21">
        <v>0.0</v>
      </c>
      <c r="Q2917" s="22" t="str">
        <f t="shared" si="1730"/>
        <v>+0</v>
      </c>
      <c r="S2917" s="14" t="s">
        <v>260</v>
      </c>
    </row>
    <row r="2918">
      <c r="A2918" s="13">
        <v>45901.0</v>
      </c>
      <c r="B2918" s="14" t="s">
        <v>47</v>
      </c>
      <c r="C2918" s="14" t="s">
        <v>48</v>
      </c>
      <c r="D2918" s="14" t="s">
        <v>108</v>
      </c>
      <c r="E2918" s="14" t="s">
        <v>109</v>
      </c>
      <c r="F2918" s="14" t="s">
        <v>79</v>
      </c>
      <c r="G2918" s="14" t="s">
        <v>153</v>
      </c>
      <c r="H2918" s="14" t="s">
        <v>108</v>
      </c>
      <c r="I2918" s="14" t="s">
        <v>154</v>
      </c>
      <c r="J2918" s="14" t="s">
        <v>198</v>
      </c>
      <c r="K2918" s="14" t="s">
        <v>210</v>
      </c>
      <c r="L2918" s="14" t="s">
        <v>458</v>
      </c>
      <c r="M2918" s="14" t="s">
        <v>955</v>
      </c>
      <c r="N2918" s="14" t="s">
        <v>956</v>
      </c>
      <c r="O2918" s="14">
        <v>100.0</v>
      </c>
      <c r="P2918" s="21">
        <v>0.0</v>
      </c>
      <c r="Q2918" s="22" t="str">
        <f t="shared" si="1730"/>
        <v>+0</v>
      </c>
      <c r="S2918" s="14" t="s">
        <v>277</v>
      </c>
    </row>
    <row r="2919">
      <c r="A2919" s="13">
        <v>45901.0</v>
      </c>
      <c r="B2919" s="14" t="s">
        <v>47</v>
      </c>
      <c r="C2919" s="14" t="s">
        <v>48</v>
      </c>
      <c r="D2919" s="14" t="s">
        <v>108</v>
      </c>
      <c r="E2919" s="14" t="s">
        <v>109</v>
      </c>
      <c r="F2919" s="15" t="s">
        <v>51</v>
      </c>
      <c r="G2919" s="14" t="s">
        <v>110</v>
      </c>
      <c r="H2919" s="14" t="s">
        <v>108</v>
      </c>
      <c r="I2919" s="14" t="s">
        <v>59</v>
      </c>
      <c r="J2919" s="14" t="s">
        <v>200</v>
      </c>
      <c r="K2919" s="14" t="s">
        <v>215</v>
      </c>
      <c r="L2919" s="14" t="s">
        <v>253</v>
      </c>
      <c r="M2919" s="14" t="s">
        <v>630</v>
      </c>
      <c r="N2919" s="14" t="s">
        <v>631</v>
      </c>
      <c r="O2919" s="14">
        <v>1.0</v>
      </c>
      <c r="P2919" s="23">
        <v>0.0</v>
      </c>
      <c r="Q2919" s="22" t="str">
        <f>"+0.00%"</f>
        <v>+0.00%</v>
      </c>
      <c r="S2919" s="14" t="s">
        <v>1943</v>
      </c>
    </row>
    <row r="2920">
      <c r="A2920" s="13">
        <v>45901.0</v>
      </c>
      <c r="B2920" s="14" t="s">
        <v>47</v>
      </c>
      <c r="C2920" s="14" t="s">
        <v>48</v>
      </c>
      <c r="D2920" s="14" t="s">
        <v>116</v>
      </c>
      <c r="E2920" s="14" t="s">
        <v>117</v>
      </c>
      <c r="F2920" s="15" t="s">
        <v>51</v>
      </c>
      <c r="G2920" s="14" t="s">
        <v>161</v>
      </c>
      <c r="H2920" s="14" t="s">
        <v>116</v>
      </c>
      <c r="I2920" s="14" t="s">
        <v>54</v>
      </c>
      <c r="J2920" s="14" t="s">
        <v>200</v>
      </c>
      <c r="K2920" s="14" t="s">
        <v>224</v>
      </c>
      <c r="L2920" s="14" t="s">
        <v>453</v>
      </c>
      <c r="M2920" s="14" t="s">
        <v>555</v>
      </c>
      <c r="N2920" s="14" t="s">
        <v>556</v>
      </c>
      <c r="O2920" s="14">
        <v>0.0</v>
      </c>
      <c r="P2920" s="23">
        <v>0.0</v>
      </c>
      <c r="Q2920" s="22"/>
      <c r="S2920" s="14" t="s">
        <v>557</v>
      </c>
    </row>
    <row r="2921">
      <c r="A2921" s="13">
        <v>45901.0</v>
      </c>
      <c r="B2921" s="14" t="s">
        <v>47</v>
      </c>
      <c r="C2921" s="14" t="s">
        <v>48</v>
      </c>
      <c r="D2921" s="14" t="s">
        <v>174</v>
      </c>
      <c r="E2921" s="14" t="s">
        <v>175</v>
      </c>
      <c r="F2921" s="15" t="s">
        <v>51</v>
      </c>
      <c r="G2921" s="14" t="s">
        <v>176</v>
      </c>
      <c r="H2921" s="14" t="s">
        <v>174</v>
      </c>
      <c r="I2921" s="14" t="s">
        <v>59</v>
      </c>
      <c r="J2921" s="14" t="s">
        <v>198</v>
      </c>
      <c r="K2921" s="14" t="s">
        <v>205</v>
      </c>
      <c r="L2921" s="14" t="s">
        <v>274</v>
      </c>
      <c r="M2921" s="14" t="s">
        <v>482</v>
      </c>
      <c r="N2921" s="14" t="s">
        <v>483</v>
      </c>
      <c r="O2921" s="14">
        <v>100.0</v>
      </c>
      <c r="P2921" s="21">
        <v>8.0</v>
      </c>
      <c r="Q2921" s="22" t="str">
        <f>"+0"</f>
        <v>+0</v>
      </c>
      <c r="S2921" s="14" t="s">
        <v>484</v>
      </c>
    </row>
    <row r="2922">
      <c r="A2922" s="13">
        <v>45901.0</v>
      </c>
      <c r="B2922" s="14" t="s">
        <v>47</v>
      </c>
      <c r="C2922" s="14" t="s">
        <v>48</v>
      </c>
      <c r="D2922" s="14" t="s">
        <v>116</v>
      </c>
      <c r="E2922" s="14" t="s">
        <v>117</v>
      </c>
      <c r="F2922" s="15" t="s">
        <v>51</v>
      </c>
      <c r="G2922" s="14" t="s">
        <v>161</v>
      </c>
      <c r="H2922" s="14" t="s">
        <v>116</v>
      </c>
      <c r="I2922" s="14" t="s">
        <v>54</v>
      </c>
      <c r="J2922" s="14" t="s">
        <v>200</v>
      </c>
      <c r="K2922" s="14" t="s">
        <v>213</v>
      </c>
      <c r="L2922" s="14" t="s">
        <v>257</v>
      </c>
      <c r="M2922" s="14" t="s">
        <v>499</v>
      </c>
      <c r="N2922" s="14" t="s">
        <v>500</v>
      </c>
      <c r="O2922" s="14">
        <v>0.0</v>
      </c>
      <c r="P2922" s="23">
        <v>0.0</v>
      </c>
      <c r="Q2922" s="22" t="str">
        <f t="shared" ref="Q2922:R2922" si="1731">"+0.00%"</f>
        <v>+0.00%</v>
      </c>
      <c r="R2922" s="18" t="str">
        <f t="shared" si="1731"/>
        <v>+0.00%</v>
      </c>
      <c r="S2922" s="14" t="s">
        <v>1944</v>
      </c>
    </row>
    <row r="2923">
      <c r="A2923" s="13">
        <v>45901.0</v>
      </c>
      <c r="B2923" s="14" t="s">
        <v>47</v>
      </c>
      <c r="C2923" s="14" t="s">
        <v>48</v>
      </c>
      <c r="D2923" s="14" t="s">
        <v>56</v>
      </c>
      <c r="E2923" s="14" t="s">
        <v>57</v>
      </c>
      <c r="F2923" s="15" t="s">
        <v>51</v>
      </c>
      <c r="G2923" s="14" t="s">
        <v>58</v>
      </c>
      <c r="H2923" s="14" t="s">
        <v>56</v>
      </c>
      <c r="I2923" s="14" t="s">
        <v>59</v>
      </c>
      <c r="J2923" s="14" t="s">
        <v>200</v>
      </c>
      <c r="K2923" s="14" t="s">
        <v>223</v>
      </c>
      <c r="L2923" s="14" t="s">
        <v>304</v>
      </c>
      <c r="M2923" s="14" t="s">
        <v>305</v>
      </c>
      <c r="N2923" s="14" t="s">
        <v>306</v>
      </c>
      <c r="O2923" s="14">
        <v>0.0</v>
      </c>
      <c r="P2923" s="21">
        <v>0.0</v>
      </c>
      <c r="Q2923" s="22" t="str">
        <f t="shared" ref="Q2923:R2923" si="1732">"+0"</f>
        <v>+0</v>
      </c>
      <c r="R2923" s="18" t="str">
        <f t="shared" si="1732"/>
        <v>+0</v>
      </c>
      <c r="S2923" s="14" t="s">
        <v>260</v>
      </c>
    </row>
    <row r="2924">
      <c r="A2924" s="13">
        <v>45901.0</v>
      </c>
      <c r="B2924" s="14" t="s">
        <v>47</v>
      </c>
      <c r="C2924" s="14" t="s">
        <v>48</v>
      </c>
      <c r="D2924" s="14" t="s">
        <v>140</v>
      </c>
      <c r="E2924" s="14" t="s">
        <v>141</v>
      </c>
      <c r="F2924" s="15" t="s">
        <v>51</v>
      </c>
      <c r="G2924" s="14" t="s">
        <v>142</v>
      </c>
      <c r="H2924" s="14" t="s">
        <v>140</v>
      </c>
      <c r="I2924" s="14" t="s">
        <v>59</v>
      </c>
      <c r="J2924" s="14" t="s">
        <v>199</v>
      </c>
      <c r="K2924" s="14" t="s">
        <v>208</v>
      </c>
      <c r="L2924" s="14" t="s">
        <v>412</v>
      </c>
      <c r="M2924" s="14" t="s">
        <v>412</v>
      </c>
      <c r="N2924" s="14" t="s">
        <v>413</v>
      </c>
      <c r="O2924" s="14">
        <v>80.0</v>
      </c>
      <c r="P2924" s="21">
        <v>2.0</v>
      </c>
      <c r="Q2924" s="22" t="str">
        <f t="shared" ref="Q2924:R2924" si="1733">"+0"</f>
        <v>+0</v>
      </c>
      <c r="R2924" s="18" t="str">
        <f t="shared" si="1733"/>
        <v>+0</v>
      </c>
      <c r="S2924" s="14" t="s">
        <v>260</v>
      </c>
    </row>
    <row r="2925">
      <c r="A2925" s="13">
        <v>45901.0</v>
      </c>
      <c r="B2925" s="14" t="s">
        <v>47</v>
      </c>
      <c r="C2925" s="14" t="s">
        <v>48</v>
      </c>
      <c r="D2925" s="14" t="s">
        <v>56</v>
      </c>
      <c r="E2925" s="14" t="s">
        <v>57</v>
      </c>
      <c r="F2925" s="15" t="s">
        <v>51</v>
      </c>
      <c r="G2925" s="14" t="s">
        <v>58</v>
      </c>
      <c r="H2925" s="14" t="s">
        <v>56</v>
      </c>
      <c r="I2925" s="14" t="s">
        <v>59</v>
      </c>
      <c r="J2925" s="14" t="s">
        <v>198</v>
      </c>
      <c r="K2925" s="14" t="s">
        <v>210</v>
      </c>
      <c r="L2925" s="14" t="s">
        <v>278</v>
      </c>
      <c r="M2925" s="14" t="s">
        <v>839</v>
      </c>
      <c r="N2925" s="14" t="s">
        <v>840</v>
      </c>
      <c r="O2925" s="14">
        <v>48.0</v>
      </c>
      <c r="P2925" s="21">
        <v>1237.0</v>
      </c>
      <c r="Q2925" s="22" t="str">
        <f>"-25"</f>
        <v>-25</v>
      </c>
      <c r="R2925" s="18" t="str">
        <f>"+67"</f>
        <v>+67</v>
      </c>
      <c r="S2925" s="14" t="s">
        <v>1945</v>
      </c>
    </row>
    <row r="2926">
      <c r="A2926" s="13">
        <v>45901.0</v>
      </c>
      <c r="B2926" s="14" t="s">
        <v>47</v>
      </c>
      <c r="C2926" s="14" t="s">
        <v>48</v>
      </c>
      <c r="D2926" s="14" t="s">
        <v>60</v>
      </c>
      <c r="E2926" s="14" t="s">
        <v>61</v>
      </c>
      <c r="F2926" s="15" t="s">
        <v>51</v>
      </c>
      <c r="G2926" s="14" t="s">
        <v>62</v>
      </c>
      <c r="H2926" s="14" t="s">
        <v>60</v>
      </c>
      <c r="I2926" s="14" t="s">
        <v>59</v>
      </c>
      <c r="J2926" s="14" t="s">
        <v>200</v>
      </c>
      <c r="K2926" s="14" t="s">
        <v>223</v>
      </c>
      <c r="L2926" s="14" t="s">
        <v>257</v>
      </c>
      <c r="M2926" s="14" t="s">
        <v>315</v>
      </c>
      <c r="N2926" s="14" t="s">
        <v>316</v>
      </c>
      <c r="O2926" s="14">
        <v>0.0</v>
      </c>
      <c r="P2926" s="23">
        <v>0.0</v>
      </c>
      <c r="Q2926" s="22" t="str">
        <f t="shared" ref="Q2926:R2926" si="1734">"+0.00%"</f>
        <v>+0.00%</v>
      </c>
      <c r="R2926" s="18" t="str">
        <f t="shared" si="1734"/>
        <v>+0.00%</v>
      </c>
      <c r="S2926" s="14" t="s">
        <v>1946</v>
      </c>
    </row>
    <row r="2927">
      <c r="A2927" s="13">
        <v>45901.0</v>
      </c>
      <c r="B2927" s="14" t="s">
        <v>47</v>
      </c>
      <c r="C2927" s="14" t="s">
        <v>48</v>
      </c>
      <c r="D2927" s="14" t="s">
        <v>121</v>
      </c>
      <c r="E2927" s="14" t="s">
        <v>122</v>
      </c>
      <c r="F2927" s="15" t="s">
        <v>51</v>
      </c>
      <c r="G2927" s="14" t="s">
        <v>123</v>
      </c>
      <c r="H2927" s="14" t="s">
        <v>124</v>
      </c>
      <c r="I2927" s="14" t="s">
        <v>59</v>
      </c>
      <c r="J2927" s="14" t="s">
        <v>200</v>
      </c>
      <c r="K2927" s="14" t="s">
        <v>232</v>
      </c>
      <c r="L2927" s="14" t="s">
        <v>286</v>
      </c>
      <c r="M2927" s="14" t="s">
        <v>588</v>
      </c>
      <c r="N2927" s="14" t="s">
        <v>589</v>
      </c>
      <c r="O2927" s="14">
        <v>0.0</v>
      </c>
      <c r="P2927" s="23">
        <v>0.0</v>
      </c>
      <c r="Q2927" s="22" t="str">
        <f t="shared" ref="Q2927:R2927" si="1735">"+0.00%"</f>
        <v>+0.00%</v>
      </c>
      <c r="R2927" s="18" t="str">
        <f t="shared" si="1735"/>
        <v>+0.00%</v>
      </c>
      <c r="S2927" s="14" t="s">
        <v>285</v>
      </c>
    </row>
    <row r="2928">
      <c r="A2928" s="13">
        <v>45901.0</v>
      </c>
      <c r="B2928" s="14" t="s">
        <v>47</v>
      </c>
      <c r="C2928" s="14" t="s">
        <v>48</v>
      </c>
      <c r="D2928" s="14" t="s">
        <v>91</v>
      </c>
      <c r="E2928" s="14" t="s">
        <v>92</v>
      </c>
      <c r="F2928" s="14" t="s">
        <v>79</v>
      </c>
      <c r="G2928" s="14" t="s">
        <v>164</v>
      </c>
      <c r="H2928" s="14" t="s">
        <v>91</v>
      </c>
      <c r="I2928" s="14" t="s">
        <v>154</v>
      </c>
      <c r="J2928" s="14" t="s">
        <v>200</v>
      </c>
      <c r="K2928" s="14" t="s">
        <v>237</v>
      </c>
      <c r="L2928" s="14" t="s">
        <v>333</v>
      </c>
      <c r="M2928" s="14" t="s">
        <v>334</v>
      </c>
      <c r="N2928" s="14" t="s">
        <v>335</v>
      </c>
      <c r="O2928" s="14">
        <v>50.0</v>
      </c>
      <c r="P2928" s="23">
        <v>0.0</v>
      </c>
      <c r="Q2928" s="22" t="str">
        <f>"+0.00%"</f>
        <v>+0.00%</v>
      </c>
      <c r="R2928" s="18" t="str">
        <f>"+100.00%"</f>
        <v>+100.00%</v>
      </c>
      <c r="S2928" s="14" t="s">
        <v>336</v>
      </c>
    </row>
    <row r="2929">
      <c r="A2929" s="13">
        <v>45901.0</v>
      </c>
      <c r="B2929" s="14" t="s">
        <v>47</v>
      </c>
      <c r="C2929" s="14" t="s">
        <v>48</v>
      </c>
      <c r="D2929" s="14" t="s">
        <v>99</v>
      </c>
      <c r="E2929" s="14" t="s">
        <v>100</v>
      </c>
      <c r="F2929" s="15" t="s">
        <v>51</v>
      </c>
      <c r="G2929" s="14" t="s">
        <v>101</v>
      </c>
      <c r="H2929" s="14" t="s">
        <v>102</v>
      </c>
      <c r="I2929" s="14" t="s">
        <v>54</v>
      </c>
      <c r="J2929" s="14" t="s">
        <v>198</v>
      </c>
      <c r="K2929" s="14" t="s">
        <v>210</v>
      </c>
      <c r="L2929" s="14" t="s">
        <v>264</v>
      </c>
      <c r="M2929" s="14" t="s">
        <v>641</v>
      </c>
      <c r="N2929" s="14" t="s">
        <v>642</v>
      </c>
      <c r="O2929" s="14">
        <v>0.0</v>
      </c>
      <c r="P2929" s="21">
        <v>0.0</v>
      </c>
      <c r="Q2929" s="22" t="str">
        <f t="shared" ref="Q2929:R2929" si="1736">"+0"</f>
        <v>+0</v>
      </c>
      <c r="R2929" s="18" t="str">
        <f t="shared" si="1736"/>
        <v>+0</v>
      </c>
      <c r="S2929" s="14" t="s">
        <v>277</v>
      </c>
    </row>
    <row r="2930">
      <c r="A2930" s="13">
        <v>45901.0</v>
      </c>
      <c r="B2930" s="14" t="s">
        <v>47</v>
      </c>
      <c r="C2930" s="14" t="s">
        <v>48</v>
      </c>
      <c r="D2930" s="14" t="s">
        <v>91</v>
      </c>
      <c r="E2930" s="14" t="s">
        <v>92</v>
      </c>
      <c r="F2930" s="15" t="s">
        <v>51</v>
      </c>
      <c r="G2930" s="14" t="s">
        <v>163</v>
      </c>
      <c r="H2930" s="14" t="s">
        <v>91</v>
      </c>
      <c r="I2930" s="14" t="s">
        <v>59</v>
      </c>
      <c r="J2930" s="14" t="s">
        <v>200</v>
      </c>
      <c r="K2930" s="14" t="s">
        <v>202</v>
      </c>
      <c r="L2930" s="14" t="s">
        <v>253</v>
      </c>
      <c r="M2930" s="14" t="s">
        <v>874</v>
      </c>
      <c r="N2930" s="14" t="s">
        <v>875</v>
      </c>
      <c r="O2930" s="14">
        <v>34.0</v>
      </c>
      <c r="P2930" s="23">
        <v>0.3404</v>
      </c>
      <c r="Q2930" s="22" t="str">
        <f>"+16.90%"</f>
        <v>+16.90%</v>
      </c>
      <c r="R2930" s="18" t="str">
        <f>"-16.98%"</f>
        <v>-16.98%</v>
      </c>
      <c r="S2930" s="14" t="s">
        <v>1947</v>
      </c>
    </row>
    <row r="2931">
      <c r="A2931" s="13">
        <v>45901.0</v>
      </c>
      <c r="B2931" s="14" t="s">
        <v>47</v>
      </c>
      <c r="C2931" s="14" t="s">
        <v>48</v>
      </c>
      <c r="D2931" s="14" t="s">
        <v>99</v>
      </c>
      <c r="E2931" s="14" t="s">
        <v>100</v>
      </c>
      <c r="F2931" s="15" t="s">
        <v>51</v>
      </c>
      <c r="G2931" s="14" t="s">
        <v>101</v>
      </c>
      <c r="H2931" s="14" t="s">
        <v>102</v>
      </c>
      <c r="I2931" s="14" t="s">
        <v>54</v>
      </c>
      <c r="J2931" s="14" t="s">
        <v>198</v>
      </c>
      <c r="K2931" s="14" t="s">
        <v>210</v>
      </c>
      <c r="L2931" s="14" t="s">
        <v>264</v>
      </c>
      <c r="M2931" s="14" t="s">
        <v>313</v>
      </c>
      <c r="N2931" s="14" t="s">
        <v>314</v>
      </c>
      <c r="O2931" s="14">
        <v>0.0</v>
      </c>
      <c r="P2931" s="21">
        <v>0.0</v>
      </c>
      <c r="Q2931" s="22" t="str">
        <f t="shared" ref="Q2931:R2931" si="1737">"+0"</f>
        <v>+0</v>
      </c>
      <c r="R2931" s="18" t="str">
        <f t="shared" si="1737"/>
        <v>+0</v>
      </c>
      <c r="S2931" s="14" t="s">
        <v>277</v>
      </c>
    </row>
    <row r="2932">
      <c r="A2932" s="13">
        <v>45901.0</v>
      </c>
      <c r="B2932" s="14" t="s">
        <v>47</v>
      </c>
      <c r="C2932" s="14" t="s">
        <v>48</v>
      </c>
      <c r="D2932" s="14" t="s">
        <v>192</v>
      </c>
      <c r="E2932" s="14" t="s">
        <v>193</v>
      </c>
      <c r="F2932" s="15" t="s">
        <v>51</v>
      </c>
      <c r="G2932" s="14" t="s">
        <v>194</v>
      </c>
      <c r="H2932" s="14" t="s">
        <v>192</v>
      </c>
      <c r="I2932" s="14" t="s">
        <v>54</v>
      </c>
      <c r="J2932" s="14" t="s">
        <v>200</v>
      </c>
      <c r="K2932" s="14" t="s">
        <v>223</v>
      </c>
      <c r="L2932" s="14" t="s">
        <v>375</v>
      </c>
      <c r="M2932" s="14" t="s">
        <v>902</v>
      </c>
      <c r="N2932" s="14" t="s">
        <v>903</v>
      </c>
      <c r="O2932" s="14">
        <v>0.0</v>
      </c>
      <c r="P2932" s="23">
        <v>0.0</v>
      </c>
      <c r="Q2932" s="22" t="str">
        <f t="shared" ref="Q2932:R2932" si="1738">"+0.00%"</f>
        <v>+0.00%</v>
      </c>
      <c r="R2932" s="18" t="str">
        <f t="shared" si="1738"/>
        <v>+0.00%</v>
      </c>
      <c r="S2932" s="14" t="s">
        <v>285</v>
      </c>
    </row>
    <row r="2933">
      <c r="A2933" s="13">
        <v>45901.0</v>
      </c>
      <c r="B2933" s="14" t="s">
        <v>47</v>
      </c>
      <c r="C2933" s="14" t="s">
        <v>48</v>
      </c>
      <c r="D2933" s="14" t="s">
        <v>93</v>
      </c>
      <c r="E2933" s="14" t="s">
        <v>94</v>
      </c>
      <c r="F2933" s="15" t="s">
        <v>51</v>
      </c>
      <c r="G2933" s="14" t="s">
        <v>191</v>
      </c>
      <c r="H2933" s="14" t="s">
        <v>95</v>
      </c>
      <c r="I2933" s="14" t="s">
        <v>59</v>
      </c>
      <c r="J2933" s="14" t="s">
        <v>198</v>
      </c>
      <c r="K2933" s="14" t="s">
        <v>210</v>
      </c>
      <c r="L2933" s="14" t="s">
        <v>278</v>
      </c>
      <c r="M2933" s="14" t="s">
        <v>839</v>
      </c>
      <c r="N2933" s="14" t="s">
        <v>840</v>
      </c>
      <c r="O2933" s="14">
        <v>20.0</v>
      </c>
      <c r="P2933" s="21">
        <v>2088.0</v>
      </c>
      <c r="Q2933" s="22" t="str">
        <f>"+2,088"</f>
        <v>+2,088</v>
      </c>
      <c r="R2933" s="18" t="str">
        <f>"-26"</f>
        <v>-26</v>
      </c>
      <c r="S2933" s="14" t="s">
        <v>1948</v>
      </c>
    </row>
    <row r="2934">
      <c r="A2934" s="13">
        <v>45901.0</v>
      </c>
      <c r="B2934" s="14" t="s">
        <v>47</v>
      </c>
      <c r="C2934" s="14" t="s">
        <v>48</v>
      </c>
      <c r="D2934" s="14" t="s">
        <v>103</v>
      </c>
      <c r="E2934" s="14" t="s">
        <v>104</v>
      </c>
      <c r="F2934" s="15" t="s">
        <v>51</v>
      </c>
      <c r="G2934" s="14" t="s">
        <v>105</v>
      </c>
      <c r="H2934" s="14" t="s">
        <v>106</v>
      </c>
      <c r="I2934" s="14" t="s">
        <v>59</v>
      </c>
      <c r="J2934" s="14" t="s">
        <v>200</v>
      </c>
      <c r="K2934" s="14" t="s">
        <v>232</v>
      </c>
      <c r="L2934" s="14" t="s">
        <v>304</v>
      </c>
      <c r="M2934" s="14" t="s">
        <v>877</v>
      </c>
      <c r="N2934" s="14" t="s">
        <v>878</v>
      </c>
      <c r="O2934" s="14">
        <v>45.0</v>
      </c>
      <c r="P2934" s="23">
        <v>0.4545</v>
      </c>
      <c r="Q2934" s="22" t="str">
        <f>"-11.69%"</f>
        <v>-11.69%</v>
      </c>
      <c r="R2934" s="18" t="str">
        <f>"+7.95%"</f>
        <v>+7.95%</v>
      </c>
      <c r="S2934" s="14" t="s">
        <v>1949</v>
      </c>
    </row>
    <row r="2935">
      <c r="A2935" s="13">
        <v>45901.0</v>
      </c>
      <c r="B2935" s="14" t="s">
        <v>47</v>
      </c>
      <c r="C2935" s="14" t="s">
        <v>48</v>
      </c>
      <c r="D2935" s="14" t="s">
        <v>132</v>
      </c>
      <c r="E2935" s="14" t="s">
        <v>133</v>
      </c>
      <c r="F2935" s="15" t="s">
        <v>51</v>
      </c>
      <c r="G2935" s="14" t="s">
        <v>134</v>
      </c>
      <c r="H2935" s="14" t="s">
        <v>135</v>
      </c>
      <c r="I2935" s="14" t="s">
        <v>59</v>
      </c>
      <c r="J2935" s="14" t="s">
        <v>200</v>
      </c>
      <c r="K2935" s="14" t="s">
        <v>209</v>
      </c>
      <c r="L2935" s="14" t="s">
        <v>253</v>
      </c>
      <c r="M2935" s="14" t="s">
        <v>402</v>
      </c>
      <c r="N2935" s="14" t="s">
        <v>403</v>
      </c>
      <c r="O2935" s="14">
        <v>18.0</v>
      </c>
      <c r="P2935" s="23">
        <v>0.1807</v>
      </c>
      <c r="Q2935" s="22" t="str">
        <f>"+0.06%"</f>
        <v>+0.06%</v>
      </c>
      <c r="R2935" s="18" t="str">
        <f>"+0.14%"</f>
        <v>+0.14%</v>
      </c>
      <c r="S2935" s="14" t="s">
        <v>1950</v>
      </c>
    </row>
    <row r="2936">
      <c r="A2936" s="13">
        <v>45901.0</v>
      </c>
      <c r="B2936" s="14" t="s">
        <v>47</v>
      </c>
      <c r="C2936" s="14" t="s">
        <v>48</v>
      </c>
      <c r="D2936" s="14" t="s">
        <v>132</v>
      </c>
      <c r="E2936" s="14" t="s">
        <v>133</v>
      </c>
      <c r="F2936" s="15" t="s">
        <v>51</v>
      </c>
      <c r="G2936" s="14" t="s">
        <v>134</v>
      </c>
      <c r="H2936" s="14" t="s">
        <v>135</v>
      </c>
      <c r="I2936" s="14" t="s">
        <v>59</v>
      </c>
      <c r="J2936" s="14" t="s">
        <v>200</v>
      </c>
      <c r="K2936" s="14" t="s">
        <v>213</v>
      </c>
      <c r="L2936" s="14" t="s">
        <v>676</v>
      </c>
      <c r="M2936" s="14" t="s">
        <v>677</v>
      </c>
      <c r="N2936" s="14" t="s">
        <v>678</v>
      </c>
      <c r="O2936" s="14">
        <v>0.0</v>
      </c>
      <c r="P2936" s="23">
        <v>0.0</v>
      </c>
      <c r="Q2936" s="22" t="str">
        <f t="shared" ref="Q2936:R2936" si="1739">"+0.00%"</f>
        <v>+0.00%</v>
      </c>
      <c r="R2936" s="18" t="str">
        <f t="shared" si="1739"/>
        <v>+0.00%</v>
      </c>
      <c r="S2936" s="14" t="s">
        <v>285</v>
      </c>
    </row>
    <row r="2937">
      <c r="A2937" s="13">
        <v>45901.0</v>
      </c>
      <c r="B2937" s="14" t="s">
        <v>47</v>
      </c>
      <c r="C2937" s="14" t="s">
        <v>48</v>
      </c>
      <c r="D2937" s="14" t="s">
        <v>103</v>
      </c>
      <c r="E2937" s="14" t="s">
        <v>104</v>
      </c>
      <c r="F2937" s="15" t="s">
        <v>51</v>
      </c>
      <c r="G2937" s="14" t="s">
        <v>105</v>
      </c>
      <c r="H2937" s="14" t="s">
        <v>106</v>
      </c>
      <c r="I2937" s="14" t="s">
        <v>59</v>
      </c>
      <c r="J2937" s="14" t="s">
        <v>198</v>
      </c>
      <c r="K2937" s="14" t="s">
        <v>210</v>
      </c>
      <c r="L2937" s="14" t="s">
        <v>264</v>
      </c>
      <c r="M2937" s="14" t="s">
        <v>470</v>
      </c>
      <c r="N2937" s="14" t="s">
        <v>471</v>
      </c>
      <c r="O2937" s="14">
        <v>100.0</v>
      </c>
      <c r="P2937" s="21">
        <v>0.0</v>
      </c>
      <c r="Q2937" s="22" t="str">
        <f t="shared" ref="Q2937:R2937" si="1740">"+0"</f>
        <v>+0</v>
      </c>
      <c r="R2937" s="18" t="str">
        <f t="shared" si="1740"/>
        <v>+0</v>
      </c>
      <c r="S2937" s="14" t="s">
        <v>281</v>
      </c>
    </row>
    <row r="2938">
      <c r="A2938" s="13">
        <v>45901.0</v>
      </c>
      <c r="B2938" s="14" t="s">
        <v>47</v>
      </c>
      <c r="C2938" s="14" t="s">
        <v>48</v>
      </c>
      <c r="D2938" s="14" t="s">
        <v>87</v>
      </c>
      <c r="E2938" s="14" t="s">
        <v>88</v>
      </c>
      <c r="F2938" s="15" t="s">
        <v>51</v>
      </c>
      <c r="G2938" s="14" t="s">
        <v>89</v>
      </c>
      <c r="H2938" s="14" t="s">
        <v>90</v>
      </c>
      <c r="I2938" s="14" t="s">
        <v>59</v>
      </c>
      <c r="J2938" s="14" t="s">
        <v>200</v>
      </c>
      <c r="K2938" s="14" t="s">
        <v>223</v>
      </c>
      <c r="L2938" s="14" t="s">
        <v>571</v>
      </c>
      <c r="M2938" s="14" t="s">
        <v>578</v>
      </c>
      <c r="N2938" s="14" t="s">
        <v>579</v>
      </c>
      <c r="O2938" s="14">
        <v>100.0</v>
      </c>
      <c r="P2938" s="23">
        <v>0.0055</v>
      </c>
      <c r="Q2938" s="22" t="str">
        <f>"+0.01%"</f>
        <v>+0.01%</v>
      </c>
      <c r="R2938" s="18" t="str">
        <f>"-0.04%"</f>
        <v>-0.04%</v>
      </c>
      <c r="S2938" s="14" t="s">
        <v>285</v>
      </c>
    </row>
    <row r="2939">
      <c r="A2939" s="13">
        <v>45901.0</v>
      </c>
      <c r="B2939" s="14" t="s">
        <v>47</v>
      </c>
      <c r="C2939" s="14" t="s">
        <v>48</v>
      </c>
      <c r="D2939" s="14" t="s">
        <v>171</v>
      </c>
      <c r="E2939" s="14" t="s">
        <v>172</v>
      </c>
      <c r="F2939" s="15" t="s">
        <v>51</v>
      </c>
      <c r="G2939" s="14" t="s">
        <v>173</v>
      </c>
      <c r="H2939" s="14" t="s">
        <v>171</v>
      </c>
      <c r="I2939" s="14" t="s">
        <v>59</v>
      </c>
      <c r="J2939" s="14" t="s">
        <v>200</v>
      </c>
      <c r="K2939" s="14" t="s">
        <v>213</v>
      </c>
      <c r="L2939" s="14" t="s">
        <v>253</v>
      </c>
      <c r="M2939" s="14" t="s">
        <v>389</v>
      </c>
      <c r="N2939" s="14" t="s">
        <v>390</v>
      </c>
      <c r="O2939" s="14">
        <v>41.0</v>
      </c>
      <c r="P2939" s="23">
        <v>0.4167</v>
      </c>
      <c r="Q2939" s="22" t="str">
        <f>"-8.33%"</f>
        <v>-8.33%</v>
      </c>
      <c r="R2939" s="18" t="str">
        <f>"+8.33%"</f>
        <v>+8.33%</v>
      </c>
      <c r="S2939" s="14" t="s">
        <v>1951</v>
      </c>
    </row>
    <row r="2940">
      <c r="A2940" s="13">
        <v>45901.0</v>
      </c>
      <c r="B2940" s="14" t="s">
        <v>47</v>
      </c>
      <c r="C2940" s="14" t="s">
        <v>48</v>
      </c>
      <c r="D2940" s="14" t="s">
        <v>129</v>
      </c>
      <c r="E2940" s="14" t="s">
        <v>130</v>
      </c>
      <c r="F2940" s="15" t="s">
        <v>51</v>
      </c>
      <c r="G2940" s="14" t="s">
        <v>131</v>
      </c>
      <c r="H2940" s="14" t="s">
        <v>129</v>
      </c>
      <c r="I2940" s="14" t="s">
        <v>59</v>
      </c>
      <c r="J2940" s="14" t="s">
        <v>200</v>
      </c>
      <c r="K2940" s="14" t="s">
        <v>227</v>
      </c>
      <c r="L2940" s="14" t="s">
        <v>270</v>
      </c>
      <c r="M2940" s="14" t="s">
        <v>271</v>
      </c>
      <c r="N2940" s="14" t="s">
        <v>272</v>
      </c>
      <c r="O2940" s="14">
        <v>0.0</v>
      </c>
      <c r="P2940" s="23">
        <v>-1.0</v>
      </c>
      <c r="Q2940" s="22" t="str">
        <f t="shared" ref="Q2940:R2940" si="1741">"+0.00%"</f>
        <v>+0.00%</v>
      </c>
      <c r="R2940" s="18" t="str">
        <f t="shared" si="1741"/>
        <v>+0.00%</v>
      </c>
      <c r="S2940" s="14" t="s">
        <v>273</v>
      </c>
    </row>
    <row r="2941">
      <c r="A2941" s="13">
        <v>45901.0</v>
      </c>
      <c r="B2941" s="14" t="s">
        <v>47</v>
      </c>
      <c r="C2941" s="14" t="s">
        <v>48</v>
      </c>
      <c r="D2941" s="14" t="s">
        <v>85</v>
      </c>
      <c r="E2941" s="14" t="s">
        <v>86</v>
      </c>
      <c r="F2941" s="15" t="s">
        <v>51</v>
      </c>
      <c r="G2941" s="14" t="s">
        <v>148</v>
      </c>
      <c r="H2941" s="14" t="s">
        <v>85</v>
      </c>
      <c r="I2941" s="14" t="s">
        <v>59</v>
      </c>
      <c r="J2941" s="14" t="s">
        <v>198</v>
      </c>
      <c r="K2941" s="14" t="s">
        <v>210</v>
      </c>
      <c r="L2941" s="14" t="s">
        <v>264</v>
      </c>
      <c r="M2941" s="14" t="s">
        <v>407</v>
      </c>
      <c r="N2941" s="14" t="s">
        <v>408</v>
      </c>
      <c r="O2941" s="14">
        <v>0.0</v>
      </c>
      <c r="P2941" s="21">
        <v>1637.0</v>
      </c>
      <c r="Q2941" s="22" t="str">
        <f>"+623"</f>
        <v>+623</v>
      </c>
      <c r="R2941" s="18" t="str">
        <f>"-9,225"</f>
        <v>-9,225</v>
      </c>
      <c r="S2941" s="14" t="s">
        <v>1952</v>
      </c>
    </row>
    <row r="2942">
      <c r="A2942" s="13">
        <v>45901.0</v>
      </c>
      <c r="B2942" s="14" t="s">
        <v>47</v>
      </c>
      <c r="C2942" s="14" t="s">
        <v>48</v>
      </c>
      <c r="D2942" s="14" t="s">
        <v>125</v>
      </c>
      <c r="E2942" s="14" t="s">
        <v>126</v>
      </c>
      <c r="F2942" s="15" t="s">
        <v>51</v>
      </c>
      <c r="G2942" s="14" t="s">
        <v>127</v>
      </c>
      <c r="H2942" s="14" t="s">
        <v>125</v>
      </c>
      <c r="I2942" s="14" t="s">
        <v>59</v>
      </c>
      <c r="J2942" s="14" t="s">
        <v>198</v>
      </c>
      <c r="K2942" s="14" t="s">
        <v>210</v>
      </c>
      <c r="L2942" s="14" t="s">
        <v>264</v>
      </c>
      <c r="M2942" s="14" t="s">
        <v>407</v>
      </c>
      <c r="N2942" s="14" t="s">
        <v>408</v>
      </c>
      <c r="O2942" s="14">
        <v>100.0</v>
      </c>
      <c r="P2942" s="21">
        <v>0.0</v>
      </c>
      <c r="Q2942" s="22" t="str">
        <f t="shared" ref="Q2942:R2942" si="1742">"+0"</f>
        <v>+0</v>
      </c>
      <c r="R2942" s="18" t="str">
        <f t="shared" si="1742"/>
        <v>+0</v>
      </c>
      <c r="S2942" s="14" t="s">
        <v>281</v>
      </c>
    </row>
    <row r="2943">
      <c r="A2943" s="13">
        <v>45901.0</v>
      </c>
      <c r="B2943" s="14" t="s">
        <v>47</v>
      </c>
      <c r="C2943" s="14" t="s">
        <v>48</v>
      </c>
      <c r="D2943" s="14" t="s">
        <v>116</v>
      </c>
      <c r="E2943" s="14" t="s">
        <v>117</v>
      </c>
      <c r="F2943" s="15" t="s">
        <v>51</v>
      </c>
      <c r="G2943" s="14" t="s">
        <v>161</v>
      </c>
      <c r="H2943" s="14" t="s">
        <v>116</v>
      </c>
      <c r="I2943" s="14" t="s">
        <v>54</v>
      </c>
      <c r="J2943" s="14" t="s">
        <v>198</v>
      </c>
      <c r="K2943" s="14" t="s">
        <v>210</v>
      </c>
      <c r="L2943" s="14" t="s">
        <v>505</v>
      </c>
      <c r="M2943" s="14" t="s">
        <v>1020</v>
      </c>
      <c r="N2943" s="14" t="s">
        <v>1021</v>
      </c>
      <c r="O2943" s="14">
        <v>0.0</v>
      </c>
      <c r="P2943" s="21">
        <v>0.0</v>
      </c>
      <c r="Q2943" s="22" t="str">
        <f t="shared" ref="Q2943:R2943" si="1743">"+0"</f>
        <v>+0</v>
      </c>
      <c r="R2943" s="18" t="str">
        <f t="shared" si="1743"/>
        <v>+0</v>
      </c>
      <c r="S2943" s="14" t="s">
        <v>277</v>
      </c>
    </row>
    <row r="2944">
      <c r="A2944" s="13">
        <v>45901.0</v>
      </c>
      <c r="B2944" s="14" t="s">
        <v>47</v>
      </c>
      <c r="C2944" s="14" t="s">
        <v>48</v>
      </c>
      <c r="D2944" s="14" t="s">
        <v>121</v>
      </c>
      <c r="E2944" s="14" t="s">
        <v>122</v>
      </c>
      <c r="F2944" s="15" t="s">
        <v>51</v>
      </c>
      <c r="G2944" s="14" t="s">
        <v>123</v>
      </c>
      <c r="H2944" s="14" t="s">
        <v>124</v>
      </c>
      <c r="I2944" s="14" t="s">
        <v>59</v>
      </c>
      <c r="J2944" s="14" t="s">
        <v>199</v>
      </c>
      <c r="K2944" s="14" t="s">
        <v>206</v>
      </c>
      <c r="L2944" s="14" t="s">
        <v>433</v>
      </c>
      <c r="M2944" s="14" t="s">
        <v>433</v>
      </c>
      <c r="N2944" s="14" t="s">
        <v>434</v>
      </c>
      <c r="O2944" s="14">
        <v>0.0</v>
      </c>
      <c r="P2944" s="21">
        <v>0.0</v>
      </c>
      <c r="Q2944" s="22" t="str">
        <f t="shared" ref="Q2944:R2944" si="1744">"+0"</f>
        <v>+0</v>
      </c>
      <c r="R2944" s="18" t="str">
        <f t="shared" si="1744"/>
        <v>+0</v>
      </c>
      <c r="S2944" s="14" t="s">
        <v>383</v>
      </c>
    </row>
    <row r="2945">
      <c r="A2945" s="13">
        <v>45901.0</v>
      </c>
      <c r="B2945" s="14" t="s">
        <v>47</v>
      </c>
      <c r="C2945" s="14" t="s">
        <v>48</v>
      </c>
      <c r="D2945" s="14" t="s">
        <v>168</v>
      </c>
      <c r="E2945" s="14" t="s">
        <v>169</v>
      </c>
      <c r="F2945" s="15" t="s">
        <v>51</v>
      </c>
      <c r="G2945" s="14" t="s">
        <v>170</v>
      </c>
      <c r="H2945" s="14" t="s">
        <v>168</v>
      </c>
      <c r="I2945" s="14" t="s">
        <v>59</v>
      </c>
      <c r="J2945" s="14" t="s">
        <v>200</v>
      </c>
      <c r="K2945" s="14" t="s">
        <v>209</v>
      </c>
      <c r="L2945" s="14" t="s">
        <v>253</v>
      </c>
      <c r="M2945" s="14" t="s">
        <v>817</v>
      </c>
      <c r="N2945" s="14" t="s">
        <v>818</v>
      </c>
      <c r="O2945" s="14">
        <v>95.0</v>
      </c>
      <c r="P2945" s="23">
        <v>0.9542</v>
      </c>
      <c r="Q2945" s="22" t="str">
        <f>"+0.02%"</f>
        <v>+0.02%</v>
      </c>
      <c r="R2945" s="18" t="str">
        <f>"+0.06%"</f>
        <v>+0.06%</v>
      </c>
      <c r="S2945" s="14" t="s">
        <v>1953</v>
      </c>
    </row>
    <row r="2946">
      <c r="A2946" s="13">
        <v>45901.0</v>
      </c>
      <c r="B2946" s="14" t="s">
        <v>47</v>
      </c>
      <c r="C2946" s="14" t="s">
        <v>48</v>
      </c>
      <c r="D2946" s="14" t="s">
        <v>140</v>
      </c>
      <c r="E2946" s="14" t="s">
        <v>141</v>
      </c>
      <c r="F2946" s="15" t="s">
        <v>51</v>
      </c>
      <c r="G2946" s="14" t="s">
        <v>142</v>
      </c>
      <c r="H2946" s="14" t="s">
        <v>140</v>
      </c>
      <c r="I2946" s="14" t="s">
        <v>59</v>
      </c>
      <c r="J2946" s="14" t="s">
        <v>200</v>
      </c>
      <c r="K2946" s="14" t="s">
        <v>213</v>
      </c>
      <c r="L2946" s="14" t="s">
        <v>307</v>
      </c>
      <c r="M2946" s="14" t="s">
        <v>856</v>
      </c>
      <c r="N2946" s="14" t="s">
        <v>857</v>
      </c>
      <c r="O2946" s="14">
        <v>0.0</v>
      </c>
      <c r="P2946" s="23">
        <v>0.0</v>
      </c>
      <c r="Q2946" s="22" t="str">
        <f t="shared" ref="Q2946:R2946" si="1745">"+0.00%"</f>
        <v>+0.00%</v>
      </c>
      <c r="R2946" s="18" t="str">
        <f t="shared" si="1745"/>
        <v>+0.00%</v>
      </c>
      <c r="S2946" s="14" t="s">
        <v>285</v>
      </c>
    </row>
    <row r="2947">
      <c r="A2947" s="13">
        <v>45901.0</v>
      </c>
      <c r="B2947" s="14" t="s">
        <v>47</v>
      </c>
      <c r="C2947" s="14" t="s">
        <v>48</v>
      </c>
      <c r="D2947" s="14" t="s">
        <v>181</v>
      </c>
      <c r="E2947" s="14" t="s">
        <v>182</v>
      </c>
      <c r="F2947" s="15" t="s">
        <v>51</v>
      </c>
      <c r="G2947" s="14" t="s">
        <v>183</v>
      </c>
      <c r="H2947" s="14" t="s">
        <v>181</v>
      </c>
      <c r="I2947" s="14" t="s">
        <v>59</v>
      </c>
      <c r="J2947" s="14" t="s">
        <v>200</v>
      </c>
      <c r="K2947" s="14" t="s">
        <v>232</v>
      </c>
      <c r="L2947" s="14" t="s">
        <v>363</v>
      </c>
      <c r="M2947" s="14" t="s">
        <v>1043</v>
      </c>
      <c r="N2947" s="14" t="s">
        <v>1044</v>
      </c>
      <c r="O2947" s="14">
        <v>0.0</v>
      </c>
      <c r="P2947" s="23">
        <v>0.0</v>
      </c>
      <c r="Q2947" s="22" t="str">
        <f t="shared" ref="Q2947:R2947" si="1746">"+0.00%"</f>
        <v>+0.00%</v>
      </c>
      <c r="R2947" s="18" t="str">
        <f t="shared" si="1746"/>
        <v>+0.00%</v>
      </c>
      <c r="S2947" s="14" t="s">
        <v>285</v>
      </c>
    </row>
    <row r="2948">
      <c r="A2948" s="13">
        <v>45901.0</v>
      </c>
      <c r="B2948" s="14" t="s">
        <v>47</v>
      </c>
      <c r="C2948" s="14" t="s">
        <v>48</v>
      </c>
      <c r="D2948" s="14" t="s">
        <v>56</v>
      </c>
      <c r="E2948" s="14" t="s">
        <v>57</v>
      </c>
      <c r="F2948" s="14" t="s">
        <v>71</v>
      </c>
      <c r="G2948" s="14">
        <v>5.36003976E8</v>
      </c>
      <c r="H2948" s="14" t="s">
        <v>56</v>
      </c>
      <c r="I2948" s="14" t="s">
        <v>59</v>
      </c>
      <c r="J2948" s="14" t="s">
        <v>199</v>
      </c>
      <c r="K2948" s="14" t="s">
        <v>206</v>
      </c>
      <c r="L2948" s="14" t="s">
        <v>295</v>
      </c>
      <c r="M2948" s="14" t="s">
        <v>296</v>
      </c>
      <c r="N2948" s="14" t="s">
        <v>297</v>
      </c>
      <c r="O2948" s="14">
        <v>0.0</v>
      </c>
      <c r="P2948" s="21">
        <v>0.0</v>
      </c>
      <c r="Q2948" s="22" t="str">
        <f t="shared" ref="Q2948:R2948" si="1747">"+0"</f>
        <v>+0</v>
      </c>
      <c r="R2948" s="18" t="str">
        <f t="shared" si="1747"/>
        <v>+0</v>
      </c>
      <c r="S2948" s="14" t="s">
        <v>260</v>
      </c>
    </row>
    <row r="2949">
      <c r="A2949" s="13">
        <v>45901.0</v>
      </c>
      <c r="B2949" s="14" t="s">
        <v>47</v>
      </c>
      <c r="C2949" s="14" t="s">
        <v>48</v>
      </c>
      <c r="D2949" s="14" t="s">
        <v>155</v>
      </c>
      <c r="E2949" s="14" t="s">
        <v>156</v>
      </c>
      <c r="F2949" s="15" t="s">
        <v>51</v>
      </c>
      <c r="G2949" s="14" t="s">
        <v>157</v>
      </c>
      <c r="H2949" s="14" t="s">
        <v>155</v>
      </c>
      <c r="I2949" s="14" t="s">
        <v>59</v>
      </c>
      <c r="J2949" s="14" t="s">
        <v>200</v>
      </c>
      <c r="K2949" s="14" t="s">
        <v>223</v>
      </c>
      <c r="L2949" s="14" t="s">
        <v>487</v>
      </c>
      <c r="M2949" s="14" t="s">
        <v>1075</v>
      </c>
      <c r="N2949" s="14" t="s">
        <v>1076</v>
      </c>
      <c r="O2949" s="14">
        <v>0.0</v>
      </c>
      <c r="P2949" s="17"/>
      <c r="Q2949" s="22"/>
      <c r="S2949" s="14" t="s">
        <v>285</v>
      </c>
    </row>
    <row r="2950">
      <c r="A2950" s="13">
        <v>45901.0</v>
      </c>
      <c r="B2950" s="14" t="s">
        <v>47</v>
      </c>
      <c r="C2950" s="14" t="s">
        <v>48</v>
      </c>
      <c r="D2950" s="14" t="s">
        <v>56</v>
      </c>
      <c r="E2950" s="14" t="s">
        <v>57</v>
      </c>
      <c r="F2950" s="15" t="s">
        <v>51</v>
      </c>
      <c r="G2950" s="14" t="s">
        <v>58</v>
      </c>
      <c r="H2950" s="14" t="s">
        <v>56</v>
      </c>
      <c r="I2950" s="14" t="s">
        <v>59</v>
      </c>
      <c r="J2950" s="14" t="s">
        <v>200</v>
      </c>
      <c r="K2950" s="14" t="s">
        <v>223</v>
      </c>
      <c r="L2950" s="14" t="s">
        <v>676</v>
      </c>
      <c r="M2950" s="14" t="s">
        <v>677</v>
      </c>
      <c r="N2950" s="14" t="s">
        <v>678</v>
      </c>
      <c r="O2950" s="14">
        <v>0.0</v>
      </c>
      <c r="P2950" s="23">
        <v>0.0</v>
      </c>
      <c r="Q2950" s="22" t="str">
        <f t="shared" ref="Q2950:R2950" si="1748">"+0.00%"</f>
        <v>+0.00%</v>
      </c>
      <c r="R2950" s="18" t="str">
        <f t="shared" si="1748"/>
        <v>+0.00%</v>
      </c>
      <c r="S2950" s="14" t="s">
        <v>285</v>
      </c>
    </row>
    <row r="2951">
      <c r="A2951" s="13">
        <v>45901.0</v>
      </c>
      <c r="B2951" s="14" t="s">
        <v>47</v>
      </c>
      <c r="C2951" s="14" t="s">
        <v>48</v>
      </c>
      <c r="D2951" s="14" t="s">
        <v>140</v>
      </c>
      <c r="E2951" s="14" t="s">
        <v>141</v>
      </c>
      <c r="F2951" s="15" t="s">
        <v>51</v>
      </c>
      <c r="G2951" s="14" t="s">
        <v>142</v>
      </c>
      <c r="H2951" s="14" t="s">
        <v>140</v>
      </c>
      <c r="I2951" s="14" t="s">
        <v>59</v>
      </c>
      <c r="J2951" s="14" t="s">
        <v>200</v>
      </c>
      <c r="K2951" s="14" t="s">
        <v>213</v>
      </c>
      <c r="L2951" s="14" t="s">
        <v>591</v>
      </c>
      <c r="M2951" s="14" t="s">
        <v>592</v>
      </c>
      <c r="N2951" s="14" t="s">
        <v>1048</v>
      </c>
      <c r="O2951" s="14">
        <v>0.0</v>
      </c>
      <c r="P2951" s="23">
        <v>0.0</v>
      </c>
      <c r="Q2951" s="22" t="str">
        <f t="shared" ref="Q2951:R2951" si="1749">"+0.00%"</f>
        <v>+0.00%</v>
      </c>
      <c r="R2951" s="18" t="str">
        <f t="shared" si="1749"/>
        <v>+0.00%</v>
      </c>
      <c r="S2951" s="14" t="s">
        <v>285</v>
      </c>
    </row>
    <row r="2952">
      <c r="A2952" s="13">
        <v>45901.0</v>
      </c>
      <c r="B2952" s="14" t="s">
        <v>47</v>
      </c>
      <c r="C2952" s="14" t="s">
        <v>48</v>
      </c>
      <c r="D2952" s="14" t="s">
        <v>56</v>
      </c>
      <c r="E2952" s="14" t="s">
        <v>57</v>
      </c>
      <c r="F2952" s="15" t="s">
        <v>51</v>
      </c>
      <c r="G2952" s="14" t="s">
        <v>58</v>
      </c>
      <c r="H2952" s="14" t="s">
        <v>56</v>
      </c>
      <c r="I2952" s="14" t="s">
        <v>59</v>
      </c>
      <c r="J2952" s="14" t="s">
        <v>200</v>
      </c>
      <c r="K2952" s="14" t="s">
        <v>223</v>
      </c>
      <c r="L2952" s="14" t="s">
        <v>286</v>
      </c>
      <c r="M2952" s="14" t="s">
        <v>1199</v>
      </c>
      <c r="N2952" s="14" t="s">
        <v>1200</v>
      </c>
      <c r="O2952" s="14">
        <v>0.0</v>
      </c>
      <c r="P2952" s="23">
        <v>0.0</v>
      </c>
      <c r="Q2952" s="22" t="str">
        <f t="shared" ref="Q2952:R2952" si="1750">"+0.00%"</f>
        <v>+0.00%</v>
      </c>
      <c r="R2952" s="18" t="str">
        <f t="shared" si="1750"/>
        <v>+0.00%</v>
      </c>
      <c r="S2952" s="14" t="s">
        <v>285</v>
      </c>
    </row>
    <row r="2953">
      <c r="A2953" s="13">
        <v>45901.0</v>
      </c>
      <c r="B2953" s="14" t="s">
        <v>47</v>
      </c>
      <c r="C2953" s="14" t="s">
        <v>48</v>
      </c>
      <c r="D2953" s="14" t="s">
        <v>49</v>
      </c>
      <c r="E2953" s="14" t="s">
        <v>50</v>
      </c>
      <c r="F2953" s="15" t="s">
        <v>51</v>
      </c>
      <c r="G2953" s="14" t="s">
        <v>52</v>
      </c>
      <c r="H2953" s="14" t="s">
        <v>53</v>
      </c>
      <c r="I2953" s="14" t="s">
        <v>54</v>
      </c>
      <c r="J2953" s="14" t="s">
        <v>199</v>
      </c>
      <c r="K2953" s="14" t="s">
        <v>206</v>
      </c>
      <c r="L2953" s="14" t="s">
        <v>295</v>
      </c>
      <c r="M2953" s="14" t="s">
        <v>986</v>
      </c>
      <c r="N2953" s="14" t="s">
        <v>987</v>
      </c>
      <c r="O2953" s="14">
        <v>0.0</v>
      </c>
      <c r="P2953" s="21">
        <v>0.0</v>
      </c>
      <c r="Q2953" s="22" t="str">
        <f t="shared" ref="Q2953:R2953" si="1751">"-1"</f>
        <v>-1</v>
      </c>
      <c r="R2953" s="18" t="str">
        <f t="shared" si="1751"/>
        <v>-1</v>
      </c>
      <c r="S2953" s="14" t="s">
        <v>260</v>
      </c>
    </row>
    <row r="2954">
      <c r="A2954" s="13">
        <v>45901.0</v>
      </c>
      <c r="B2954" s="14" t="s">
        <v>47</v>
      </c>
      <c r="C2954" s="14" t="s">
        <v>48</v>
      </c>
      <c r="D2954" s="14" t="s">
        <v>99</v>
      </c>
      <c r="E2954" s="14" t="s">
        <v>100</v>
      </c>
      <c r="F2954" s="15" t="s">
        <v>51</v>
      </c>
      <c r="G2954" s="14" t="s">
        <v>101</v>
      </c>
      <c r="H2954" s="14" t="s">
        <v>102</v>
      </c>
      <c r="I2954" s="14" t="s">
        <v>54</v>
      </c>
      <c r="J2954" s="14" t="s">
        <v>198</v>
      </c>
      <c r="K2954" s="14" t="s">
        <v>210</v>
      </c>
      <c r="L2954" s="14" t="s">
        <v>264</v>
      </c>
      <c r="M2954" s="14" t="s">
        <v>1274</v>
      </c>
      <c r="N2954" s="14" t="s">
        <v>1275</v>
      </c>
      <c r="O2954" s="14">
        <v>0.0</v>
      </c>
      <c r="P2954" s="21">
        <v>0.0</v>
      </c>
      <c r="Q2954" s="22" t="str">
        <f t="shared" ref="Q2954:R2954" si="1752">"+0"</f>
        <v>+0</v>
      </c>
      <c r="R2954" s="18" t="str">
        <f t="shared" si="1752"/>
        <v>+0</v>
      </c>
      <c r="S2954" s="14" t="s">
        <v>277</v>
      </c>
    </row>
    <row r="2955">
      <c r="A2955" s="13">
        <v>45901.0</v>
      </c>
      <c r="B2955" s="14" t="s">
        <v>47</v>
      </c>
      <c r="C2955" s="14" t="s">
        <v>48</v>
      </c>
      <c r="D2955" s="14" t="s">
        <v>91</v>
      </c>
      <c r="E2955" s="14" t="s">
        <v>92</v>
      </c>
      <c r="F2955" s="14" t="s">
        <v>71</v>
      </c>
      <c r="G2955" s="14">
        <v>5.00008612E8</v>
      </c>
      <c r="H2955" s="14" t="s">
        <v>91</v>
      </c>
      <c r="I2955" s="14" t="s">
        <v>59</v>
      </c>
      <c r="J2955" s="14" t="s">
        <v>200</v>
      </c>
      <c r="K2955" s="14" t="s">
        <v>218</v>
      </c>
      <c r="L2955" s="14" t="s">
        <v>253</v>
      </c>
      <c r="M2955" s="14" t="s">
        <v>463</v>
      </c>
      <c r="N2955" s="14" t="s">
        <v>464</v>
      </c>
      <c r="O2955" s="14">
        <v>69.0</v>
      </c>
      <c r="P2955" s="23">
        <v>0.6937</v>
      </c>
      <c r="Q2955" s="22" t="str">
        <f>"+5.27%"</f>
        <v>+5.27%</v>
      </c>
      <c r="R2955" s="18" t="str">
        <f>"+15.21%"</f>
        <v>+15.21%</v>
      </c>
      <c r="S2955" s="14" t="s">
        <v>1954</v>
      </c>
    </row>
    <row r="2956">
      <c r="A2956" s="13">
        <v>45901.0</v>
      </c>
      <c r="B2956" s="14" t="s">
        <v>47</v>
      </c>
      <c r="C2956" s="14" t="s">
        <v>48</v>
      </c>
      <c r="D2956" s="14" t="s">
        <v>63</v>
      </c>
      <c r="E2956" s="14" t="s">
        <v>64</v>
      </c>
      <c r="F2956" s="15" t="s">
        <v>51</v>
      </c>
      <c r="G2956" s="14" t="s">
        <v>65</v>
      </c>
      <c r="H2956" s="14" t="s">
        <v>63</v>
      </c>
      <c r="I2956" s="14" t="s">
        <v>54</v>
      </c>
      <c r="J2956" s="14" t="s">
        <v>200</v>
      </c>
      <c r="K2956" s="14" t="s">
        <v>224</v>
      </c>
      <c r="L2956" s="14" t="s">
        <v>392</v>
      </c>
      <c r="M2956" s="14" t="s">
        <v>393</v>
      </c>
      <c r="N2956" s="14" t="s">
        <v>394</v>
      </c>
      <c r="O2956" s="14">
        <v>3.0</v>
      </c>
      <c r="P2956" s="23">
        <v>0.0357</v>
      </c>
      <c r="Q2956" s="22" t="str">
        <f>"-1.19%"</f>
        <v>-1.19%</v>
      </c>
      <c r="R2956" s="18" t="str">
        <f>"-0.97%"</f>
        <v>-0.97%</v>
      </c>
      <c r="S2956" s="14" t="s">
        <v>1955</v>
      </c>
    </row>
    <row r="2957">
      <c r="A2957" s="13">
        <v>45901.0</v>
      </c>
      <c r="B2957" s="14" t="s">
        <v>47</v>
      </c>
      <c r="C2957" s="14" t="s">
        <v>48</v>
      </c>
      <c r="D2957" s="14" t="s">
        <v>93</v>
      </c>
      <c r="E2957" s="14" t="s">
        <v>94</v>
      </c>
      <c r="F2957" s="15" t="s">
        <v>51</v>
      </c>
      <c r="G2957" s="14" t="s">
        <v>191</v>
      </c>
      <c r="H2957" s="14" t="s">
        <v>95</v>
      </c>
      <c r="I2957" s="14" t="s">
        <v>59</v>
      </c>
      <c r="J2957" s="14" t="s">
        <v>198</v>
      </c>
      <c r="K2957" s="14" t="s">
        <v>212</v>
      </c>
      <c r="L2957" s="14" t="s">
        <v>344</v>
      </c>
      <c r="M2957" s="14" t="s">
        <v>580</v>
      </c>
      <c r="N2957" s="14" t="s">
        <v>581</v>
      </c>
      <c r="O2957" s="14">
        <v>100.0</v>
      </c>
      <c r="P2957" s="21">
        <v>1.0</v>
      </c>
      <c r="Q2957" s="22" t="str">
        <f>"+1"</f>
        <v>+1</v>
      </c>
      <c r="S2957" s="14" t="s">
        <v>281</v>
      </c>
    </row>
    <row r="2958">
      <c r="A2958" s="13">
        <v>45901.0</v>
      </c>
      <c r="B2958" s="14" t="s">
        <v>47</v>
      </c>
      <c r="C2958" s="14" t="s">
        <v>48</v>
      </c>
      <c r="D2958" s="14" t="s">
        <v>192</v>
      </c>
      <c r="E2958" s="14" t="s">
        <v>193</v>
      </c>
      <c r="F2958" s="15" t="s">
        <v>51</v>
      </c>
      <c r="G2958" s="14" t="s">
        <v>194</v>
      </c>
      <c r="H2958" s="14" t="s">
        <v>192</v>
      </c>
      <c r="I2958" s="14" t="s">
        <v>54</v>
      </c>
      <c r="J2958" s="14" t="s">
        <v>200</v>
      </c>
      <c r="K2958" s="14" t="s">
        <v>223</v>
      </c>
      <c r="L2958" s="14" t="s">
        <v>257</v>
      </c>
      <c r="M2958" s="14" t="s">
        <v>493</v>
      </c>
      <c r="N2958" s="14" t="s">
        <v>494</v>
      </c>
      <c r="O2958" s="14">
        <v>31.0</v>
      </c>
      <c r="P2958" s="23">
        <v>-0.3783</v>
      </c>
      <c r="Q2958" s="22" t="str">
        <f>"+9.00%"</f>
        <v>+9.00%</v>
      </c>
      <c r="R2958" s="18" t="str">
        <f>"-1.24%"</f>
        <v>-1.24%</v>
      </c>
      <c r="S2958" s="14" t="s">
        <v>1956</v>
      </c>
    </row>
    <row r="2959">
      <c r="A2959" s="13">
        <v>45901.0</v>
      </c>
      <c r="B2959" s="14" t="s">
        <v>47</v>
      </c>
      <c r="C2959" s="14" t="s">
        <v>48</v>
      </c>
      <c r="D2959" s="14" t="s">
        <v>192</v>
      </c>
      <c r="E2959" s="14" t="s">
        <v>193</v>
      </c>
      <c r="F2959" s="15" t="s">
        <v>51</v>
      </c>
      <c r="G2959" s="14" t="s">
        <v>194</v>
      </c>
      <c r="H2959" s="14" t="s">
        <v>192</v>
      </c>
      <c r="I2959" s="14" t="s">
        <v>54</v>
      </c>
      <c r="J2959" s="14" t="s">
        <v>198</v>
      </c>
      <c r="K2959" s="14" t="s">
        <v>210</v>
      </c>
      <c r="L2959" s="14" t="s">
        <v>264</v>
      </c>
      <c r="M2959" s="14" t="s">
        <v>405</v>
      </c>
      <c r="N2959" s="14" t="s">
        <v>406</v>
      </c>
      <c r="O2959" s="14">
        <v>0.0</v>
      </c>
      <c r="P2959" s="21">
        <v>0.0</v>
      </c>
      <c r="Q2959" s="22" t="str">
        <f t="shared" ref="Q2959:R2959" si="1753">"+0"</f>
        <v>+0</v>
      </c>
      <c r="R2959" s="18" t="str">
        <f t="shared" si="1753"/>
        <v>+0</v>
      </c>
      <c r="S2959" s="14" t="s">
        <v>277</v>
      </c>
    </row>
    <row r="2960">
      <c r="A2960" s="13">
        <v>45901.0</v>
      </c>
      <c r="B2960" s="14" t="s">
        <v>47</v>
      </c>
      <c r="C2960" s="14" t="s">
        <v>48</v>
      </c>
      <c r="D2960" s="14" t="s">
        <v>184</v>
      </c>
      <c r="E2960" s="14" t="s">
        <v>185</v>
      </c>
      <c r="F2960" s="15" t="s">
        <v>51</v>
      </c>
      <c r="G2960" s="14" t="s">
        <v>186</v>
      </c>
      <c r="H2960" s="14" t="s">
        <v>187</v>
      </c>
      <c r="I2960" s="14" t="s">
        <v>59</v>
      </c>
      <c r="J2960" s="14" t="s">
        <v>200</v>
      </c>
      <c r="K2960" s="14" t="s">
        <v>222</v>
      </c>
      <c r="L2960" s="14" t="s">
        <v>301</v>
      </c>
      <c r="M2960" s="14" t="s">
        <v>302</v>
      </c>
      <c r="N2960" s="14" t="s">
        <v>303</v>
      </c>
      <c r="O2960" s="14">
        <v>0.0</v>
      </c>
      <c r="P2960" s="21">
        <v>0.0</v>
      </c>
      <c r="Q2960" s="22" t="str">
        <f t="shared" ref="Q2960:R2960" si="1754">"+0"</f>
        <v>+0</v>
      </c>
      <c r="R2960" s="18" t="str">
        <f t="shared" si="1754"/>
        <v>+0</v>
      </c>
      <c r="S2960" s="14" t="s">
        <v>260</v>
      </c>
    </row>
    <row r="2961">
      <c r="A2961" s="13">
        <v>45901.0</v>
      </c>
      <c r="B2961" s="14" t="s">
        <v>47</v>
      </c>
      <c r="C2961" s="14" t="s">
        <v>48</v>
      </c>
      <c r="D2961" s="14" t="s">
        <v>103</v>
      </c>
      <c r="E2961" s="14" t="s">
        <v>104</v>
      </c>
      <c r="F2961" s="15" t="s">
        <v>51</v>
      </c>
      <c r="G2961" s="14" t="s">
        <v>105</v>
      </c>
      <c r="H2961" s="14" t="s">
        <v>106</v>
      </c>
      <c r="I2961" s="14" t="s">
        <v>59</v>
      </c>
      <c r="J2961" s="14" t="s">
        <v>199</v>
      </c>
      <c r="K2961" s="14" t="s">
        <v>208</v>
      </c>
      <c r="L2961" s="14" t="s">
        <v>412</v>
      </c>
      <c r="M2961" s="14" t="s">
        <v>412</v>
      </c>
      <c r="N2961" s="14" t="s">
        <v>413</v>
      </c>
      <c r="O2961" s="14">
        <v>0.0</v>
      </c>
      <c r="P2961" s="21">
        <v>0.0</v>
      </c>
      <c r="Q2961" s="22" t="str">
        <f t="shared" ref="Q2961:R2961" si="1755">"+0"</f>
        <v>+0</v>
      </c>
      <c r="R2961" s="18" t="str">
        <f t="shared" si="1755"/>
        <v>+0</v>
      </c>
      <c r="S2961" s="14" t="s">
        <v>260</v>
      </c>
    </row>
    <row r="2962">
      <c r="A2962" s="13">
        <v>45901.0</v>
      </c>
      <c r="B2962" s="14" t="s">
        <v>47</v>
      </c>
      <c r="C2962" s="14" t="s">
        <v>48</v>
      </c>
      <c r="D2962" s="14" t="s">
        <v>143</v>
      </c>
      <c r="E2962" s="14" t="s">
        <v>144</v>
      </c>
      <c r="F2962" s="15" t="s">
        <v>51</v>
      </c>
      <c r="G2962" s="14" t="s">
        <v>145</v>
      </c>
      <c r="H2962" s="14" t="s">
        <v>143</v>
      </c>
      <c r="I2962" s="14" t="s">
        <v>59</v>
      </c>
      <c r="J2962" s="14" t="s">
        <v>200</v>
      </c>
      <c r="K2962" s="14" t="s">
        <v>224</v>
      </c>
      <c r="L2962" s="14" t="s">
        <v>453</v>
      </c>
      <c r="M2962" s="14" t="s">
        <v>521</v>
      </c>
      <c r="N2962" s="14" t="s">
        <v>522</v>
      </c>
      <c r="O2962" s="14">
        <v>0.0</v>
      </c>
      <c r="P2962" s="23">
        <v>0.0</v>
      </c>
      <c r="Q2962" s="22" t="str">
        <f t="shared" ref="Q2962:Q2963" si="1756">"+0.00%"</f>
        <v>+0.00%</v>
      </c>
      <c r="S2962" s="14" t="s">
        <v>523</v>
      </c>
    </row>
    <row r="2963">
      <c r="A2963" s="13">
        <v>45901.0</v>
      </c>
      <c r="B2963" s="14" t="s">
        <v>47</v>
      </c>
      <c r="C2963" s="14" t="s">
        <v>48</v>
      </c>
      <c r="D2963" s="14" t="s">
        <v>136</v>
      </c>
      <c r="E2963" s="14" t="s">
        <v>137</v>
      </c>
      <c r="F2963" s="15" t="s">
        <v>51</v>
      </c>
      <c r="G2963" s="14" t="s">
        <v>138</v>
      </c>
      <c r="H2963" s="14" t="s">
        <v>139</v>
      </c>
      <c r="I2963" s="14" t="s">
        <v>59</v>
      </c>
      <c r="J2963" s="14" t="s">
        <v>200</v>
      </c>
      <c r="K2963" s="14" t="s">
        <v>224</v>
      </c>
      <c r="L2963" s="14" t="s">
        <v>453</v>
      </c>
      <c r="M2963" s="14" t="s">
        <v>949</v>
      </c>
      <c r="N2963" s="14" t="s">
        <v>950</v>
      </c>
      <c r="O2963" s="14">
        <v>0.0</v>
      </c>
      <c r="P2963" s="23">
        <v>0.0</v>
      </c>
      <c r="Q2963" s="22" t="str">
        <f t="shared" si="1756"/>
        <v>+0.00%</v>
      </c>
      <c r="S2963" s="14" t="s">
        <v>951</v>
      </c>
    </row>
    <row r="2964">
      <c r="A2964" s="13">
        <v>45901.0</v>
      </c>
      <c r="B2964" s="14" t="s">
        <v>47</v>
      </c>
      <c r="C2964" s="14" t="s">
        <v>48</v>
      </c>
      <c r="D2964" s="14" t="s">
        <v>149</v>
      </c>
      <c r="E2964" s="14" t="s">
        <v>150</v>
      </c>
      <c r="F2964" s="15" t="s">
        <v>51</v>
      </c>
      <c r="G2964" s="14" t="s">
        <v>151</v>
      </c>
      <c r="H2964" s="14" t="s">
        <v>152</v>
      </c>
      <c r="I2964" s="14" t="s">
        <v>54</v>
      </c>
      <c r="J2964" s="14" t="s">
        <v>200</v>
      </c>
      <c r="K2964" s="14" t="s">
        <v>223</v>
      </c>
      <c r="L2964" s="14" t="s">
        <v>591</v>
      </c>
      <c r="M2964" s="14" t="s">
        <v>592</v>
      </c>
      <c r="N2964" s="14" t="s">
        <v>593</v>
      </c>
      <c r="O2964" s="14">
        <v>100.0</v>
      </c>
      <c r="P2964" s="23">
        <v>3.0E-4</v>
      </c>
      <c r="Q2964" s="22" t="str">
        <f>"-0.00%"</f>
        <v>-0.00%</v>
      </c>
      <c r="R2964" s="18" t="str">
        <f>"-0.16%"</f>
        <v>-0.16%</v>
      </c>
      <c r="S2964" s="14" t="s">
        <v>285</v>
      </c>
    </row>
    <row r="2965">
      <c r="A2965" s="13">
        <v>45901.0</v>
      </c>
      <c r="B2965" s="14" t="s">
        <v>47</v>
      </c>
      <c r="C2965" s="14" t="s">
        <v>48</v>
      </c>
      <c r="D2965" s="14" t="s">
        <v>87</v>
      </c>
      <c r="E2965" s="14" t="s">
        <v>88</v>
      </c>
      <c r="F2965" s="15" t="s">
        <v>51</v>
      </c>
      <c r="G2965" s="14" t="s">
        <v>89</v>
      </c>
      <c r="H2965" s="14" t="s">
        <v>90</v>
      </c>
      <c r="I2965" s="14" t="s">
        <v>59</v>
      </c>
      <c r="J2965" s="14" t="s">
        <v>198</v>
      </c>
      <c r="K2965" s="14" t="s">
        <v>210</v>
      </c>
      <c r="L2965" s="14" t="s">
        <v>458</v>
      </c>
      <c r="M2965" s="14" t="s">
        <v>459</v>
      </c>
      <c r="N2965" s="14" t="s">
        <v>460</v>
      </c>
      <c r="O2965" s="14">
        <v>100.0</v>
      </c>
      <c r="P2965" s="21">
        <v>0.0</v>
      </c>
      <c r="Q2965" s="22" t="str">
        <f t="shared" ref="Q2965:R2965" si="1757">"+0"</f>
        <v>+0</v>
      </c>
      <c r="R2965" s="18" t="str">
        <f t="shared" si="1757"/>
        <v>+0</v>
      </c>
      <c r="S2965" s="14" t="s">
        <v>281</v>
      </c>
    </row>
    <row r="2966">
      <c r="A2966" s="13">
        <v>45901.0</v>
      </c>
      <c r="B2966" s="14" t="s">
        <v>47</v>
      </c>
      <c r="C2966" s="14" t="s">
        <v>48</v>
      </c>
      <c r="D2966" s="14" t="s">
        <v>149</v>
      </c>
      <c r="E2966" s="14" t="s">
        <v>150</v>
      </c>
      <c r="F2966" s="15" t="s">
        <v>51</v>
      </c>
      <c r="G2966" s="14" t="s">
        <v>151</v>
      </c>
      <c r="H2966" s="14" t="s">
        <v>152</v>
      </c>
      <c r="I2966" s="14" t="s">
        <v>54</v>
      </c>
      <c r="J2966" s="14" t="s">
        <v>200</v>
      </c>
      <c r="K2966" s="14" t="s">
        <v>223</v>
      </c>
      <c r="L2966" s="14" t="s">
        <v>286</v>
      </c>
      <c r="M2966" s="14" t="s">
        <v>419</v>
      </c>
      <c r="N2966" s="14" t="s">
        <v>420</v>
      </c>
      <c r="O2966" s="14">
        <v>0.0</v>
      </c>
      <c r="P2966" s="23">
        <v>0.0</v>
      </c>
      <c r="Q2966" s="22" t="str">
        <f t="shared" ref="Q2966:R2966" si="1758">"+0.00%"</f>
        <v>+0.00%</v>
      </c>
      <c r="R2966" s="18" t="str">
        <f t="shared" si="1758"/>
        <v>+0.00%</v>
      </c>
      <c r="S2966" s="14" t="s">
        <v>371</v>
      </c>
    </row>
    <row r="2967">
      <c r="A2967" s="13">
        <v>45901.0</v>
      </c>
      <c r="B2967" s="14" t="s">
        <v>47</v>
      </c>
      <c r="C2967" s="14" t="s">
        <v>48</v>
      </c>
      <c r="D2967" s="14" t="s">
        <v>149</v>
      </c>
      <c r="E2967" s="14" t="s">
        <v>150</v>
      </c>
      <c r="F2967" s="15" t="s">
        <v>51</v>
      </c>
      <c r="G2967" s="14" t="s">
        <v>151</v>
      </c>
      <c r="H2967" s="14" t="s">
        <v>152</v>
      </c>
      <c r="I2967" s="14" t="s">
        <v>54</v>
      </c>
      <c r="J2967" s="14" t="s">
        <v>200</v>
      </c>
      <c r="K2967" s="14" t="s">
        <v>223</v>
      </c>
      <c r="L2967" s="14" t="s">
        <v>487</v>
      </c>
      <c r="M2967" s="14" t="s">
        <v>670</v>
      </c>
      <c r="N2967" s="14" t="s">
        <v>671</v>
      </c>
      <c r="O2967" s="14">
        <v>0.0</v>
      </c>
      <c r="P2967" s="21">
        <v>0.0</v>
      </c>
      <c r="Q2967" s="22" t="str">
        <f t="shared" ref="Q2967:R2967" si="1759">"+0"</f>
        <v>+0</v>
      </c>
      <c r="R2967" s="18" t="str">
        <f t="shared" si="1759"/>
        <v>+0</v>
      </c>
      <c r="S2967" s="14" t="s">
        <v>260</v>
      </c>
    </row>
    <row r="2968">
      <c r="A2968" s="13">
        <v>45901.0</v>
      </c>
      <c r="B2968" s="14" t="s">
        <v>47</v>
      </c>
      <c r="C2968" s="14" t="s">
        <v>48</v>
      </c>
      <c r="D2968" s="14" t="s">
        <v>87</v>
      </c>
      <c r="E2968" s="14" t="s">
        <v>88</v>
      </c>
      <c r="F2968" s="15" t="s">
        <v>51</v>
      </c>
      <c r="G2968" s="14" t="s">
        <v>89</v>
      </c>
      <c r="H2968" s="14" t="s">
        <v>90</v>
      </c>
      <c r="I2968" s="14" t="s">
        <v>59</v>
      </c>
      <c r="J2968" s="14" t="s">
        <v>198</v>
      </c>
      <c r="K2968" s="14" t="s">
        <v>212</v>
      </c>
      <c r="L2968" s="14" t="s">
        <v>249</v>
      </c>
      <c r="M2968" s="14" t="s">
        <v>598</v>
      </c>
      <c r="N2968" s="14" t="s">
        <v>599</v>
      </c>
      <c r="O2968" s="14">
        <v>89.0</v>
      </c>
      <c r="P2968" s="21">
        <v>750.0</v>
      </c>
      <c r="Q2968" s="22" t="str">
        <f>"-25"</f>
        <v>-25</v>
      </c>
      <c r="R2968" s="18" t="str">
        <f>"+0"</f>
        <v>+0</v>
      </c>
      <c r="S2968" s="14" t="s">
        <v>1957</v>
      </c>
    </row>
    <row r="2969">
      <c r="A2969" s="13">
        <v>45901.0</v>
      </c>
      <c r="B2969" s="14" t="s">
        <v>47</v>
      </c>
      <c r="C2969" s="14" t="s">
        <v>48</v>
      </c>
      <c r="D2969" s="14" t="s">
        <v>129</v>
      </c>
      <c r="E2969" s="14" t="s">
        <v>130</v>
      </c>
      <c r="F2969" s="15" t="s">
        <v>51</v>
      </c>
      <c r="G2969" s="14" t="s">
        <v>131</v>
      </c>
      <c r="H2969" s="14" t="s">
        <v>129</v>
      </c>
      <c r="I2969" s="14" t="s">
        <v>59</v>
      </c>
      <c r="J2969" s="14" t="s">
        <v>198</v>
      </c>
      <c r="K2969" s="14" t="s">
        <v>210</v>
      </c>
      <c r="L2969" s="14" t="s">
        <v>278</v>
      </c>
      <c r="M2969" s="14" t="s">
        <v>839</v>
      </c>
      <c r="N2969" s="14" t="s">
        <v>840</v>
      </c>
      <c r="O2969" s="14">
        <v>20.0</v>
      </c>
      <c r="P2969" s="21">
        <v>2083.0</v>
      </c>
      <c r="Q2969" s="22" t="str">
        <f>"-54"</f>
        <v>-54</v>
      </c>
      <c r="R2969" s="18" t="str">
        <f>"+59"</f>
        <v>+59</v>
      </c>
      <c r="S2969" s="14" t="s">
        <v>1948</v>
      </c>
    </row>
    <row r="2970">
      <c r="A2970" s="13">
        <v>45901.0</v>
      </c>
      <c r="B2970" s="14" t="s">
        <v>47</v>
      </c>
      <c r="C2970" s="14" t="s">
        <v>48</v>
      </c>
      <c r="D2970" s="14" t="s">
        <v>149</v>
      </c>
      <c r="E2970" s="14" t="s">
        <v>150</v>
      </c>
      <c r="F2970" s="15" t="s">
        <v>51</v>
      </c>
      <c r="G2970" s="14" t="s">
        <v>151</v>
      </c>
      <c r="H2970" s="14" t="s">
        <v>152</v>
      </c>
      <c r="I2970" s="14" t="s">
        <v>54</v>
      </c>
      <c r="J2970" s="14" t="s">
        <v>200</v>
      </c>
      <c r="K2970" s="14" t="s">
        <v>224</v>
      </c>
      <c r="L2970" s="14" t="s">
        <v>427</v>
      </c>
      <c r="M2970" s="14" t="s">
        <v>617</v>
      </c>
      <c r="N2970" s="14" t="s">
        <v>618</v>
      </c>
      <c r="O2970" s="14">
        <v>0.0</v>
      </c>
      <c r="P2970" s="23">
        <v>0.0</v>
      </c>
      <c r="Q2970" s="22" t="str">
        <f t="shared" ref="Q2970:R2970" si="1760">"+0.00%"</f>
        <v>+0.00%</v>
      </c>
      <c r="R2970" s="18" t="str">
        <f t="shared" si="1760"/>
        <v>+0.00%</v>
      </c>
      <c r="S2970" s="14" t="s">
        <v>619</v>
      </c>
    </row>
    <row r="2971">
      <c r="A2971" s="13">
        <v>45901.0</v>
      </c>
      <c r="B2971" s="14" t="s">
        <v>47</v>
      </c>
      <c r="C2971" s="14" t="s">
        <v>48</v>
      </c>
      <c r="D2971" s="14" t="s">
        <v>125</v>
      </c>
      <c r="E2971" s="14" t="s">
        <v>126</v>
      </c>
      <c r="F2971" s="15" t="s">
        <v>51</v>
      </c>
      <c r="G2971" s="14" t="s">
        <v>127</v>
      </c>
      <c r="H2971" s="14" t="s">
        <v>125</v>
      </c>
      <c r="I2971" s="14" t="s">
        <v>59</v>
      </c>
      <c r="J2971" s="14" t="s">
        <v>198</v>
      </c>
      <c r="K2971" s="14" t="s">
        <v>207</v>
      </c>
      <c r="L2971" s="14" t="s">
        <v>318</v>
      </c>
      <c r="M2971" s="14" t="s">
        <v>508</v>
      </c>
      <c r="N2971" s="14" t="s">
        <v>509</v>
      </c>
      <c r="O2971" s="14">
        <v>0.0</v>
      </c>
      <c r="P2971" s="21">
        <v>0.0</v>
      </c>
      <c r="Q2971" s="22" t="str">
        <f>"+0"</f>
        <v>+0</v>
      </c>
      <c r="S2971" s="14" t="s">
        <v>281</v>
      </c>
    </row>
    <row r="2972">
      <c r="A2972" s="13">
        <v>45901.0</v>
      </c>
      <c r="B2972" s="14" t="s">
        <v>47</v>
      </c>
      <c r="C2972" s="14" t="s">
        <v>48</v>
      </c>
      <c r="D2972" s="14" t="s">
        <v>85</v>
      </c>
      <c r="E2972" s="14" t="s">
        <v>86</v>
      </c>
      <c r="F2972" s="14" t="s">
        <v>71</v>
      </c>
      <c r="G2972" s="14">
        <v>88285.0</v>
      </c>
      <c r="H2972" s="14" t="s">
        <v>85</v>
      </c>
      <c r="I2972" s="14" t="s">
        <v>59</v>
      </c>
      <c r="J2972" s="14" t="s">
        <v>200</v>
      </c>
      <c r="K2972" s="14" t="s">
        <v>218</v>
      </c>
      <c r="L2972" s="14" t="s">
        <v>253</v>
      </c>
      <c r="M2972" s="14" t="s">
        <v>463</v>
      </c>
      <c r="N2972" s="14" t="s">
        <v>464</v>
      </c>
      <c r="O2972" s="14">
        <v>0.0</v>
      </c>
      <c r="P2972" s="23">
        <v>0.0</v>
      </c>
      <c r="Q2972" s="22" t="str">
        <f t="shared" ref="Q2972:R2972" si="1761">"+0.00%"</f>
        <v>+0.00%</v>
      </c>
      <c r="R2972" s="18" t="str">
        <f t="shared" si="1761"/>
        <v>+0.00%</v>
      </c>
      <c r="S2972" s="14" t="s">
        <v>909</v>
      </c>
    </row>
    <row r="2973">
      <c r="A2973" s="13">
        <v>45901.0</v>
      </c>
      <c r="B2973" s="14" t="s">
        <v>47</v>
      </c>
      <c r="C2973" s="14" t="s">
        <v>48</v>
      </c>
      <c r="D2973" s="14" t="s">
        <v>77</v>
      </c>
      <c r="E2973" s="14" t="s">
        <v>78</v>
      </c>
      <c r="F2973" s="15" t="s">
        <v>51</v>
      </c>
      <c r="G2973" s="14" t="s">
        <v>128</v>
      </c>
      <c r="H2973" s="14" t="s">
        <v>81</v>
      </c>
      <c r="I2973" s="14" t="s">
        <v>59</v>
      </c>
      <c r="J2973" s="14" t="s">
        <v>199</v>
      </c>
      <c r="K2973" s="14" t="s">
        <v>206</v>
      </c>
      <c r="L2973" s="14" t="s">
        <v>381</v>
      </c>
      <c r="M2973" s="14" t="s">
        <v>381</v>
      </c>
      <c r="N2973" s="14" t="s">
        <v>382</v>
      </c>
      <c r="O2973" s="14">
        <v>0.0</v>
      </c>
      <c r="P2973" s="21">
        <v>0.0</v>
      </c>
      <c r="Q2973" s="22" t="str">
        <f t="shared" ref="Q2973:R2973" si="1762">"+0"</f>
        <v>+0</v>
      </c>
      <c r="R2973" s="18" t="str">
        <f t="shared" si="1762"/>
        <v>+0</v>
      </c>
      <c r="S2973" s="14" t="s">
        <v>383</v>
      </c>
    </row>
    <row r="2974">
      <c r="A2974" s="13">
        <v>45901.0</v>
      </c>
      <c r="B2974" s="14" t="s">
        <v>47</v>
      </c>
      <c r="C2974" s="14" t="s">
        <v>48</v>
      </c>
      <c r="D2974" s="14" t="s">
        <v>116</v>
      </c>
      <c r="E2974" s="14" t="s">
        <v>117</v>
      </c>
      <c r="F2974" s="15" t="s">
        <v>51</v>
      </c>
      <c r="G2974" s="14" t="s">
        <v>161</v>
      </c>
      <c r="H2974" s="14" t="s">
        <v>116</v>
      </c>
      <c r="I2974" s="14" t="s">
        <v>54</v>
      </c>
      <c r="J2974" s="14" t="s">
        <v>199</v>
      </c>
      <c r="K2974" s="14" t="s">
        <v>203</v>
      </c>
      <c r="L2974" s="14" t="s">
        <v>862</v>
      </c>
      <c r="M2974" s="14" t="s">
        <v>862</v>
      </c>
      <c r="N2974" s="14" t="s">
        <v>863</v>
      </c>
      <c r="O2974" s="14">
        <v>100.0</v>
      </c>
      <c r="P2974" s="21">
        <v>1.0</v>
      </c>
      <c r="Q2974" s="22" t="str">
        <f t="shared" ref="Q2974:R2974" si="1763">"+0"</f>
        <v>+0</v>
      </c>
      <c r="R2974" s="18" t="str">
        <f t="shared" si="1763"/>
        <v>+0</v>
      </c>
      <c r="S2974" s="14" t="s">
        <v>260</v>
      </c>
    </row>
    <row r="2975">
      <c r="A2975" s="13">
        <v>45901.0</v>
      </c>
      <c r="B2975" s="14" t="s">
        <v>47</v>
      </c>
      <c r="C2975" s="14" t="s">
        <v>48</v>
      </c>
      <c r="D2975" s="14" t="s">
        <v>77</v>
      </c>
      <c r="E2975" s="14" t="s">
        <v>78</v>
      </c>
      <c r="F2975" s="15" t="s">
        <v>51</v>
      </c>
      <c r="G2975" s="14" t="s">
        <v>128</v>
      </c>
      <c r="H2975" s="14" t="s">
        <v>81</v>
      </c>
      <c r="I2975" s="14" t="s">
        <v>59</v>
      </c>
      <c r="J2975" s="14" t="s">
        <v>199</v>
      </c>
      <c r="K2975" s="14" t="s">
        <v>206</v>
      </c>
      <c r="L2975" s="14" t="s">
        <v>433</v>
      </c>
      <c r="M2975" s="14" t="s">
        <v>433</v>
      </c>
      <c r="N2975" s="14" t="s">
        <v>434</v>
      </c>
      <c r="O2975" s="14">
        <v>100.0</v>
      </c>
      <c r="P2975" s="21">
        <v>181.0</v>
      </c>
      <c r="Q2975" s="22" t="str">
        <f>"+20"</f>
        <v>+20</v>
      </c>
      <c r="R2975" s="18" t="str">
        <f>"+126"</f>
        <v>+126</v>
      </c>
      <c r="S2975" s="14" t="s">
        <v>383</v>
      </c>
    </row>
    <row r="2976">
      <c r="A2976" s="13">
        <v>45901.0</v>
      </c>
      <c r="B2976" s="14" t="s">
        <v>47</v>
      </c>
      <c r="C2976" s="14" t="s">
        <v>48</v>
      </c>
      <c r="D2976" s="14" t="s">
        <v>174</v>
      </c>
      <c r="E2976" s="14" t="s">
        <v>175</v>
      </c>
      <c r="F2976" s="15" t="s">
        <v>51</v>
      </c>
      <c r="G2976" s="14" t="s">
        <v>176</v>
      </c>
      <c r="H2976" s="14" t="s">
        <v>174</v>
      </c>
      <c r="I2976" s="14" t="s">
        <v>59</v>
      </c>
      <c r="J2976" s="14" t="s">
        <v>200</v>
      </c>
      <c r="K2976" s="14" t="s">
        <v>213</v>
      </c>
      <c r="L2976" s="14" t="s">
        <v>307</v>
      </c>
      <c r="M2976" s="14" t="s">
        <v>502</v>
      </c>
      <c r="N2976" s="14" t="s">
        <v>503</v>
      </c>
      <c r="O2976" s="14">
        <v>3.0</v>
      </c>
      <c r="P2976" s="23">
        <v>0.0356</v>
      </c>
      <c r="Q2976" s="22" t="str">
        <f>"+0.33%"</f>
        <v>+0.33%</v>
      </c>
      <c r="R2976" s="18" t="str">
        <f>"-0.58%"</f>
        <v>-0.58%</v>
      </c>
      <c r="S2976" s="14" t="s">
        <v>1958</v>
      </c>
    </row>
    <row r="2977">
      <c r="A2977" s="13">
        <v>45901.0</v>
      </c>
      <c r="B2977" s="14" t="s">
        <v>47</v>
      </c>
      <c r="C2977" s="14" t="s">
        <v>48</v>
      </c>
      <c r="D2977" s="14" t="s">
        <v>116</v>
      </c>
      <c r="E2977" s="14" t="s">
        <v>117</v>
      </c>
      <c r="F2977" s="15" t="s">
        <v>51</v>
      </c>
      <c r="G2977" s="14" t="s">
        <v>161</v>
      </c>
      <c r="H2977" s="14" t="s">
        <v>116</v>
      </c>
      <c r="I2977" s="14" t="s">
        <v>54</v>
      </c>
      <c r="J2977" s="14" t="s">
        <v>199</v>
      </c>
      <c r="K2977" s="14" t="s">
        <v>203</v>
      </c>
      <c r="L2977" s="14" t="s">
        <v>601</v>
      </c>
      <c r="M2977" s="14" t="s">
        <v>601</v>
      </c>
      <c r="N2977" s="14" t="s">
        <v>602</v>
      </c>
      <c r="O2977" s="14">
        <v>0.0</v>
      </c>
      <c r="P2977" s="21">
        <v>0.0</v>
      </c>
      <c r="Q2977" s="22" t="str">
        <f t="shared" ref="Q2977:R2977" si="1764">"+0"</f>
        <v>+0</v>
      </c>
      <c r="R2977" s="18" t="str">
        <f t="shared" si="1764"/>
        <v>+0</v>
      </c>
      <c r="S2977" s="14" t="s">
        <v>260</v>
      </c>
    </row>
    <row r="2978">
      <c r="A2978" s="13">
        <v>45901.0</v>
      </c>
      <c r="B2978" s="14" t="s">
        <v>47</v>
      </c>
      <c r="C2978" s="14" t="s">
        <v>48</v>
      </c>
      <c r="D2978" s="14" t="s">
        <v>60</v>
      </c>
      <c r="E2978" s="14" t="s">
        <v>61</v>
      </c>
      <c r="F2978" s="15" t="s">
        <v>51</v>
      </c>
      <c r="G2978" s="14" t="s">
        <v>62</v>
      </c>
      <c r="H2978" s="14" t="s">
        <v>60</v>
      </c>
      <c r="I2978" s="14" t="s">
        <v>59</v>
      </c>
      <c r="J2978" s="14" t="s">
        <v>200</v>
      </c>
      <c r="K2978" s="14" t="s">
        <v>223</v>
      </c>
      <c r="L2978" s="14" t="s">
        <v>487</v>
      </c>
      <c r="M2978" s="14" t="s">
        <v>904</v>
      </c>
      <c r="N2978" s="14" t="s">
        <v>905</v>
      </c>
      <c r="O2978" s="14">
        <v>100.0</v>
      </c>
      <c r="P2978" s="21">
        <v>351.0</v>
      </c>
      <c r="Q2978" s="22" t="str">
        <f t="shared" ref="Q2978:R2978" si="1765">"+0"</f>
        <v>+0</v>
      </c>
      <c r="R2978" s="18" t="str">
        <f t="shared" si="1765"/>
        <v>+0</v>
      </c>
      <c r="S2978" s="14" t="s">
        <v>260</v>
      </c>
    </row>
    <row r="2979">
      <c r="A2979" s="13">
        <v>45901.0</v>
      </c>
      <c r="B2979" s="14" t="s">
        <v>47</v>
      </c>
      <c r="C2979" s="14" t="s">
        <v>48</v>
      </c>
      <c r="D2979" s="14" t="s">
        <v>121</v>
      </c>
      <c r="E2979" s="14" t="s">
        <v>122</v>
      </c>
      <c r="F2979" s="15" t="s">
        <v>51</v>
      </c>
      <c r="G2979" s="14" t="s">
        <v>123</v>
      </c>
      <c r="H2979" s="14" t="s">
        <v>124</v>
      </c>
      <c r="I2979" s="14" t="s">
        <v>59</v>
      </c>
      <c r="J2979" s="14" t="s">
        <v>199</v>
      </c>
      <c r="K2979" s="14" t="s">
        <v>206</v>
      </c>
      <c r="L2979" s="14" t="s">
        <v>295</v>
      </c>
      <c r="M2979" s="14" t="s">
        <v>529</v>
      </c>
      <c r="N2979" s="14" t="s">
        <v>530</v>
      </c>
      <c r="O2979" s="14">
        <v>0.0</v>
      </c>
      <c r="P2979" s="21">
        <v>0.0</v>
      </c>
      <c r="Q2979" s="22" t="str">
        <f t="shared" ref="Q2979:R2979" si="1766">"+0"</f>
        <v>+0</v>
      </c>
      <c r="R2979" s="18" t="str">
        <f t="shared" si="1766"/>
        <v>+0</v>
      </c>
      <c r="S2979" s="14" t="s">
        <v>260</v>
      </c>
    </row>
    <row r="2980">
      <c r="A2980" s="13">
        <v>45901.0</v>
      </c>
      <c r="B2980" s="14" t="s">
        <v>47</v>
      </c>
      <c r="C2980" s="14" t="s">
        <v>48</v>
      </c>
      <c r="D2980" s="14" t="s">
        <v>181</v>
      </c>
      <c r="E2980" s="14" t="s">
        <v>182</v>
      </c>
      <c r="F2980" s="15" t="s">
        <v>51</v>
      </c>
      <c r="G2980" s="14" t="s">
        <v>183</v>
      </c>
      <c r="H2980" s="14" t="s">
        <v>181</v>
      </c>
      <c r="I2980" s="14" t="s">
        <v>59</v>
      </c>
      <c r="J2980" s="14" t="s">
        <v>198</v>
      </c>
      <c r="K2980" s="14" t="s">
        <v>205</v>
      </c>
      <c r="L2980" s="14" t="s">
        <v>274</v>
      </c>
      <c r="M2980" s="14" t="s">
        <v>354</v>
      </c>
      <c r="N2980" s="14" t="s">
        <v>355</v>
      </c>
      <c r="O2980" s="14">
        <v>28.0</v>
      </c>
      <c r="P2980" s="21">
        <v>10.0</v>
      </c>
      <c r="Q2980" s="22" t="str">
        <f t="shared" ref="Q2980:Q2983" si="1767">"+0"</f>
        <v>+0</v>
      </c>
      <c r="S2980" s="14" t="s">
        <v>356</v>
      </c>
    </row>
    <row r="2981">
      <c r="A2981" s="13">
        <v>45901.0</v>
      </c>
      <c r="B2981" s="14" t="s">
        <v>47</v>
      </c>
      <c r="C2981" s="14" t="s">
        <v>48</v>
      </c>
      <c r="D2981" s="14" t="s">
        <v>181</v>
      </c>
      <c r="E2981" s="14" t="s">
        <v>182</v>
      </c>
      <c r="F2981" s="15" t="s">
        <v>51</v>
      </c>
      <c r="G2981" s="14" t="s">
        <v>183</v>
      </c>
      <c r="H2981" s="14" t="s">
        <v>181</v>
      </c>
      <c r="I2981" s="14" t="s">
        <v>59</v>
      </c>
      <c r="J2981" s="14" t="s">
        <v>199</v>
      </c>
      <c r="K2981" s="14" t="s">
        <v>203</v>
      </c>
      <c r="L2981" s="14" t="s">
        <v>725</v>
      </c>
      <c r="M2981" s="14" t="s">
        <v>725</v>
      </c>
      <c r="N2981" s="14" t="s">
        <v>726</v>
      </c>
      <c r="O2981" s="14">
        <v>0.0</v>
      </c>
      <c r="P2981" s="21">
        <v>0.0</v>
      </c>
      <c r="Q2981" s="22" t="str">
        <f t="shared" si="1767"/>
        <v>+0</v>
      </c>
      <c r="R2981" s="18" t="str">
        <f t="shared" ref="R2981:R2983" si="1768">"+0"</f>
        <v>+0</v>
      </c>
      <c r="S2981" s="14" t="s">
        <v>260</v>
      </c>
    </row>
    <row r="2982">
      <c r="A2982" s="13">
        <v>45901.0</v>
      </c>
      <c r="B2982" s="14" t="s">
        <v>47</v>
      </c>
      <c r="C2982" s="14" t="s">
        <v>48</v>
      </c>
      <c r="D2982" s="14" t="s">
        <v>56</v>
      </c>
      <c r="E2982" s="14" t="s">
        <v>57</v>
      </c>
      <c r="F2982" s="14" t="s">
        <v>71</v>
      </c>
      <c r="G2982" s="14">
        <v>5.36003976E8</v>
      </c>
      <c r="H2982" s="14" t="s">
        <v>56</v>
      </c>
      <c r="I2982" s="14" t="s">
        <v>59</v>
      </c>
      <c r="J2982" s="14" t="s">
        <v>199</v>
      </c>
      <c r="K2982" s="14" t="s">
        <v>206</v>
      </c>
      <c r="L2982" s="14" t="s">
        <v>295</v>
      </c>
      <c r="M2982" s="14" t="s">
        <v>986</v>
      </c>
      <c r="N2982" s="14" t="s">
        <v>987</v>
      </c>
      <c r="O2982" s="14">
        <v>0.0</v>
      </c>
      <c r="P2982" s="21">
        <v>0.0</v>
      </c>
      <c r="Q2982" s="22" t="str">
        <f t="shared" si="1767"/>
        <v>+0</v>
      </c>
      <c r="R2982" s="18" t="str">
        <f t="shared" si="1768"/>
        <v>+0</v>
      </c>
      <c r="S2982" s="14" t="s">
        <v>260</v>
      </c>
    </row>
    <row r="2983">
      <c r="A2983" s="13">
        <v>45901.0</v>
      </c>
      <c r="B2983" s="14" t="s">
        <v>47</v>
      </c>
      <c r="C2983" s="14" t="s">
        <v>48</v>
      </c>
      <c r="D2983" s="14" t="s">
        <v>60</v>
      </c>
      <c r="E2983" s="14" t="s">
        <v>61</v>
      </c>
      <c r="F2983" s="15" t="s">
        <v>51</v>
      </c>
      <c r="G2983" s="14" t="s">
        <v>62</v>
      </c>
      <c r="H2983" s="14" t="s">
        <v>60</v>
      </c>
      <c r="I2983" s="14" t="s">
        <v>59</v>
      </c>
      <c r="J2983" s="14" t="s">
        <v>200</v>
      </c>
      <c r="K2983" s="14" t="s">
        <v>223</v>
      </c>
      <c r="L2983" s="14" t="s">
        <v>705</v>
      </c>
      <c r="M2983" s="14" t="s">
        <v>706</v>
      </c>
      <c r="N2983" s="14" t="s">
        <v>707</v>
      </c>
      <c r="O2983" s="14">
        <v>0.0</v>
      </c>
      <c r="P2983" s="21">
        <v>0.0</v>
      </c>
      <c r="Q2983" s="22" t="str">
        <f t="shared" si="1767"/>
        <v>+0</v>
      </c>
      <c r="R2983" s="18" t="str">
        <f t="shared" si="1768"/>
        <v>+0</v>
      </c>
      <c r="S2983" s="14" t="s">
        <v>260</v>
      </c>
    </row>
    <row r="2984">
      <c r="A2984" s="13">
        <v>45901.0</v>
      </c>
      <c r="B2984" s="14" t="s">
        <v>47</v>
      </c>
      <c r="C2984" s="14" t="s">
        <v>48</v>
      </c>
      <c r="D2984" s="14" t="s">
        <v>49</v>
      </c>
      <c r="E2984" s="14" t="s">
        <v>50</v>
      </c>
      <c r="F2984" s="15" t="s">
        <v>51</v>
      </c>
      <c r="G2984" s="14" t="s">
        <v>52</v>
      </c>
      <c r="H2984" s="14" t="s">
        <v>53</v>
      </c>
      <c r="I2984" s="14" t="s">
        <v>54</v>
      </c>
      <c r="J2984" s="14" t="s">
        <v>200</v>
      </c>
      <c r="K2984" s="14" t="s">
        <v>224</v>
      </c>
      <c r="L2984" s="14" t="s">
        <v>427</v>
      </c>
      <c r="M2984" s="14" t="s">
        <v>769</v>
      </c>
      <c r="N2984" s="14" t="s">
        <v>770</v>
      </c>
      <c r="O2984" s="14">
        <v>0.0</v>
      </c>
      <c r="P2984" s="23">
        <v>0.0</v>
      </c>
      <c r="Q2984" s="22" t="str">
        <f t="shared" ref="Q2984:R2984" si="1769">"+0.00%"</f>
        <v>+0.00%</v>
      </c>
      <c r="R2984" s="18" t="str">
        <f t="shared" si="1769"/>
        <v>+0.00%</v>
      </c>
      <c r="S2984" s="14" t="s">
        <v>771</v>
      </c>
    </row>
    <row r="2985">
      <c r="A2985" s="13">
        <v>45901.0</v>
      </c>
      <c r="B2985" s="14" t="s">
        <v>47</v>
      </c>
      <c r="C2985" s="14" t="s">
        <v>48</v>
      </c>
      <c r="D2985" s="14" t="s">
        <v>49</v>
      </c>
      <c r="E2985" s="14" t="s">
        <v>50</v>
      </c>
      <c r="F2985" s="15" t="s">
        <v>51</v>
      </c>
      <c r="G2985" s="14" t="s">
        <v>52</v>
      </c>
      <c r="H2985" s="14" t="s">
        <v>53</v>
      </c>
      <c r="I2985" s="14" t="s">
        <v>54</v>
      </c>
      <c r="J2985" s="14" t="s">
        <v>198</v>
      </c>
      <c r="K2985" s="14" t="s">
        <v>210</v>
      </c>
      <c r="L2985" s="14" t="s">
        <v>264</v>
      </c>
      <c r="M2985" s="14" t="s">
        <v>867</v>
      </c>
      <c r="N2985" s="14" t="s">
        <v>868</v>
      </c>
      <c r="O2985" s="14">
        <v>0.0</v>
      </c>
      <c r="P2985" s="21">
        <v>0.0</v>
      </c>
      <c r="Q2985" s="22" t="str">
        <f t="shared" ref="Q2985:R2985" si="1770">"+0"</f>
        <v>+0</v>
      </c>
      <c r="R2985" s="18" t="str">
        <f t="shared" si="1770"/>
        <v>+0</v>
      </c>
      <c r="S2985" s="14" t="s">
        <v>277</v>
      </c>
    </row>
    <row r="2986">
      <c r="A2986" s="13">
        <v>45901.0</v>
      </c>
      <c r="B2986" s="14" t="s">
        <v>47</v>
      </c>
      <c r="C2986" s="14" t="s">
        <v>48</v>
      </c>
      <c r="D2986" s="14" t="s">
        <v>49</v>
      </c>
      <c r="E2986" s="14" t="s">
        <v>50</v>
      </c>
      <c r="F2986" s="15" t="s">
        <v>51</v>
      </c>
      <c r="G2986" s="14" t="s">
        <v>52</v>
      </c>
      <c r="H2986" s="14" t="s">
        <v>53</v>
      </c>
      <c r="I2986" s="14" t="s">
        <v>54</v>
      </c>
      <c r="J2986" s="14" t="s">
        <v>199</v>
      </c>
      <c r="K2986" s="14" t="s">
        <v>203</v>
      </c>
      <c r="L2986" s="14" t="s">
        <v>1183</v>
      </c>
      <c r="M2986" s="14" t="s">
        <v>1184</v>
      </c>
      <c r="N2986" s="14" t="s">
        <v>1185</v>
      </c>
      <c r="O2986" s="14">
        <v>2.0</v>
      </c>
      <c r="P2986" s="23">
        <v>0.0278</v>
      </c>
      <c r="Q2986" s="22" t="str">
        <f>"-1.07%"</f>
        <v>-1.07%</v>
      </c>
      <c r="R2986" s="18" t="str">
        <f>"-0.63%"</f>
        <v>-0.63%</v>
      </c>
      <c r="S2986" s="14" t="s">
        <v>371</v>
      </c>
    </row>
    <row r="2987">
      <c r="A2987" s="13">
        <v>45901.0</v>
      </c>
      <c r="B2987" s="14" t="s">
        <v>47</v>
      </c>
      <c r="C2987" s="14" t="s">
        <v>48</v>
      </c>
      <c r="D2987" s="14" t="s">
        <v>165</v>
      </c>
      <c r="E2987" s="14" t="s">
        <v>166</v>
      </c>
      <c r="F2987" s="15" t="s">
        <v>51</v>
      </c>
      <c r="G2987" s="14" t="s">
        <v>167</v>
      </c>
      <c r="H2987" s="14" t="s">
        <v>165</v>
      </c>
      <c r="I2987" s="14" t="s">
        <v>54</v>
      </c>
      <c r="J2987" s="14" t="s">
        <v>200</v>
      </c>
      <c r="K2987" s="14" t="s">
        <v>224</v>
      </c>
      <c r="L2987" s="14" t="s">
        <v>594</v>
      </c>
      <c r="M2987" s="14" t="s">
        <v>1795</v>
      </c>
      <c r="N2987" s="14" t="s">
        <v>1796</v>
      </c>
      <c r="O2987" s="14">
        <v>4.0</v>
      </c>
      <c r="P2987" s="23">
        <v>0.0455</v>
      </c>
      <c r="Q2987" s="22" t="str">
        <f>"-1.70%"</f>
        <v>-1.70%</v>
      </c>
      <c r="R2987" s="18" t="str">
        <f>"-0.72%"</f>
        <v>-0.72%</v>
      </c>
      <c r="S2987" s="14" t="s">
        <v>1959</v>
      </c>
    </row>
    <row r="2988">
      <c r="A2988" s="13">
        <v>45901.0</v>
      </c>
      <c r="B2988" s="14" t="s">
        <v>47</v>
      </c>
      <c r="C2988" s="14" t="s">
        <v>48</v>
      </c>
      <c r="D2988" s="14" t="s">
        <v>99</v>
      </c>
      <c r="E2988" s="14" t="s">
        <v>100</v>
      </c>
      <c r="F2988" s="15" t="s">
        <v>51</v>
      </c>
      <c r="G2988" s="14" t="s">
        <v>101</v>
      </c>
      <c r="H2988" s="14" t="s">
        <v>102</v>
      </c>
      <c r="I2988" s="14" t="s">
        <v>54</v>
      </c>
      <c r="J2988" s="14" t="s">
        <v>198</v>
      </c>
      <c r="K2988" s="14" t="s">
        <v>210</v>
      </c>
      <c r="L2988" s="14" t="s">
        <v>264</v>
      </c>
      <c r="M2988" s="14" t="s">
        <v>1283</v>
      </c>
      <c r="N2988" s="14" t="s">
        <v>1284</v>
      </c>
      <c r="O2988" s="14">
        <v>0.0</v>
      </c>
      <c r="P2988" s="21">
        <v>0.0</v>
      </c>
      <c r="Q2988" s="22" t="str">
        <f t="shared" ref="Q2988:R2988" si="1771">"+0"</f>
        <v>+0</v>
      </c>
      <c r="R2988" s="18" t="str">
        <f t="shared" si="1771"/>
        <v>+0</v>
      </c>
      <c r="S2988" s="14" t="s">
        <v>277</v>
      </c>
    </row>
    <row r="2989">
      <c r="A2989" s="13">
        <v>45901.0</v>
      </c>
      <c r="B2989" s="14" t="s">
        <v>47</v>
      </c>
      <c r="C2989" s="14" t="s">
        <v>48</v>
      </c>
      <c r="D2989" s="14" t="s">
        <v>118</v>
      </c>
      <c r="E2989" s="14" t="s">
        <v>119</v>
      </c>
      <c r="F2989" s="15" t="s">
        <v>51</v>
      </c>
      <c r="G2989" s="14" t="s">
        <v>120</v>
      </c>
      <c r="H2989" s="14" t="s">
        <v>118</v>
      </c>
      <c r="I2989" s="14" t="s">
        <v>59</v>
      </c>
      <c r="J2989" s="14" t="s">
        <v>198</v>
      </c>
      <c r="K2989" s="14" t="s">
        <v>205</v>
      </c>
      <c r="L2989" s="14" t="s">
        <v>274</v>
      </c>
      <c r="M2989" s="14" t="s">
        <v>354</v>
      </c>
      <c r="N2989" s="14" t="s">
        <v>355</v>
      </c>
      <c r="O2989" s="14">
        <v>28.0</v>
      </c>
      <c r="P2989" s="21">
        <v>10.0</v>
      </c>
      <c r="Q2989" s="22" t="str">
        <f>"+0"</f>
        <v>+0</v>
      </c>
      <c r="S2989" s="14" t="s">
        <v>356</v>
      </c>
    </row>
    <row r="2990">
      <c r="A2990" s="13">
        <v>45901.0</v>
      </c>
      <c r="B2990" s="14" t="s">
        <v>47</v>
      </c>
      <c r="C2990" s="14" t="s">
        <v>48</v>
      </c>
      <c r="D2990" s="14" t="s">
        <v>66</v>
      </c>
      <c r="E2990" s="14" t="s">
        <v>67</v>
      </c>
      <c r="F2990" s="15" t="s">
        <v>51</v>
      </c>
      <c r="G2990" s="14" t="s">
        <v>68</v>
      </c>
      <c r="H2990" s="14" t="s">
        <v>66</v>
      </c>
      <c r="I2990" s="14" t="s">
        <v>59</v>
      </c>
      <c r="J2990" s="14" t="s">
        <v>200</v>
      </c>
      <c r="K2990" s="14" t="s">
        <v>231</v>
      </c>
      <c r="L2990" s="14" t="s">
        <v>751</v>
      </c>
      <c r="M2990" s="14" t="s">
        <v>752</v>
      </c>
      <c r="N2990" s="14" t="s">
        <v>753</v>
      </c>
      <c r="O2990" s="14">
        <v>0.0</v>
      </c>
      <c r="P2990" s="23">
        <v>-1.0</v>
      </c>
      <c r="Q2990" s="22" t="str">
        <f t="shared" ref="Q2990:R2990" si="1772">"+0.00%"</f>
        <v>+0.00%</v>
      </c>
      <c r="R2990" s="18" t="str">
        <f t="shared" si="1772"/>
        <v>+0.00%</v>
      </c>
      <c r="S2990" s="14" t="s">
        <v>1960</v>
      </c>
    </row>
    <row r="2991">
      <c r="A2991" s="13">
        <v>45901.0</v>
      </c>
      <c r="B2991" s="14" t="s">
        <v>47</v>
      </c>
      <c r="C2991" s="14" t="s">
        <v>48</v>
      </c>
      <c r="D2991" s="14" t="s">
        <v>192</v>
      </c>
      <c r="E2991" s="14" t="s">
        <v>193</v>
      </c>
      <c r="F2991" s="15" t="s">
        <v>51</v>
      </c>
      <c r="G2991" s="14" t="s">
        <v>194</v>
      </c>
      <c r="H2991" s="14" t="s">
        <v>192</v>
      </c>
      <c r="I2991" s="14" t="s">
        <v>54</v>
      </c>
      <c r="J2991" s="14" t="s">
        <v>198</v>
      </c>
      <c r="K2991" s="14" t="s">
        <v>210</v>
      </c>
      <c r="L2991" s="14" t="s">
        <v>264</v>
      </c>
      <c r="M2991" s="14" t="s">
        <v>1596</v>
      </c>
      <c r="N2991" s="14" t="s">
        <v>1597</v>
      </c>
      <c r="O2991" s="14">
        <v>0.0</v>
      </c>
      <c r="P2991" s="21">
        <v>0.0</v>
      </c>
      <c r="Q2991" s="22" t="str">
        <f t="shared" ref="Q2991:R2991" si="1773">"+0"</f>
        <v>+0</v>
      </c>
      <c r="R2991" s="18" t="str">
        <f t="shared" si="1773"/>
        <v>+0</v>
      </c>
      <c r="S2991" s="14" t="s">
        <v>277</v>
      </c>
    </row>
    <row r="2992">
      <c r="A2992" s="13">
        <v>45901.0</v>
      </c>
      <c r="B2992" s="14" t="s">
        <v>47</v>
      </c>
      <c r="C2992" s="14" t="s">
        <v>48</v>
      </c>
      <c r="D2992" s="14" t="s">
        <v>184</v>
      </c>
      <c r="E2992" s="14" t="s">
        <v>185</v>
      </c>
      <c r="F2992" s="15" t="s">
        <v>51</v>
      </c>
      <c r="G2992" s="14" t="s">
        <v>186</v>
      </c>
      <c r="H2992" s="14" t="s">
        <v>187</v>
      </c>
      <c r="I2992" s="14" t="s">
        <v>59</v>
      </c>
      <c r="J2992" s="14" t="s">
        <v>198</v>
      </c>
      <c r="K2992" s="14" t="s">
        <v>205</v>
      </c>
      <c r="L2992" s="14" t="s">
        <v>274</v>
      </c>
      <c r="M2992" s="14" t="s">
        <v>575</v>
      </c>
      <c r="N2992" s="14" t="s">
        <v>576</v>
      </c>
      <c r="O2992" s="14">
        <v>100.0</v>
      </c>
      <c r="P2992" s="21">
        <v>90.0</v>
      </c>
      <c r="Q2992" s="22" t="str">
        <f t="shared" ref="Q2992:Q2995" si="1774">"+0"</f>
        <v>+0</v>
      </c>
      <c r="S2992" s="14" t="s">
        <v>577</v>
      </c>
    </row>
    <row r="2993">
      <c r="A2993" s="13">
        <v>45901.0</v>
      </c>
      <c r="B2993" s="14" t="s">
        <v>47</v>
      </c>
      <c r="C2993" s="14" t="s">
        <v>48</v>
      </c>
      <c r="D2993" s="14" t="s">
        <v>66</v>
      </c>
      <c r="E2993" s="14" t="s">
        <v>67</v>
      </c>
      <c r="F2993" s="15" t="s">
        <v>51</v>
      </c>
      <c r="G2993" s="14" t="s">
        <v>68</v>
      </c>
      <c r="H2993" s="14" t="s">
        <v>66</v>
      </c>
      <c r="I2993" s="14" t="s">
        <v>59</v>
      </c>
      <c r="J2993" s="14" t="s">
        <v>198</v>
      </c>
      <c r="K2993" s="14" t="s">
        <v>205</v>
      </c>
      <c r="L2993" s="14" t="s">
        <v>274</v>
      </c>
      <c r="M2993" s="14" t="s">
        <v>425</v>
      </c>
      <c r="N2993" s="14" t="s">
        <v>426</v>
      </c>
      <c r="O2993" s="14">
        <v>0.0</v>
      </c>
      <c r="P2993" s="21">
        <v>0.0</v>
      </c>
      <c r="Q2993" s="22" t="str">
        <f t="shared" si="1774"/>
        <v>+0</v>
      </c>
      <c r="S2993" s="14" t="s">
        <v>281</v>
      </c>
    </row>
    <row r="2994">
      <c r="A2994" s="13">
        <v>45901.0</v>
      </c>
      <c r="B2994" s="14" t="s">
        <v>47</v>
      </c>
      <c r="C2994" s="14" t="s">
        <v>48</v>
      </c>
      <c r="D2994" s="14" t="s">
        <v>192</v>
      </c>
      <c r="E2994" s="14" t="s">
        <v>193</v>
      </c>
      <c r="F2994" s="15" t="s">
        <v>51</v>
      </c>
      <c r="G2994" s="14" t="s">
        <v>194</v>
      </c>
      <c r="H2994" s="14" t="s">
        <v>192</v>
      </c>
      <c r="I2994" s="14" t="s">
        <v>54</v>
      </c>
      <c r="J2994" s="14" t="s">
        <v>199</v>
      </c>
      <c r="K2994" s="14" t="s">
        <v>203</v>
      </c>
      <c r="L2994" s="14" t="s">
        <v>342</v>
      </c>
      <c r="M2994" s="14" t="s">
        <v>342</v>
      </c>
      <c r="N2994" s="14" t="s">
        <v>343</v>
      </c>
      <c r="O2994" s="14">
        <v>100.0</v>
      </c>
      <c r="P2994" s="21">
        <v>6.0</v>
      </c>
      <c r="Q2994" s="22" t="str">
        <f t="shared" si="1774"/>
        <v>+0</v>
      </c>
      <c r="R2994" s="18" t="str">
        <f t="shared" ref="R2994:R2995" si="1775">"+0"</f>
        <v>+0</v>
      </c>
      <c r="S2994" s="14" t="s">
        <v>260</v>
      </c>
    </row>
    <row r="2995">
      <c r="A2995" s="13">
        <v>45901.0</v>
      </c>
      <c r="B2995" s="14" t="s">
        <v>47</v>
      </c>
      <c r="C2995" s="14" t="s">
        <v>48</v>
      </c>
      <c r="D2995" s="14" t="s">
        <v>143</v>
      </c>
      <c r="E2995" s="14" t="s">
        <v>144</v>
      </c>
      <c r="F2995" s="15" t="s">
        <v>51</v>
      </c>
      <c r="G2995" s="14" t="s">
        <v>145</v>
      </c>
      <c r="H2995" s="14" t="s">
        <v>143</v>
      </c>
      <c r="I2995" s="14" t="s">
        <v>59</v>
      </c>
      <c r="J2995" s="14" t="s">
        <v>198</v>
      </c>
      <c r="K2995" s="14" t="s">
        <v>212</v>
      </c>
      <c r="L2995" s="14" t="s">
        <v>249</v>
      </c>
      <c r="M2995" s="14" t="s">
        <v>250</v>
      </c>
      <c r="N2995" s="14" t="s">
        <v>251</v>
      </c>
      <c r="O2995" s="14">
        <v>100.0</v>
      </c>
      <c r="P2995" s="21">
        <v>0.0</v>
      </c>
      <c r="Q2995" s="22" t="str">
        <f t="shared" si="1774"/>
        <v>+0</v>
      </c>
      <c r="R2995" s="18" t="str">
        <f t="shared" si="1775"/>
        <v>+0</v>
      </c>
      <c r="S2995" s="14" t="s">
        <v>281</v>
      </c>
    </row>
    <row r="2996">
      <c r="A2996" s="13">
        <v>45901.0</v>
      </c>
      <c r="B2996" s="14" t="s">
        <v>47</v>
      </c>
      <c r="C2996" s="14" t="s">
        <v>48</v>
      </c>
      <c r="D2996" s="14" t="s">
        <v>149</v>
      </c>
      <c r="E2996" s="14" t="s">
        <v>150</v>
      </c>
      <c r="F2996" s="15" t="s">
        <v>51</v>
      </c>
      <c r="G2996" s="14" t="s">
        <v>151</v>
      </c>
      <c r="H2996" s="14" t="s">
        <v>152</v>
      </c>
      <c r="I2996" s="14" t="s">
        <v>54</v>
      </c>
      <c r="J2996" s="14" t="s">
        <v>200</v>
      </c>
      <c r="K2996" s="14" t="s">
        <v>223</v>
      </c>
      <c r="L2996" s="14" t="s">
        <v>607</v>
      </c>
      <c r="M2996" s="14" t="s">
        <v>869</v>
      </c>
      <c r="N2996" s="14" t="s">
        <v>870</v>
      </c>
      <c r="O2996" s="14">
        <v>7.0</v>
      </c>
      <c r="P2996" s="23">
        <v>-0.8577</v>
      </c>
      <c r="Q2996" s="22" t="str">
        <f>"-6.40%"</f>
        <v>-6.40%</v>
      </c>
      <c r="R2996" s="18" t="str">
        <f>"+4.06%"</f>
        <v>+4.06%</v>
      </c>
      <c r="S2996" s="14" t="s">
        <v>1961</v>
      </c>
    </row>
    <row r="2997">
      <c r="A2997" s="13">
        <v>45901.0</v>
      </c>
      <c r="B2997" s="14" t="s">
        <v>47</v>
      </c>
      <c r="C2997" s="14" t="s">
        <v>48</v>
      </c>
      <c r="D2997" s="14" t="s">
        <v>129</v>
      </c>
      <c r="E2997" s="14" t="s">
        <v>130</v>
      </c>
      <c r="F2997" s="15" t="s">
        <v>51</v>
      </c>
      <c r="G2997" s="14" t="s">
        <v>131</v>
      </c>
      <c r="H2997" s="14" t="s">
        <v>129</v>
      </c>
      <c r="I2997" s="14" t="s">
        <v>59</v>
      </c>
      <c r="J2997" s="14" t="s">
        <v>200</v>
      </c>
      <c r="K2997" s="14" t="s">
        <v>231</v>
      </c>
      <c r="L2997" s="14" t="s">
        <v>512</v>
      </c>
      <c r="M2997" s="14" t="s">
        <v>1544</v>
      </c>
      <c r="N2997" s="14" t="s">
        <v>1545</v>
      </c>
      <c r="O2997" s="14">
        <v>0.0</v>
      </c>
      <c r="P2997" s="21">
        <v>0.0</v>
      </c>
      <c r="Q2997" s="22" t="str">
        <f t="shared" ref="Q2997:R2997" si="1776">"+0"</f>
        <v>+0</v>
      </c>
      <c r="R2997" s="18" t="str">
        <f t="shared" si="1776"/>
        <v>+0</v>
      </c>
      <c r="S2997" s="14" t="s">
        <v>260</v>
      </c>
    </row>
    <row r="2998">
      <c r="A2998" s="13">
        <v>45901.0</v>
      </c>
      <c r="B2998" s="14" t="s">
        <v>47</v>
      </c>
      <c r="C2998" s="14" t="s">
        <v>48</v>
      </c>
      <c r="D2998" s="14" t="s">
        <v>96</v>
      </c>
      <c r="E2998" s="14" t="s">
        <v>97</v>
      </c>
      <c r="F2998" s="15" t="s">
        <v>51</v>
      </c>
      <c r="G2998" s="14" t="s">
        <v>98</v>
      </c>
      <c r="H2998" s="14" t="s">
        <v>96</v>
      </c>
      <c r="I2998" s="14" t="s">
        <v>59</v>
      </c>
      <c r="J2998" s="14" t="s">
        <v>198</v>
      </c>
      <c r="K2998" s="14" t="s">
        <v>205</v>
      </c>
      <c r="L2998" s="14" t="s">
        <v>274</v>
      </c>
      <c r="M2998" s="14" t="s">
        <v>448</v>
      </c>
      <c r="N2998" s="14" t="s">
        <v>449</v>
      </c>
      <c r="O2998" s="14">
        <v>100.0</v>
      </c>
      <c r="P2998" s="21">
        <v>5.0</v>
      </c>
      <c r="Q2998" s="22" t="str">
        <f t="shared" ref="Q2998:Q2999" si="1777">"+0"</f>
        <v>+0</v>
      </c>
      <c r="S2998" s="14" t="s">
        <v>450</v>
      </c>
    </row>
    <row r="2999">
      <c r="A2999" s="13">
        <v>45901.0</v>
      </c>
      <c r="B2999" s="14" t="s">
        <v>47</v>
      </c>
      <c r="C2999" s="14" t="s">
        <v>48</v>
      </c>
      <c r="D2999" s="14" t="s">
        <v>125</v>
      </c>
      <c r="E2999" s="14" t="s">
        <v>126</v>
      </c>
      <c r="F2999" s="15" t="s">
        <v>51</v>
      </c>
      <c r="G2999" s="14" t="s">
        <v>127</v>
      </c>
      <c r="H2999" s="14" t="s">
        <v>125</v>
      </c>
      <c r="I2999" s="14" t="s">
        <v>59</v>
      </c>
      <c r="J2999" s="14" t="s">
        <v>198</v>
      </c>
      <c r="K2999" s="14" t="s">
        <v>205</v>
      </c>
      <c r="L2999" s="14" t="s">
        <v>274</v>
      </c>
      <c r="M2999" s="14" t="s">
        <v>387</v>
      </c>
      <c r="N2999" s="14" t="s">
        <v>388</v>
      </c>
      <c r="O2999" s="14">
        <v>0.0</v>
      </c>
      <c r="P2999" s="21">
        <v>0.0</v>
      </c>
      <c r="Q2999" s="22" t="str">
        <f t="shared" si="1777"/>
        <v>+0</v>
      </c>
      <c r="S2999" s="14" t="s">
        <v>281</v>
      </c>
    </row>
    <row r="3000">
      <c r="A3000" s="13">
        <v>45901.0</v>
      </c>
      <c r="B3000" s="14" t="s">
        <v>47</v>
      </c>
      <c r="C3000" s="14" t="s">
        <v>48</v>
      </c>
      <c r="D3000" s="14" t="s">
        <v>69</v>
      </c>
      <c r="E3000" s="14" t="s">
        <v>70</v>
      </c>
      <c r="F3000" s="15" t="s">
        <v>51</v>
      </c>
      <c r="G3000" s="14" t="s">
        <v>115</v>
      </c>
      <c r="H3000" s="14" t="s">
        <v>72</v>
      </c>
      <c r="I3000" s="14" t="s">
        <v>54</v>
      </c>
      <c r="J3000" s="14" t="s">
        <v>200</v>
      </c>
      <c r="K3000" s="14" t="s">
        <v>224</v>
      </c>
      <c r="L3000" s="14" t="s">
        <v>427</v>
      </c>
      <c r="M3000" s="14" t="s">
        <v>921</v>
      </c>
      <c r="N3000" s="14" t="s">
        <v>922</v>
      </c>
      <c r="O3000" s="14">
        <v>0.0</v>
      </c>
      <c r="P3000" s="23">
        <v>0.0</v>
      </c>
      <c r="Q3000" s="22" t="str">
        <f t="shared" ref="Q3000:R3000" si="1778">"+0.00%"</f>
        <v>+0.00%</v>
      </c>
      <c r="R3000" s="18" t="str">
        <f t="shared" si="1778"/>
        <v>+0.00%</v>
      </c>
      <c r="S3000" s="14" t="s">
        <v>923</v>
      </c>
    </row>
    <row r="3001">
      <c r="A3001" s="13">
        <v>45901.0</v>
      </c>
      <c r="B3001" s="14" t="s">
        <v>47</v>
      </c>
      <c r="C3001" s="14" t="s">
        <v>48</v>
      </c>
      <c r="D3001" s="14" t="s">
        <v>69</v>
      </c>
      <c r="E3001" s="14" t="s">
        <v>70</v>
      </c>
      <c r="F3001" s="14" t="s">
        <v>71</v>
      </c>
      <c r="G3001" s="14">
        <v>1.00002092E8</v>
      </c>
      <c r="H3001" s="14" t="s">
        <v>72</v>
      </c>
      <c r="I3001" s="14" t="s">
        <v>54</v>
      </c>
      <c r="J3001" s="14" t="s">
        <v>199</v>
      </c>
      <c r="K3001" s="14" t="s">
        <v>206</v>
      </c>
      <c r="L3001" s="14" t="s">
        <v>531</v>
      </c>
      <c r="M3001" s="14" t="s">
        <v>531</v>
      </c>
      <c r="N3001" s="14" t="s">
        <v>532</v>
      </c>
      <c r="O3001" s="14">
        <v>85.0</v>
      </c>
      <c r="P3001" s="21">
        <v>3.0</v>
      </c>
      <c r="Q3001" s="22" t="str">
        <f t="shared" ref="Q3001:R3001" si="1779">"+0"</f>
        <v>+0</v>
      </c>
      <c r="R3001" s="18" t="str">
        <f t="shared" si="1779"/>
        <v>+0</v>
      </c>
      <c r="S3001" s="14" t="s">
        <v>260</v>
      </c>
    </row>
    <row r="3002">
      <c r="A3002" s="13">
        <v>45901.0</v>
      </c>
      <c r="B3002" s="14" t="s">
        <v>47</v>
      </c>
      <c r="C3002" s="14" t="s">
        <v>48</v>
      </c>
      <c r="D3002" s="14" t="s">
        <v>69</v>
      </c>
      <c r="E3002" s="14" t="s">
        <v>70</v>
      </c>
      <c r="F3002" s="15" t="s">
        <v>51</v>
      </c>
      <c r="G3002" s="14" t="s">
        <v>115</v>
      </c>
      <c r="H3002" s="14" t="s">
        <v>72</v>
      </c>
      <c r="I3002" s="14" t="s">
        <v>54</v>
      </c>
      <c r="J3002" s="14" t="s">
        <v>200</v>
      </c>
      <c r="K3002" s="14" t="s">
        <v>211</v>
      </c>
      <c r="L3002" s="14" t="s">
        <v>253</v>
      </c>
      <c r="M3002" s="14" t="s">
        <v>366</v>
      </c>
      <c r="N3002" s="14" t="s">
        <v>367</v>
      </c>
      <c r="O3002" s="14">
        <v>64.0</v>
      </c>
      <c r="P3002" s="23">
        <v>0.6471</v>
      </c>
      <c r="Q3002" s="22" t="str">
        <f>"-0.59%"</f>
        <v>-0.59%</v>
      </c>
      <c r="R3002" s="18" t="str">
        <f>"+1.76%"</f>
        <v>+1.76%</v>
      </c>
      <c r="S3002" s="14" t="s">
        <v>1695</v>
      </c>
    </row>
    <row r="3003">
      <c r="A3003" s="13">
        <v>45901.0</v>
      </c>
      <c r="B3003" s="14" t="s">
        <v>47</v>
      </c>
      <c r="C3003" s="14" t="s">
        <v>48</v>
      </c>
      <c r="D3003" s="14" t="s">
        <v>158</v>
      </c>
      <c r="E3003" s="14" t="s">
        <v>159</v>
      </c>
      <c r="F3003" s="15" t="s">
        <v>51</v>
      </c>
      <c r="G3003" s="14" t="s">
        <v>160</v>
      </c>
      <c r="H3003" s="14" t="s">
        <v>158</v>
      </c>
      <c r="I3003" s="14" t="s">
        <v>54</v>
      </c>
      <c r="J3003" s="14" t="s">
        <v>198</v>
      </c>
      <c r="K3003" s="14" t="s">
        <v>210</v>
      </c>
      <c r="L3003" s="14" t="s">
        <v>458</v>
      </c>
      <c r="M3003" s="14" t="s">
        <v>796</v>
      </c>
      <c r="N3003" s="14" t="s">
        <v>797</v>
      </c>
      <c r="O3003" s="14">
        <v>0.0</v>
      </c>
      <c r="P3003" s="21">
        <v>0.0</v>
      </c>
      <c r="Q3003" s="22" t="str">
        <f t="shared" ref="Q3003:R3003" si="1780">"+0"</f>
        <v>+0</v>
      </c>
      <c r="R3003" s="18" t="str">
        <f t="shared" si="1780"/>
        <v>+0</v>
      </c>
      <c r="S3003" s="14" t="s">
        <v>277</v>
      </c>
    </row>
    <row r="3004">
      <c r="A3004" s="13">
        <v>45901.0</v>
      </c>
      <c r="B3004" s="14" t="s">
        <v>47</v>
      </c>
      <c r="C3004" s="14" t="s">
        <v>48</v>
      </c>
      <c r="D3004" s="14" t="s">
        <v>116</v>
      </c>
      <c r="E3004" s="14" t="s">
        <v>117</v>
      </c>
      <c r="F3004" s="15" t="s">
        <v>51</v>
      </c>
      <c r="G3004" s="14" t="s">
        <v>161</v>
      </c>
      <c r="H3004" s="14" t="s">
        <v>116</v>
      </c>
      <c r="I3004" s="14" t="s">
        <v>54</v>
      </c>
      <c r="J3004" s="14" t="s">
        <v>198</v>
      </c>
      <c r="K3004" s="14" t="s">
        <v>210</v>
      </c>
      <c r="L3004" s="14" t="s">
        <v>458</v>
      </c>
      <c r="M3004" s="14" t="s">
        <v>945</v>
      </c>
      <c r="N3004" s="14" t="s">
        <v>946</v>
      </c>
      <c r="O3004" s="14">
        <v>0.0</v>
      </c>
      <c r="P3004" s="21">
        <v>0.0</v>
      </c>
      <c r="Q3004" s="22" t="str">
        <f t="shared" ref="Q3004:R3004" si="1781">"+0"</f>
        <v>+0</v>
      </c>
      <c r="R3004" s="18" t="str">
        <f t="shared" si="1781"/>
        <v>+0</v>
      </c>
      <c r="S3004" s="14" t="s">
        <v>277</v>
      </c>
    </row>
    <row r="3005">
      <c r="A3005" s="13">
        <v>45901.0</v>
      </c>
      <c r="B3005" s="14" t="s">
        <v>47</v>
      </c>
      <c r="C3005" s="14" t="s">
        <v>48</v>
      </c>
      <c r="D3005" s="14" t="s">
        <v>158</v>
      </c>
      <c r="E3005" s="14" t="s">
        <v>159</v>
      </c>
      <c r="F3005" s="15" t="s">
        <v>51</v>
      </c>
      <c r="G3005" s="14" t="s">
        <v>160</v>
      </c>
      <c r="H3005" s="14" t="s">
        <v>158</v>
      </c>
      <c r="I3005" s="14" t="s">
        <v>54</v>
      </c>
      <c r="J3005" s="14" t="s">
        <v>200</v>
      </c>
      <c r="K3005" s="14" t="s">
        <v>222</v>
      </c>
      <c r="L3005" s="14" t="s">
        <v>337</v>
      </c>
      <c r="M3005" s="14" t="s">
        <v>338</v>
      </c>
      <c r="N3005" s="14" t="s">
        <v>339</v>
      </c>
      <c r="O3005" s="14">
        <v>0.0</v>
      </c>
      <c r="P3005" s="21">
        <v>0.0</v>
      </c>
      <c r="Q3005" s="22" t="str">
        <f t="shared" ref="Q3005:R3005" si="1782">"+0"</f>
        <v>+0</v>
      </c>
      <c r="R3005" s="18" t="str">
        <f t="shared" si="1782"/>
        <v>+0</v>
      </c>
      <c r="S3005" s="14" t="s">
        <v>260</v>
      </c>
    </row>
    <row r="3006">
      <c r="A3006" s="13">
        <v>45901.0</v>
      </c>
      <c r="B3006" s="14" t="s">
        <v>47</v>
      </c>
      <c r="C3006" s="14" t="s">
        <v>48</v>
      </c>
      <c r="D3006" s="14" t="s">
        <v>158</v>
      </c>
      <c r="E3006" s="14" t="s">
        <v>159</v>
      </c>
      <c r="F3006" s="15" t="s">
        <v>51</v>
      </c>
      <c r="G3006" s="14" t="s">
        <v>160</v>
      </c>
      <c r="H3006" s="14" t="s">
        <v>158</v>
      </c>
      <c r="I3006" s="14" t="s">
        <v>54</v>
      </c>
      <c r="J3006" s="14" t="s">
        <v>198</v>
      </c>
      <c r="K3006" s="14" t="s">
        <v>210</v>
      </c>
      <c r="L3006" s="14" t="s">
        <v>505</v>
      </c>
      <c r="M3006" s="14" t="s">
        <v>1222</v>
      </c>
      <c r="N3006" s="14" t="s">
        <v>1223</v>
      </c>
      <c r="O3006" s="14">
        <v>0.0</v>
      </c>
      <c r="P3006" s="21">
        <v>0.0</v>
      </c>
      <c r="Q3006" s="22" t="str">
        <f t="shared" ref="Q3006:R3006" si="1783">"+0"</f>
        <v>+0</v>
      </c>
      <c r="R3006" s="18" t="str">
        <f t="shared" si="1783"/>
        <v>+0</v>
      </c>
      <c r="S3006" s="14" t="s">
        <v>277</v>
      </c>
    </row>
    <row r="3007">
      <c r="A3007" s="13">
        <v>45901.0</v>
      </c>
      <c r="B3007" s="14" t="s">
        <v>47</v>
      </c>
      <c r="C3007" s="14" t="s">
        <v>48</v>
      </c>
      <c r="D3007" s="14" t="s">
        <v>181</v>
      </c>
      <c r="E3007" s="14" t="s">
        <v>182</v>
      </c>
      <c r="F3007" s="15" t="s">
        <v>51</v>
      </c>
      <c r="G3007" s="14" t="s">
        <v>183</v>
      </c>
      <c r="H3007" s="14" t="s">
        <v>181</v>
      </c>
      <c r="I3007" s="14" t="s">
        <v>59</v>
      </c>
      <c r="J3007" s="14" t="s">
        <v>198</v>
      </c>
      <c r="K3007" s="14" t="s">
        <v>205</v>
      </c>
      <c r="L3007" s="14" t="s">
        <v>274</v>
      </c>
      <c r="M3007" s="14" t="s">
        <v>451</v>
      </c>
      <c r="N3007" s="14" t="s">
        <v>452</v>
      </c>
      <c r="O3007" s="14">
        <v>0.0</v>
      </c>
      <c r="P3007" s="21">
        <v>0.0</v>
      </c>
      <c r="Q3007" s="22" t="str">
        <f t="shared" ref="Q3007:Q3008" si="1784">"+0"</f>
        <v>+0</v>
      </c>
      <c r="S3007" s="14" t="s">
        <v>281</v>
      </c>
    </row>
    <row r="3008">
      <c r="A3008" s="13">
        <v>45901.0</v>
      </c>
      <c r="B3008" s="14" t="s">
        <v>47</v>
      </c>
      <c r="C3008" s="14" t="s">
        <v>48</v>
      </c>
      <c r="D3008" s="14" t="s">
        <v>165</v>
      </c>
      <c r="E3008" s="14" t="s">
        <v>166</v>
      </c>
      <c r="F3008" s="15" t="s">
        <v>51</v>
      </c>
      <c r="G3008" s="14" t="s">
        <v>167</v>
      </c>
      <c r="H3008" s="14" t="s">
        <v>165</v>
      </c>
      <c r="I3008" s="14" t="s">
        <v>54</v>
      </c>
      <c r="J3008" s="14" t="s">
        <v>200</v>
      </c>
      <c r="K3008" s="14" t="s">
        <v>222</v>
      </c>
      <c r="L3008" s="14" t="s">
        <v>337</v>
      </c>
      <c r="M3008" s="14" t="s">
        <v>338</v>
      </c>
      <c r="N3008" s="14" t="s">
        <v>339</v>
      </c>
      <c r="O3008" s="14">
        <v>0.0</v>
      </c>
      <c r="P3008" s="21">
        <v>0.0</v>
      </c>
      <c r="Q3008" s="22" t="str">
        <f t="shared" si="1784"/>
        <v>+0</v>
      </c>
      <c r="R3008" s="18" t="str">
        <f>"+0"</f>
        <v>+0</v>
      </c>
      <c r="S3008" s="14" t="s">
        <v>260</v>
      </c>
    </row>
    <row r="3009">
      <c r="A3009" s="13">
        <v>45901.0</v>
      </c>
      <c r="B3009" s="14" t="s">
        <v>47</v>
      </c>
      <c r="C3009" s="14" t="s">
        <v>48</v>
      </c>
      <c r="D3009" s="14" t="s">
        <v>63</v>
      </c>
      <c r="E3009" s="14" t="s">
        <v>64</v>
      </c>
      <c r="F3009" s="15" t="s">
        <v>51</v>
      </c>
      <c r="G3009" s="14" t="s">
        <v>65</v>
      </c>
      <c r="H3009" s="14" t="s">
        <v>63</v>
      </c>
      <c r="I3009" s="14" t="s">
        <v>54</v>
      </c>
      <c r="J3009" s="14" t="s">
        <v>200</v>
      </c>
      <c r="K3009" s="14" t="s">
        <v>211</v>
      </c>
      <c r="L3009" s="14" t="s">
        <v>253</v>
      </c>
      <c r="M3009" s="14" t="s">
        <v>366</v>
      </c>
      <c r="N3009" s="14" t="s">
        <v>367</v>
      </c>
      <c r="O3009" s="14">
        <v>64.0</v>
      </c>
      <c r="P3009" s="23">
        <v>0.64</v>
      </c>
      <c r="Q3009" s="22" t="str">
        <f>"+2.00%"</f>
        <v>+2.00%</v>
      </c>
      <c r="R3009" s="18" t="str">
        <f>"-4.00%"</f>
        <v>-4.00%</v>
      </c>
      <c r="S3009" s="14" t="s">
        <v>1962</v>
      </c>
    </row>
    <row r="3010">
      <c r="A3010" s="13">
        <v>45901.0</v>
      </c>
      <c r="B3010" s="14" t="s">
        <v>47</v>
      </c>
      <c r="C3010" s="14" t="s">
        <v>48</v>
      </c>
      <c r="D3010" s="14" t="s">
        <v>99</v>
      </c>
      <c r="E3010" s="14" t="s">
        <v>100</v>
      </c>
      <c r="F3010" s="15" t="s">
        <v>51</v>
      </c>
      <c r="G3010" s="14" t="s">
        <v>101</v>
      </c>
      <c r="H3010" s="14" t="s">
        <v>102</v>
      </c>
      <c r="I3010" s="14" t="s">
        <v>54</v>
      </c>
      <c r="J3010" s="14" t="s">
        <v>198</v>
      </c>
      <c r="K3010" s="14" t="s">
        <v>210</v>
      </c>
      <c r="L3010" s="14" t="s">
        <v>264</v>
      </c>
      <c r="M3010" s="14" t="s">
        <v>527</v>
      </c>
      <c r="N3010" s="14" t="s">
        <v>528</v>
      </c>
      <c r="O3010" s="14">
        <v>0.0</v>
      </c>
      <c r="P3010" s="21">
        <v>0.0</v>
      </c>
      <c r="Q3010" s="22" t="str">
        <f>"-1"</f>
        <v>-1</v>
      </c>
      <c r="R3010" s="18" t="str">
        <f>"+0"</f>
        <v>+0</v>
      </c>
      <c r="S3010" s="14" t="s">
        <v>277</v>
      </c>
    </row>
    <row r="3011">
      <c r="A3011" s="13">
        <v>45901.0</v>
      </c>
      <c r="B3011" s="14" t="s">
        <v>47</v>
      </c>
      <c r="C3011" s="14" t="s">
        <v>48</v>
      </c>
      <c r="D3011" s="14" t="s">
        <v>91</v>
      </c>
      <c r="E3011" s="14" t="s">
        <v>92</v>
      </c>
      <c r="F3011" s="15" t="s">
        <v>51</v>
      </c>
      <c r="G3011" s="14" t="s">
        <v>163</v>
      </c>
      <c r="H3011" s="14" t="s">
        <v>91</v>
      </c>
      <c r="I3011" s="14" t="s">
        <v>59</v>
      </c>
      <c r="J3011" s="14" t="s">
        <v>200</v>
      </c>
      <c r="K3011" s="14" t="s">
        <v>223</v>
      </c>
      <c r="L3011" s="14" t="s">
        <v>883</v>
      </c>
      <c r="M3011" s="14" t="s">
        <v>884</v>
      </c>
      <c r="N3011" s="14" t="s">
        <v>885</v>
      </c>
      <c r="O3011" s="14">
        <v>0.0</v>
      </c>
      <c r="P3011" s="23">
        <v>0.0</v>
      </c>
      <c r="Q3011" s="22" t="str">
        <f t="shared" ref="Q3011:R3011" si="1785">"+0.00%"</f>
        <v>+0.00%</v>
      </c>
      <c r="R3011" s="18" t="str">
        <f t="shared" si="1785"/>
        <v>+0.00%</v>
      </c>
      <c r="S3011" s="14" t="s">
        <v>285</v>
      </c>
    </row>
    <row r="3012">
      <c r="A3012" s="13">
        <v>45901.0</v>
      </c>
      <c r="B3012" s="14" t="s">
        <v>47</v>
      </c>
      <c r="C3012" s="14" t="s">
        <v>48</v>
      </c>
      <c r="D3012" s="14" t="s">
        <v>91</v>
      </c>
      <c r="E3012" s="14" t="s">
        <v>92</v>
      </c>
      <c r="F3012" s="15" t="s">
        <v>51</v>
      </c>
      <c r="G3012" s="14" t="s">
        <v>163</v>
      </c>
      <c r="H3012" s="14" t="s">
        <v>91</v>
      </c>
      <c r="I3012" s="14" t="s">
        <v>59</v>
      </c>
      <c r="J3012" s="14" t="s">
        <v>200</v>
      </c>
      <c r="K3012" s="14" t="s">
        <v>222</v>
      </c>
      <c r="L3012" s="14" t="s">
        <v>337</v>
      </c>
      <c r="M3012" s="14" t="s">
        <v>1000</v>
      </c>
      <c r="N3012" s="14" t="s">
        <v>1001</v>
      </c>
      <c r="O3012" s="14">
        <v>0.0</v>
      </c>
      <c r="P3012" s="21">
        <v>0.0</v>
      </c>
      <c r="Q3012" s="22" t="str">
        <f t="shared" ref="Q3012:R3012" si="1786">"+0"</f>
        <v>+0</v>
      </c>
      <c r="R3012" s="18" t="str">
        <f t="shared" si="1786"/>
        <v>+0</v>
      </c>
      <c r="S3012" s="14" t="s">
        <v>260</v>
      </c>
    </row>
    <row r="3013">
      <c r="A3013" s="13">
        <v>45901.0</v>
      </c>
      <c r="B3013" s="14" t="s">
        <v>47</v>
      </c>
      <c r="C3013" s="14" t="s">
        <v>48</v>
      </c>
      <c r="D3013" s="14" t="s">
        <v>93</v>
      </c>
      <c r="E3013" s="14" t="s">
        <v>94</v>
      </c>
      <c r="F3013" s="15" t="s">
        <v>51</v>
      </c>
      <c r="G3013" s="14" t="s">
        <v>191</v>
      </c>
      <c r="H3013" s="14" t="s">
        <v>95</v>
      </c>
      <c r="I3013" s="14" t="s">
        <v>59</v>
      </c>
      <c r="J3013" s="14" t="s">
        <v>199</v>
      </c>
      <c r="K3013" s="14" t="s">
        <v>206</v>
      </c>
      <c r="L3013" s="14" t="s">
        <v>295</v>
      </c>
      <c r="M3013" s="14" t="s">
        <v>461</v>
      </c>
      <c r="N3013" s="14" t="s">
        <v>462</v>
      </c>
      <c r="O3013" s="14">
        <v>0.0</v>
      </c>
      <c r="P3013" s="21">
        <v>0.0</v>
      </c>
      <c r="Q3013" s="22" t="str">
        <f t="shared" ref="Q3013:R3013" si="1787">"+0"</f>
        <v>+0</v>
      </c>
      <c r="R3013" s="18" t="str">
        <f t="shared" si="1787"/>
        <v>+0</v>
      </c>
      <c r="S3013" s="14" t="s">
        <v>260</v>
      </c>
    </row>
    <row r="3014">
      <c r="A3014" s="13">
        <v>45901.0</v>
      </c>
      <c r="B3014" s="14" t="s">
        <v>47</v>
      </c>
      <c r="C3014" s="14" t="s">
        <v>48</v>
      </c>
      <c r="D3014" s="14" t="s">
        <v>87</v>
      </c>
      <c r="E3014" s="14" t="s">
        <v>88</v>
      </c>
      <c r="F3014" s="15" t="s">
        <v>51</v>
      </c>
      <c r="G3014" s="14" t="s">
        <v>89</v>
      </c>
      <c r="H3014" s="14" t="s">
        <v>90</v>
      </c>
      <c r="I3014" s="14" t="s">
        <v>59</v>
      </c>
      <c r="J3014" s="14" t="s">
        <v>200</v>
      </c>
      <c r="K3014" s="14" t="s">
        <v>223</v>
      </c>
      <c r="L3014" s="14" t="s">
        <v>359</v>
      </c>
      <c r="M3014" s="14" t="s">
        <v>360</v>
      </c>
      <c r="N3014" s="14" t="s">
        <v>361</v>
      </c>
      <c r="O3014" s="14">
        <v>0.0</v>
      </c>
      <c r="P3014" s="23">
        <v>0.0</v>
      </c>
      <c r="Q3014" s="22" t="str">
        <f t="shared" ref="Q3014:R3014" si="1788">"+0.00%"</f>
        <v>+0.00%</v>
      </c>
      <c r="R3014" s="18" t="str">
        <f t="shared" si="1788"/>
        <v>+0.00%</v>
      </c>
      <c r="S3014" s="14" t="s">
        <v>1963</v>
      </c>
    </row>
    <row r="3015">
      <c r="A3015" s="13">
        <v>45901.0</v>
      </c>
      <c r="B3015" s="14" t="s">
        <v>47</v>
      </c>
      <c r="C3015" s="14" t="s">
        <v>48</v>
      </c>
      <c r="D3015" s="14" t="s">
        <v>108</v>
      </c>
      <c r="E3015" s="14" t="s">
        <v>109</v>
      </c>
      <c r="F3015" s="15" t="s">
        <v>51</v>
      </c>
      <c r="G3015" s="14" t="s">
        <v>110</v>
      </c>
      <c r="H3015" s="14" t="s">
        <v>108</v>
      </c>
      <c r="I3015" s="14" t="s">
        <v>59</v>
      </c>
      <c r="J3015" s="14" t="s">
        <v>200</v>
      </c>
      <c r="K3015" s="14" t="s">
        <v>213</v>
      </c>
      <c r="L3015" s="14" t="s">
        <v>591</v>
      </c>
      <c r="M3015" s="14" t="s">
        <v>592</v>
      </c>
      <c r="N3015" s="14" t="s">
        <v>1048</v>
      </c>
      <c r="O3015" s="14">
        <v>0.0</v>
      </c>
      <c r="P3015" s="23">
        <v>0.0</v>
      </c>
      <c r="Q3015" s="22" t="str">
        <f>"-20.00%"</f>
        <v>-20.00%</v>
      </c>
      <c r="S3015" s="14" t="s">
        <v>285</v>
      </c>
    </row>
    <row r="3016">
      <c r="A3016" s="13">
        <v>45901.0</v>
      </c>
      <c r="B3016" s="14" t="s">
        <v>47</v>
      </c>
      <c r="C3016" s="14" t="s">
        <v>48</v>
      </c>
      <c r="D3016" s="14" t="s">
        <v>155</v>
      </c>
      <c r="E3016" s="14" t="s">
        <v>156</v>
      </c>
      <c r="F3016" s="15" t="s">
        <v>51</v>
      </c>
      <c r="G3016" s="14" t="s">
        <v>157</v>
      </c>
      <c r="H3016" s="14" t="s">
        <v>155</v>
      </c>
      <c r="I3016" s="14" t="s">
        <v>59</v>
      </c>
      <c r="J3016" s="14" t="s">
        <v>199</v>
      </c>
      <c r="K3016" s="14" t="s">
        <v>206</v>
      </c>
      <c r="L3016" s="14" t="s">
        <v>433</v>
      </c>
      <c r="M3016" s="14" t="s">
        <v>433</v>
      </c>
      <c r="N3016" s="14" t="s">
        <v>434</v>
      </c>
      <c r="O3016" s="14">
        <v>0.0</v>
      </c>
      <c r="P3016" s="21">
        <v>0.0</v>
      </c>
      <c r="Q3016" s="22" t="str">
        <f t="shared" ref="Q3016:R3016" si="1789">"+0"</f>
        <v>+0</v>
      </c>
      <c r="R3016" s="18" t="str">
        <f t="shared" si="1789"/>
        <v>+0</v>
      </c>
      <c r="S3016" s="14" t="s">
        <v>383</v>
      </c>
    </row>
    <row r="3017">
      <c r="A3017" s="13">
        <v>45901.0</v>
      </c>
      <c r="B3017" s="14" t="s">
        <v>47</v>
      </c>
      <c r="C3017" s="14" t="s">
        <v>48</v>
      </c>
      <c r="D3017" s="14" t="s">
        <v>77</v>
      </c>
      <c r="E3017" s="14" t="s">
        <v>78</v>
      </c>
      <c r="F3017" s="14" t="s">
        <v>71</v>
      </c>
      <c r="G3017" s="14">
        <v>5.36009043E8</v>
      </c>
      <c r="H3017" s="14" t="s">
        <v>81</v>
      </c>
      <c r="J3017" s="14" t="s">
        <v>199</v>
      </c>
      <c r="K3017" s="14" t="s">
        <v>206</v>
      </c>
      <c r="L3017" s="14" t="s">
        <v>381</v>
      </c>
      <c r="M3017" s="14" t="s">
        <v>381</v>
      </c>
      <c r="N3017" s="14" t="s">
        <v>382</v>
      </c>
      <c r="O3017" s="14">
        <v>0.0</v>
      </c>
      <c r="P3017" s="21">
        <v>0.0</v>
      </c>
      <c r="Q3017" s="22" t="str">
        <f>"+0"</f>
        <v>+0</v>
      </c>
      <c r="S3017" s="14" t="s">
        <v>383</v>
      </c>
    </row>
    <row r="3018">
      <c r="A3018" s="13">
        <v>45901.0</v>
      </c>
      <c r="B3018" s="14" t="s">
        <v>47</v>
      </c>
      <c r="C3018" s="14" t="s">
        <v>48</v>
      </c>
      <c r="D3018" s="14" t="s">
        <v>85</v>
      </c>
      <c r="E3018" s="14" t="s">
        <v>86</v>
      </c>
      <c r="F3018" s="15" t="s">
        <v>51</v>
      </c>
      <c r="G3018" s="14" t="s">
        <v>148</v>
      </c>
      <c r="H3018" s="14" t="s">
        <v>85</v>
      </c>
      <c r="I3018" s="14" t="s">
        <v>59</v>
      </c>
      <c r="J3018" s="14" t="s">
        <v>200</v>
      </c>
      <c r="K3018" s="14" t="s">
        <v>227</v>
      </c>
      <c r="L3018" s="14" t="s">
        <v>253</v>
      </c>
      <c r="M3018" s="14" t="s">
        <v>849</v>
      </c>
      <c r="N3018" s="14" t="s">
        <v>850</v>
      </c>
      <c r="O3018" s="14">
        <v>20.0</v>
      </c>
      <c r="P3018" s="23">
        <v>0.2</v>
      </c>
      <c r="Q3018" s="22" t="str">
        <f t="shared" ref="Q3018:R3018" si="1790">"+0.00%"</f>
        <v>+0.00%</v>
      </c>
      <c r="R3018" s="18" t="str">
        <f t="shared" si="1790"/>
        <v>+0.00%</v>
      </c>
      <c r="S3018" s="14" t="s">
        <v>851</v>
      </c>
    </row>
    <row r="3019">
      <c r="A3019" s="13">
        <v>45901.0</v>
      </c>
      <c r="B3019" s="14" t="s">
        <v>47</v>
      </c>
      <c r="C3019" s="14" t="s">
        <v>48</v>
      </c>
      <c r="D3019" s="14" t="s">
        <v>66</v>
      </c>
      <c r="E3019" s="14" t="s">
        <v>67</v>
      </c>
      <c r="F3019" s="15" t="s">
        <v>51</v>
      </c>
      <c r="G3019" s="14" t="s">
        <v>68</v>
      </c>
      <c r="H3019" s="14" t="s">
        <v>66</v>
      </c>
      <c r="I3019" s="14" t="s">
        <v>59</v>
      </c>
      <c r="J3019" s="14" t="s">
        <v>200</v>
      </c>
      <c r="K3019" s="14" t="s">
        <v>223</v>
      </c>
      <c r="L3019" s="14" t="s">
        <v>363</v>
      </c>
      <c r="M3019" s="14" t="s">
        <v>364</v>
      </c>
      <c r="N3019" s="14" t="s">
        <v>365</v>
      </c>
      <c r="O3019" s="14">
        <v>0.0</v>
      </c>
      <c r="P3019" s="23">
        <v>0.0</v>
      </c>
      <c r="Q3019" s="22" t="str">
        <f t="shared" ref="Q3019:R3019" si="1791">"+0.00%"</f>
        <v>+0.00%</v>
      </c>
      <c r="R3019" s="18" t="str">
        <f t="shared" si="1791"/>
        <v>+0.00%</v>
      </c>
      <c r="S3019" s="14" t="s">
        <v>285</v>
      </c>
    </row>
    <row r="3020">
      <c r="A3020" s="13">
        <v>45901.0</v>
      </c>
      <c r="B3020" s="14" t="s">
        <v>47</v>
      </c>
      <c r="C3020" s="14" t="s">
        <v>48</v>
      </c>
      <c r="D3020" s="14" t="s">
        <v>184</v>
      </c>
      <c r="E3020" s="14" t="s">
        <v>185</v>
      </c>
      <c r="F3020" s="15" t="s">
        <v>51</v>
      </c>
      <c r="G3020" s="14" t="s">
        <v>186</v>
      </c>
      <c r="H3020" s="14" t="s">
        <v>187</v>
      </c>
      <c r="I3020" s="14" t="s">
        <v>59</v>
      </c>
      <c r="J3020" s="14" t="s">
        <v>198</v>
      </c>
      <c r="K3020" s="14" t="s">
        <v>205</v>
      </c>
      <c r="L3020" s="14" t="s">
        <v>274</v>
      </c>
      <c r="M3020" s="14" t="s">
        <v>451</v>
      </c>
      <c r="N3020" s="14" t="s">
        <v>452</v>
      </c>
      <c r="O3020" s="14">
        <v>0.0</v>
      </c>
      <c r="P3020" s="21">
        <v>0.0</v>
      </c>
      <c r="Q3020" s="22" t="str">
        <f t="shared" ref="Q3020:Q3021" si="1792">"+0"</f>
        <v>+0</v>
      </c>
      <c r="S3020" s="14" t="s">
        <v>281</v>
      </c>
    </row>
    <row r="3021">
      <c r="A3021" s="13">
        <v>45901.0</v>
      </c>
      <c r="B3021" s="14" t="s">
        <v>47</v>
      </c>
      <c r="C3021" s="14" t="s">
        <v>48</v>
      </c>
      <c r="D3021" s="14" t="s">
        <v>82</v>
      </c>
      <c r="E3021" s="14" t="s">
        <v>83</v>
      </c>
      <c r="F3021" s="15" t="s">
        <v>51</v>
      </c>
      <c r="G3021" s="14" t="s">
        <v>84</v>
      </c>
      <c r="H3021" s="14" t="s">
        <v>82</v>
      </c>
      <c r="I3021" s="14" t="s">
        <v>59</v>
      </c>
      <c r="J3021" s="14" t="s">
        <v>199</v>
      </c>
      <c r="K3021" s="14" t="s">
        <v>203</v>
      </c>
      <c r="L3021" s="14" t="s">
        <v>725</v>
      </c>
      <c r="M3021" s="14" t="s">
        <v>725</v>
      </c>
      <c r="N3021" s="14" t="s">
        <v>726</v>
      </c>
      <c r="O3021" s="14">
        <v>0.0</v>
      </c>
      <c r="P3021" s="21">
        <v>0.0</v>
      </c>
      <c r="Q3021" s="22" t="str">
        <f t="shared" si="1792"/>
        <v>+0</v>
      </c>
      <c r="R3021" s="18" t="str">
        <f>"+0"</f>
        <v>+0</v>
      </c>
      <c r="S3021" s="14" t="s">
        <v>260</v>
      </c>
    </row>
    <row r="3022">
      <c r="A3022" s="13">
        <v>45901.0</v>
      </c>
      <c r="B3022" s="14" t="s">
        <v>47</v>
      </c>
      <c r="C3022" s="14" t="s">
        <v>48</v>
      </c>
      <c r="D3022" s="14" t="s">
        <v>82</v>
      </c>
      <c r="E3022" s="14" t="s">
        <v>83</v>
      </c>
      <c r="F3022" s="15" t="s">
        <v>51</v>
      </c>
      <c r="G3022" s="14" t="s">
        <v>84</v>
      </c>
      <c r="H3022" s="14" t="s">
        <v>82</v>
      </c>
      <c r="I3022" s="14" t="s">
        <v>59</v>
      </c>
      <c r="J3022" s="14" t="s">
        <v>200</v>
      </c>
      <c r="K3022" s="14" t="s">
        <v>227</v>
      </c>
      <c r="L3022" s="14" t="s">
        <v>721</v>
      </c>
      <c r="M3022" s="14" t="s">
        <v>722</v>
      </c>
      <c r="N3022" s="14" t="s">
        <v>723</v>
      </c>
      <c r="O3022" s="14">
        <v>50.0</v>
      </c>
      <c r="P3022" s="23">
        <v>0.017</v>
      </c>
      <c r="Q3022" s="22" t="str">
        <f>"+2.87%"</f>
        <v>+2.87%</v>
      </c>
      <c r="R3022" s="18" t="str">
        <f>"-0.94%"</f>
        <v>-0.94%</v>
      </c>
      <c r="S3022" s="14" t="s">
        <v>724</v>
      </c>
    </row>
    <row r="3023">
      <c r="A3023" s="13">
        <v>45901.0</v>
      </c>
      <c r="B3023" s="14" t="s">
        <v>47</v>
      </c>
      <c r="C3023" s="14" t="s">
        <v>48</v>
      </c>
      <c r="D3023" s="14" t="s">
        <v>184</v>
      </c>
      <c r="E3023" s="14" t="s">
        <v>185</v>
      </c>
      <c r="F3023" s="15" t="s">
        <v>51</v>
      </c>
      <c r="G3023" s="14" t="s">
        <v>186</v>
      </c>
      <c r="H3023" s="14" t="s">
        <v>187</v>
      </c>
      <c r="I3023" s="14" t="s">
        <v>59</v>
      </c>
      <c r="J3023" s="14" t="s">
        <v>200</v>
      </c>
      <c r="K3023" s="14" t="s">
        <v>224</v>
      </c>
      <c r="L3023" s="14" t="s">
        <v>964</v>
      </c>
      <c r="M3023" s="14" t="s">
        <v>965</v>
      </c>
      <c r="N3023" s="14" t="s">
        <v>966</v>
      </c>
      <c r="O3023" s="14">
        <v>0.0</v>
      </c>
      <c r="P3023" s="17"/>
      <c r="Q3023" s="22"/>
      <c r="S3023" s="14" t="s">
        <v>1964</v>
      </c>
    </row>
    <row r="3024">
      <c r="A3024" s="13">
        <v>45901.0</v>
      </c>
      <c r="B3024" s="14" t="s">
        <v>47</v>
      </c>
      <c r="C3024" s="14" t="s">
        <v>48</v>
      </c>
      <c r="D3024" s="14" t="s">
        <v>143</v>
      </c>
      <c r="E3024" s="14" t="s">
        <v>144</v>
      </c>
      <c r="F3024" s="15" t="s">
        <v>51</v>
      </c>
      <c r="G3024" s="14" t="s">
        <v>145</v>
      </c>
      <c r="H3024" s="14" t="s">
        <v>143</v>
      </c>
      <c r="I3024" s="14" t="s">
        <v>59</v>
      </c>
      <c r="J3024" s="14" t="s">
        <v>200</v>
      </c>
      <c r="K3024" s="14" t="s">
        <v>232</v>
      </c>
      <c r="L3024" s="14" t="s">
        <v>304</v>
      </c>
      <c r="M3024" s="14" t="s">
        <v>305</v>
      </c>
      <c r="N3024" s="14" t="s">
        <v>306</v>
      </c>
      <c r="O3024" s="14">
        <v>100.0</v>
      </c>
      <c r="P3024" s="21">
        <v>1.0</v>
      </c>
      <c r="Q3024" s="22" t="str">
        <f t="shared" ref="Q3024:R3024" si="1793">"+0"</f>
        <v>+0</v>
      </c>
      <c r="R3024" s="18" t="str">
        <f t="shared" si="1793"/>
        <v>+0</v>
      </c>
      <c r="S3024" s="14" t="s">
        <v>260</v>
      </c>
    </row>
    <row r="3025">
      <c r="A3025" s="13">
        <v>45901.0</v>
      </c>
      <c r="B3025" s="14" t="s">
        <v>47</v>
      </c>
      <c r="C3025" s="14" t="s">
        <v>48</v>
      </c>
      <c r="D3025" s="14" t="s">
        <v>129</v>
      </c>
      <c r="E3025" s="14" t="s">
        <v>130</v>
      </c>
      <c r="F3025" s="15" t="s">
        <v>51</v>
      </c>
      <c r="G3025" s="14" t="s">
        <v>131</v>
      </c>
      <c r="H3025" s="14" t="s">
        <v>129</v>
      </c>
      <c r="I3025" s="14" t="s">
        <v>59</v>
      </c>
      <c r="J3025" s="14" t="s">
        <v>199</v>
      </c>
      <c r="K3025" s="14" t="s">
        <v>206</v>
      </c>
      <c r="L3025" s="14" t="s">
        <v>531</v>
      </c>
      <c r="M3025" s="14" t="s">
        <v>531</v>
      </c>
      <c r="N3025" s="14" t="s">
        <v>532</v>
      </c>
      <c r="O3025" s="14">
        <v>75.0</v>
      </c>
      <c r="P3025" s="21">
        <v>1.0</v>
      </c>
      <c r="Q3025" s="22" t="str">
        <f t="shared" ref="Q3025:R3025" si="1794">"+0"</f>
        <v>+0</v>
      </c>
      <c r="R3025" s="18" t="str">
        <f t="shared" si="1794"/>
        <v>+0</v>
      </c>
      <c r="S3025" s="14" t="s">
        <v>260</v>
      </c>
    </row>
    <row r="3026">
      <c r="A3026" s="13">
        <v>45901.0</v>
      </c>
      <c r="B3026" s="14" t="s">
        <v>47</v>
      </c>
      <c r="C3026" s="14" t="s">
        <v>48</v>
      </c>
      <c r="D3026" s="14" t="s">
        <v>149</v>
      </c>
      <c r="E3026" s="14" t="s">
        <v>150</v>
      </c>
      <c r="F3026" s="15" t="s">
        <v>51</v>
      </c>
      <c r="G3026" s="14" t="s">
        <v>151</v>
      </c>
      <c r="H3026" s="14" t="s">
        <v>152</v>
      </c>
      <c r="I3026" s="14" t="s">
        <v>54</v>
      </c>
      <c r="J3026" s="14" t="s">
        <v>198</v>
      </c>
      <c r="K3026" s="14" t="s">
        <v>210</v>
      </c>
      <c r="L3026" s="14" t="s">
        <v>264</v>
      </c>
      <c r="M3026" s="14" t="s">
        <v>405</v>
      </c>
      <c r="N3026" s="14" t="s">
        <v>406</v>
      </c>
      <c r="O3026" s="14">
        <v>0.0</v>
      </c>
      <c r="P3026" s="21">
        <v>0.0</v>
      </c>
      <c r="Q3026" s="22" t="str">
        <f t="shared" ref="Q3026:R3026" si="1795">"+0"</f>
        <v>+0</v>
      </c>
      <c r="R3026" s="18" t="str">
        <f t="shared" si="1795"/>
        <v>+0</v>
      </c>
      <c r="S3026" s="14" t="s">
        <v>277</v>
      </c>
    </row>
    <row r="3027">
      <c r="A3027" s="13">
        <v>45901.0</v>
      </c>
      <c r="B3027" s="14" t="s">
        <v>47</v>
      </c>
      <c r="C3027" s="14" t="s">
        <v>48</v>
      </c>
      <c r="D3027" s="14" t="s">
        <v>87</v>
      </c>
      <c r="E3027" s="14" t="s">
        <v>88</v>
      </c>
      <c r="F3027" s="15" t="s">
        <v>51</v>
      </c>
      <c r="G3027" s="14" t="s">
        <v>89</v>
      </c>
      <c r="H3027" s="14" t="s">
        <v>90</v>
      </c>
      <c r="I3027" s="14" t="s">
        <v>59</v>
      </c>
      <c r="J3027" s="14" t="s">
        <v>200</v>
      </c>
      <c r="K3027" s="14" t="s">
        <v>227</v>
      </c>
      <c r="L3027" s="14" t="s">
        <v>253</v>
      </c>
      <c r="M3027" s="14" t="s">
        <v>396</v>
      </c>
      <c r="N3027" s="14" t="s">
        <v>397</v>
      </c>
      <c r="O3027" s="14">
        <v>100.0</v>
      </c>
      <c r="P3027" s="23">
        <v>1.0</v>
      </c>
      <c r="Q3027" s="22" t="str">
        <f t="shared" ref="Q3027:R3027" si="1796">"+0.00%"</f>
        <v>+0.00%</v>
      </c>
      <c r="R3027" s="18" t="str">
        <f t="shared" si="1796"/>
        <v>+0.00%</v>
      </c>
      <c r="S3027" s="14" t="s">
        <v>916</v>
      </c>
    </row>
    <row r="3028">
      <c r="A3028" s="13">
        <v>45901.0</v>
      </c>
      <c r="B3028" s="14" t="s">
        <v>47</v>
      </c>
      <c r="C3028" s="14" t="s">
        <v>48</v>
      </c>
      <c r="D3028" s="14" t="s">
        <v>171</v>
      </c>
      <c r="E3028" s="14" t="s">
        <v>172</v>
      </c>
      <c r="F3028" s="15" t="s">
        <v>51</v>
      </c>
      <c r="G3028" s="14" t="s">
        <v>173</v>
      </c>
      <c r="H3028" s="14" t="s">
        <v>171</v>
      </c>
      <c r="I3028" s="14" t="s">
        <v>59</v>
      </c>
      <c r="J3028" s="14" t="s">
        <v>200</v>
      </c>
      <c r="K3028" s="14" t="s">
        <v>213</v>
      </c>
      <c r="L3028" s="14" t="s">
        <v>289</v>
      </c>
      <c r="M3028" s="14" t="s">
        <v>290</v>
      </c>
      <c r="N3028" s="14" t="s">
        <v>291</v>
      </c>
      <c r="O3028" s="14">
        <v>0.0</v>
      </c>
      <c r="P3028" s="23">
        <v>0.0</v>
      </c>
      <c r="Q3028" s="22" t="str">
        <f t="shared" ref="Q3028:R3028" si="1797">"+0.00%"</f>
        <v>+0.00%</v>
      </c>
      <c r="R3028" s="18" t="str">
        <f t="shared" si="1797"/>
        <v>+0.00%</v>
      </c>
      <c r="S3028" s="14" t="s">
        <v>285</v>
      </c>
    </row>
    <row r="3029">
      <c r="A3029" s="13">
        <v>45901.0</v>
      </c>
      <c r="B3029" s="14" t="s">
        <v>47</v>
      </c>
      <c r="C3029" s="14" t="s">
        <v>48</v>
      </c>
      <c r="D3029" s="14" t="s">
        <v>149</v>
      </c>
      <c r="E3029" s="14" t="s">
        <v>150</v>
      </c>
      <c r="F3029" s="15" t="s">
        <v>51</v>
      </c>
      <c r="G3029" s="14" t="s">
        <v>151</v>
      </c>
      <c r="H3029" s="14" t="s">
        <v>152</v>
      </c>
      <c r="I3029" s="14" t="s">
        <v>54</v>
      </c>
      <c r="J3029" s="14" t="s">
        <v>200</v>
      </c>
      <c r="K3029" s="14" t="s">
        <v>223</v>
      </c>
      <c r="L3029" s="14" t="s">
        <v>286</v>
      </c>
      <c r="M3029" s="14" t="s">
        <v>1199</v>
      </c>
      <c r="N3029" s="14" t="s">
        <v>1200</v>
      </c>
      <c r="O3029" s="14">
        <v>100.0</v>
      </c>
      <c r="P3029" s="23">
        <v>0.0093</v>
      </c>
      <c r="Q3029" s="22" t="str">
        <f>"+0.20%"</f>
        <v>+0.20%</v>
      </c>
      <c r="R3029" s="18" t="str">
        <f>"+0.03%"</f>
        <v>+0.03%</v>
      </c>
      <c r="S3029" s="14" t="s">
        <v>285</v>
      </c>
    </row>
    <row r="3030">
      <c r="A3030" s="13">
        <v>45901.0</v>
      </c>
      <c r="B3030" s="14" t="s">
        <v>47</v>
      </c>
      <c r="C3030" s="14" t="s">
        <v>48</v>
      </c>
      <c r="D3030" s="14" t="s">
        <v>136</v>
      </c>
      <c r="E3030" s="14" t="s">
        <v>137</v>
      </c>
      <c r="F3030" s="15" t="s">
        <v>51</v>
      </c>
      <c r="G3030" s="14" t="s">
        <v>138</v>
      </c>
      <c r="H3030" s="14" t="s">
        <v>139</v>
      </c>
      <c r="I3030" s="14" t="s">
        <v>59</v>
      </c>
      <c r="J3030" s="14" t="s">
        <v>198</v>
      </c>
      <c r="K3030" s="14" t="s">
        <v>210</v>
      </c>
      <c r="L3030" s="14" t="s">
        <v>278</v>
      </c>
      <c r="M3030" s="14" t="s">
        <v>443</v>
      </c>
      <c r="N3030" s="14" t="s">
        <v>444</v>
      </c>
      <c r="O3030" s="14">
        <v>11.0</v>
      </c>
      <c r="P3030" s="21">
        <v>220.0</v>
      </c>
      <c r="Q3030" s="22" t="str">
        <f>"+2"</f>
        <v>+2</v>
      </c>
      <c r="R3030" s="18" t="str">
        <f>"-3"</f>
        <v>-3</v>
      </c>
      <c r="S3030" s="14" t="s">
        <v>1965</v>
      </c>
    </row>
    <row r="3031">
      <c r="A3031" s="13">
        <v>45901.0</v>
      </c>
      <c r="B3031" s="14" t="s">
        <v>47</v>
      </c>
      <c r="C3031" s="14" t="s">
        <v>48</v>
      </c>
      <c r="D3031" s="14" t="s">
        <v>136</v>
      </c>
      <c r="E3031" s="14" t="s">
        <v>137</v>
      </c>
      <c r="F3031" s="15" t="s">
        <v>51</v>
      </c>
      <c r="G3031" s="14" t="s">
        <v>138</v>
      </c>
      <c r="H3031" s="14" t="s">
        <v>139</v>
      </c>
      <c r="I3031" s="14" t="s">
        <v>59</v>
      </c>
      <c r="J3031" s="14" t="s">
        <v>199</v>
      </c>
      <c r="K3031" s="14" t="s">
        <v>203</v>
      </c>
      <c r="L3031" s="14" t="s">
        <v>736</v>
      </c>
      <c r="M3031" s="14" t="s">
        <v>736</v>
      </c>
      <c r="N3031" s="14" t="s">
        <v>737</v>
      </c>
      <c r="O3031" s="14">
        <v>0.0</v>
      </c>
      <c r="P3031" s="21">
        <v>0.0</v>
      </c>
      <c r="Q3031" s="22" t="str">
        <f t="shared" ref="Q3031:R3031" si="1798">"+0"</f>
        <v>+0</v>
      </c>
      <c r="R3031" s="18" t="str">
        <f t="shared" si="1798"/>
        <v>+0</v>
      </c>
      <c r="S3031" s="14" t="s">
        <v>260</v>
      </c>
    </row>
    <row r="3032">
      <c r="A3032" s="13">
        <v>45901.0</v>
      </c>
      <c r="B3032" s="14" t="s">
        <v>47</v>
      </c>
      <c r="C3032" s="14" t="s">
        <v>48</v>
      </c>
      <c r="D3032" s="14" t="s">
        <v>136</v>
      </c>
      <c r="E3032" s="14" t="s">
        <v>137</v>
      </c>
      <c r="F3032" s="15" t="s">
        <v>51</v>
      </c>
      <c r="G3032" s="14" t="s">
        <v>138</v>
      </c>
      <c r="H3032" s="14" t="s">
        <v>139</v>
      </c>
      <c r="I3032" s="14" t="s">
        <v>59</v>
      </c>
      <c r="J3032" s="14" t="s">
        <v>199</v>
      </c>
      <c r="K3032" s="14" t="s">
        <v>206</v>
      </c>
      <c r="L3032" s="14" t="s">
        <v>295</v>
      </c>
      <c r="M3032" s="14" t="s">
        <v>461</v>
      </c>
      <c r="N3032" s="14" t="s">
        <v>462</v>
      </c>
      <c r="O3032" s="14">
        <v>0.0</v>
      </c>
      <c r="P3032" s="21">
        <v>0.0</v>
      </c>
      <c r="Q3032" s="22" t="str">
        <f t="shared" ref="Q3032:R3032" si="1799">"+0"</f>
        <v>+0</v>
      </c>
      <c r="R3032" s="18" t="str">
        <f t="shared" si="1799"/>
        <v>+0</v>
      </c>
      <c r="S3032" s="14" t="s">
        <v>260</v>
      </c>
    </row>
    <row r="3033">
      <c r="A3033" s="13">
        <v>45901.0</v>
      </c>
      <c r="B3033" s="14" t="s">
        <v>47</v>
      </c>
      <c r="C3033" s="14" t="s">
        <v>48</v>
      </c>
      <c r="D3033" s="14" t="s">
        <v>195</v>
      </c>
      <c r="E3033" s="14" t="s">
        <v>196</v>
      </c>
      <c r="F3033" s="14" t="s">
        <v>111</v>
      </c>
      <c r="G3033" s="14">
        <v>5252823.0</v>
      </c>
      <c r="H3033" s="14" t="s">
        <v>197</v>
      </c>
      <c r="I3033" s="14" t="s">
        <v>59</v>
      </c>
      <c r="J3033" s="14" t="s">
        <v>199</v>
      </c>
      <c r="K3033" s="14" t="s">
        <v>206</v>
      </c>
      <c r="L3033" s="14" t="s">
        <v>295</v>
      </c>
      <c r="M3033" s="14" t="s">
        <v>529</v>
      </c>
      <c r="N3033" s="14" t="s">
        <v>530</v>
      </c>
      <c r="O3033" s="14">
        <v>100.0</v>
      </c>
      <c r="P3033" s="21">
        <v>1.0</v>
      </c>
      <c r="Q3033" s="22" t="str">
        <f t="shared" ref="Q3033:R3033" si="1800">"+0"</f>
        <v>+0</v>
      </c>
      <c r="R3033" s="18" t="str">
        <f t="shared" si="1800"/>
        <v>+0</v>
      </c>
      <c r="S3033" s="14" t="s">
        <v>260</v>
      </c>
    </row>
    <row r="3034">
      <c r="A3034" s="13">
        <v>45901.0</v>
      </c>
      <c r="B3034" s="14" t="s">
        <v>47</v>
      </c>
      <c r="C3034" s="14" t="s">
        <v>48</v>
      </c>
      <c r="D3034" s="14" t="s">
        <v>125</v>
      </c>
      <c r="E3034" s="14" t="s">
        <v>126</v>
      </c>
      <c r="F3034" s="15" t="s">
        <v>51</v>
      </c>
      <c r="G3034" s="14" t="s">
        <v>127</v>
      </c>
      <c r="H3034" s="14" t="s">
        <v>125</v>
      </c>
      <c r="I3034" s="14" t="s">
        <v>59</v>
      </c>
      <c r="J3034" s="14" t="s">
        <v>200</v>
      </c>
      <c r="K3034" s="14" t="s">
        <v>232</v>
      </c>
      <c r="L3034" s="14" t="s">
        <v>487</v>
      </c>
      <c r="M3034" s="14" t="s">
        <v>1015</v>
      </c>
      <c r="N3034" s="14" t="s">
        <v>1016</v>
      </c>
      <c r="O3034" s="14">
        <v>0.0</v>
      </c>
      <c r="P3034" s="23">
        <v>0.0</v>
      </c>
      <c r="Q3034" s="22" t="str">
        <f t="shared" ref="Q3034:R3034" si="1801">"+0.00%"</f>
        <v>+0.00%</v>
      </c>
      <c r="R3034" s="18" t="str">
        <f t="shared" si="1801"/>
        <v>+0.00%</v>
      </c>
      <c r="S3034" s="14" t="s">
        <v>285</v>
      </c>
    </row>
    <row r="3035">
      <c r="A3035" s="13">
        <v>45901.0</v>
      </c>
      <c r="B3035" s="14" t="s">
        <v>47</v>
      </c>
      <c r="C3035" s="14" t="s">
        <v>48</v>
      </c>
      <c r="D3035" s="14" t="s">
        <v>125</v>
      </c>
      <c r="E3035" s="14" t="s">
        <v>126</v>
      </c>
      <c r="F3035" s="15" t="s">
        <v>51</v>
      </c>
      <c r="G3035" s="14" t="s">
        <v>127</v>
      </c>
      <c r="H3035" s="14" t="s">
        <v>125</v>
      </c>
      <c r="I3035" s="14" t="s">
        <v>59</v>
      </c>
      <c r="J3035" s="14" t="s">
        <v>199</v>
      </c>
      <c r="K3035" s="14" t="s">
        <v>206</v>
      </c>
      <c r="L3035" s="14" t="s">
        <v>295</v>
      </c>
      <c r="M3035" s="14" t="s">
        <v>296</v>
      </c>
      <c r="N3035" s="14" t="s">
        <v>297</v>
      </c>
      <c r="O3035" s="14">
        <v>0.0</v>
      </c>
      <c r="P3035" s="21">
        <v>0.0</v>
      </c>
      <c r="Q3035" s="22" t="str">
        <f t="shared" ref="Q3035:R3035" si="1802">"+0"</f>
        <v>+0</v>
      </c>
      <c r="R3035" s="18" t="str">
        <f t="shared" si="1802"/>
        <v>+0</v>
      </c>
      <c r="S3035" s="14" t="s">
        <v>260</v>
      </c>
    </row>
    <row r="3036">
      <c r="A3036" s="13">
        <v>45901.0</v>
      </c>
      <c r="B3036" s="14" t="s">
        <v>47</v>
      </c>
      <c r="C3036" s="14" t="s">
        <v>48</v>
      </c>
      <c r="D3036" s="14" t="s">
        <v>69</v>
      </c>
      <c r="E3036" s="14" t="s">
        <v>70</v>
      </c>
      <c r="F3036" s="15" t="s">
        <v>51</v>
      </c>
      <c r="G3036" s="14" t="s">
        <v>115</v>
      </c>
      <c r="H3036" s="14" t="s">
        <v>72</v>
      </c>
      <c r="I3036" s="14" t="s">
        <v>54</v>
      </c>
      <c r="J3036" s="14" t="s">
        <v>200</v>
      </c>
      <c r="K3036" s="14" t="s">
        <v>227</v>
      </c>
      <c r="L3036" s="14" t="s">
        <v>721</v>
      </c>
      <c r="M3036" s="14" t="s">
        <v>748</v>
      </c>
      <c r="N3036" s="14" t="s">
        <v>749</v>
      </c>
      <c r="O3036" s="14">
        <v>27.0</v>
      </c>
      <c r="P3036" s="23">
        <v>-0.4545</v>
      </c>
      <c r="Q3036" s="22" t="str">
        <f t="shared" ref="Q3036:R3036" si="1803">"+54.55%"</f>
        <v>+54.55%</v>
      </c>
      <c r="R3036" s="18" t="str">
        <f t="shared" si="1803"/>
        <v>+54.55%</v>
      </c>
      <c r="S3036" s="14" t="s">
        <v>750</v>
      </c>
    </row>
    <row r="3037">
      <c r="A3037" s="13">
        <v>45901.0</v>
      </c>
      <c r="B3037" s="14" t="s">
        <v>47</v>
      </c>
      <c r="C3037" s="14" t="s">
        <v>48</v>
      </c>
      <c r="D3037" s="14" t="s">
        <v>69</v>
      </c>
      <c r="E3037" s="14" t="s">
        <v>70</v>
      </c>
      <c r="F3037" s="15" t="s">
        <v>51</v>
      </c>
      <c r="G3037" s="14" t="s">
        <v>115</v>
      </c>
      <c r="H3037" s="14" t="s">
        <v>72</v>
      </c>
      <c r="I3037" s="14" t="s">
        <v>54</v>
      </c>
      <c r="J3037" s="14" t="s">
        <v>200</v>
      </c>
      <c r="K3037" s="14" t="s">
        <v>211</v>
      </c>
      <c r="L3037" s="14" t="s">
        <v>991</v>
      </c>
      <c r="M3037" s="14" t="s">
        <v>992</v>
      </c>
      <c r="N3037" s="14" t="s">
        <v>993</v>
      </c>
      <c r="O3037" s="14">
        <v>51.0</v>
      </c>
      <c r="P3037" s="23">
        <v>0.0262</v>
      </c>
      <c r="Q3037" s="22" t="str">
        <f>"-1.34%"</f>
        <v>-1.34%</v>
      </c>
      <c r="R3037" s="18" t="str">
        <f>"-13.52%"</f>
        <v>-13.52%</v>
      </c>
      <c r="S3037" s="14" t="s">
        <v>1295</v>
      </c>
    </row>
    <row r="3038">
      <c r="A3038" s="13">
        <v>45901.0</v>
      </c>
      <c r="B3038" s="14" t="s">
        <v>47</v>
      </c>
      <c r="C3038" s="14" t="s">
        <v>48</v>
      </c>
      <c r="D3038" s="14" t="s">
        <v>112</v>
      </c>
      <c r="E3038" s="14" t="s">
        <v>113</v>
      </c>
      <c r="F3038" s="15" t="s">
        <v>51</v>
      </c>
      <c r="G3038" s="14" t="s">
        <v>114</v>
      </c>
      <c r="H3038" s="14" t="s">
        <v>112</v>
      </c>
      <c r="I3038" s="14" t="s">
        <v>59</v>
      </c>
      <c r="J3038" s="14" t="s">
        <v>199</v>
      </c>
      <c r="K3038" s="14" t="s">
        <v>206</v>
      </c>
      <c r="L3038" s="14" t="s">
        <v>295</v>
      </c>
      <c r="M3038" s="14" t="s">
        <v>461</v>
      </c>
      <c r="N3038" s="14" t="s">
        <v>462</v>
      </c>
      <c r="O3038" s="14">
        <v>0.0</v>
      </c>
      <c r="P3038" s="21">
        <v>0.0</v>
      </c>
      <c r="Q3038" s="22" t="str">
        <f t="shared" ref="Q3038:R3038" si="1804">"+0"</f>
        <v>+0</v>
      </c>
      <c r="R3038" s="18" t="str">
        <f t="shared" si="1804"/>
        <v>+0</v>
      </c>
      <c r="S3038" s="14" t="s">
        <v>260</v>
      </c>
    </row>
    <row r="3039">
      <c r="A3039" s="13">
        <v>45901.0</v>
      </c>
      <c r="B3039" s="14" t="s">
        <v>47</v>
      </c>
      <c r="C3039" s="14" t="s">
        <v>48</v>
      </c>
      <c r="D3039" s="14" t="s">
        <v>116</v>
      </c>
      <c r="E3039" s="14" t="s">
        <v>117</v>
      </c>
      <c r="F3039" s="15" t="s">
        <v>51</v>
      </c>
      <c r="G3039" s="14" t="s">
        <v>161</v>
      </c>
      <c r="H3039" s="14" t="s">
        <v>116</v>
      </c>
      <c r="I3039" s="14" t="s">
        <v>54</v>
      </c>
      <c r="J3039" s="14" t="s">
        <v>198</v>
      </c>
      <c r="K3039" s="14" t="s">
        <v>210</v>
      </c>
      <c r="L3039" s="14" t="s">
        <v>278</v>
      </c>
      <c r="M3039" s="14" t="s">
        <v>853</v>
      </c>
      <c r="N3039" s="14" t="s">
        <v>854</v>
      </c>
      <c r="O3039" s="14">
        <v>0.0</v>
      </c>
      <c r="P3039" s="21">
        <v>0.0</v>
      </c>
      <c r="Q3039" s="22" t="str">
        <f t="shared" ref="Q3039:R3039" si="1805">"+0"</f>
        <v>+0</v>
      </c>
      <c r="R3039" s="18" t="str">
        <f t="shared" si="1805"/>
        <v>+0</v>
      </c>
      <c r="S3039" s="14" t="s">
        <v>277</v>
      </c>
    </row>
    <row r="3040">
      <c r="A3040" s="13">
        <v>45901.0</v>
      </c>
      <c r="B3040" s="14" t="s">
        <v>47</v>
      </c>
      <c r="C3040" s="14" t="s">
        <v>48</v>
      </c>
      <c r="D3040" s="14" t="s">
        <v>108</v>
      </c>
      <c r="E3040" s="14" t="s">
        <v>109</v>
      </c>
      <c r="F3040" s="14" t="s">
        <v>79</v>
      </c>
      <c r="G3040" s="14" t="s">
        <v>153</v>
      </c>
      <c r="H3040" s="14" t="s">
        <v>108</v>
      </c>
      <c r="I3040" s="14" t="s">
        <v>154</v>
      </c>
      <c r="J3040" s="14" t="s">
        <v>200</v>
      </c>
      <c r="K3040" s="14" t="s">
        <v>238</v>
      </c>
      <c r="L3040" s="14" t="s">
        <v>333</v>
      </c>
      <c r="M3040" s="14" t="s">
        <v>1606</v>
      </c>
      <c r="N3040" s="14" t="s">
        <v>1607</v>
      </c>
      <c r="O3040" s="14">
        <v>0.0</v>
      </c>
      <c r="P3040" s="23">
        <v>-1.0</v>
      </c>
      <c r="Q3040" s="22" t="str">
        <f>"+0.00%"</f>
        <v>+0.00%</v>
      </c>
      <c r="S3040" s="14" t="s">
        <v>336</v>
      </c>
    </row>
    <row r="3041">
      <c r="A3041" s="13">
        <v>45901.0</v>
      </c>
      <c r="B3041" s="14" t="s">
        <v>47</v>
      </c>
      <c r="C3041" s="14" t="s">
        <v>48</v>
      </c>
      <c r="D3041" s="14" t="s">
        <v>158</v>
      </c>
      <c r="E3041" s="14" t="s">
        <v>159</v>
      </c>
      <c r="F3041" s="15" t="s">
        <v>51</v>
      </c>
      <c r="G3041" s="14" t="s">
        <v>160</v>
      </c>
      <c r="H3041" s="14" t="s">
        <v>158</v>
      </c>
      <c r="I3041" s="14" t="s">
        <v>54</v>
      </c>
      <c r="J3041" s="14" t="s">
        <v>198</v>
      </c>
      <c r="K3041" s="14" t="s">
        <v>210</v>
      </c>
      <c r="L3041" s="14" t="s">
        <v>264</v>
      </c>
      <c r="M3041" s="14" t="s">
        <v>407</v>
      </c>
      <c r="N3041" s="14" t="s">
        <v>408</v>
      </c>
      <c r="O3041" s="14">
        <v>100.0</v>
      </c>
      <c r="P3041" s="21">
        <v>0.0</v>
      </c>
      <c r="Q3041" s="22" t="str">
        <f t="shared" ref="Q3041:R3041" si="1806">"+0"</f>
        <v>+0</v>
      </c>
      <c r="R3041" s="18" t="str">
        <f t="shared" si="1806"/>
        <v>+0</v>
      </c>
      <c r="S3041" s="14" t="s">
        <v>281</v>
      </c>
    </row>
    <row r="3042">
      <c r="A3042" s="13">
        <v>45901.0</v>
      </c>
      <c r="B3042" s="14" t="s">
        <v>47</v>
      </c>
      <c r="C3042" s="14" t="s">
        <v>48</v>
      </c>
      <c r="D3042" s="14" t="s">
        <v>112</v>
      </c>
      <c r="E3042" s="14" t="s">
        <v>113</v>
      </c>
      <c r="F3042" s="15" t="s">
        <v>51</v>
      </c>
      <c r="G3042" s="14" t="s">
        <v>114</v>
      </c>
      <c r="H3042" s="14" t="s">
        <v>112</v>
      </c>
      <c r="I3042" s="14" t="s">
        <v>59</v>
      </c>
      <c r="J3042" s="14" t="s">
        <v>200</v>
      </c>
      <c r="K3042" s="14" t="s">
        <v>228</v>
      </c>
      <c r="L3042" s="14" t="s">
        <v>253</v>
      </c>
      <c r="M3042" s="14" t="s">
        <v>1165</v>
      </c>
      <c r="N3042" s="14" t="s">
        <v>1166</v>
      </c>
      <c r="O3042" s="14">
        <v>5.0</v>
      </c>
      <c r="P3042" s="23">
        <v>0.0573</v>
      </c>
      <c r="Q3042" s="22" t="str">
        <f>"-0.88%"</f>
        <v>-0.88%</v>
      </c>
      <c r="R3042" s="18" t="str">
        <f>"-1.79%"</f>
        <v>-1.79%</v>
      </c>
      <c r="S3042" s="14" t="s">
        <v>1966</v>
      </c>
    </row>
    <row r="3043">
      <c r="A3043" s="13">
        <v>45901.0</v>
      </c>
      <c r="B3043" s="14" t="s">
        <v>47</v>
      </c>
      <c r="C3043" s="14" t="s">
        <v>48</v>
      </c>
      <c r="D3043" s="14" t="s">
        <v>108</v>
      </c>
      <c r="E3043" s="14" t="s">
        <v>109</v>
      </c>
      <c r="F3043" s="15" t="s">
        <v>51</v>
      </c>
      <c r="G3043" s="14" t="s">
        <v>110</v>
      </c>
      <c r="H3043" s="14" t="s">
        <v>108</v>
      </c>
      <c r="I3043" s="14" t="s">
        <v>59</v>
      </c>
      <c r="J3043" s="14" t="s">
        <v>198</v>
      </c>
      <c r="K3043" s="14" t="s">
        <v>205</v>
      </c>
      <c r="L3043" s="14" t="s">
        <v>274</v>
      </c>
      <c r="M3043" s="14" t="s">
        <v>425</v>
      </c>
      <c r="N3043" s="14" t="s">
        <v>426</v>
      </c>
      <c r="O3043" s="14">
        <v>0.0</v>
      </c>
      <c r="P3043" s="21">
        <v>0.0</v>
      </c>
      <c r="Q3043" s="22" t="str">
        <f t="shared" ref="Q3043:Q3044" si="1807">"+0"</f>
        <v>+0</v>
      </c>
      <c r="S3043" s="14" t="s">
        <v>281</v>
      </c>
    </row>
    <row r="3044">
      <c r="A3044" s="13">
        <v>45901.0</v>
      </c>
      <c r="B3044" s="14" t="s">
        <v>47</v>
      </c>
      <c r="C3044" s="14" t="s">
        <v>48</v>
      </c>
      <c r="D3044" s="14" t="s">
        <v>116</v>
      </c>
      <c r="E3044" s="14" t="s">
        <v>117</v>
      </c>
      <c r="F3044" s="15" t="s">
        <v>51</v>
      </c>
      <c r="G3044" s="14" t="s">
        <v>161</v>
      </c>
      <c r="H3044" s="14" t="s">
        <v>116</v>
      </c>
      <c r="I3044" s="14" t="s">
        <v>54</v>
      </c>
      <c r="J3044" s="14" t="s">
        <v>199</v>
      </c>
      <c r="K3044" s="14" t="s">
        <v>206</v>
      </c>
      <c r="L3044" s="14" t="s">
        <v>515</v>
      </c>
      <c r="M3044" s="14" t="s">
        <v>515</v>
      </c>
      <c r="N3044" s="14" t="s">
        <v>516</v>
      </c>
      <c r="O3044" s="14">
        <v>0.0</v>
      </c>
      <c r="P3044" s="21">
        <v>0.0</v>
      </c>
      <c r="Q3044" s="22" t="str">
        <f t="shared" si="1807"/>
        <v>+0</v>
      </c>
      <c r="R3044" s="18" t="str">
        <f>"+0"</f>
        <v>+0</v>
      </c>
      <c r="S3044" s="14" t="s">
        <v>383</v>
      </c>
    </row>
    <row r="3045">
      <c r="A3045" s="13">
        <v>45901.0</v>
      </c>
      <c r="B3045" s="14" t="s">
        <v>47</v>
      </c>
      <c r="C3045" s="14" t="s">
        <v>48</v>
      </c>
      <c r="D3045" s="14" t="s">
        <v>116</v>
      </c>
      <c r="E3045" s="14" t="s">
        <v>117</v>
      </c>
      <c r="F3045" s="15" t="s">
        <v>51</v>
      </c>
      <c r="G3045" s="14" t="s">
        <v>161</v>
      </c>
      <c r="H3045" s="14" t="s">
        <v>116</v>
      </c>
      <c r="I3045" s="14" t="s">
        <v>54</v>
      </c>
      <c r="J3045" s="14" t="s">
        <v>200</v>
      </c>
      <c r="K3045" s="14" t="s">
        <v>224</v>
      </c>
      <c r="L3045" s="14" t="s">
        <v>427</v>
      </c>
      <c r="M3045" s="14" t="s">
        <v>895</v>
      </c>
      <c r="N3045" s="14" t="s">
        <v>896</v>
      </c>
      <c r="O3045" s="14">
        <v>0.0</v>
      </c>
      <c r="P3045" s="23">
        <v>0.0</v>
      </c>
      <c r="Q3045" s="22"/>
      <c r="S3045" s="14" t="s">
        <v>897</v>
      </c>
    </row>
    <row r="3046">
      <c r="A3046" s="13">
        <v>45901.0</v>
      </c>
      <c r="B3046" s="14" t="s">
        <v>47</v>
      </c>
      <c r="C3046" s="14" t="s">
        <v>48</v>
      </c>
      <c r="D3046" s="14" t="s">
        <v>181</v>
      </c>
      <c r="E3046" s="14" t="s">
        <v>182</v>
      </c>
      <c r="F3046" s="15" t="s">
        <v>51</v>
      </c>
      <c r="G3046" s="14" t="s">
        <v>183</v>
      </c>
      <c r="H3046" s="14" t="s">
        <v>181</v>
      </c>
      <c r="I3046" s="14" t="s">
        <v>59</v>
      </c>
      <c r="J3046" s="14" t="s">
        <v>200</v>
      </c>
      <c r="K3046" s="14" t="s">
        <v>232</v>
      </c>
      <c r="L3046" s="14" t="s">
        <v>607</v>
      </c>
      <c r="M3046" s="14" t="s">
        <v>1035</v>
      </c>
      <c r="N3046" s="14" t="s">
        <v>1036</v>
      </c>
      <c r="O3046" s="14">
        <v>0.0</v>
      </c>
      <c r="P3046" s="23">
        <v>0.0</v>
      </c>
      <c r="Q3046" s="22" t="str">
        <f t="shared" ref="Q3046:R3046" si="1808">"+0.00%"</f>
        <v>+0.00%</v>
      </c>
      <c r="R3046" s="18" t="str">
        <f t="shared" si="1808"/>
        <v>+0.00%</v>
      </c>
      <c r="S3046" s="14" t="s">
        <v>1967</v>
      </c>
    </row>
    <row r="3047">
      <c r="A3047" s="13">
        <v>45901.0</v>
      </c>
      <c r="B3047" s="14" t="s">
        <v>47</v>
      </c>
      <c r="C3047" s="14" t="s">
        <v>48</v>
      </c>
      <c r="D3047" s="14" t="s">
        <v>56</v>
      </c>
      <c r="E3047" s="14" t="s">
        <v>57</v>
      </c>
      <c r="F3047" s="15" t="s">
        <v>51</v>
      </c>
      <c r="G3047" s="14" t="s">
        <v>58</v>
      </c>
      <c r="H3047" s="14" t="s">
        <v>56</v>
      </c>
      <c r="I3047" s="14" t="s">
        <v>59</v>
      </c>
      <c r="J3047" s="14" t="s">
        <v>198</v>
      </c>
      <c r="K3047" s="14" t="s">
        <v>205</v>
      </c>
      <c r="L3047" s="14" t="s">
        <v>274</v>
      </c>
      <c r="M3047" s="14" t="s">
        <v>354</v>
      </c>
      <c r="N3047" s="14" t="s">
        <v>355</v>
      </c>
      <c r="O3047" s="14">
        <v>28.0</v>
      </c>
      <c r="P3047" s="21">
        <v>10.0</v>
      </c>
      <c r="Q3047" s="22" t="str">
        <f>"+0"</f>
        <v>+0</v>
      </c>
      <c r="S3047" s="14" t="s">
        <v>356</v>
      </c>
    </row>
    <row r="3048">
      <c r="A3048" s="13">
        <v>45901.0</v>
      </c>
      <c r="B3048" s="14" t="s">
        <v>47</v>
      </c>
      <c r="C3048" s="14" t="s">
        <v>48</v>
      </c>
      <c r="D3048" s="14" t="s">
        <v>155</v>
      </c>
      <c r="E3048" s="14" t="s">
        <v>156</v>
      </c>
      <c r="F3048" s="15" t="s">
        <v>51</v>
      </c>
      <c r="G3048" s="14" t="s">
        <v>157</v>
      </c>
      <c r="H3048" s="14" t="s">
        <v>155</v>
      </c>
      <c r="I3048" s="14" t="s">
        <v>59</v>
      </c>
      <c r="J3048" s="14" t="s">
        <v>200</v>
      </c>
      <c r="K3048" s="14" t="s">
        <v>223</v>
      </c>
      <c r="L3048" s="14" t="s">
        <v>440</v>
      </c>
      <c r="M3048" s="14" t="s">
        <v>441</v>
      </c>
      <c r="N3048" s="14" t="s">
        <v>442</v>
      </c>
      <c r="O3048" s="14">
        <v>0.0</v>
      </c>
      <c r="P3048" s="17"/>
      <c r="Q3048" s="22"/>
      <c r="S3048" s="14" t="s">
        <v>285</v>
      </c>
    </row>
    <row r="3049">
      <c r="A3049" s="13">
        <v>45901.0</v>
      </c>
      <c r="B3049" s="14" t="s">
        <v>47</v>
      </c>
      <c r="C3049" s="14" t="s">
        <v>48</v>
      </c>
      <c r="D3049" s="14" t="s">
        <v>140</v>
      </c>
      <c r="E3049" s="14" t="s">
        <v>141</v>
      </c>
      <c r="F3049" s="15" t="s">
        <v>51</v>
      </c>
      <c r="G3049" s="14" t="s">
        <v>142</v>
      </c>
      <c r="H3049" s="14" t="s">
        <v>140</v>
      </c>
      <c r="I3049" s="14" t="s">
        <v>59</v>
      </c>
      <c r="J3049" s="14" t="s">
        <v>200</v>
      </c>
      <c r="K3049" s="14" t="s">
        <v>227</v>
      </c>
      <c r="L3049" s="14" t="s">
        <v>253</v>
      </c>
      <c r="M3049" s="14" t="s">
        <v>811</v>
      </c>
      <c r="N3049" s="14" t="s">
        <v>812</v>
      </c>
      <c r="O3049" s="14">
        <v>0.0</v>
      </c>
      <c r="P3049" s="23">
        <v>0.0</v>
      </c>
      <c r="Q3049" s="22" t="str">
        <f t="shared" ref="Q3049:R3049" si="1809">"+0.00%"</f>
        <v>+0.00%</v>
      </c>
      <c r="R3049" s="18" t="str">
        <f t="shared" si="1809"/>
        <v>+0.00%</v>
      </c>
      <c r="S3049" s="14" t="s">
        <v>813</v>
      </c>
    </row>
    <row r="3050">
      <c r="A3050" s="13">
        <v>45901.0</v>
      </c>
      <c r="B3050" s="14" t="s">
        <v>47</v>
      </c>
      <c r="C3050" s="14" t="s">
        <v>48</v>
      </c>
      <c r="D3050" s="14" t="s">
        <v>140</v>
      </c>
      <c r="E3050" s="14" t="s">
        <v>141</v>
      </c>
      <c r="F3050" s="15" t="s">
        <v>51</v>
      </c>
      <c r="G3050" s="14" t="s">
        <v>142</v>
      </c>
      <c r="H3050" s="14" t="s">
        <v>140</v>
      </c>
      <c r="I3050" s="14" t="s">
        <v>59</v>
      </c>
      <c r="J3050" s="14" t="s">
        <v>198</v>
      </c>
      <c r="K3050" s="14" t="s">
        <v>205</v>
      </c>
      <c r="L3050" s="14" t="s">
        <v>274</v>
      </c>
      <c r="M3050" s="14" t="s">
        <v>767</v>
      </c>
      <c r="N3050" s="14" t="s">
        <v>768</v>
      </c>
      <c r="O3050" s="14">
        <v>100.0</v>
      </c>
      <c r="P3050" s="21">
        <v>1.0</v>
      </c>
      <c r="Q3050" s="22" t="str">
        <f t="shared" ref="Q3050:Q3052" si="1810">"+0"</f>
        <v>+0</v>
      </c>
      <c r="S3050" s="14" t="s">
        <v>281</v>
      </c>
    </row>
    <row r="3051">
      <c r="A3051" s="13">
        <v>45901.0</v>
      </c>
      <c r="B3051" s="14" t="s">
        <v>47</v>
      </c>
      <c r="C3051" s="14" t="s">
        <v>48</v>
      </c>
      <c r="D3051" s="14" t="s">
        <v>60</v>
      </c>
      <c r="E3051" s="14" t="s">
        <v>61</v>
      </c>
      <c r="F3051" s="15" t="s">
        <v>51</v>
      </c>
      <c r="G3051" s="14" t="s">
        <v>62</v>
      </c>
      <c r="H3051" s="14" t="s">
        <v>60</v>
      </c>
      <c r="I3051" s="14" t="s">
        <v>59</v>
      </c>
      <c r="J3051" s="14" t="s">
        <v>198</v>
      </c>
      <c r="K3051" s="14" t="s">
        <v>210</v>
      </c>
      <c r="L3051" s="14" t="s">
        <v>264</v>
      </c>
      <c r="M3051" s="14" t="s">
        <v>470</v>
      </c>
      <c r="N3051" s="14" t="s">
        <v>471</v>
      </c>
      <c r="O3051" s="14">
        <v>100.0</v>
      </c>
      <c r="P3051" s="21">
        <v>0.0</v>
      </c>
      <c r="Q3051" s="22" t="str">
        <f t="shared" si="1810"/>
        <v>+0</v>
      </c>
      <c r="R3051" s="18" t="str">
        <f>"+0"</f>
        <v>+0</v>
      </c>
      <c r="S3051" s="14" t="s">
        <v>281</v>
      </c>
    </row>
    <row r="3052">
      <c r="A3052" s="13">
        <v>45901.0</v>
      </c>
      <c r="B3052" s="14" t="s">
        <v>47</v>
      </c>
      <c r="C3052" s="14" t="s">
        <v>48</v>
      </c>
      <c r="D3052" s="14" t="s">
        <v>49</v>
      </c>
      <c r="E3052" s="14" t="s">
        <v>50</v>
      </c>
      <c r="F3052" s="15" t="s">
        <v>51</v>
      </c>
      <c r="G3052" s="14" t="s">
        <v>52</v>
      </c>
      <c r="H3052" s="14" t="s">
        <v>53</v>
      </c>
      <c r="I3052" s="14" t="s">
        <v>54</v>
      </c>
      <c r="J3052" s="14" t="s">
        <v>198</v>
      </c>
      <c r="K3052" s="14" t="s">
        <v>205</v>
      </c>
      <c r="L3052" s="14" t="s">
        <v>274</v>
      </c>
      <c r="M3052" s="14" t="s">
        <v>466</v>
      </c>
      <c r="N3052" s="14" t="s">
        <v>467</v>
      </c>
      <c r="O3052" s="14">
        <v>100.0</v>
      </c>
      <c r="P3052" s="21">
        <v>1.0</v>
      </c>
      <c r="Q3052" s="22" t="str">
        <f t="shared" si="1810"/>
        <v>+0</v>
      </c>
      <c r="S3052" s="14" t="s">
        <v>281</v>
      </c>
    </row>
    <row r="3053">
      <c r="A3053" s="13">
        <v>45901.0</v>
      </c>
      <c r="B3053" s="14" t="s">
        <v>47</v>
      </c>
      <c r="C3053" s="14" t="s">
        <v>48</v>
      </c>
      <c r="D3053" s="14" t="s">
        <v>165</v>
      </c>
      <c r="E3053" s="14" t="s">
        <v>166</v>
      </c>
      <c r="F3053" s="15" t="s">
        <v>51</v>
      </c>
      <c r="G3053" s="14" t="s">
        <v>167</v>
      </c>
      <c r="H3053" s="14" t="s">
        <v>165</v>
      </c>
      <c r="I3053" s="14" t="s">
        <v>54</v>
      </c>
      <c r="J3053" s="14" t="s">
        <v>200</v>
      </c>
      <c r="K3053" s="14" t="s">
        <v>211</v>
      </c>
      <c r="L3053" s="14" t="s">
        <v>253</v>
      </c>
      <c r="M3053" s="14" t="s">
        <v>1260</v>
      </c>
      <c r="N3053" s="14" t="s">
        <v>1261</v>
      </c>
      <c r="O3053" s="14">
        <v>0.0</v>
      </c>
      <c r="P3053" s="23">
        <v>0.0</v>
      </c>
      <c r="Q3053" s="22" t="str">
        <f t="shared" ref="Q3053:R3053" si="1811">"+0.00%"</f>
        <v>+0.00%</v>
      </c>
      <c r="R3053" s="18" t="str">
        <f t="shared" si="1811"/>
        <v>+0.00%</v>
      </c>
      <c r="S3053" s="14" t="s">
        <v>371</v>
      </c>
    </row>
    <row r="3054">
      <c r="A3054" s="13">
        <v>45901.0</v>
      </c>
      <c r="B3054" s="14" t="s">
        <v>47</v>
      </c>
      <c r="C3054" s="14" t="s">
        <v>48</v>
      </c>
      <c r="D3054" s="14" t="s">
        <v>99</v>
      </c>
      <c r="E3054" s="14" t="s">
        <v>100</v>
      </c>
      <c r="F3054" s="15" t="s">
        <v>51</v>
      </c>
      <c r="G3054" s="14" t="s">
        <v>101</v>
      </c>
      <c r="H3054" s="14" t="s">
        <v>102</v>
      </c>
      <c r="I3054" s="14" t="s">
        <v>54</v>
      </c>
      <c r="J3054" s="14" t="s">
        <v>198</v>
      </c>
      <c r="K3054" s="14" t="s">
        <v>210</v>
      </c>
      <c r="L3054" s="14" t="s">
        <v>278</v>
      </c>
      <c r="M3054" s="14" t="s">
        <v>947</v>
      </c>
      <c r="N3054" s="14" t="s">
        <v>948</v>
      </c>
      <c r="O3054" s="14">
        <v>0.0</v>
      </c>
      <c r="P3054" s="21">
        <v>0.0</v>
      </c>
      <c r="Q3054" s="22" t="str">
        <f t="shared" ref="Q3054:R3054" si="1812">"+0"</f>
        <v>+0</v>
      </c>
      <c r="R3054" s="18" t="str">
        <f t="shared" si="1812"/>
        <v>+0</v>
      </c>
      <c r="S3054" s="14" t="s">
        <v>277</v>
      </c>
    </row>
    <row r="3055">
      <c r="A3055" s="13">
        <v>45901.0</v>
      </c>
      <c r="B3055" s="14" t="s">
        <v>47</v>
      </c>
      <c r="C3055" s="14" t="s">
        <v>48</v>
      </c>
      <c r="D3055" s="14" t="s">
        <v>99</v>
      </c>
      <c r="E3055" s="14" t="s">
        <v>100</v>
      </c>
      <c r="F3055" s="15" t="s">
        <v>51</v>
      </c>
      <c r="G3055" s="14" t="s">
        <v>101</v>
      </c>
      <c r="H3055" s="14" t="s">
        <v>102</v>
      </c>
      <c r="I3055" s="14" t="s">
        <v>54</v>
      </c>
      <c r="J3055" s="14" t="s">
        <v>198</v>
      </c>
      <c r="K3055" s="14" t="s">
        <v>212</v>
      </c>
      <c r="L3055" s="14" t="s">
        <v>249</v>
      </c>
      <c r="M3055" s="14" t="s">
        <v>598</v>
      </c>
      <c r="N3055" s="14" t="s">
        <v>599</v>
      </c>
      <c r="O3055" s="14">
        <v>76.0</v>
      </c>
      <c r="P3055" s="21">
        <v>930.0</v>
      </c>
      <c r="Q3055" s="22" t="str">
        <f>"-31"</f>
        <v>-31</v>
      </c>
      <c r="R3055" s="18" t="str">
        <f>"+0"</f>
        <v>+0</v>
      </c>
      <c r="S3055" s="14" t="s">
        <v>1968</v>
      </c>
    </row>
    <row r="3056">
      <c r="A3056" s="13">
        <v>45901.0</v>
      </c>
      <c r="B3056" s="14" t="s">
        <v>47</v>
      </c>
      <c r="C3056" s="14" t="s">
        <v>48</v>
      </c>
      <c r="D3056" s="14" t="s">
        <v>91</v>
      </c>
      <c r="E3056" s="14" t="s">
        <v>92</v>
      </c>
      <c r="F3056" s="14" t="s">
        <v>71</v>
      </c>
      <c r="G3056" s="14">
        <v>5.00008612E8</v>
      </c>
      <c r="H3056" s="14" t="s">
        <v>91</v>
      </c>
      <c r="I3056" s="14" t="s">
        <v>59</v>
      </c>
      <c r="J3056" s="14" t="s">
        <v>199</v>
      </c>
      <c r="K3056" s="14" t="s">
        <v>206</v>
      </c>
      <c r="L3056" s="14" t="s">
        <v>295</v>
      </c>
      <c r="M3056" s="14" t="s">
        <v>296</v>
      </c>
      <c r="N3056" s="14" t="s">
        <v>297</v>
      </c>
      <c r="O3056" s="14">
        <v>100.0</v>
      </c>
      <c r="P3056" s="21">
        <v>2.0</v>
      </c>
      <c r="Q3056" s="22" t="str">
        <f t="shared" ref="Q3056:R3056" si="1813">"+0"</f>
        <v>+0</v>
      </c>
      <c r="R3056" s="18" t="str">
        <f t="shared" si="1813"/>
        <v>+0</v>
      </c>
      <c r="S3056" s="14" t="s">
        <v>260</v>
      </c>
    </row>
    <row r="3057">
      <c r="A3057" s="13">
        <v>45901.0</v>
      </c>
      <c r="B3057" s="14" t="s">
        <v>47</v>
      </c>
      <c r="C3057" s="14" t="s">
        <v>48</v>
      </c>
      <c r="D3057" s="14" t="s">
        <v>63</v>
      </c>
      <c r="E3057" s="14" t="s">
        <v>64</v>
      </c>
      <c r="F3057" s="14" t="s">
        <v>111</v>
      </c>
      <c r="G3057" s="14">
        <v>4916210.0</v>
      </c>
      <c r="H3057" s="14" t="s">
        <v>63</v>
      </c>
      <c r="I3057" s="14" t="s">
        <v>59</v>
      </c>
      <c r="J3057" s="14" t="s">
        <v>199</v>
      </c>
      <c r="K3057" s="14" t="s">
        <v>206</v>
      </c>
      <c r="L3057" s="14" t="s">
        <v>295</v>
      </c>
      <c r="M3057" s="14" t="s">
        <v>296</v>
      </c>
      <c r="N3057" s="14" t="s">
        <v>297</v>
      </c>
      <c r="O3057" s="14">
        <v>0.0</v>
      </c>
      <c r="P3057" s="21">
        <v>0.0</v>
      </c>
      <c r="Q3057" s="22" t="str">
        <f t="shared" ref="Q3057:R3057" si="1814">"+0"</f>
        <v>+0</v>
      </c>
      <c r="R3057" s="18" t="str">
        <f t="shared" si="1814"/>
        <v>+0</v>
      </c>
      <c r="S3057" s="14" t="s">
        <v>260</v>
      </c>
    </row>
    <row r="3058">
      <c r="A3058" s="13">
        <v>45901.0</v>
      </c>
      <c r="B3058" s="14" t="s">
        <v>47</v>
      </c>
      <c r="C3058" s="14" t="s">
        <v>48</v>
      </c>
      <c r="D3058" s="14" t="s">
        <v>91</v>
      </c>
      <c r="E3058" s="14" t="s">
        <v>92</v>
      </c>
      <c r="F3058" s="15" t="s">
        <v>51</v>
      </c>
      <c r="G3058" s="14" t="s">
        <v>163</v>
      </c>
      <c r="H3058" s="14" t="s">
        <v>91</v>
      </c>
      <c r="I3058" s="14" t="s">
        <v>59</v>
      </c>
      <c r="J3058" s="14" t="s">
        <v>200</v>
      </c>
      <c r="K3058" s="14" t="s">
        <v>223</v>
      </c>
      <c r="L3058" s="14" t="s">
        <v>422</v>
      </c>
      <c r="M3058" s="14" t="s">
        <v>423</v>
      </c>
      <c r="N3058" s="14" t="s">
        <v>424</v>
      </c>
      <c r="O3058" s="14">
        <v>100.0</v>
      </c>
      <c r="P3058" s="21">
        <v>1.0</v>
      </c>
      <c r="Q3058" s="22" t="str">
        <f t="shared" ref="Q3058:R3058" si="1815">"+0"</f>
        <v>+0</v>
      </c>
      <c r="R3058" s="18" t="str">
        <f t="shared" si="1815"/>
        <v>+0</v>
      </c>
      <c r="S3058" s="14" t="s">
        <v>260</v>
      </c>
    </row>
    <row r="3059">
      <c r="A3059" s="13">
        <v>45901.0</v>
      </c>
      <c r="B3059" s="14" t="s">
        <v>47</v>
      </c>
      <c r="C3059" s="14" t="s">
        <v>48</v>
      </c>
      <c r="D3059" s="14" t="s">
        <v>118</v>
      </c>
      <c r="E3059" s="14" t="s">
        <v>119</v>
      </c>
      <c r="F3059" s="15" t="s">
        <v>51</v>
      </c>
      <c r="G3059" s="14" t="s">
        <v>120</v>
      </c>
      <c r="H3059" s="14" t="s">
        <v>118</v>
      </c>
      <c r="I3059" s="14" t="s">
        <v>59</v>
      </c>
      <c r="J3059" s="14" t="s">
        <v>200</v>
      </c>
      <c r="K3059" s="14" t="s">
        <v>202</v>
      </c>
      <c r="L3059" s="14" t="s">
        <v>253</v>
      </c>
      <c r="M3059" s="14" t="s">
        <v>347</v>
      </c>
      <c r="N3059" s="14" t="s">
        <v>348</v>
      </c>
      <c r="O3059" s="14">
        <v>19.0</v>
      </c>
      <c r="P3059" s="23">
        <v>0.2</v>
      </c>
      <c r="Q3059" s="22" t="str">
        <f t="shared" ref="Q3059:R3059" si="1816">"+0.00%"</f>
        <v>+0.00%</v>
      </c>
      <c r="R3059" s="18" t="str">
        <f t="shared" si="1816"/>
        <v>+0.00%</v>
      </c>
      <c r="S3059" s="14" t="s">
        <v>1608</v>
      </c>
    </row>
    <row r="3060">
      <c r="A3060" s="13">
        <v>45901.0</v>
      </c>
      <c r="B3060" s="14" t="s">
        <v>47</v>
      </c>
      <c r="C3060" s="14" t="s">
        <v>48</v>
      </c>
      <c r="D3060" s="14" t="s">
        <v>118</v>
      </c>
      <c r="E3060" s="14" t="s">
        <v>119</v>
      </c>
      <c r="F3060" s="15" t="s">
        <v>51</v>
      </c>
      <c r="G3060" s="14" t="s">
        <v>120</v>
      </c>
      <c r="H3060" s="14" t="s">
        <v>118</v>
      </c>
      <c r="I3060" s="14" t="s">
        <v>59</v>
      </c>
      <c r="J3060" s="14" t="s">
        <v>199</v>
      </c>
      <c r="K3060" s="14" t="s">
        <v>208</v>
      </c>
      <c r="L3060" s="14" t="s">
        <v>352</v>
      </c>
      <c r="M3060" s="14" t="s">
        <v>352</v>
      </c>
      <c r="N3060" s="14" t="s">
        <v>353</v>
      </c>
      <c r="O3060" s="14">
        <v>100.0</v>
      </c>
      <c r="P3060" s="21">
        <v>57.0</v>
      </c>
      <c r="Q3060" s="22" t="str">
        <f t="shared" ref="Q3060:Q3065" si="1817">"+0"</f>
        <v>+0</v>
      </c>
      <c r="R3060" s="18" t="str">
        <f>"+1"</f>
        <v>+1</v>
      </c>
      <c r="S3060" s="14" t="s">
        <v>260</v>
      </c>
    </row>
    <row r="3061">
      <c r="A3061" s="13">
        <v>45901.0</v>
      </c>
      <c r="B3061" s="14" t="s">
        <v>47</v>
      </c>
      <c r="C3061" s="14" t="s">
        <v>48</v>
      </c>
      <c r="D3061" s="14" t="s">
        <v>99</v>
      </c>
      <c r="E3061" s="14" t="s">
        <v>100</v>
      </c>
      <c r="F3061" s="15" t="s">
        <v>51</v>
      </c>
      <c r="G3061" s="14" t="s">
        <v>101</v>
      </c>
      <c r="H3061" s="14" t="s">
        <v>102</v>
      </c>
      <c r="I3061" s="14" t="s">
        <v>54</v>
      </c>
      <c r="J3061" s="14" t="s">
        <v>199</v>
      </c>
      <c r="K3061" s="14" t="s">
        <v>206</v>
      </c>
      <c r="L3061" s="14" t="s">
        <v>515</v>
      </c>
      <c r="M3061" s="14" t="s">
        <v>515</v>
      </c>
      <c r="N3061" s="14" t="s">
        <v>516</v>
      </c>
      <c r="O3061" s="14">
        <v>0.0</v>
      </c>
      <c r="P3061" s="21">
        <v>0.0</v>
      </c>
      <c r="Q3061" s="22" t="str">
        <f t="shared" si="1817"/>
        <v>+0</v>
      </c>
      <c r="R3061" s="18" t="str">
        <f t="shared" ref="R3061:R3065" si="1818">"+0"</f>
        <v>+0</v>
      </c>
      <c r="S3061" s="14" t="s">
        <v>383</v>
      </c>
    </row>
    <row r="3062">
      <c r="A3062" s="13">
        <v>45901.0</v>
      </c>
      <c r="B3062" s="14" t="s">
        <v>47</v>
      </c>
      <c r="C3062" s="14" t="s">
        <v>48</v>
      </c>
      <c r="D3062" s="14" t="s">
        <v>66</v>
      </c>
      <c r="E3062" s="14" t="s">
        <v>67</v>
      </c>
      <c r="F3062" s="15" t="s">
        <v>51</v>
      </c>
      <c r="G3062" s="14" t="s">
        <v>68</v>
      </c>
      <c r="H3062" s="14" t="s">
        <v>66</v>
      </c>
      <c r="I3062" s="14" t="s">
        <v>59</v>
      </c>
      <c r="J3062" s="14" t="s">
        <v>198</v>
      </c>
      <c r="K3062" s="14" t="s">
        <v>210</v>
      </c>
      <c r="L3062" s="14" t="s">
        <v>264</v>
      </c>
      <c r="M3062" s="14" t="s">
        <v>470</v>
      </c>
      <c r="N3062" s="14" t="s">
        <v>471</v>
      </c>
      <c r="O3062" s="14">
        <v>100.0</v>
      </c>
      <c r="P3062" s="21">
        <v>0.0</v>
      </c>
      <c r="Q3062" s="22" t="str">
        <f t="shared" si="1817"/>
        <v>+0</v>
      </c>
      <c r="R3062" s="18" t="str">
        <f t="shared" si="1818"/>
        <v>+0</v>
      </c>
      <c r="S3062" s="14" t="s">
        <v>281</v>
      </c>
    </row>
    <row r="3063">
      <c r="A3063" s="13">
        <v>45901.0</v>
      </c>
      <c r="B3063" s="14" t="s">
        <v>47</v>
      </c>
      <c r="C3063" s="14" t="s">
        <v>48</v>
      </c>
      <c r="D3063" s="14" t="s">
        <v>66</v>
      </c>
      <c r="E3063" s="14" t="s">
        <v>67</v>
      </c>
      <c r="F3063" s="15" t="s">
        <v>51</v>
      </c>
      <c r="G3063" s="14" t="s">
        <v>68</v>
      </c>
      <c r="H3063" s="14" t="s">
        <v>66</v>
      </c>
      <c r="I3063" s="14" t="s">
        <v>59</v>
      </c>
      <c r="J3063" s="14" t="s">
        <v>200</v>
      </c>
      <c r="K3063" s="14" t="s">
        <v>223</v>
      </c>
      <c r="L3063" s="14" t="s">
        <v>607</v>
      </c>
      <c r="M3063" s="14" t="s">
        <v>1204</v>
      </c>
      <c r="N3063" s="14" t="s">
        <v>1205</v>
      </c>
      <c r="O3063" s="14">
        <v>0.0</v>
      </c>
      <c r="P3063" s="21">
        <v>0.0</v>
      </c>
      <c r="Q3063" s="22" t="str">
        <f t="shared" si="1817"/>
        <v>+0</v>
      </c>
      <c r="R3063" s="18" t="str">
        <f t="shared" si="1818"/>
        <v>+0</v>
      </c>
      <c r="S3063" s="14" t="s">
        <v>260</v>
      </c>
    </row>
    <row r="3064">
      <c r="A3064" s="13">
        <v>45901.0</v>
      </c>
      <c r="B3064" s="14" t="s">
        <v>47</v>
      </c>
      <c r="C3064" s="14" t="s">
        <v>48</v>
      </c>
      <c r="D3064" s="14" t="s">
        <v>192</v>
      </c>
      <c r="E3064" s="14" t="s">
        <v>193</v>
      </c>
      <c r="F3064" s="15" t="s">
        <v>51</v>
      </c>
      <c r="G3064" s="14" t="s">
        <v>194</v>
      </c>
      <c r="H3064" s="14" t="s">
        <v>192</v>
      </c>
      <c r="I3064" s="14" t="s">
        <v>54</v>
      </c>
      <c r="J3064" s="14" t="s">
        <v>198</v>
      </c>
      <c r="K3064" s="14" t="s">
        <v>210</v>
      </c>
      <c r="L3064" s="14" t="s">
        <v>264</v>
      </c>
      <c r="M3064" s="14" t="s">
        <v>834</v>
      </c>
      <c r="N3064" s="14" t="s">
        <v>835</v>
      </c>
      <c r="O3064" s="14">
        <v>0.0</v>
      </c>
      <c r="P3064" s="21">
        <v>0.0</v>
      </c>
      <c r="Q3064" s="22" t="str">
        <f t="shared" si="1817"/>
        <v>+0</v>
      </c>
      <c r="R3064" s="18" t="str">
        <f t="shared" si="1818"/>
        <v>+0</v>
      </c>
      <c r="S3064" s="14" t="s">
        <v>277</v>
      </c>
    </row>
    <row r="3065">
      <c r="A3065" s="13">
        <v>45901.0</v>
      </c>
      <c r="B3065" s="14" t="s">
        <v>47</v>
      </c>
      <c r="C3065" s="14" t="s">
        <v>48</v>
      </c>
      <c r="D3065" s="14" t="s">
        <v>93</v>
      </c>
      <c r="E3065" s="14" t="s">
        <v>94</v>
      </c>
      <c r="F3065" s="14" t="s">
        <v>71</v>
      </c>
      <c r="G3065" s="14">
        <v>5.36001438E8</v>
      </c>
      <c r="H3065" s="14" t="s">
        <v>95</v>
      </c>
      <c r="I3065" s="14" t="s">
        <v>59</v>
      </c>
      <c r="J3065" s="14" t="s">
        <v>199</v>
      </c>
      <c r="K3065" s="14" t="s">
        <v>203</v>
      </c>
      <c r="L3065" s="14" t="s">
        <v>601</v>
      </c>
      <c r="M3065" s="14" t="s">
        <v>601</v>
      </c>
      <c r="N3065" s="14" t="s">
        <v>602</v>
      </c>
      <c r="O3065" s="14">
        <v>0.0</v>
      </c>
      <c r="P3065" s="21">
        <v>0.0</v>
      </c>
      <c r="Q3065" s="22" t="str">
        <f t="shared" si="1817"/>
        <v>+0</v>
      </c>
      <c r="R3065" s="18" t="str">
        <f t="shared" si="1818"/>
        <v>+0</v>
      </c>
      <c r="S3065" s="14" t="s">
        <v>260</v>
      </c>
    </row>
    <row r="3066">
      <c r="A3066" s="13">
        <v>45901.0</v>
      </c>
      <c r="B3066" s="14" t="s">
        <v>47</v>
      </c>
      <c r="C3066" s="14" t="s">
        <v>48</v>
      </c>
      <c r="D3066" s="14" t="s">
        <v>82</v>
      </c>
      <c r="E3066" s="14" t="s">
        <v>83</v>
      </c>
      <c r="F3066" s="15" t="s">
        <v>51</v>
      </c>
      <c r="G3066" s="14" t="s">
        <v>84</v>
      </c>
      <c r="H3066" s="14" t="s">
        <v>82</v>
      </c>
      <c r="I3066" s="14" t="s">
        <v>59</v>
      </c>
      <c r="J3066" s="14" t="s">
        <v>200</v>
      </c>
      <c r="K3066" s="14" t="s">
        <v>213</v>
      </c>
      <c r="L3066" s="14" t="s">
        <v>307</v>
      </c>
      <c r="M3066" s="14" t="s">
        <v>856</v>
      </c>
      <c r="N3066" s="14" t="s">
        <v>857</v>
      </c>
      <c r="O3066" s="14">
        <v>0.0</v>
      </c>
      <c r="P3066" s="23">
        <v>0.0</v>
      </c>
      <c r="Q3066" s="22" t="str">
        <f t="shared" ref="Q3066:R3066" si="1819">"+0.00%"</f>
        <v>+0.00%</v>
      </c>
      <c r="R3066" s="18" t="str">
        <f t="shared" si="1819"/>
        <v>+0.00%</v>
      </c>
      <c r="S3066" s="14" t="s">
        <v>285</v>
      </c>
    </row>
    <row r="3067">
      <c r="A3067" s="13">
        <v>45901.0</v>
      </c>
      <c r="B3067" s="14" t="s">
        <v>47</v>
      </c>
      <c r="C3067" s="14" t="s">
        <v>48</v>
      </c>
      <c r="D3067" s="14" t="s">
        <v>66</v>
      </c>
      <c r="E3067" s="14" t="s">
        <v>67</v>
      </c>
      <c r="F3067" s="15" t="s">
        <v>51</v>
      </c>
      <c r="G3067" s="14" t="s">
        <v>68</v>
      </c>
      <c r="H3067" s="14" t="s">
        <v>66</v>
      </c>
      <c r="I3067" s="14" t="s">
        <v>59</v>
      </c>
      <c r="J3067" s="14" t="s">
        <v>200</v>
      </c>
      <c r="K3067" s="14" t="s">
        <v>227</v>
      </c>
      <c r="L3067" s="14" t="s">
        <v>253</v>
      </c>
      <c r="M3067" s="14" t="s">
        <v>811</v>
      </c>
      <c r="N3067" s="14" t="s">
        <v>812</v>
      </c>
      <c r="O3067" s="14">
        <v>0.0</v>
      </c>
      <c r="P3067" s="23">
        <v>0.0</v>
      </c>
      <c r="Q3067" s="22" t="str">
        <f t="shared" ref="Q3067:R3067" si="1820">"+0.00%"</f>
        <v>+0.00%</v>
      </c>
      <c r="R3067" s="18" t="str">
        <f t="shared" si="1820"/>
        <v>+0.00%</v>
      </c>
      <c r="S3067" s="14" t="s">
        <v>398</v>
      </c>
    </row>
    <row r="3068">
      <c r="A3068" s="13">
        <v>45901.0</v>
      </c>
      <c r="B3068" s="14" t="s">
        <v>47</v>
      </c>
      <c r="C3068" s="14" t="s">
        <v>48</v>
      </c>
      <c r="D3068" s="14" t="s">
        <v>82</v>
      </c>
      <c r="E3068" s="14" t="s">
        <v>83</v>
      </c>
      <c r="F3068" s="15" t="s">
        <v>51</v>
      </c>
      <c r="G3068" s="14" t="s">
        <v>84</v>
      </c>
      <c r="H3068" s="14" t="s">
        <v>82</v>
      </c>
      <c r="I3068" s="14" t="s">
        <v>59</v>
      </c>
      <c r="J3068" s="14" t="s">
        <v>199</v>
      </c>
      <c r="K3068" s="14" t="s">
        <v>206</v>
      </c>
      <c r="L3068" s="14" t="s">
        <v>569</v>
      </c>
      <c r="M3068" s="14" t="s">
        <v>569</v>
      </c>
      <c r="N3068" s="14" t="s">
        <v>570</v>
      </c>
      <c r="O3068" s="14">
        <v>0.0</v>
      </c>
      <c r="P3068" s="21">
        <v>0.0</v>
      </c>
      <c r="Q3068" s="22" t="str">
        <f t="shared" ref="Q3068:R3068" si="1821">"+0"</f>
        <v>+0</v>
      </c>
      <c r="R3068" s="18" t="str">
        <f t="shared" si="1821"/>
        <v>+0</v>
      </c>
      <c r="S3068" s="14" t="s">
        <v>383</v>
      </c>
    </row>
    <row r="3069">
      <c r="A3069" s="13">
        <v>45901.0</v>
      </c>
      <c r="B3069" s="14" t="s">
        <v>47</v>
      </c>
      <c r="C3069" s="14" t="s">
        <v>48</v>
      </c>
      <c r="D3069" s="14" t="s">
        <v>73</v>
      </c>
      <c r="E3069" s="14" t="s">
        <v>74</v>
      </c>
      <c r="F3069" s="15" t="s">
        <v>51</v>
      </c>
      <c r="G3069" s="14" t="s">
        <v>75</v>
      </c>
      <c r="H3069" s="14" t="s">
        <v>76</v>
      </c>
      <c r="I3069" s="14" t="s">
        <v>59</v>
      </c>
      <c r="J3069" s="14" t="s">
        <v>200</v>
      </c>
      <c r="K3069" s="14" t="s">
        <v>227</v>
      </c>
      <c r="L3069" s="14" t="s">
        <v>270</v>
      </c>
      <c r="M3069" s="14" t="s">
        <v>271</v>
      </c>
      <c r="N3069" s="14" t="s">
        <v>272</v>
      </c>
      <c r="O3069" s="14">
        <v>0.0</v>
      </c>
      <c r="P3069" s="23">
        <v>-1.0</v>
      </c>
      <c r="Q3069" s="22" t="str">
        <f t="shared" ref="Q3069:R3069" si="1822">"+0.00%"</f>
        <v>+0.00%</v>
      </c>
      <c r="R3069" s="18" t="str">
        <f t="shared" si="1822"/>
        <v>+0.00%</v>
      </c>
      <c r="S3069" s="14" t="s">
        <v>273</v>
      </c>
    </row>
    <row r="3070">
      <c r="A3070" s="13">
        <v>45901.0</v>
      </c>
      <c r="B3070" s="14" t="s">
        <v>47</v>
      </c>
      <c r="C3070" s="14" t="s">
        <v>48</v>
      </c>
      <c r="D3070" s="14" t="s">
        <v>103</v>
      </c>
      <c r="E3070" s="14" t="s">
        <v>104</v>
      </c>
      <c r="F3070" s="15" t="s">
        <v>51</v>
      </c>
      <c r="G3070" s="14" t="s">
        <v>105</v>
      </c>
      <c r="H3070" s="14" t="s">
        <v>106</v>
      </c>
      <c r="I3070" s="14" t="s">
        <v>59</v>
      </c>
      <c r="J3070" s="14" t="s">
        <v>200</v>
      </c>
      <c r="K3070" s="14" t="s">
        <v>232</v>
      </c>
      <c r="L3070" s="14" t="s">
        <v>286</v>
      </c>
      <c r="M3070" s="14" t="s">
        <v>1199</v>
      </c>
      <c r="N3070" s="14" t="s">
        <v>1200</v>
      </c>
      <c r="O3070" s="14">
        <v>100.0</v>
      </c>
      <c r="P3070" s="23">
        <v>0.0909</v>
      </c>
      <c r="Q3070" s="22" t="str">
        <f t="shared" ref="Q3070:R3070" si="1823">"+9.09%"</f>
        <v>+9.09%</v>
      </c>
      <c r="R3070" s="18" t="str">
        <f t="shared" si="1823"/>
        <v>+9.09%</v>
      </c>
      <c r="S3070" s="14" t="s">
        <v>285</v>
      </c>
    </row>
    <row r="3071">
      <c r="A3071" s="13">
        <v>45901.0</v>
      </c>
      <c r="B3071" s="14" t="s">
        <v>47</v>
      </c>
      <c r="C3071" s="14" t="s">
        <v>48</v>
      </c>
      <c r="D3071" s="14" t="s">
        <v>143</v>
      </c>
      <c r="E3071" s="14" t="s">
        <v>144</v>
      </c>
      <c r="F3071" s="15" t="s">
        <v>51</v>
      </c>
      <c r="G3071" s="14" t="s">
        <v>145</v>
      </c>
      <c r="H3071" s="14" t="s">
        <v>143</v>
      </c>
      <c r="I3071" s="14" t="s">
        <v>59</v>
      </c>
      <c r="J3071" s="14" t="s">
        <v>199</v>
      </c>
      <c r="K3071" s="14" t="s">
        <v>208</v>
      </c>
      <c r="L3071" s="14" t="s">
        <v>412</v>
      </c>
      <c r="M3071" s="14" t="s">
        <v>412</v>
      </c>
      <c r="N3071" s="14" t="s">
        <v>413</v>
      </c>
      <c r="O3071" s="14">
        <v>75.0</v>
      </c>
      <c r="P3071" s="21">
        <v>1.0</v>
      </c>
      <c r="Q3071" s="22" t="str">
        <f t="shared" ref="Q3071:R3071" si="1824">"+0"</f>
        <v>+0</v>
      </c>
      <c r="R3071" s="18" t="str">
        <f t="shared" si="1824"/>
        <v>+0</v>
      </c>
      <c r="S3071" s="14" t="s">
        <v>260</v>
      </c>
    </row>
    <row r="3072">
      <c r="A3072" s="13">
        <v>45901.0</v>
      </c>
      <c r="B3072" s="14" t="s">
        <v>47</v>
      </c>
      <c r="C3072" s="14" t="s">
        <v>48</v>
      </c>
      <c r="D3072" s="14" t="s">
        <v>171</v>
      </c>
      <c r="E3072" s="14" t="s">
        <v>172</v>
      </c>
      <c r="F3072" s="15" t="s">
        <v>51</v>
      </c>
      <c r="G3072" s="14" t="s">
        <v>173</v>
      </c>
      <c r="H3072" s="14" t="s">
        <v>171</v>
      </c>
      <c r="I3072" s="14" t="s">
        <v>59</v>
      </c>
      <c r="J3072" s="14" t="s">
        <v>198</v>
      </c>
      <c r="K3072" s="14" t="s">
        <v>207</v>
      </c>
      <c r="L3072" s="14" t="s">
        <v>318</v>
      </c>
      <c r="M3072" s="14" t="s">
        <v>508</v>
      </c>
      <c r="N3072" s="14" t="s">
        <v>509</v>
      </c>
      <c r="O3072" s="14">
        <v>0.0</v>
      </c>
      <c r="P3072" s="21">
        <v>0.0</v>
      </c>
      <c r="Q3072" s="22" t="str">
        <f t="shared" ref="Q3072:Q3073" si="1825">"+0"</f>
        <v>+0</v>
      </c>
      <c r="S3072" s="14" t="s">
        <v>281</v>
      </c>
    </row>
    <row r="3073">
      <c r="A3073" s="13">
        <v>45901.0</v>
      </c>
      <c r="B3073" s="14" t="s">
        <v>47</v>
      </c>
      <c r="C3073" s="14" t="s">
        <v>48</v>
      </c>
      <c r="D3073" s="14" t="s">
        <v>149</v>
      </c>
      <c r="E3073" s="14" t="s">
        <v>150</v>
      </c>
      <c r="F3073" s="15" t="s">
        <v>51</v>
      </c>
      <c r="G3073" s="14" t="s">
        <v>151</v>
      </c>
      <c r="H3073" s="14" t="s">
        <v>152</v>
      </c>
      <c r="I3073" s="14" t="s">
        <v>54</v>
      </c>
      <c r="J3073" s="14" t="s">
        <v>199</v>
      </c>
      <c r="K3073" s="14" t="s">
        <v>203</v>
      </c>
      <c r="L3073" s="14" t="s">
        <v>736</v>
      </c>
      <c r="M3073" s="14" t="s">
        <v>736</v>
      </c>
      <c r="N3073" s="14" t="s">
        <v>737</v>
      </c>
      <c r="O3073" s="14">
        <v>100.0</v>
      </c>
      <c r="P3073" s="21">
        <v>2.0</v>
      </c>
      <c r="Q3073" s="22" t="str">
        <f t="shared" si="1825"/>
        <v>+0</v>
      </c>
      <c r="R3073" s="18" t="str">
        <f>"+0"</f>
        <v>+0</v>
      </c>
      <c r="S3073" s="14" t="s">
        <v>260</v>
      </c>
    </row>
    <row r="3074">
      <c r="A3074" s="13">
        <v>45901.0</v>
      </c>
      <c r="B3074" s="14" t="s">
        <v>47</v>
      </c>
      <c r="C3074" s="14" t="s">
        <v>48</v>
      </c>
      <c r="D3074" s="14" t="s">
        <v>136</v>
      </c>
      <c r="E3074" s="14" t="s">
        <v>137</v>
      </c>
      <c r="F3074" s="15" t="s">
        <v>51</v>
      </c>
      <c r="G3074" s="14" t="s">
        <v>138</v>
      </c>
      <c r="H3074" s="14" t="s">
        <v>139</v>
      </c>
      <c r="I3074" s="14" t="s">
        <v>59</v>
      </c>
      <c r="J3074" s="14" t="s">
        <v>200</v>
      </c>
      <c r="K3074" s="14" t="s">
        <v>224</v>
      </c>
      <c r="L3074" s="14" t="s">
        <v>427</v>
      </c>
      <c r="M3074" s="14" t="s">
        <v>895</v>
      </c>
      <c r="N3074" s="14" t="s">
        <v>896</v>
      </c>
      <c r="O3074" s="14">
        <v>0.0</v>
      </c>
      <c r="P3074" s="23">
        <v>0.0</v>
      </c>
      <c r="Q3074" s="22" t="str">
        <f>"+0.00%"</f>
        <v>+0.00%</v>
      </c>
      <c r="S3074" s="14" t="s">
        <v>897</v>
      </c>
    </row>
    <row r="3075">
      <c r="A3075" s="13">
        <v>45901.0</v>
      </c>
      <c r="B3075" s="14" t="s">
        <v>47</v>
      </c>
      <c r="C3075" s="14" t="s">
        <v>48</v>
      </c>
      <c r="D3075" s="14" t="s">
        <v>149</v>
      </c>
      <c r="E3075" s="14" t="s">
        <v>150</v>
      </c>
      <c r="F3075" s="15" t="s">
        <v>51</v>
      </c>
      <c r="G3075" s="14" t="s">
        <v>151</v>
      </c>
      <c r="H3075" s="14" t="s">
        <v>152</v>
      </c>
      <c r="I3075" s="14" t="s">
        <v>54</v>
      </c>
      <c r="J3075" s="14" t="s">
        <v>198</v>
      </c>
      <c r="K3075" s="14" t="s">
        <v>210</v>
      </c>
      <c r="L3075" s="14" t="s">
        <v>505</v>
      </c>
      <c r="M3075" s="14" t="s">
        <v>975</v>
      </c>
      <c r="N3075" s="14" t="s">
        <v>976</v>
      </c>
      <c r="O3075" s="14">
        <v>0.0</v>
      </c>
      <c r="P3075" s="21">
        <v>0.0</v>
      </c>
      <c r="Q3075" s="22" t="str">
        <f t="shared" ref="Q3075:R3075" si="1826">"+0"</f>
        <v>+0</v>
      </c>
      <c r="R3075" s="18" t="str">
        <f t="shared" si="1826"/>
        <v>+0</v>
      </c>
      <c r="S3075" s="14" t="s">
        <v>277</v>
      </c>
    </row>
    <row r="3076">
      <c r="A3076" s="13">
        <v>45901.0</v>
      </c>
      <c r="B3076" s="14" t="s">
        <v>47</v>
      </c>
      <c r="C3076" s="14" t="s">
        <v>48</v>
      </c>
      <c r="D3076" s="14" t="s">
        <v>87</v>
      </c>
      <c r="E3076" s="14" t="s">
        <v>88</v>
      </c>
      <c r="F3076" s="15" t="s">
        <v>51</v>
      </c>
      <c r="G3076" s="14" t="s">
        <v>89</v>
      </c>
      <c r="H3076" s="14" t="s">
        <v>90</v>
      </c>
      <c r="I3076" s="14" t="s">
        <v>59</v>
      </c>
      <c r="J3076" s="14" t="s">
        <v>198</v>
      </c>
      <c r="K3076" s="14" t="s">
        <v>207</v>
      </c>
      <c r="L3076" s="14" t="s">
        <v>318</v>
      </c>
      <c r="M3076" s="14" t="s">
        <v>508</v>
      </c>
      <c r="N3076" s="14" t="s">
        <v>509</v>
      </c>
      <c r="O3076" s="14">
        <v>0.0</v>
      </c>
      <c r="P3076" s="21">
        <v>0.0</v>
      </c>
      <c r="Q3076" s="22" t="str">
        <f t="shared" ref="Q3076:Q3077" si="1827">"+0"</f>
        <v>+0</v>
      </c>
      <c r="S3076" s="14" t="s">
        <v>281</v>
      </c>
    </row>
    <row r="3077">
      <c r="A3077" s="13">
        <v>45901.0</v>
      </c>
      <c r="B3077" s="14" t="s">
        <v>47</v>
      </c>
      <c r="C3077" s="14" t="s">
        <v>48</v>
      </c>
      <c r="D3077" s="14" t="s">
        <v>69</v>
      </c>
      <c r="E3077" s="14" t="s">
        <v>70</v>
      </c>
      <c r="F3077" s="15" t="s">
        <v>51</v>
      </c>
      <c r="G3077" s="14" t="s">
        <v>115</v>
      </c>
      <c r="H3077" s="14" t="s">
        <v>72</v>
      </c>
      <c r="I3077" s="14" t="s">
        <v>54</v>
      </c>
      <c r="J3077" s="14" t="s">
        <v>198</v>
      </c>
      <c r="K3077" s="14" t="s">
        <v>205</v>
      </c>
      <c r="L3077" s="14" t="s">
        <v>274</v>
      </c>
      <c r="M3077" s="14" t="s">
        <v>448</v>
      </c>
      <c r="N3077" s="14" t="s">
        <v>449</v>
      </c>
      <c r="O3077" s="14">
        <v>100.0</v>
      </c>
      <c r="P3077" s="21">
        <v>5.0</v>
      </c>
      <c r="Q3077" s="22" t="str">
        <f t="shared" si="1827"/>
        <v>+0</v>
      </c>
      <c r="S3077" s="14" t="s">
        <v>450</v>
      </c>
    </row>
    <row r="3078">
      <c r="A3078" s="13">
        <v>45901.0</v>
      </c>
      <c r="B3078" s="14" t="s">
        <v>47</v>
      </c>
      <c r="C3078" s="14" t="s">
        <v>48</v>
      </c>
      <c r="D3078" s="14" t="s">
        <v>96</v>
      </c>
      <c r="E3078" s="14" t="s">
        <v>97</v>
      </c>
      <c r="F3078" s="15" t="s">
        <v>51</v>
      </c>
      <c r="G3078" s="14" t="s">
        <v>98</v>
      </c>
      <c r="H3078" s="14" t="s">
        <v>96</v>
      </c>
      <c r="I3078" s="14" t="s">
        <v>59</v>
      </c>
      <c r="J3078" s="14" t="s">
        <v>200</v>
      </c>
      <c r="K3078" s="14" t="s">
        <v>223</v>
      </c>
      <c r="L3078" s="14" t="s">
        <v>286</v>
      </c>
      <c r="M3078" s="14" t="s">
        <v>625</v>
      </c>
      <c r="N3078" s="14" t="s">
        <v>626</v>
      </c>
      <c r="O3078" s="14">
        <v>0.0</v>
      </c>
      <c r="P3078" s="23">
        <v>0.0</v>
      </c>
      <c r="Q3078" s="22" t="str">
        <f t="shared" ref="Q3078:R3078" si="1828">"+0.00%"</f>
        <v>+0.00%</v>
      </c>
      <c r="R3078" s="18" t="str">
        <f t="shared" si="1828"/>
        <v>+0.00%</v>
      </c>
      <c r="S3078" s="14" t="s">
        <v>1969</v>
      </c>
    </row>
    <row r="3079">
      <c r="A3079" s="13">
        <v>45901.0</v>
      </c>
      <c r="B3079" s="14" t="s">
        <v>47</v>
      </c>
      <c r="C3079" s="14" t="s">
        <v>48</v>
      </c>
      <c r="D3079" s="14" t="s">
        <v>77</v>
      </c>
      <c r="E3079" s="14" t="s">
        <v>78</v>
      </c>
      <c r="F3079" s="15" t="s">
        <v>51</v>
      </c>
      <c r="G3079" s="14" t="s">
        <v>128</v>
      </c>
      <c r="H3079" s="14" t="s">
        <v>81</v>
      </c>
      <c r="I3079" s="14" t="s">
        <v>59</v>
      </c>
      <c r="J3079" s="14" t="s">
        <v>200</v>
      </c>
      <c r="K3079" s="14" t="s">
        <v>223</v>
      </c>
      <c r="L3079" s="14" t="s">
        <v>257</v>
      </c>
      <c r="M3079" s="14" t="s">
        <v>499</v>
      </c>
      <c r="N3079" s="14" t="s">
        <v>500</v>
      </c>
      <c r="O3079" s="14">
        <v>0.0</v>
      </c>
      <c r="P3079" s="23">
        <v>0.0</v>
      </c>
      <c r="Q3079" s="22" t="str">
        <f t="shared" ref="Q3079:R3079" si="1829">"+0.00%"</f>
        <v>+0.00%</v>
      </c>
      <c r="R3079" s="18" t="str">
        <f t="shared" si="1829"/>
        <v>+0.00%</v>
      </c>
      <c r="S3079" s="14" t="s">
        <v>1970</v>
      </c>
    </row>
    <row r="3080">
      <c r="A3080" s="13">
        <v>45901.0</v>
      </c>
      <c r="B3080" s="14" t="s">
        <v>47</v>
      </c>
      <c r="C3080" s="14" t="s">
        <v>48</v>
      </c>
      <c r="D3080" s="14" t="s">
        <v>108</v>
      </c>
      <c r="E3080" s="14" t="s">
        <v>109</v>
      </c>
      <c r="F3080" s="15" t="s">
        <v>51</v>
      </c>
      <c r="G3080" s="14" t="s">
        <v>110</v>
      </c>
      <c r="H3080" s="14" t="s">
        <v>108</v>
      </c>
      <c r="I3080" s="14" t="s">
        <v>59</v>
      </c>
      <c r="J3080" s="14" t="s">
        <v>200</v>
      </c>
      <c r="K3080" s="14" t="s">
        <v>213</v>
      </c>
      <c r="L3080" s="14" t="s">
        <v>289</v>
      </c>
      <c r="M3080" s="14" t="s">
        <v>384</v>
      </c>
      <c r="N3080" s="14" t="s">
        <v>385</v>
      </c>
      <c r="O3080" s="14">
        <v>100.0</v>
      </c>
      <c r="P3080" s="23">
        <v>1.0</v>
      </c>
      <c r="Q3080" s="22" t="str">
        <f>"+39.99%"</f>
        <v>+39.99%</v>
      </c>
      <c r="S3080" s="14" t="s">
        <v>1971</v>
      </c>
    </row>
    <row r="3081">
      <c r="A3081" s="13">
        <v>45901.0</v>
      </c>
      <c r="B3081" s="14" t="s">
        <v>47</v>
      </c>
      <c r="C3081" s="14" t="s">
        <v>48</v>
      </c>
      <c r="D3081" s="14" t="s">
        <v>108</v>
      </c>
      <c r="E3081" s="14" t="s">
        <v>109</v>
      </c>
      <c r="F3081" s="15" t="s">
        <v>51</v>
      </c>
      <c r="G3081" s="14" t="s">
        <v>110</v>
      </c>
      <c r="H3081" s="14" t="s">
        <v>108</v>
      </c>
      <c r="I3081" s="14" t="s">
        <v>59</v>
      </c>
      <c r="J3081" s="14" t="s">
        <v>200</v>
      </c>
      <c r="K3081" s="14" t="s">
        <v>215</v>
      </c>
      <c r="L3081" s="14" t="s">
        <v>253</v>
      </c>
      <c r="M3081" s="14" t="s">
        <v>1972</v>
      </c>
      <c r="N3081" s="14" t="s">
        <v>1973</v>
      </c>
      <c r="O3081" s="14">
        <v>1.0</v>
      </c>
      <c r="P3081" s="23">
        <v>0.0</v>
      </c>
      <c r="Q3081" s="22" t="str">
        <f t="shared" ref="Q3081:R3081" si="1830">"+0.00%"</f>
        <v>+0.00%</v>
      </c>
      <c r="R3081" s="18" t="str">
        <f t="shared" si="1830"/>
        <v>+0.00%</v>
      </c>
      <c r="S3081" s="14" t="s">
        <v>1291</v>
      </c>
    </row>
    <row r="3082">
      <c r="A3082" s="13">
        <v>45901.0</v>
      </c>
      <c r="B3082" s="14" t="s">
        <v>47</v>
      </c>
      <c r="C3082" s="14" t="s">
        <v>48</v>
      </c>
      <c r="D3082" s="14" t="s">
        <v>116</v>
      </c>
      <c r="E3082" s="14" t="s">
        <v>117</v>
      </c>
      <c r="F3082" s="15" t="s">
        <v>51</v>
      </c>
      <c r="G3082" s="14" t="s">
        <v>161</v>
      </c>
      <c r="H3082" s="14" t="s">
        <v>116</v>
      </c>
      <c r="I3082" s="14" t="s">
        <v>54</v>
      </c>
      <c r="J3082" s="14" t="s">
        <v>198</v>
      </c>
      <c r="K3082" s="14" t="s">
        <v>210</v>
      </c>
      <c r="L3082" s="14" t="s">
        <v>264</v>
      </c>
      <c r="M3082" s="14" t="s">
        <v>1033</v>
      </c>
      <c r="N3082" s="14" t="s">
        <v>1034</v>
      </c>
      <c r="O3082" s="14">
        <v>0.0</v>
      </c>
      <c r="P3082" s="21">
        <v>0.0</v>
      </c>
      <c r="Q3082" s="22" t="str">
        <f t="shared" ref="Q3082:R3082" si="1831">"+0"</f>
        <v>+0</v>
      </c>
      <c r="R3082" s="18" t="str">
        <f t="shared" si="1831"/>
        <v>+0</v>
      </c>
      <c r="S3082" s="14" t="s">
        <v>277</v>
      </c>
    </row>
    <row r="3083">
      <c r="A3083" s="13">
        <v>45901.0</v>
      </c>
      <c r="B3083" s="14" t="s">
        <v>47</v>
      </c>
      <c r="C3083" s="14" t="s">
        <v>48</v>
      </c>
      <c r="D3083" s="14" t="s">
        <v>116</v>
      </c>
      <c r="E3083" s="14" t="s">
        <v>117</v>
      </c>
      <c r="F3083" s="15" t="s">
        <v>51</v>
      </c>
      <c r="G3083" s="14" t="s">
        <v>161</v>
      </c>
      <c r="H3083" s="14" t="s">
        <v>116</v>
      </c>
      <c r="I3083" s="14" t="s">
        <v>54</v>
      </c>
      <c r="J3083" s="14" t="s">
        <v>200</v>
      </c>
      <c r="K3083" s="14" t="s">
        <v>227</v>
      </c>
      <c r="L3083" s="14" t="s">
        <v>328</v>
      </c>
      <c r="M3083" s="14" t="s">
        <v>329</v>
      </c>
      <c r="N3083" s="14" t="s">
        <v>330</v>
      </c>
      <c r="O3083" s="14">
        <v>9.0</v>
      </c>
      <c r="P3083" s="21">
        <v>2.0</v>
      </c>
      <c r="Q3083" s="22" t="str">
        <f>"+1"</f>
        <v>+1</v>
      </c>
      <c r="R3083" s="18" t="str">
        <f>"-1"</f>
        <v>-1</v>
      </c>
      <c r="S3083" s="14" t="s">
        <v>260</v>
      </c>
    </row>
    <row r="3084">
      <c r="A3084" s="13">
        <v>45901.0</v>
      </c>
      <c r="B3084" s="14" t="s">
        <v>47</v>
      </c>
      <c r="C3084" s="14" t="s">
        <v>48</v>
      </c>
      <c r="D3084" s="14" t="s">
        <v>116</v>
      </c>
      <c r="E3084" s="14" t="s">
        <v>117</v>
      </c>
      <c r="F3084" s="15" t="s">
        <v>51</v>
      </c>
      <c r="G3084" s="14" t="s">
        <v>161</v>
      </c>
      <c r="H3084" s="14" t="s">
        <v>116</v>
      </c>
      <c r="I3084" s="14" t="s">
        <v>54</v>
      </c>
      <c r="J3084" s="14" t="s">
        <v>198</v>
      </c>
      <c r="K3084" s="14" t="s">
        <v>210</v>
      </c>
      <c r="L3084" s="14" t="s">
        <v>278</v>
      </c>
      <c r="M3084" s="14" t="s">
        <v>839</v>
      </c>
      <c r="N3084" s="14" t="s">
        <v>840</v>
      </c>
      <c r="O3084" s="14">
        <v>0.0</v>
      </c>
      <c r="P3084" s="21">
        <v>2715.0</v>
      </c>
      <c r="Q3084" s="22" t="str">
        <f>"-250"</f>
        <v>-250</v>
      </c>
      <c r="R3084" s="18" t="str">
        <f>"+112"</f>
        <v>+112</v>
      </c>
      <c r="S3084" s="14" t="s">
        <v>1974</v>
      </c>
    </row>
    <row r="3085">
      <c r="A3085" s="13">
        <v>45901.0</v>
      </c>
      <c r="B3085" s="14" t="s">
        <v>47</v>
      </c>
      <c r="C3085" s="14" t="s">
        <v>48</v>
      </c>
      <c r="D3085" s="14" t="s">
        <v>108</v>
      </c>
      <c r="E3085" s="14" t="s">
        <v>109</v>
      </c>
      <c r="F3085" s="14" t="s">
        <v>146</v>
      </c>
      <c r="G3085" s="14" t="s">
        <v>180</v>
      </c>
      <c r="H3085" s="14" t="s">
        <v>108</v>
      </c>
      <c r="I3085" s="14" t="s">
        <v>59</v>
      </c>
      <c r="J3085" s="14" t="s">
        <v>199</v>
      </c>
      <c r="K3085" s="14" t="s">
        <v>206</v>
      </c>
      <c r="L3085" s="14" t="s">
        <v>295</v>
      </c>
      <c r="M3085" s="14" t="s">
        <v>529</v>
      </c>
      <c r="N3085" s="14" t="s">
        <v>530</v>
      </c>
      <c r="O3085" s="14">
        <v>0.0</v>
      </c>
      <c r="P3085" s="21">
        <v>0.0</v>
      </c>
      <c r="Q3085" s="22" t="str">
        <f t="shared" ref="Q3085:Q3086" si="1832">"+0"</f>
        <v>+0</v>
      </c>
      <c r="S3085" s="14" t="s">
        <v>260</v>
      </c>
    </row>
    <row r="3086">
      <c r="A3086" s="13">
        <v>45901.0</v>
      </c>
      <c r="B3086" s="14" t="s">
        <v>47</v>
      </c>
      <c r="C3086" s="14" t="s">
        <v>48</v>
      </c>
      <c r="D3086" s="14" t="s">
        <v>116</v>
      </c>
      <c r="E3086" s="14" t="s">
        <v>117</v>
      </c>
      <c r="F3086" s="15" t="s">
        <v>51</v>
      </c>
      <c r="G3086" s="14" t="s">
        <v>161</v>
      </c>
      <c r="H3086" s="14" t="s">
        <v>116</v>
      </c>
      <c r="I3086" s="14" t="s">
        <v>54</v>
      </c>
      <c r="J3086" s="14" t="s">
        <v>199</v>
      </c>
      <c r="K3086" s="14" t="s">
        <v>206</v>
      </c>
      <c r="L3086" s="14" t="s">
        <v>531</v>
      </c>
      <c r="M3086" s="14" t="s">
        <v>531</v>
      </c>
      <c r="N3086" s="14" t="s">
        <v>532</v>
      </c>
      <c r="O3086" s="14">
        <v>75.0</v>
      </c>
      <c r="P3086" s="21">
        <v>1.0</v>
      </c>
      <c r="Q3086" s="22" t="str">
        <f t="shared" si="1832"/>
        <v>+0</v>
      </c>
      <c r="R3086" s="18" t="str">
        <f>"+0"</f>
        <v>+0</v>
      </c>
      <c r="S3086" s="14" t="s">
        <v>260</v>
      </c>
    </row>
    <row r="3087">
      <c r="A3087" s="13">
        <v>45901.0</v>
      </c>
      <c r="B3087" s="14" t="s">
        <v>47</v>
      </c>
      <c r="C3087" s="14" t="s">
        <v>48</v>
      </c>
      <c r="D3087" s="14" t="s">
        <v>56</v>
      </c>
      <c r="E3087" s="14" t="s">
        <v>57</v>
      </c>
      <c r="F3087" s="15" t="s">
        <v>51</v>
      </c>
      <c r="G3087" s="14" t="s">
        <v>58</v>
      </c>
      <c r="H3087" s="14" t="s">
        <v>56</v>
      </c>
      <c r="I3087" s="14" t="s">
        <v>59</v>
      </c>
      <c r="J3087" s="14" t="s">
        <v>200</v>
      </c>
      <c r="K3087" s="14" t="s">
        <v>227</v>
      </c>
      <c r="L3087" s="14" t="s">
        <v>270</v>
      </c>
      <c r="M3087" s="14" t="s">
        <v>271</v>
      </c>
      <c r="N3087" s="14" t="s">
        <v>272</v>
      </c>
      <c r="O3087" s="14">
        <v>0.0</v>
      </c>
      <c r="P3087" s="23">
        <v>-1.0</v>
      </c>
      <c r="Q3087" s="22" t="str">
        <f t="shared" ref="Q3087:R3087" si="1833">"+0.00%"</f>
        <v>+0.00%</v>
      </c>
      <c r="R3087" s="18" t="str">
        <f t="shared" si="1833"/>
        <v>+0.00%</v>
      </c>
      <c r="S3087" s="14" t="s">
        <v>273</v>
      </c>
    </row>
    <row r="3088">
      <c r="A3088" s="13">
        <v>45901.0</v>
      </c>
      <c r="B3088" s="14" t="s">
        <v>47</v>
      </c>
      <c r="C3088" s="14" t="s">
        <v>48</v>
      </c>
      <c r="D3088" s="14" t="s">
        <v>121</v>
      </c>
      <c r="E3088" s="14" t="s">
        <v>122</v>
      </c>
      <c r="F3088" s="15" t="s">
        <v>51</v>
      </c>
      <c r="G3088" s="14" t="s">
        <v>123</v>
      </c>
      <c r="H3088" s="14" t="s">
        <v>124</v>
      </c>
      <c r="I3088" s="14" t="s">
        <v>59</v>
      </c>
      <c r="J3088" s="14" t="s">
        <v>200</v>
      </c>
      <c r="K3088" s="14" t="s">
        <v>232</v>
      </c>
      <c r="L3088" s="14" t="s">
        <v>487</v>
      </c>
      <c r="M3088" s="14" t="s">
        <v>904</v>
      </c>
      <c r="N3088" s="14" t="s">
        <v>905</v>
      </c>
      <c r="O3088" s="14">
        <v>100.0</v>
      </c>
      <c r="P3088" s="21">
        <v>10.0</v>
      </c>
      <c r="Q3088" s="22" t="str">
        <f t="shared" ref="Q3088:R3088" si="1834">"+0"</f>
        <v>+0</v>
      </c>
      <c r="R3088" s="18" t="str">
        <f t="shared" si="1834"/>
        <v>+0</v>
      </c>
      <c r="S3088" s="14" t="s">
        <v>260</v>
      </c>
    </row>
    <row r="3089">
      <c r="A3089" s="13">
        <v>45901.0</v>
      </c>
      <c r="B3089" s="14" t="s">
        <v>47</v>
      </c>
      <c r="C3089" s="14" t="s">
        <v>48</v>
      </c>
      <c r="D3089" s="14" t="s">
        <v>168</v>
      </c>
      <c r="E3089" s="14" t="s">
        <v>169</v>
      </c>
      <c r="F3089" s="15" t="s">
        <v>51</v>
      </c>
      <c r="G3089" s="14" t="s">
        <v>170</v>
      </c>
      <c r="H3089" s="14" t="s">
        <v>168</v>
      </c>
      <c r="I3089" s="14" t="s">
        <v>59</v>
      </c>
      <c r="J3089" s="14" t="s">
        <v>199</v>
      </c>
      <c r="K3089" s="14" t="s">
        <v>208</v>
      </c>
      <c r="L3089" s="14" t="s">
        <v>352</v>
      </c>
      <c r="M3089" s="14" t="s">
        <v>352</v>
      </c>
      <c r="N3089" s="14" t="s">
        <v>353</v>
      </c>
      <c r="O3089" s="14">
        <v>100.0</v>
      </c>
      <c r="P3089" s="21">
        <v>35.0</v>
      </c>
      <c r="Q3089" s="22" t="str">
        <f t="shared" ref="Q3089:R3089" si="1835">"+0"</f>
        <v>+0</v>
      </c>
      <c r="R3089" s="18" t="str">
        <f t="shared" si="1835"/>
        <v>+0</v>
      </c>
      <c r="S3089" s="14" t="s">
        <v>260</v>
      </c>
    </row>
    <row r="3090">
      <c r="A3090" s="13">
        <v>45901.0</v>
      </c>
      <c r="B3090" s="14" t="s">
        <v>47</v>
      </c>
      <c r="C3090" s="14" t="s">
        <v>48</v>
      </c>
      <c r="D3090" s="14" t="s">
        <v>49</v>
      </c>
      <c r="E3090" s="14" t="s">
        <v>50</v>
      </c>
      <c r="F3090" s="15" t="s">
        <v>51</v>
      </c>
      <c r="G3090" s="14" t="s">
        <v>52</v>
      </c>
      <c r="H3090" s="14" t="s">
        <v>53</v>
      </c>
      <c r="I3090" s="14" t="s">
        <v>54</v>
      </c>
      <c r="J3090" s="14" t="s">
        <v>198</v>
      </c>
      <c r="K3090" s="14" t="s">
        <v>210</v>
      </c>
      <c r="L3090" s="14" t="s">
        <v>264</v>
      </c>
      <c r="M3090" s="14" t="s">
        <v>1283</v>
      </c>
      <c r="N3090" s="14" t="s">
        <v>1284</v>
      </c>
      <c r="O3090" s="14">
        <v>0.0</v>
      </c>
      <c r="P3090" s="21">
        <v>0.0</v>
      </c>
      <c r="Q3090" s="22" t="str">
        <f t="shared" ref="Q3090:R3090" si="1836">"+0"</f>
        <v>+0</v>
      </c>
      <c r="R3090" s="18" t="str">
        <f t="shared" si="1836"/>
        <v>+0</v>
      </c>
      <c r="S3090" s="14" t="s">
        <v>277</v>
      </c>
    </row>
    <row r="3091">
      <c r="A3091" s="13">
        <v>45901.0</v>
      </c>
      <c r="B3091" s="14" t="s">
        <v>47</v>
      </c>
      <c r="C3091" s="14" t="s">
        <v>48</v>
      </c>
      <c r="D3091" s="14" t="s">
        <v>49</v>
      </c>
      <c r="E3091" s="14" t="s">
        <v>50</v>
      </c>
      <c r="F3091" s="15" t="s">
        <v>51</v>
      </c>
      <c r="G3091" s="14" t="s">
        <v>52</v>
      </c>
      <c r="H3091" s="14" t="s">
        <v>53</v>
      </c>
      <c r="I3091" s="14" t="s">
        <v>54</v>
      </c>
      <c r="J3091" s="14" t="s">
        <v>198</v>
      </c>
      <c r="K3091" s="14" t="s">
        <v>212</v>
      </c>
      <c r="L3091" s="14" t="s">
        <v>249</v>
      </c>
      <c r="M3091" s="14" t="s">
        <v>1406</v>
      </c>
      <c r="N3091" s="14" t="s">
        <v>1407</v>
      </c>
      <c r="O3091" s="14">
        <v>0.0</v>
      </c>
      <c r="P3091" s="21">
        <v>0.0</v>
      </c>
      <c r="Q3091" s="22" t="str">
        <f t="shared" ref="Q3091:R3091" si="1837">"+0"</f>
        <v>+0</v>
      </c>
      <c r="R3091" s="18" t="str">
        <f t="shared" si="1837"/>
        <v>+0</v>
      </c>
      <c r="S3091" s="14" t="s">
        <v>277</v>
      </c>
    </row>
    <row r="3092">
      <c r="A3092" s="13">
        <v>45901.0</v>
      </c>
      <c r="B3092" s="14" t="s">
        <v>47</v>
      </c>
      <c r="C3092" s="14" t="s">
        <v>48</v>
      </c>
      <c r="D3092" s="14" t="s">
        <v>99</v>
      </c>
      <c r="E3092" s="14" t="s">
        <v>100</v>
      </c>
      <c r="F3092" s="15" t="s">
        <v>51</v>
      </c>
      <c r="G3092" s="14" t="s">
        <v>101</v>
      </c>
      <c r="H3092" s="14" t="s">
        <v>102</v>
      </c>
      <c r="I3092" s="14" t="s">
        <v>54</v>
      </c>
      <c r="J3092" s="14" t="s">
        <v>199</v>
      </c>
      <c r="K3092" s="14" t="s">
        <v>206</v>
      </c>
      <c r="L3092" s="14" t="s">
        <v>531</v>
      </c>
      <c r="M3092" s="14" t="s">
        <v>531</v>
      </c>
      <c r="N3092" s="14" t="s">
        <v>532</v>
      </c>
      <c r="O3092" s="14">
        <v>0.0</v>
      </c>
      <c r="P3092" s="21">
        <v>0.0</v>
      </c>
      <c r="Q3092" s="22" t="str">
        <f t="shared" ref="Q3092:R3092" si="1838">"+0"</f>
        <v>+0</v>
      </c>
      <c r="R3092" s="18" t="str">
        <f t="shared" si="1838"/>
        <v>+0</v>
      </c>
      <c r="S3092" s="14" t="s">
        <v>260</v>
      </c>
    </row>
    <row r="3093">
      <c r="A3093" s="13">
        <v>45901.0</v>
      </c>
      <c r="B3093" s="14" t="s">
        <v>47</v>
      </c>
      <c r="C3093" s="14" t="s">
        <v>48</v>
      </c>
      <c r="D3093" s="14" t="s">
        <v>99</v>
      </c>
      <c r="E3093" s="14" t="s">
        <v>100</v>
      </c>
      <c r="F3093" s="15" t="s">
        <v>51</v>
      </c>
      <c r="G3093" s="14" t="s">
        <v>101</v>
      </c>
      <c r="H3093" s="14" t="s">
        <v>102</v>
      </c>
      <c r="I3093" s="14" t="s">
        <v>54</v>
      </c>
      <c r="J3093" s="14" t="s">
        <v>200</v>
      </c>
      <c r="K3093" s="14" t="s">
        <v>227</v>
      </c>
      <c r="L3093" s="14" t="s">
        <v>270</v>
      </c>
      <c r="M3093" s="14" t="s">
        <v>271</v>
      </c>
      <c r="N3093" s="14" t="s">
        <v>272</v>
      </c>
      <c r="O3093" s="14">
        <v>6.0</v>
      </c>
      <c r="P3093" s="23">
        <v>-0.875</v>
      </c>
      <c r="Q3093" s="22" t="str">
        <f>"+12.50%"</f>
        <v>+12.50%</v>
      </c>
      <c r="R3093" s="18" t="str">
        <f>"+0.26%"</f>
        <v>+0.26%</v>
      </c>
      <c r="S3093" s="14" t="s">
        <v>273</v>
      </c>
    </row>
    <row r="3094">
      <c r="A3094" s="13">
        <v>45901.0</v>
      </c>
      <c r="B3094" s="14" t="s">
        <v>47</v>
      </c>
      <c r="C3094" s="14" t="s">
        <v>48</v>
      </c>
      <c r="D3094" s="14" t="s">
        <v>91</v>
      </c>
      <c r="E3094" s="14" t="s">
        <v>92</v>
      </c>
      <c r="F3094" s="14" t="s">
        <v>71</v>
      </c>
      <c r="G3094" s="14">
        <v>1.00005882E8</v>
      </c>
      <c r="H3094" s="14" t="s">
        <v>91</v>
      </c>
      <c r="I3094" s="14" t="s">
        <v>59</v>
      </c>
      <c r="J3094" s="14" t="s">
        <v>199</v>
      </c>
      <c r="K3094" s="14" t="s">
        <v>208</v>
      </c>
      <c r="L3094" s="14" t="s">
        <v>412</v>
      </c>
      <c r="M3094" s="14" t="s">
        <v>412</v>
      </c>
      <c r="N3094" s="14" t="s">
        <v>413</v>
      </c>
      <c r="O3094" s="14">
        <v>100.0</v>
      </c>
      <c r="P3094" s="21">
        <v>12.0</v>
      </c>
      <c r="Q3094" s="22" t="str">
        <f t="shared" ref="Q3094:R3094" si="1839">"+0"</f>
        <v>+0</v>
      </c>
      <c r="R3094" s="18" t="str">
        <f t="shared" si="1839"/>
        <v>+0</v>
      </c>
      <c r="S3094" s="14" t="s">
        <v>260</v>
      </c>
    </row>
    <row r="3095">
      <c r="A3095" s="13">
        <v>45901.0</v>
      </c>
      <c r="B3095" s="14" t="s">
        <v>47</v>
      </c>
      <c r="C3095" s="14" t="s">
        <v>48</v>
      </c>
      <c r="D3095" s="14" t="s">
        <v>91</v>
      </c>
      <c r="E3095" s="14" t="s">
        <v>92</v>
      </c>
      <c r="F3095" s="14" t="s">
        <v>79</v>
      </c>
      <c r="G3095" s="14" t="s">
        <v>164</v>
      </c>
      <c r="H3095" s="14" t="s">
        <v>91</v>
      </c>
      <c r="I3095" s="14" t="s">
        <v>154</v>
      </c>
      <c r="J3095" s="14" t="s">
        <v>199</v>
      </c>
      <c r="K3095" s="14" t="s">
        <v>206</v>
      </c>
      <c r="L3095" s="14" t="s">
        <v>295</v>
      </c>
      <c r="M3095" s="14" t="s">
        <v>651</v>
      </c>
      <c r="N3095" s="14" t="s">
        <v>652</v>
      </c>
      <c r="O3095" s="14">
        <v>0.0</v>
      </c>
      <c r="P3095" s="21">
        <v>0.0</v>
      </c>
      <c r="Q3095" s="22" t="str">
        <f t="shared" ref="Q3095:R3095" si="1840">"+0"</f>
        <v>+0</v>
      </c>
      <c r="R3095" s="18" t="str">
        <f t="shared" si="1840"/>
        <v>+0</v>
      </c>
      <c r="S3095" s="14" t="s">
        <v>260</v>
      </c>
    </row>
    <row r="3096">
      <c r="A3096" s="13">
        <v>45901.0</v>
      </c>
      <c r="B3096" s="14" t="s">
        <v>47</v>
      </c>
      <c r="C3096" s="14" t="s">
        <v>48</v>
      </c>
      <c r="D3096" s="14" t="s">
        <v>91</v>
      </c>
      <c r="E3096" s="14" t="s">
        <v>92</v>
      </c>
      <c r="F3096" s="14" t="s">
        <v>71</v>
      </c>
      <c r="G3096" s="14">
        <v>7295600.0</v>
      </c>
      <c r="H3096" s="14" t="s">
        <v>91</v>
      </c>
      <c r="I3096" s="14" t="s">
        <v>54</v>
      </c>
      <c r="J3096" s="14" t="s">
        <v>199</v>
      </c>
      <c r="K3096" s="14" t="s">
        <v>206</v>
      </c>
      <c r="L3096" s="14" t="s">
        <v>295</v>
      </c>
      <c r="M3096" s="14" t="s">
        <v>461</v>
      </c>
      <c r="N3096" s="14" t="s">
        <v>462</v>
      </c>
      <c r="O3096" s="14">
        <v>0.0</v>
      </c>
      <c r="P3096" s="21">
        <v>0.0</v>
      </c>
      <c r="Q3096" s="22" t="str">
        <f t="shared" ref="Q3096:R3096" si="1841">"+0"</f>
        <v>+0</v>
      </c>
      <c r="R3096" s="18" t="str">
        <f t="shared" si="1841"/>
        <v>+0</v>
      </c>
      <c r="S3096" s="14" t="s">
        <v>260</v>
      </c>
    </row>
    <row r="3097">
      <c r="A3097" s="13">
        <v>45901.0</v>
      </c>
      <c r="B3097" s="14" t="s">
        <v>47</v>
      </c>
      <c r="C3097" s="14" t="s">
        <v>48</v>
      </c>
      <c r="D3097" s="14" t="s">
        <v>184</v>
      </c>
      <c r="E3097" s="14" t="s">
        <v>185</v>
      </c>
      <c r="F3097" s="15" t="s">
        <v>51</v>
      </c>
      <c r="G3097" s="14" t="s">
        <v>186</v>
      </c>
      <c r="H3097" s="14" t="s">
        <v>187</v>
      </c>
      <c r="I3097" s="14" t="s">
        <v>59</v>
      </c>
      <c r="J3097" s="14" t="s">
        <v>200</v>
      </c>
      <c r="K3097" s="14" t="s">
        <v>224</v>
      </c>
      <c r="L3097" s="14" t="s">
        <v>436</v>
      </c>
      <c r="M3097" s="14" t="s">
        <v>1353</v>
      </c>
      <c r="N3097" s="14" t="s">
        <v>1354</v>
      </c>
      <c r="O3097" s="14">
        <v>0.0</v>
      </c>
      <c r="P3097" s="17"/>
      <c r="Q3097" s="22"/>
      <c r="S3097" s="14" t="s">
        <v>1975</v>
      </c>
    </row>
    <row r="3098">
      <c r="A3098" s="13">
        <v>45901.0</v>
      </c>
      <c r="B3098" s="14" t="s">
        <v>47</v>
      </c>
      <c r="C3098" s="14" t="s">
        <v>48</v>
      </c>
      <c r="D3098" s="14" t="s">
        <v>184</v>
      </c>
      <c r="E3098" s="14" t="s">
        <v>185</v>
      </c>
      <c r="F3098" s="15" t="s">
        <v>51</v>
      </c>
      <c r="G3098" s="14" t="s">
        <v>186</v>
      </c>
      <c r="H3098" s="14" t="s">
        <v>187</v>
      </c>
      <c r="I3098" s="14" t="s">
        <v>59</v>
      </c>
      <c r="J3098" s="14" t="s">
        <v>200</v>
      </c>
      <c r="K3098" s="14" t="s">
        <v>227</v>
      </c>
      <c r="L3098" s="14" t="s">
        <v>253</v>
      </c>
      <c r="M3098" s="14" t="s">
        <v>396</v>
      </c>
      <c r="N3098" s="14" t="s">
        <v>397</v>
      </c>
      <c r="O3098" s="14">
        <v>100.0</v>
      </c>
      <c r="P3098" s="23">
        <v>1.0</v>
      </c>
      <c r="Q3098" s="22" t="str">
        <f t="shared" ref="Q3098:R3098" si="1842">"+0.00%"</f>
        <v>+0.00%</v>
      </c>
      <c r="R3098" s="18" t="str">
        <f t="shared" si="1842"/>
        <v>+0.00%</v>
      </c>
      <c r="S3098" s="14" t="s">
        <v>916</v>
      </c>
    </row>
    <row r="3099">
      <c r="A3099" s="13">
        <v>45901.0</v>
      </c>
      <c r="B3099" s="14" t="s">
        <v>47</v>
      </c>
      <c r="C3099" s="14" t="s">
        <v>48</v>
      </c>
      <c r="D3099" s="14" t="s">
        <v>192</v>
      </c>
      <c r="E3099" s="14" t="s">
        <v>193</v>
      </c>
      <c r="F3099" s="15" t="s">
        <v>51</v>
      </c>
      <c r="G3099" s="14" t="s">
        <v>194</v>
      </c>
      <c r="H3099" s="14" t="s">
        <v>192</v>
      </c>
      <c r="I3099" s="14" t="s">
        <v>54</v>
      </c>
      <c r="J3099" s="14" t="s">
        <v>200</v>
      </c>
      <c r="K3099" s="14" t="s">
        <v>223</v>
      </c>
      <c r="L3099" s="14" t="s">
        <v>286</v>
      </c>
      <c r="M3099" s="14" t="s">
        <v>287</v>
      </c>
      <c r="N3099" s="14" t="s">
        <v>288</v>
      </c>
      <c r="O3099" s="14">
        <v>0.0</v>
      </c>
      <c r="P3099" s="23">
        <v>0.0</v>
      </c>
      <c r="Q3099" s="22" t="str">
        <f t="shared" ref="Q3099:R3099" si="1843">"+0.00%"</f>
        <v>+0.00%</v>
      </c>
      <c r="R3099" s="18" t="str">
        <f t="shared" si="1843"/>
        <v>+0.00%</v>
      </c>
      <c r="S3099" s="14" t="s">
        <v>285</v>
      </c>
    </row>
    <row r="3100">
      <c r="A3100" s="13">
        <v>45901.0</v>
      </c>
      <c r="B3100" s="14" t="s">
        <v>47</v>
      </c>
      <c r="C3100" s="14" t="s">
        <v>48</v>
      </c>
      <c r="D3100" s="14" t="s">
        <v>132</v>
      </c>
      <c r="E3100" s="14" t="s">
        <v>133</v>
      </c>
      <c r="F3100" s="15" t="s">
        <v>51</v>
      </c>
      <c r="G3100" s="14" t="s">
        <v>134</v>
      </c>
      <c r="H3100" s="14" t="s">
        <v>135</v>
      </c>
      <c r="I3100" s="14" t="s">
        <v>59</v>
      </c>
      <c r="J3100" s="14" t="s">
        <v>200</v>
      </c>
      <c r="K3100" s="14" t="s">
        <v>227</v>
      </c>
      <c r="L3100" s="14" t="s">
        <v>721</v>
      </c>
      <c r="M3100" s="14" t="s">
        <v>1060</v>
      </c>
      <c r="N3100" s="14" t="s">
        <v>1061</v>
      </c>
      <c r="O3100" s="14">
        <v>39.0</v>
      </c>
      <c r="P3100" s="23">
        <v>-0.2158</v>
      </c>
      <c r="Q3100" s="22" t="str">
        <f>"+30.31%"</f>
        <v>+30.31%</v>
      </c>
      <c r="R3100" s="18" t="str">
        <f>"+2.27%"</f>
        <v>+2.27%</v>
      </c>
      <c r="S3100" s="14" t="s">
        <v>1062</v>
      </c>
    </row>
    <row r="3101">
      <c r="A3101" s="13">
        <v>45901.0</v>
      </c>
      <c r="B3101" s="14" t="s">
        <v>47</v>
      </c>
      <c r="C3101" s="14" t="s">
        <v>48</v>
      </c>
      <c r="D3101" s="14" t="s">
        <v>143</v>
      </c>
      <c r="E3101" s="14" t="s">
        <v>144</v>
      </c>
      <c r="F3101" s="15" t="s">
        <v>51</v>
      </c>
      <c r="G3101" s="14" t="s">
        <v>145</v>
      </c>
      <c r="H3101" s="14" t="s">
        <v>143</v>
      </c>
      <c r="I3101" s="14" t="s">
        <v>59</v>
      </c>
      <c r="J3101" s="14" t="s">
        <v>200</v>
      </c>
      <c r="K3101" s="14" t="s">
        <v>232</v>
      </c>
      <c r="L3101" s="14" t="s">
        <v>363</v>
      </c>
      <c r="M3101" s="14" t="s">
        <v>708</v>
      </c>
      <c r="N3101" s="14" t="s">
        <v>709</v>
      </c>
      <c r="O3101" s="14">
        <v>0.0</v>
      </c>
      <c r="P3101" s="23">
        <v>0.0</v>
      </c>
      <c r="Q3101" s="22" t="str">
        <f t="shared" ref="Q3101:R3101" si="1844">"+0.00%"</f>
        <v>+0.00%</v>
      </c>
      <c r="R3101" s="18" t="str">
        <f t="shared" si="1844"/>
        <v>+0.00%</v>
      </c>
      <c r="S3101" s="14" t="s">
        <v>285</v>
      </c>
    </row>
    <row r="3102">
      <c r="A3102" s="13">
        <v>45901.0</v>
      </c>
      <c r="B3102" s="14" t="s">
        <v>47</v>
      </c>
      <c r="C3102" s="14" t="s">
        <v>48</v>
      </c>
      <c r="D3102" s="14" t="s">
        <v>143</v>
      </c>
      <c r="E3102" s="14" t="s">
        <v>144</v>
      </c>
      <c r="F3102" s="15" t="s">
        <v>51</v>
      </c>
      <c r="G3102" s="14" t="s">
        <v>145</v>
      </c>
      <c r="H3102" s="14" t="s">
        <v>143</v>
      </c>
      <c r="I3102" s="14" t="s">
        <v>59</v>
      </c>
      <c r="J3102" s="14" t="s">
        <v>200</v>
      </c>
      <c r="K3102" s="14" t="s">
        <v>232</v>
      </c>
      <c r="L3102" s="14" t="s">
        <v>261</v>
      </c>
      <c r="M3102" s="14" t="s">
        <v>814</v>
      </c>
      <c r="N3102" s="14" t="s">
        <v>815</v>
      </c>
      <c r="O3102" s="14">
        <v>45.0</v>
      </c>
      <c r="P3102" s="23">
        <v>-0.0982</v>
      </c>
      <c r="Q3102" s="22" t="str">
        <f>"+69.28%"</f>
        <v>+69.28%</v>
      </c>
      <c r="R3102" s="18" t="str">
        <f>"-30.26%"</f>
        <v>-30.26%</v>
      </c>
      <c r="S3102" s="14" t="s">
        <v>624</v>
      </c>
    </row>
    <row r="3103">
      <c r="A3103" s="13">
        <v>45901.0</v>
      </c>
      <c r="B3103" s="14" t="s">
        <v>47</v>
      </c>
      <c r="C3103" s="14" t="s">
        <v>48</v>
      </c>
      <c r="D3103" s="14" t="s">
        <v>129</v>
      </c>
      <c r="E3103" s="14" t="s">
        <v>130</v>
      </c>
      <c r="F3103" s="15" t="s">
        <v>51</v>
      </c>
      <c r="G3103" s="14" t="s">
        <v>131</v>
      </c>
      <c r="H3103" s="14" t="s">
        <v>129</v>
      </c>
      <c r="I3103" s="14" t="s">
        <v>59</v>
      </c>
      <c r="J3103" s="14" t="s">
        <v>198</v>
      </c>
      <c r="K3103" s="14" t="s">
        <v>210</v>
      </c>
      <c r="L3103" s="14" t="s">
        <v>264</v>
      </c>
      <c r="M3103" s="14" t="s">
        <v>524</v>
      </c>
      <c r="N3103" s="14" t="s">
        <v>525</v>
      </c>
      <c r="O3103" s="14">
        <v>0.0</v>
      </c>
      <c r="P3103" s="21">
        <v>5.0</v>
      </c>
      <c r="Q3103" s="22" t="str">
        <f>"-229"</f>
        <v>-229</v>
      </c>
      <c r="R3103" s="18" t="str">
        <f>"+5"</f>
        <v>+5</v>
      </c>
      <c r="S3103" s="14" t="s">
        <v>1976</v>
      </c>
    </row>
    <row r="3104">
      <c r="A3104" s="13">
        <v>45901.0</v>
      </c>
      <c r="B3104" s="14" t="s">
        <v>47</v>
      </c>
      <c r="C3104" s="14" t="s">
        <v>48</v>
      </c>
      <c r="D3104" s="14" t="s">
        <v>149</v>
      </c>
      <c r="E3104" s="14" t="s">
        <v>150</v>
      </c>
      <c r="F3104" s="15" t="s">
        <v>51</v>
      </c>
      <c r="G3104" s="14" t="s">
        <v>151</v>
      </c>
      <c r="H3104" s="14" t="s">
        <v>152</v>
      </c>
      <c r="I3104" s="14" t="s">
        <v>54</v>
      </c>
      <c r="J3104" s="14" t="s">
        <v>198</v>
      </c>
      <c r="K3104" s="14" t="s">
        <v>210</v>
      </c>
      <c r="L3104" s="14" t="s">
        <v>264</v>
      </c>
      <c r="M3104" s="14" t="s">
        <v>834</v>
      </c>
      <c r="N3104" s="14" t="s">
        <v>835</v>
      </c>
      <c r="O3104" s="14">
        <v>0.0</v>
      </c>
      <c r="P3104" s="21">
        <v>0.0</v>
      </c>
      <c r="Q3104" s="22" t="str">
        <f t="shared" ref="Q3104:R3104" si="1845">"+0"</f>
        <v>+0</v>
      </c>
      <c r="R3104" s="18" t="str">
        <f t="shared" si="1845"/>
        <v>+0</v>
      </c>
      <c r="S3104" s="14" t="s">
        <v>277</v>
      </c>
    </row>
    <row r="3105">
      <c r="A3105" s="13">
        <v>45901.0</v>
      </c>
      <c r="B3105" s="14" t="s">
        <v>47</v>
      </c>
      <c r="C3105" s="14" t="s">
        <v>48</v>
      </c>
      <c r="D3105" s="14" t="s">
        <v>85</v>
      </c>
      <c r="E3105" s="14" t="s">
        <v>86</v>
      </c>
      <c r="F3105" s="15" t="s">
        <v>51</v>
      </c>
      <c r="G3105" s="14" t="s">
        <v>148</v>
      </c>
      <c r="H3105" s="14" t="s">
        <v>85</v>
      </c>
      <c r="I3105" s="14" t="s">
        <v>59</v>
      </c>
      <c r="J3105" s="14" t="s">
        <v>199</v>
      </c>
      <c r="K3105" s="14" t="s">
        <v>206</v>
      </c>
      <c r="L3105" s="14" t="s">
        <v>381</v>
      </c>
      <c r="M3105" s="14" t="s">
        <v>381</v>
      </c>
      <c r="N3105" s="14" t="s">
        <v>382</v>
      </c>
      <c r="O3105" s="14">
        <v>0.0</v>
      </c>
      <c r="P3105" s="21">
        <v>0.0</v>
      </c>
      <c r="Q3105" s="22" t="str">
        <f>"+0"</f>
        <v>+0</v>
      </c>
      <c r="R3105" s="18" t="str">
        <f>"-1"</f>
        <v>-1</v>
      </c>
      <c r="S3105" s="14" t="s">
        <v>383</v>
      </c>
    </row>
    <row r="3106">
      <c r="A3106" s="13">
        <v>45901.0</v>
      </c>
      <c r="B3106" s="14" t="s">
        <v>47</v>
      </c>
      <c r="C3106" s="14" t="s">
        <v>48</v>
      </c>
      <c r="D3106" s="14" t="s">
        <v>125</v>
      </c>
      <c r="E3106" s="14" t="s">
        <v>126</v>
      </c>
      <c r="F3106" s="15" t="s">
        <v>51</v>
      </c>
      <c r="G3106" s="14" t="s">
        <v>127</v>
      </c>
      <c r="H3106" s="14" t="s">
        <v>125</v>
      </c>
      <c r="I3106" s="14" t="s">
        <v>59</v>
      </c>
      <c r="J3106" s="14" t="s">
        <v>200</v>
      </c>
      <c r="K3106" s="14" t="s">
        <v>232</v>
      </c>
      <c r="L3106" s="14" t="s">
        <v>253</v>
      </c>
      <c r="M3106" s="14" t="s">
        <v>389</v>
      </c>
      <c r="N3106" s="14" t="s">
        <v>390</v>
      </c>
      <c r="O3106" s="14">
        <v>25.0</v>
      </c>
      <c r="P3106" s="23">
        <v>0.25</v>
      </c>
      <c r="Q3106" s="22" t="str">
        <f t="shared" ref="Q3106:R3106" si="1846">"+0.00%"</f>
        <v>+0.00%</v>
      </c>
      <c r="R3106" s="18" t="str">
        <f t="shared" si="1846"/>
        <v>+0.00%</v>
      </c>
      <c r="S3106" s="14" t="s">
        <v>1977</v>
      </c>
    </row>
    <row r="3107">
      <c r="A3107" s="13">
        <v>45901.0</v>
      </c>
      <c r="B3107" s="14" t="s">
        <v>47</v>
      </c>
      <c r="C3107" s="14" t="s">
        <v>48</v>
      </c>
      <c r="D3107" s="14" t="s">
        <v>116</v>
      </c>
      <c r="E3107" s="14" t="s">
        <v>117</v>
      </c>
      <c r="F3107" s="15" t="s">
        <v>51</v>
      </c>
      <c r="G3107" s="14" t="s">
        <v>161</v>
      </c>
      <c r="H3107" s="14" t="s">
        <v>116</v>
      </c>
      <c r="I3107" s="14" t="s">
        <v>54</v>
      </c>
      <c r="J3107" s="14" t="s">
        <v>198</v>
      </c>
      <c r="K3107" s="14" t="s">
        <v>205</v>
      </c>
      <c r="L3107" s="14" t="s">
        <v>274</v>
      </c>
      <c r="M3107" s="14" t="s">
        <v>448</v>
      </c>
      <c r="N3107" s="14" t="s">
        <v>449</v>
      </c>
      <c r="O3107" s="14">
        <v>100.0</v>
      </c>
      <c r="P3107" s="21">
        <v>5.0</v>
      </c>
      <c r="Q3107" s="22" t="str">
        <f t="shared" ref="Q3107:Q3108" si="1847">"+0"</f>
        <v>+0</v>
      </c>
      <c r="S3107" s="14" t="s">
        <v>450</v>
      </c>
    </row>
    <row r="3108">
      <c r="A3108" s="13">
        <v>45901.0</v>
      </c>
      <c r="B3108" s="14" t="s">
        <v>47</v>
      </c>
      <c r="C3108" s="14" t="s">
        <v>48</v>
      </c>
      <c r="D3108" s="14" t="s">
        <v>77</v>
      </c>
      <c r="E3108" s="14" t="s">
        <v>78</v>
      </c>
      <c r="F3108" s="14" t="s">
        <v>71</v>
      </c>
      <c r="G3108" s="14">
        <v>5.36009043E8</v>
      </c>
      <c r="H3108" s="14" t="s">
        <v>81</v>
      </c>
      <c r="J3108" s="14" t="s">
        <v>199</v>
      </c>
      <c r="K3108" s="14" t="s">
        <v>206</v>
      </c>
      <c r="L3108" s="14" t="s">
        <v>295</v>
      </c>
      <c r="M3108" s="14" t="s">
        <v>529</v>
      </c>
      <c r="N3108" s="14" t="s">
        <v>530</v>
      </c>
      <c r="O3108" s="14">
        <v>0.0</v>
      </c>
      <c r="P3108" s="21">
        <v>0.0</v>
      </c>
      <c r="Q3108" s="22" t="str">
        <f t="shared" si="1847"/>
        <v>+0</v>
      </c>
      <c r="S3108" s="14" t="s">
        <v>260</v>
      </c>
    </row>
    <row r="3109">
      <c r="A3109" s="13">
        <v>45901.0</v>
      </c>
      <c r="B3109" s="14" t="s">
        <v>47</v>
      </c>
      <c r="C3109" s="14" t="s">
        <v>48</v>
      </c>
      <c r="D3109" s="14" t="s">
        <v>77</v>
      </c>
      <c r="E3109" s="14" t="s">
        <v>78</v>
      </c>
      <c r="F3109" s="15" t="s">
        <v>51</v>
      </c>
      <c r="G3109" s="14" t="s">
        <v>128</v>
      </c>
      <c r="H3109" s="14" t="s">
        <v>81</v>
      </c>
      <c r="I3109" s="14" t="s">
        <v>59</v>
      </c>
      <c r="J3109" s="14" t="s">
        <v>200</v>
      </c>
      <c r="K3109" s="14" t="s">
        <v>227</v>
      </c>
      <c r="L3109" s="14" t="s">
        <v>721</v>
      </c>
      <c r="M3109" s="14" t="s">
        <v>748</v>
      </c>
      <c r="N3109" s="14" t="s">
        <v>749</v>
      </c>
      <c r="O3109" s="14">
        <v>25.0</v>
      </c>
      <c r="P3109" s="23">
        <v>-0.5</v>
      </c>
      <c r="Q3109" s="22" t="str">
        <f>"+50.00%"</f>
        <v>+50.00%</v>
      </c>
      <c r="R3109" s="18" t="str">
        <f>"-130.00%"</f>
        <v>-130.00%</v>
      </c>
      <c r="S3109" s="14" t="s">
        <v>750</v>
      </c>
    </row>
    <row r="3110">
      <c r="A3110" s="13">
        <v>45901.0</v>
      </c>
      <c r="B3110" s="14" t="s">
        <v>47</v>
      </c>
      <c r="C3110" s="14" t="s">
        <v>48</v>
      </c>
      <c r="D3110" s="14" t="s">
        <v>108</v>
      </c>
      <c r="E3110" s="14" t="s">
        <v>109</v>
      </c>
      <c r="F3110" s="14" t="s">
        <v>79</v>
      </c>
      <c r="G3110" s="14" t="s">
        <v>153</v>
      </c>
      <c r="H3110" s="14" t="s">
        <v>108</v>
      </c>
      <c r="I3110" s="14" t="s">
        <v>154</v>
      </c>
      <c r="J3110" s="14" t="s">
        <v>199</v>
      </c>
      <c r="K3110" s="14" t="s">
        <v>206</v>
      </c>
      <c r="L3110" s="14" t="s">
        <v>295</v>
      </c>
      <c r="M3110" s="14" t="s">
        <v>651</v>
      </c>
      <c r="N3110" s="14" t="s">
        <v>652</v>
      </c>
      <c r="O3110" s="14">
        <v>0.0</v>
      </c>
      <c r="P3110" s="21">
        <v>0.0</v>
      </c>
      <c r="Q3110" s="22" t="str">
        <f t="shared" ref="Q3110:Q3111" si="1848">"+0"</f>
        <v>+0</v>
      </c>
      <c r="S3110" s="14" t="s">
        <v>260</v>
      </c>
    </row>
    <row r="3111">
      <c r="A3111" s="13">
        <v>45901.0</v>
      </c>
      <c r="B3111" s="14" t="s">
        <v>47</v>
      </c>
      <c r="C3111" s="14" t="s">
        <v>48</v>
      </c>
      <c r="D3111" s="14" t="s">
        <v>77</v>
      </c>
      <c r="E3111" s="14" t="s">
        <v>78</v>
      </c>
      <c r="F3111" s="15" t="s">
        <v>51</v>
      </c>
      <c r="G3111" s="14" t="s">
        <v>128</v>
      </c>
      <c r="H3111" s="14" t="s">
        <v>81</v>
      </c>
      <c r="I3111" s="14" t="s">
        <v>59</v>
      </c>
      <c r="J3111" s="14" t="s">
        <v>198</v>
      </c>
      <c r="K3111" s="14" t="s">
        <v>212</v>
      </c>
      <c r="L3111" s="14" t="s">
        <v>249</v>
      </c>
      <c r="M3111" s="14" t="s">
        <v>250</v>
      </c>
      <c r="N3111" s="14" t="s">
        <v>251</v>
      </c>
      <c r="O3111" s="14">
        <v>100.0</v>
      </c>
      <c r="P3111" s="21">
        <v>0.0</v>
      </c>
      <c r="Q3111" s="22" t="str">
        <f t="shared" si="1848"/>
        <v>+0</v>
      </c>
      <c r="R3111" s="18" t="str">
        <f>"+0"</f>
        <v>+0</v>
      </c>
      <c r="S3111" s="14" t="s">
        <v>281</v>
      </c>
    </row>
    <row r="3112">
      <c r="A3112" s="13">
        <v>45901.0</v>
      </c>
      <c r="B3112" s="14" t="s">
        <v>47</v>
      </c>
      <c r="C3112" s="14" t="s">
        <v>48</v>
      </c>
      <c r="D3112" s="14" t="s">
        <v>108</v>
      </c>
      <c r="E3112" s="14" t="s">
        <v>109</v>
      </c>
      <c r="F3112" s="15" t="s">
        <v>51</v>
      </c>
      <c r="G3112" s="14" t="s">
        <v>110</v>
      </c>
      <c r="H3112" s="14" t="s">
        <v>108</v>
      </c>
      <c r="I3112" s="14" t="s">
        <v>59</v>
      </c>
      <c r="J3112" s="14" t="s">
        <v>200</v>
      </c>
      <c r="K3112" s="14" t="s">
        <v>201</v>
      </c>
      <c r="L3112" s="14" t="s">
        <v>253</v>
      </c>
      <c r="M3112" s="14" t="s">
        <v>538</v>
      </c>
      <c r="N3112" s="14" t="s">
        <v>539</v>
      </c>
      <c r="O3112" s="14">
        <v>1.0</v>
      </c>
      <c r="P3112" s="23">
        <v>0.002</v>
      </c>
      <c r="Q3112" s="22" t="str">
        <f>"-0.07%"</f>
        <v>-0.07%</v>
      </c>
      <c r="S3112" s="14" t="s">
        <v>1732</v>
      </c>
    </row>
    <row r="3113">
      <c r="A3113" s="13">
        <v>45901.0</v>
      </c>
      <c r="B3113" s="14" t="s">
        <v>47</v>
      </c>
      <c r="C3113" s="14" t="s">
        <v>48</v>
      </c>
      <c r="D3113" s="14" t="s">
        <v>56</v>
      </c>
      <c r="E3113" s="14" t="s">
        <v>57</v>
      </c>
      <c r="F3113" s="15" t="s">
        <v>51</v>
      </c>
      <c r="G3113" s="14" t="s">
        <v>58</v>
      </c>
      <c r="H3113" s="14" t="s">
        <v>56</v>
      </c>
      <c r="I3113" s="14" t="s">
        <v>59</v>
      </c>
      <c r="J3113" s="14" t="s">
        <v>200</v>
      </c>
      <c r="K3113" s="14" t="s">
        <v>223</v>
      </c>
      <c r="L3113" s="14" t="s">
        <v>607</v>
      </c>
      <c r="M3113" s="14" t="s">
        <v>608</v>
      </c>
      <c r="N3113" s="14" t="s">
        <v>609</v>
      </c>
      <c r="O3113" s="14">
        <v>40.0</v>
      </c>
      <c r="P3113" s="23">
        <v>0.4</v>
      </c>
      <c r="Q3113" s="22" t="str">
        <f>"+10.00%"</f>
        <v>+10.00%</v>
      </c>
      <c r="R3113" s="18" t="str">
        <f>"+2.50%"</f>
        <v>+2.50%</v>
      </c>
      <c r="S3113" s="14" t="s">
        <v>1978</v>
      </c>
    </row>
    <row r="3114">
      <c r="A3114" s="13">
        <v>45901.0</v>
      </c>
      <c r="B3114" s="14" t="s">
        <v>47</v>
      </c>
      <c r="C3114" s="14" t="s">
        <v>48</v>
      </c>
      <c r="D3114" s="14" t="s">
        <v>56</v>
      </c>
      <c r="E3114" s="14" t="s">
        <v>57</v>
      </c>
      <c r="F3114" s="15" t="s">
        <v>51</v>
      </c>
      <c r="G3114" s="14" t="s">
        <v>58</v>
      </c>
      <c r="H3114" s="14" t="s">
        <v>56</v>
      </c>
      <c r="I3114" s="14" t="s">
        <v>59</v>
      </c>
      <c r="J3114" s="14" t="s">
        <v>200</v>
      </c>
      <c r="K3114" s="14" t="s">
        <v>202</v>
      </c>
      <c r="L3114" s="14" t="s">
        <v>253</v>
      </c>
      <c r="M3114" s="14" t="s">
        <v>874</v>
      </c>
      <c r="N3114" s="14" t="s">
        <v>875</v>
      </c>
      <c r="O3114" s="14">
        <v>56.0</v>
      </c>
      <c r="P3114" s="23">
        <v>0.5652</v>
      </c>
      <c r="Q3114" s="22" t="str">
        <f>"-10.14%"</f>
        <v>-10.14%</v>
      </c>
      <c r="R3114" s="18" t="str">
        <f>"-5.38%"</f>
        <v>-5.38%</v>
      </c>
      <c r="S3114" s="14" t="s">
        <v>1979</v>
      </c>
    </row>
    <row r="3115">
      <c r="A3115" s="13">
        <v>45901.0</v>
      </c>
      <c r="B3115" s="14" t="s">
        <v>47</v>
      </c>
      <c r="C3115" s="14" t="s">
        <v>48</v>
      </c>
      <c r="D3115" s="14" t="s">
        <v>168</v>
      </c>
      <c r="E3115" s="14" t="s">
        <v>169</v>
      </c>
      <c r="F3115" s="15" t="s">
        <v>51</v>
      </c>
      <c r="G3115" s="14" t="s">
        <v>170</v>
      </c>
      <c r="H3115" s="14" t="s">
        <v>168</v>
      </c>
      <c r="I3115" s="14" t="s">
        <v>59</v>
      </c>
      <c r="J3115" s="14" t="s">
        <v>198</v>
      </c>
      <c r="K3115" s="14" t="s">
        <v>210</v>
      </c>
      <c r="L3115" s="14" t="s">
        <v>264</v>
      </c>
      <c r="M3115" s="14" t="s">
        <v>407</v>
      </c>
      <c r="N3115" s="14" t="s">
        <v>408</v>
      </c>
      <c r="O3115" s="14">
        <v>100.0</v>
      </c>
      <c r="P3115" s="21">
        <v>0.0</v>
      </c>
      <c r="Q3115" s="22" t="str">
        <f t="shared" ref="Q3115:R3115" si="1849">"+0"</f>
        <v>+0</v>
      </c>
      <c r="R3115" s="18" t="str">
        <f t="shared" si="1849"/>
        <v>+0</v>
      </c>
      <c r="S3115" s="14" t="s">
        <v>281</v>
      </c>
    </row>
    <row r="3116">
      <c r="A3116" s="13">
        <v>45901.0</v>
      </c>
      <c r="B3116" s="14" t="s">
        <v>47</v>
      </c>
      <c r="C3116" s="14" t="s">
        <v>48</v>
      </c>
      <c r="D3116" s="14" t="s">
        <v>121</v>
      </c>
      <c r="E3116" s="14" t="s">
        <v>122</v>
      </c>
      <c r="F3116" s="15" t="s">
        <v>51</v>
      </c>
      <c r="G3116" s="14" t="s">
        <v>123</v>
      </c>
      <c r="H3116" s="14" t="s">
        <v>124</v>
      </c>
      <c r="I3116" s="14" t="s">
        <v>59</v>
      </c>
      <c r="J3116" s="14" t="s">
        <v>199</v>
      </c>
      <c r="K3116" s="14" t="s">
        <v>206</v>
      </c>
      <c r="L3116" s="14" t="s">
        <v>381</v>
      </c>
      <c r="M3116" s="14" t="s">
        <v>381</v>
      </c>
      <c r="N3116" s="14" t="s">
        <v>382</v>
      </c>
      <c r="O3116" s="14">
        <v>0.0</v>
      </c>
      <c r="P3116" s="21">
        <v>0.0</v>
      </c>
      <c r="Q3116" s="22" t="str">
        <f t="shared" ref="Q3116:R3116" si="1850">"+0"</f>
        <v>+0</v>
      </c>
      <c r="R3116" s="18" t="str">
        <f t="shared" si="1850"/>
        <v>+0</v>
      </c>
      <c r="S3116" s="14" t="s">
        <v>383</v>
      </c>
    </row>
    <row r="3117">
      <c r="A3117" s="13">
        <v>45901.0</v>
      </c>
      <c r="B3117" s="14" t="s">
        <v>47</v>
      </c>
      <c r="C3117" s="14" t="s">
        <v>48</v>
      </c>
      <c r="D3117" s="14" t="s">
        <v>121</v>
      </c>
      <c r="E3117" s="14" t="s">
        <v>122</v>
      </c>
      <c r="F3117" s="15" t="s">
        <v>51</v>
      </c>
      <c r="G3117" s="14" t="s">
        <v>123</v>
      </c>
      <c r="H3117" s="14" t="s">
        <v>124</v>
      </c>
      <c r="I3117" s="14" t="s">
        <v>59</v>
      </c>
      <c r="J3117" s="14" t="s">
        <v>200</v>
      </c>
      <c r="K3117" s="14" t="s">
        <v>232</v>
      </c>
      <c r="L3117" s="14" t="s">
        <v>487</v>
      </c>
      <c r="M3117" s="14" t="s">
        <v>488</v>
      </c>
      <c r="N3117" s="14" t="s">
        <v>489</v>
      </c>
      <c r="O3117" s="14">
        <v>0.0</v>
      </c>
      <c r="P3117" s="21">
        <v>0.0</v>
      </c>
      <c r="Q3117" s="22" t="str">
        <f t="shared" ref="Q3117:R3117" si="1851">"+0"</f>
        <v>+0</v>
      </c>
      <c r="R3117" s="18" t="str">
        <f t="shared" si="1851"/>
        <v>+0</v>
      </c>
      <c r="S3117" s="14" t="s">
        <v>260</v>
      </c>
    </row>
    <row r="3118">
      <c r="A3118" s="13">
        <v>45901.0</v>
      </c>
      <c r="B3118" s="14" t="s">
        <v>47</v>
      </c>
      <c r="C3118" s="14" t="s">
        <v>48</v>
      </c>
      <c r="D3118" s="14" t="s">
        <v>60</v>
      </c>
      <c r="E3118" s="14" t="s">
        <v>61</v>
      </c>
      <c r="F3118" s="15" t="s">
        <v>51</v>
      </c>
      <c r="G3118" s="14" t="s">
        <v>62</v>
      </c>
      <c r="H3118" s="14" t="s">
        <v>60</v>
      </c>
      <c r="I3118" s="14" t="s">
        <v>59</v>
      </c>
      <c r="J3118" s="14" t="s">
        <v>200</v>
      </c>
      <c r="K3118" s="14" t="s">
        <v>216</v>
      </c>
      <c r="L3118" s="14" t="s">
        <v>253</v>
      </c>
      <c r="M3118" s="14" t="s">
        <v>1980</v>
      </c>
      <c r="N3118" s="14" t="s">
        <v>1981</v>
      </c>
      <c r="O3118" s="14">
        <v>67.0</v>
      </c>
      <c r="P3118" s="23">
        <v>0.6731</v>
      </c>
      <c r="Q3118" s="22" t="str">
        <f>"-0.96%"</f>
        <v>-0.96%</v>
      </c>
      <c r="R3118" s="18" t="str">
        <f>"-4.81%"</f>
        <v>-4.81%</v>
      </c>
      <c r="S3118" s="14" t="s">
        <v>1982</v>
      </c>
    </row>
    <row r="3119">
      <c r="A3119" s="13">
        <v>45901.0</v>
      </c>
      <c r="B3119" s="14" t="s">
        <v>47</v>
      </c>
      <c r="C3119" s="14" t="s">
        <v>48</v>
      </c>
      <c r="D3119" s="14" t="s">
        <v>49</v>
      </c>
      <c r="E3119" s="14" t="s">
        <v>50</v>
      </c>
      <c r="F3119" s="15" t="s">
        <v>51</v>
      </c>
      <c r="G3119" s="14" t="s">
        <v>52</v>
      </c>
      <c r="H3119" s="14" t="s">
        <v>53</v>
      </c>
      <c r="I3119" s="14" t="s">
        <v>54</v>
      </c>
      <c r="J3119" s="14" t="s">
        <v>198</v>
      </c>
      <c r="K3119" s="14" t="s">
        <v>210</v>
      </c>
      <c r="L3119" s="14" t="s">
        <v>264</v>
      </c>
      <c r="M3119" s="14" t="s">
        <v>407</v>
      </c>
      <c r="N3119" s="14" t="s">
        <v>408</v>
      </c>
      <c r="O3119" s="14">
        <v>51.0</v>
      </c>
      <c r="P3119" s="21">
        <v>6856.0</v>
      </c>
      <c r="Q3119" s="22" t="str">
        <f>"+75"</f>
        <v>+75</v>
      </c>
      <c r="R3119" s="18" t="str">
        <f>"+620"</f>
        <v>+620</v>
      </c>
      <c r="S3119" s="14" t="s">
        <v>1983</v>
      </c>
    </row>
    <row r="3120">
      <c r="A3120" s="13">
        <v>45901.0</v>
      </c>
      <c r="B3120" s="14" t="s">
        <v>47</v>
      </c>
      <c r="C3120" s="14" t="s">
        <v>48</v>
      </c>
      <c r="D3120" s="14" t="s">
        <v>165</v>
      </c>
      <c r="E3120" s="14" t="s">
        <v>166</v>
      </c>
      <c r="F3120" s="14" t="s">
        <v>111</v>
      </c>
      <c r="G3120" s="14">
        <v>7116371.0</v>
      </c>
      <c r="H3120" s="14" t="s">
        <v>165</v>
      </c>
      <c r="I3120" s="14" t="s">
        <v>59</v>
      </c>
      <c r="J3120" s="14" t="s">
        <v>199</v>
      </c>
      <c r="K3120" s="14" t="s">
        <v>206</v>
      </c>
      <c r="L3120" s="14" t="s">
        <v>295</v>
      </c>
      <c r="M3120" s="14" t="s">
        <v>986</v>
      </c>
      <c r="N3120" s="14" t="s">
        <v>987</v>
      </c>
      <c r="O3120" s="14">
        <v>0.0</v>
      </c>
      <c r="P3120" s="21">
        <v>0.0</v>
      </c>
      <c r="Q3120" s="22" t="str">
        <f t="shared" ref="Q3120:R3120" si="1852">"+0"</f>
        <v>+0</v>
      </c>
      <c r="R3120" s="18" t="str">
        <f t="shared" si="1852"/>
        <v>+0</v>
      </c>
      <c r="S3120" s="14" t="s">
        <v>260</v>
      </c>
    </row>
    <row r="3121">
      <c r="A3121" s="13">
        <v>45901.0</v>
      </c>
      <c r="B3121" s="14" t="s">
        <v>47</v>
      </c>
      <c r="C3121" s="14" t="s">
        <v>48</v>
      </c>
      <c r="D3121" s="14" t="s">
        <v>91</v>
      </c>
      <c r="E3121" s="14" t="s">
        <v>92</v>
      </c>
      <c r="F3121" s="15" t="s">
        <v>51</v>
      </c>
      <c r="G3121" s="14" t="s">
        <v>163</v>
      </c>
      <c r="H3121" s="14" t="s">
        <v>91</v>
      </c>
      <c r="I3121" s="14" t="s">
        <v>59</v>
      </c>
      <c r="J3121" s="14" t="s">
        <v>200</v>
      </c>
      <c r="K3121" s="14" t="s">
        <v>211</v>
      </c>
      <c r="L3121" s="14" t="s">
        <v>889</v>
      </c>
      <c r="M3121" s="14" t="s">
        <v>890</v>
      </c>
      <c r="N3121" s="14" t="s">
        <v>891</v>
      </c>
      <c r="O3121" s="14">
        <v>0.0</v>
      </c>
      <c r="P3121" s="23">
        <v>-1.0</v>
      </c>
      <c r="Q3121" s="22" t="str">
        <f t="shared" ref="Q3121:R3121" si="1853">"+0.00%"</f>
        <v>+0.00%</v>
      </c>
      <c r="R3121" s="18" t="str">
        <f t="shared" si="1853"/>
        <v>+0.00%</v>
      </c>
      <c r="S3121" s="14" t="s">
        <v>1984</v>
      </c>
    </row>
    <row r="3122">
      <c r="A3122" s="13">
        <v>45901.0</v>
      </c>
      <c r="B3122" s="14" t="s">
        <v>47</v>
      </c>
      <c r="C3122" s="14" t="s">
        <v>48</v>
      </c>
      <c r="D3122" s="14" t="s">
        <v>99</v>
      </c>
      <c r="E3122" s="14" t="s">
        <v>100</v>
      </c>
      <c r="F3122" s="15" t="s">
        <v>51</v>
      </c>
      <c r="G3122" s="14" t="s">
        <v>101</v>
      </c>
      <c r="H3122" s="14" t="s">
        <v>102</v>
      </c>
      <c r="I3122" s="14" t="s">
        <v>54</v>
      </c>
      <c r="J3122" s="14" t="s">
        <v>200</v>
      </c>
      <c r="K3122" s="14" t="s">
        <v>213</v>
      </c>
      <c r="L3122" s="14" t="s">
        <v>257</v>
      </c>
      <c r="M3122" s="14" t="s">
        <v>517</v>
      </c>
      <c r="N3122" s="14" t="s">
        <v>518</v>
      </c>
      <c r="O3122" s="14">
        <v>0.0</v>
      </c>
      <c r="P3122" s="21">
        <v>0.0</v>
      </c>
      <c r="Q3122" s="22" t="str">
        <f t="shared" ref="Q3122:R3122" si="1854">"+0"</f>
        <v>+0</v>
      </c>
      <c r="R3122" s="18" t="str">
        <f t="shared" si="1854"/>
        <v>+0</v>
      </c>
      <c r="S3122" s="14" t="s">
        <v>260</v>
      </c>
    </row>
    <row r="3123">
      <c r="A3123" s="13">
        <v>45901.0</v>
      </c>
      <c r="B3123" s="14" t="s">
        <v>47</v>
      </c>
      <c r="C3123" s="14" t="s">
        <v>48</v>
      </c>
      <c r="D3123" s="14" t="s">
        <v>82</v>
      </c>
      <c r="E3123" s="14" t="s">
        <v>83</v>
      </c>
      <c r="F3123" s="15" t="s">
        <v>51</v>
      </c>
      <c r="G3123" s="14" t="s">
        <v>84</v>
      </c>
      <c r="H3123" s="14" t="s">
        <v>82</v>
      </c>
      <c r="I3123" s="14" t="s">
        <v>59</v>
      </c>
      <c r="J3123" s="14" t="s">
        <v>200</v>
      </c>
      <c r="K3123" s="14" t="s">
        <v>204</v>
      </c>
      <c r="L3123" s="14" t="s">
        <v>253</v>
      </c>
      <c r="M3123" s="14" t="s">
        <v>844</v>
      </c>
      <c r="N3123" s="14" t="s">
        <v>845</v>
      </c>
      <c r="O3123" s="14">
        <v>0.0</v>
      </c>
      <c r="P3123" s="17"/>
      <c r="Q3123" s="22"/>
      <c r="S3123" s="14" t="s">
        <v>846</v>
      </c>
    </row>
    <row r="3124">
      <c r="A3124" s="13">
        <v>45901.0</v>
      </c>
      <c r="B3124" s="14" t="s">
        <v>47</v>
      </c>
      <c r="C3124" s="14" t="s">
        <v>48</v>
      </c>
      <c r="D3124" s="14" t="s">
        <v>149</v>
      </c>
      <c r="E3124" s="14" t="s">
        <v>150</v>
      </c>
      <c r="F3124" s="15" t="s">
        <v>51</v>
      </c>
      <c r="G3124" s="14" t="s">
        <v>151</v>
      </c>
      <c r="H3124" s="14" t="s">
        <v>152</v>
      </c>
      <c r="I3124" s="14" t="s">
        <v>54</v>
      </c>
      <c r="J3124" s="14" t="s">
        <v>199</v>
      </c>
      <c r="K3124" s="14" t="s">
        <v>203</v>
      </c>
      <c r="L3124" s="14" t="s">
        <v>601</v>
      </c>
      <c r="M3124" s="14" t="s">
        <v>601</v>
      </c>
      <c r="N3124" s="14" t="s">
        <v>602</v>
      </c>
      <c r="O3124" s="14">
        <v>0.0</v>
      </c>
      <c r="P3124" s="21">
        <v>0.0</v>
      </c>
      <c r="Q3124" s="22" t="str">
        <f t="shared" ref="Q3124:R3124" si="1855">"+0"</f>
        <v>+0</v>
      </c>
      <c r="R3124" s="18" t="str">
        <f t="shared" si="1855"/>
        <v>+0</v>
      </c>
      <c r="S3124" s="14" t="s">
        <v>260</v>
      </c>
    </row>
    <row r="3125">
      <c r="A3125" s="13">
        <v>45901.0</v>
      </c>
      <c r="B3125" s="14" t="s">
        <v>47</v>
      </c>
      <c r="C3125" s="14" t="s">
        <v>48</v>
      </c>
      <c r="D3125" s="14" t="s">
        <v>116</v>
      </c>
      <c r="E3125" s="14" t="s">
        <v>117</v>
      </c>
      <c r="F3125" s="15" t="s">
        <v>51</v>
      </c>
      <c r="G3125" s="14" t="s">
        <v>161</v>
      </c>
      <c r="H3125" s="14" t="s">
        <v>116</v>
      </c>
      <c r="I3125" s="14" t="s">
        <v>54</v>
      </c>
      <c r="J3125" s="14" t="s">
        <v>200</v>
      </c>
      <c r="K3125" s="14" t="s">
        <v>222</v>
      </c>
      <c r="L3125" s="14" t="s">
        <v>1161</v>
      </c>
      <c r="M3125" s="14" t="s">
        <v>1181</v>
      </c>
      <c r="N3125" s="14" t="s">
        <v>1182</v>
      </c>
      <c r="O3125" s="14">
        <v>0.0</v>
      </c>
      <c r="P3125" s="21">
        <v>0.0</v>
      </c>
      <c r="Q3125" s="22" t="str">
        <f t="shared" ref="Q3125:R3125" si="1856">"+0"</f>
        <v>+0</v>
      </c>
      <c r="R3125" s="18" t="str">
        <f t="shared" si="1856"/>
        <v>+0</v>
      </c>
      <c r="S3125" s="14" t="s">
        <v>260</v>
      </c>
    </row>
    <row r="3126">
      <c r="A3126" s="13">
        <v>45901.0</v>
      </c>
      <c r="B3126" s="14" t="s">
        <v>47</v>
      </c>
      <c r="C3126" s="14" t="s">
        <v>48</v>
      </c>
      <c r="D3126" s="14" t="s">
        <v>63</v>
      </c>
      <c r="E3126" s="14" t="s">
        <v>64</v>
      </c>
      <c r="F3126" s="15" t="s">
        <v>51</v>
      </c>
      <c r="G3126" s="14" t="s">
        <v>65</v>
      </c>
      <c r="H3126" s="14" t="s">
        <v>63</v>
      </c>
      <c r="I3126" s="14" t="s">
        <v>54</v>
      </c>
      <c r="J3126" s="14" t="s">
        <v>200</v>
      </c>
      <c r="K3126" s="14" t="s">
        <v>213</v>
      </c>
      <c r="L3126" s="14" t="s">
        <v>440</v>
      </c>
      <c r="M3126" s="14" t="s">
        <v>510</v>
      </c>
      <c r="N3126" s="14" t="s">
        <v>511</v>
      </c>
      <c r="O3126" s="14">
        <v>0.0</v>
      </c>
      <c r="P3126" s="23">
        <v>0.0</v>
      </c>
      <c r="Q3126" s="22" t="str">
        <f t="shared" ref="Q3126:R3126" si="1857">"+0.00%"</f>
        <v>+0.00%</v>
      </c>
      <c r="R3126" s="18" t="str">
        <f t="shared" si="1857"/>
        <v>+0.00%</v>
      </c>
      <c r="S3126" s="14" t="s">
        <v>285</v>
      </c>
    </row>
    <row r="3127">
      <c r="A3127" s="13">
        <v>45901.0</v>
      </c>
      <c r="B3127" s="14" t="s">
        <v>47</v>
      </c>
      <c r="C3127" s="14" t="s">
        <v>48</v>
      </c>
      <c r="D3127" s="14" t="s">
        <v>91</v>
      </c>
      <c r="E3127" s="14" t="s">
        <v>92</v>
      </c>
      <c r="F3127" s="14" t="s">
        <v>146</v>
      </c>
      <c r="G3127" s="14" t="s">
        <v>147</v>
      </c>
      <c r="H3127" s="14" t="s">
        <v>91</v>
      </c>
      <c r="I3127" s="14" t="s">
        <v>107</v>
      </c>
      <c r="J3127" s="14" t="s">
        <v>200</v>
      </c>
      <c r="K3127" s="14" t="s">
        <v>226</v>
      </c>
      <c r="L3127" s="14" t="s">
        <v>253</v>
      </c>
      <c r="M3127" s="14" t="s">
        <v>1477</v>
      </c>
      <c r="N3127" s="14" t="s">
        <v>1478</v>
      </c>
      <c r="O3127" s="14">
        <v>100.0</v>
      </c>
      <c r="P3127" s="23">
        <v>1.0</v>
      </c>
      <c r="Q3127" s="22" t="str">
        <f t="shared" ref="Q3127:R3127" si="1858">"+0.00%"</f>
        <v>+0.00%</v>
      </c>
      <c r="R3127" s="18" t="str">
        <f t="shared" si="1858"/>
        <v>+0.00%</v>
      </c>
      <c r="S3127" s="14" t="s">
        <v>1479</v>
      </c>
    </row>
    <row r="3128">
      <c r="A3128" s="13">
        <v>45901.0</v>
      </c>
      <c r="B3128" s="14" t="s">
        <v>47</v>
      </c>
      <c r="C3128" s="14" t="s">
        <v>48</v>
      </c>
      <c r="D3128" s="14" t="s">
        <v>192</v>
      </c>
      <c r="E3128" s="14" t="s">
        <v>193</v>
      </c>
      <c r="F3128" s="15" t="s">
        <v>51</v>
      </c>
      <c r="G3128" s="14" t="s">
        <v>194</v>
      </c>
      <c r="H3128" s="14" t="s">
        <v>192</v>
      </c>
      <c r="I3128" s="14" t="s">
        <v>54</v>
      </c>
      <c r="J3128" s="14" t="s">
        <v>198</v>
      </c>
      <c r="K3128" s="14" t="s">
        <v>205</v>
      </c>
      <c r="L3128" s="14" t="s">
        <v>274</v>
      </c>
      <c r="M3128" s="14" t="s">
        <v>482</v>
      </c>
      <c r="N3128" s="14" t="s">
        <v>483</v>
      </c>
      <c r="O3128" s="14">
        <v>100.0</v>
      </c>
      <c r="P3128" s="21">
        <v>8.0</v>
      </c>
      <c r="Q3128" s="22" t="str">
        <f>"+0"</f>
        <v>+0</v>
      </c>
      <c r="S3128" s="14" t="s">
        <v>484</v>
      </c>
    </row>
    <row r="3129">
      <c r="A3129" s="13">
        <v>45901.0</v>
      </c>
      <c r="B3129" s="14" t="s">
        <v>47</v>
      </c>
      <c r="C3129" s="14" t="s">
        <v>48</v>
      </c>
      <c r="D3129" s="14" t="s">
        <v>66</v>
      </c>
      <c r="E3129" s="14" t="s">
        <v>67</v>
      </c>
      <c r="F3129" s="15" t="s">
        <v>51</v>
      </c>
      <c r="G3129" s="14" t="s">
        <v>68</v>
      </c>
      <c r="H3129" s="14" t="s">
        <v>66</v>
      </c>
      <c r="I3129" s="14" t="s">
        <v>59</v>
      </c>
      <c r="J3129" s="14" t="s">
        <v>200</v>
      </c>
      <c r="K3129" s="14" t="s">
        <v>223</v>
      </c>
      <c r="L3129" s="14" t="s">
        <v>286</v>
      </c>
      <c r="M3129" s="14" t="s">
        <v>730</v>
      </c>
      <c r="N3129" s="14" t="s">
        <v>731</v>
      </c>
      <c r="O3129" s="14">
        <v>0.0</v>
      </c>
      <c r="P3129" s="23">
        <v>0.0</v>
      </c>
      <c r="Q3129" s="22" t="str">
        <f t="shared" ref="Q3129:R3129" si="1859">"+0.00%"</f>
        <v>+0.00%</v>
      </c>
      <c r="R3129" s="18" t="str">
        <f t="shared" si="1859"/>
        <v>+0.00%</v>
      </c>
      <c r="S3129" s="14" t="s">
        <v>285</v>
      </c>
    </row>
    <row r="3130">
      <c r="A3130" s="13">
        <v>45901.0</v>
      </c>
      <c r="B3130" s="14" t="s">
        <v>47</v>
      </c>
      <c r="C3130" s="14" t="s">
        <v>48</v>
      </c>
      <c r="D3130" s="14" t="s">
        <v>192</v>
      </c>
      <c r="E3130" s="14" t="s">
        <v>193</v>
      </c>
      <c r="F3130" s="15" t="s">
        <v>51</v>
      </c>
      <c r="G3130" s="14" t="s">
        <v>194</v>
      </c>
      <c r="H3130" s="14" t="s">
        <v>192</v>
      </c>
      <c r="I3130" s="14" t="s">
        <v>54</v>
      </c>
      <c r="J3130" s="14" t="s">
        <v>200</v>
      </c>
      <c r="K3130" s="14" t="s">
        <v>223</v>
      </c>
      <c r="L3130" s="14" t="s">
        <v>286</v>
      </c>
      <c r="M3130" s="14" t="s">
        <v>625</v>
      </c>
      <c r="N3130" s="14" t="s">
        <v>626</v>
      </c>
      <c r="O3130" s="14">
        <v>71.0</v>
      </c>
      <c r="P3130" s="23">
        <v>0.7118</v>
      </c>
      <c r="Q3130" s="22" t="str">
        <f>"+1.67%"</f>
        <v>+1.67%</v>
      </c>
      <c r="R3130" s="18" t="str">
        <f>"-0.03%"</f>
        <v>-0.03%</v>
      </c>
      <c r="S3130" s="14" t="s">
        <v>1985</v>
      </c>
    </row>
    <row r="3131">
      <c r="A3131" s="13">
        <v>45901.0</v>
      </c>
      <c r="B3131" s="14" t="s">
        <v>47</v>
      </c>
      <c r="C3131" s="14" t="s">
        <v>48</v>
      </c>
      <c r="D3131" s="14" t="s">
        <v>143</v>
      </c>
      <c r="E3131" s="14" t="s">
        <v>144</v>
      </c>
      <c r="F3131" s="15" t="s">
        <v>51</v>
      </c>
      <c r="G3131" s="14" t="s">
        <v>145</v>
      </c>
      <c r="H3131" s="14" t="s">
        <v>143</v>
      </c>
      <c r="I3131" s="14" t="s">
        <v>59</v>
      </c>
      <c r="J3131" s="14" t="s">
        <v>198</v>
      </c>
      <c r="K3131" s="14" t="s">
        <v>210</v>
      </c>
      <c r="L3131" s="14" t="s">
        <v>264</v>
      </c>
      <c r="M3131" s="14" t="s">
        <v>357</v>
      </c>
      <c r="N3131" s="14" t="s">
        <v>358</v>
      </c>
      <c r="O3131" s="14">
        <v>100.0</v>
      </c>
      <c r="P3131" s="21">
        <v>0.0</v>
      </c>
      <c r="Q3131" s="22" t="str">
        <f t="shared" ref="Q3131:R3131" si="1860">"+0"</f>
        <v>+0</v>
      </c>
      <c r="R3131" s="18" t="str">
        <f t="shared" si="1860"/>
        <v>+0</v>
      </c>
      <c r="S3131" s="14" t="s">
        <v>281</v>
      </c>
    </row>
    <row r="3132">
      <c r="A3132" s="13">
        <v>45901.0</v>
      </c>
      <c r="B3132" s="14" t="s">
        <v>47</v>
      </c>
      <c r="C3132" s="14" t="s">
        <v>48</v>
      </c>
      <c r="D3132" s="14" t="s">
        <v>143</v>
      </c>
      <c r="E3132" s="14" t="s">
        <v>144</v>
      </c>
      <c r="F3132" s="15" t="s">
        <v>51</v>
      </c>
      <c r="G3132" s="14" t="s">
        <v>145</v>
      </c>
      <c r="H3132" s="14" t="s">
        <v>143</v>
      </c>
      <c r="I3132" s="14" t="s">
        <v>59</v>
      </c>
      <c r="J3132" s="14" t="s">
        <v>199</v>
      </c>
      <c r="K3132" s="14" t="s">
        <v>206</v>
      </c>
      <c r="L3132" s="14" t="s">
        <v>531</v>
      </c>
      <c r="M3132" s="14" t="s">
        <v>531</v>
      </c>
      <c r="N3132" s="14" t="s">
        <v>532</v>
      </c>
      <c r="O3132" s="14">
        <v>0.0</v>
      </c>
      <c r="P3132" s="21">
        <v>0.0</v>
      </c>
      <c r="Q3132" s="22" t="str">
        <f t="shared" ref="Q3132:R3132" si="1861">"+0"</f>
        <v>+0</v>
      </c>
      <c r="R3132" s="18" t="str">
        <f t="shared" si="1861"/>
        <v>+0</v>
      </c>
      <c r="S3132" s="14" t="s">
        <v>260</v>
      </c>
    </row>
    <row r="3133">
      <c r="A3133" s="13">
        <v>45901.0</v>
      </c>
      <c r="B3133" s="14" t="s">
        <v>47</v>
      </c>
      <c r="C3133" s="14" t="s">
        <v>48</v>
      </c>
      <c r="D3133" s="14" t="s">
        <v>143</v>
      </c>
      <c r="E3133" s="14" t="s">
        <v>144</v>
      </c>
      <c r="F3133" s="15" t="s">
        <v>51</v>
      </c>
      <c r="G3133" s="14" t="s">
        <v>145</v>
      </c>
      <c r="H3133" s="14" t="s">
        <v>143</v>
      </c>
      <c r="I3133" s="14" t="s">
        <v>59</v>
      </c>
      <c r="J3133" s="14" t="s">
        <v>199</v>
      </c>
      <c r="K3133" s="14" t="s">
        <v>206</v>
      </c>
      <c r="L3133" s="14" t="s">
        <v>515</v>
      </c>
      <c r="M3133" s="14" t="s">
        <v>515</v>
      </c>
      <c r="N3133" s="14" t="s">
        <v>516</v>
      </c>
      <c r="O3133" s="14">
        <v>0.0</v>
      </c>
      <c r="P3133" s="21">
        <v>0.0</v>
      </c>
      <c r="Q3133" s="22" t="str">
        <f t="shared" ref="Q3133:R3133" si="1862">"+0"</f>
        <v>+0</v>
      </c>
      <c r="R3133" s="18" t="str">
        <f t="shared" si="1862"/>
        <v>+0</v>
      </c>
      <c r="S3133" s="14" t="s">
        <v>383</v>
      </c>
    </row>
    <row r="3134">
      <c r="A3134" s="13">
        <v>45901.0</v>
      </c>
      <c r="B3134" s="14" t="s">
        <v>47</v>
      </c>
      <c r="C3134" s="14" t="s">
        <v>48</v>
      </c>
      <c r="D3134" s="14" t="s">
        <v>143</v>
      </c>
      <c r="E3134" s="14" t="s">
        <v>144</v>
      </c>
      <c r="F3134" s="15" t="s">
        <v>51</v>
      </c>
      <c r="G3134" s="14" t="s">
        <v>145</v>
      </c>
      <c r="H3134" s="14" t="s">
        <v>143</v>
      </c>
      <c r="I3134" s="14" t="s">
        <v>59</v>
      </c>
      <c r="J3134" s="14" t="s">
        <v>199</v>
      </c>
      <c r="K3134" s="14" t="s">
        <v>206</v>
      </c>
      <c r="L3134" s="14" t="s">
        <v>295</v>
      </c>
      <c r="M3134" s="14" t="s">
        <v>296</v>
      </c>
      <c r="N3134" s="14" t="s">
        <v>297</v>
      </c>
      <c r="O3134" s="14">
        <v>0.0</v>
      </c>
      <c r="P3134" s="21">
        <v>0.0</v>
      </c>
      <c r="Q3134" s="22" t="str">
        <f t="shared" ref="Q3134:R3134" si="1863">"+0"</f>
        <v>+0</v>
      </c>
      <c r="R3134" s="18" t="str">
        <f t="shared" si="1863"/>
        <v>+0</v>
      </c>
      <c r="S3134" s="14" t="s">
        <v>260</v>
      </c>
    </row>
    <row r="3135">
      <c r="A3135" s="13">
        <v>45901.0</v>
      </c>
      <c r="B3135" s="14" t="s">
        <v>47</v>
      </c>
      <c r="C3135" s="14" t="s">
        <v>48</v>
      </c>
      <c r="D3135" s="14" t="s">
        <v>132</v>
      </c>
      <c r="E3135" s="14" t="s">
        <v>133</v>
      </c>
      <c r="F3135" s="15" t="s">
        <v>51</v>
      </c>
      <c r="G3135" s="14" t="s">
        <v>134</v>
      </c>
      <c r="H3135" s="14" t="s">
        <v>135</v>
      </c>
      <c r="I3135" s="14" t="s">
        <v>59</v>
      </c>
      <c r="J3135" s="14" t="s">
        <v>199</v>
      </c>
      <c r="K3135" s="14" t="s">
        <v>206</v>
      </c>
      <c r="L3135" s="14" t="s">
        <v>381</v>
      </c>
      <c r="M3135" s="14" t="s">
        <v>381</v>
      </c>
      <c r="N3135" s="14" t="s">
        <v>382</v>
      </c>
      <c r="O3135" s="14">
        <v>0.0</v>
      </c>
      <c r="P3135" s="21">
        <v>0.0</v>
      </c>
      <c r="Q3135" s="22" t="str">
        <f t="shared" ref="Q3135:R3135" si="1864">"+0"</f>
        <v>+0</v>
      </c>
      <c r="R3135" s="18" t="str">
        <f t="shared" si="1864"/>
        <v>+0</v>
      </c>
      <c r="S3135" s="14" t="s">
        <v>383</v>
      </c>
    </row>
    <row r="3136">
      <c r="A3136" s="13">
        <v>45901.0</v>
      </c>
      <c r="B3136" s="14" t="s">
        <v>47</v>
      </c>
      <c r="C3136" s="14" t="s">
        <v>48</v>
      </c>
      <c r="D3136" s="14" t="s">
        <v>103</v>
      </c>
      <c r="E3136" s="14" t="s">
        <v>104</v>
      </c>
      <c r="F3136" s="15" t="s">
        <v>51</v>
      </c>
      <c r="G3136" s="14" t="s">
        <v>105</v>
      </c>
      <c r="H3136" s="14" t="s">
        <v>106</v>
      </c>
      <c r="I3136" s="14" t="s">
        <v>59</v>
      </c>
      <c r="J3136" s="14" t="s">
        <v>200</v>
      </c>
      <c r="K3136" s="14" t="s">
        <v>232</v>
      </c>
      <c r="L3136" s="14" t="s">
        <v>261</v>
      </c>
      <c r="M3136" s="14" t="s">
        <v>814</v>
      </c>
      <c r="N3136" s="14" t="s">
        <v>815</v>
      </c>
      <c r="O3136" s="14">
        <v>100.0</v>
      </c>
      <c r="P3136" s="23">
        <v>1.0</v>
      </c>
      <c r="Q3136" s="22" t="str">
        <f>"+192.74%"</f>
        <v>+192.74%</v>
      </c>
      <c r="R3136" s="18" t="str">
        <f>"+20.54%"</f>
        <v>+20.54%</v>
      </c>
      <c r="S3136" s="14" t="s">
        <v>1986</v>
      </c>
    </row>
    <row r="3137">
      <c r="A3137" s="13">
        <v>45901.0</v>
      </c>
      <c r="B3137" s="14" t="s">
        <v>47</v>
      </c>
      <c r="C3137" s="14" t="s">
        <v>48</v>
      </c>
      <c r="D3137" s="14" t="s">
        <v>143</v>
      </c>
      <c r="E3137" s="14" t="s">
        <v>144</v>
      </c>
      <c r="F3137" s="15" t="s">
        <v>51</v>
      </c>
      <c r="G3137" s="14" t="s">
        <v>145</v>
      </c>
      <c r="H3137" s="14" t="s">
        <v>143</v>
      </c>
      <c r="I3137" s="14" t="s">
        <v>59</v>
      </c>
      <c r="J3137" s="14" t="s">
        <v>200</v>
      </c>
      <c r="K3137" s="14" t="s">
        <v>232</v>
      </c>
      <c r="L3137" s="14" t="s">
        <v>607</v>
      </c>
      <c r="M3137" s="14" t="s">
        <v>765</v>
      </c>
      <c r="N3137" s="14" t="s">
        <v>766</v>
      </c>
      <c r="O3137" s="14">
        <v>100.0</v>
      </c>
      <c r="P3137" s="21">
        <v>57.0</v>
      </c>
      <c r="Q3137" s="22" t="str">
        <f t="shared" ref="Q3137:R3137" si="1865">"+0"</f>
        <v>+0</v>
      </c>
      <c r="R3137" s="18" t="str">
        <f t="shared" si="1865"/>
        <v>+0</v>
      </c>
      <c r="S3137" s="14" t="s">
        <v>260</v>
      </c>
    </row>
    <row r="3138">
      <c r="A3138" s="13">
        <v>45901.0</v>
      </c>
      <c r="B3138" s="14" t="s">
        <v>47</v>
      </c>
      <c r="C3138" s="14" t="s">
        <v>48</v>
      </c>
      <c r="D3138" s="14" t="s">
        <v>129</v>
      </c>
      <c r="E3138" s="14" t="s">
        <v>130</v>
      </c>
      <c r="F3138" s="15" t="s">
        <v>51</v>
      </c>
      <c r="G3138" s="14" t="s">
        <v>131</v>
      </c>
      <c r="H3138" s="14" t="s">
        <v>129</v>
      </c>
      <c r="I3138" s="14" t="s">
        <v>59</v>
      </c>
      <c r="J3138" s="14" t="s">
        <v>198</v>
      </c>
      <c r="K3138" s="14" t="s">
        <v>210</v>
      </c>
      <c r="L3138" s="14" t="s">
        <v>458</v>
      </c>
      <c r="M3138" s="14" t="s">
        <v>459</v>
      </c>
      <c r="N3138" s="14" t="s">
        <v>460</v>
      </c>
      <c r="O3138" s="14">
        <v>100.0</v>
      </c>
      <c r="P3138" s="21">
        <v>0.0</v>
      </c>
      <c r="Q3138" s="22" t="str">
        <f t="shared" ref="Q3138:R3138" si="1866">"+0"</f>
        <v>+0</v>
      </c>
      <c r="R3138" s="18" t="str">
        <f t="shared" si="1866"/>
        <v>+0</v>
      </c>
      <c r="S3138" s="14" t="s">
        <v>281</v>
      </c>
    </row>
    <row r="3139">
      <c r="A3139" s="13">
        <v>45901.0</v>
      </c>
      <c r="B3139" s="14" t="s">
        <v>47</v>
      </c>
      <c r="C3139" s="14" t="s">
        <v>48</v>
      </c>
      <c r="D3139" s="14" t="s">
        <v>129</v>
      </c>
      <c r="E3139" s="14" t="s">
        <v>130</v>
      </c>
      <c r="F3139" s="15" t="s">
        <v>51</v>
      </c>
      <c r="G3139" s="14" t="s">
        <v>131</v>
      </c>
      <c r="H3139" s="14" t="s">
        <v>129</v>
      </c>
      <c r="I3139" s="14" t="s">
        <v>59</v>
      </c>
      <c r="J3139" s="14" t="s">
        <v>198</v>
      </c>
      <c r="K3139" s="14" t="s">
        <v>205</v>
      </c>
      <c r="L3139" s="14" t="s">
        <v>274</v>
      </c>
      <c r="M3139" s="14" t="s">
        <v>791</v>
      </c>
      <c r="N3139" s="14" t="s">
        <v>792</v>
      </c>
      <c r="O3139" s="14">
        <v>50.0</v>
      </c>
      <c r="P3139" s="21">
        <v>1.0</v>
      </c>
      <c r="Q3139" s="22" t="str">
        <f>"+0"</f>
        <v>+0</v>
      </c>
      <c r="S3139" s="14" t="s">
        <v>260</v>
      </c>
    </row>
    <row r="3140">
      <c r="A3140" s="13">
        <v>45901.0</v>
      </c>
      <c r="B3140" s="14" t="s">
        <v>47</v>
      </c>
      <c r="C3140" s="14" t="s">
        <v>48</v>
      </c>
      <c r="D3140" s="14" t="s">
        <v>87</v>
      </c>
      <c r="E3140" s="14" t="s">
        <v>88</v>
      </c>
      <c r="F3140" s="15" t="s">
        <v>51</v>
      </c>
      <c r="G3140" s="14" t="s">
        <v>89</v>
      </c>
      <c r="H3140" s="14" t="s">
        <v>90</v>
      </c>
      <c r="I3140" s="14" t="s">
        <v>59</v>
      </c>
      <c r="J3140" s="14" t="s">
        <v>200</v>
      </c>
      <c r="K3140" s="14" t="s">
        <v>201</v>
      </c>
      <c r="L3140" s="14" t="s">
        <v>253</v>
      </c>
      <c r="M3140" s="14" t="s">
        <v>538</v>
      </c>
      <c r="N3140" s="14" t="s">
        <v>539</v>
      </c>
      <c r="O3140" s="14">
        <v>13.0</v>
      </c>
      <c r="P3140" s="23">
        <v>0.1314</v>
      </c>
      <c r="Q3140" s="22" t="str">
        <f>"-0.01%"</f>
        <v>-0.01%</v>
      </c>
      <c r="R3140" s="18" t="str">
        <f>"+0.24%"</f>
        <v>+0.24%</v>
      </c>
      <c r="S3140" s="14" t="s">
        <v>1667</v>
      </c>
    </row>
    <row r="3141">
      <c r="A3141" s="13">
        <v>45901.0</v>
      </c>
      <c r="B3141" s="14" t="s">
        <v>47</v>
      </c>
      <c r="C3141" s="14" t="s">
        <v>48</v>
      </c>
      <c r="D3141" s="14" t="s">
        <v>87</v>
      </c>
      <c r="E3141" s="14" t="s">
        <v>88</v>
      </c>
      <c r="F3141" s="15" t="s">
        <v>51</v>
      </c>
      <c r="G3141" s="14" t="s">
        <v>89</v>
      </c>
      <c r="H3141" s="14" t="s">
        <v>90</v>
      </c>
      <c r="I3141" s="14" t="s">
        <v>59</v>
      </c>
      <c r="J3141" s="14" t="s">
        <v>198</v>
      </c>
      <c r="K3141" s="14" t="s">
        <v>210</v>
      </c>
      <c r="L3141" s="14" t="s">
        <v>264</v>
      </c>
      <c r="M3141" s="14" t="s">
        <v>524</v>
      </c>
      <c r="N3141" s="14" t="s">
        <v>525</v>
      </c>
      <c r="O3141" s="14">
        <v>100.0</v>
      </c>
      <c r="P3141" s="21">
        <v>0.0</v>
      </c>
      <c r="Q3141" s="22" t="str">
        <f>"-49"</f>
        <v>-49</v>
      </c>
      <c r="R3141" s="18" t="str">
        <f>"+0"</f>
        <v>+0</v>
      </c>
      <c r="S3141" s="14" t="s">
        <v>281</v>
      </c>
    </row>
    <row r="3142">
      <c r="A3142" s="13">
        <v>45901.0</v>
      </c>
      <c r="B3142" s="14" t="s">
        <v>47</v>
      </c>
      <c r="C3142" s="14" t="s">
        <v>48</v>
      </c>
      <c r="D3142" s="14" t="s">
        <v>69</v>
      </c>
      <c r="E3142" s="14" t="s">
        <v>70</v>
      </c>
      <c r="F3142" s="15" t="s">
        <v>51</v>
      </c>
      <c r="G3142" s="14" t="s">
        <v>115</v>
      </c>
      <c r="H3142" s="14" t="s">
        <v>72</v>
      </c>
      <c r="I3142" s="14" t="s">
        <v>54</v>
      </c>
      <c r="J3142" s="14" t="s">
        <v>200</v>
      </c>
      <c r="K3142" s="14" t="s">
        <v>213</v>
      </c>
      <c r="L3142" s="14" t="s">
        <v>289</v>
      </c>
      <c r="M3142" s="14" t="s">
        <v>984</v>
      </c>
      <c r="N3142" s="14" t="s">
        <v>985</v>
      </c>
      <c r="O3142" s="14">
        <v>0.0</v>
      </c>
      <c r="P3142" s="23">
        <v>0.0</v>
      </c>
      <c r="Q3142" s="22" t="str">
        <f t="shared" ref="Q3142:R3142" si="1867">"+0.00%"</f>
        <v>+0.00%</v>
      </c>
      <c r="R3142" s="18" t="str">
        <f t="shared" si="1867"/>
        <v>+0.00%</v>
      </c>
      <c r="S3142" s="14" t="s">
        <v>285</v>
      </c>
    </row>
    <row r="3143">
      <c r="A3143" s="13">
        <v>45901.0</v>
      </c>
      <c r="B3143" s="14" t="s">
        <v>47</v>
      </c>
      <c r="C3143" s="14" t="s">
        <v>48</v>
      </c>
      <c r="D3143" s="14" t="s">
        <v>96</v>
      </c>
      <c r="E3143" s="14" t="s">
        <v>97</v>
      </c>
      <c r="F3143" s="15" t="s">
        <v>51</v>
      </c>
      <c r="G3143" s="14" t="s">
        <v>98</v>
      </c>
      <c r="H3143" s="14" t="s">
        <v>96</v>
      </c>
      <c r="I3143" s="14" t="s">
        <v>59</v>
      </c>
      <c r="J3143" s="14" t="s">
        <v>200</v>
      </c>
      <c r="K3143" s="14" t="s">
        <v>223</v>
      </c>
      <c r="L3143" s="14" t="s">
        <v>282</v>
      </c>
      <c r="M3143" s="14" t="s">
        <v>283</v>
      </c>
      <c r="N3143" s="14" t="s">
        <v>284</v>
      </c>
      <c r="O3143" s="14">
        <v>0.0</v>
      </c>
      <c r="P3143" s="23">
        <v>0.0</v>
      </c>
      <c r="Q3143" s="22" t="str">
        <f t="shared" ref="Q3143:R3143" si="1868">"+0.00%"</f>
        <v>+0.00%</v>
      </c>
      <c r="R3143" s="18" t="str">
        <f t="shared" si="1868"/>
        <v>+0.00%</v>
      </c>
      <c r="S3143" s="14" t="s">
        <v>285</v>
      </c>
    </row>
    <row r="3144">
      <c r="A3144" s="13">
        <v>45901.0</v>
      </c>
      <c r="B3144" s="14" t="s">
        <v>47</v>
      </c>
      <c r="C3144" s="14" t="s">
        <v>48</v>
      </c>
      <c r="D3144" s="14" t="s">
        <v>125</v>
      </c>
      <c r="E3144" s="14" t="s">
        <v>126</v>
      </c>
      <c r="F3144" s="15" t="s">
        <v>51</v>
      </c>
      <c r="G3144" s="14" t="s">
        <v>127</v>
      </c>
      <c r="H3144" s="14" t="s">
        <v>125</v>
      </c>
      <c r="I3144" s="14" t="s">
        <v>59</v>
      </c>
      <c r="J3144" s="14" t="s">
        <v>199</v>
      </c>
      <c r="K3144" s="14" t="s">
        <v>203</v>
      </c>
      <c r="L3144" s="14" t="s">
        <v>342</v>
      </c>
      <c r="M3144" s="14" t="s">
        <v>342</v>
      </c>
      <c r="N3144" s="14" t="s">
        <v>343</v>
      </c>
      <c r="O3144" s="14">
        <v>0.0</v>
      </c>
      <c r="P3144" s="21">
        <v>0.0</v>
      </c>
      <c r="Q3144" s="22" t="str">
        <f t="shared" ref="Q3144:R3144" si="1869">"+0"</f>
        <v>+0</v>
      </c>
      <c r="R3144" s="18" t="str">
        <f t="shared" si="1869"/>
        <v>+0</v>
      </c>
      <c r="S3144" s="14" t="s">
        <v>260</v>
      </c>
    </row>
    <row r="3145">
      <c r="A3145" s="13">
        <v>45901.0</v>
      </c>
      <c r="B3145" s="14" t="s">
        <v>47</v>
      </c>
      <c r="C3145" s="14" t="s">
        <v>48</v>
      </c>
      <c r="D3145" s="14" t="s">
        <v>112</v>
      </c>
      <c r="E3145" s="14" t="s">
        <v>113</v>
      </c>
      <c r="F3145" s="15" t="s">
        <v>51</v>
      </c>
      <c r="G3145" s="14" t="s">
        <v>114</v>
      </c>
      <c r="H3145" s="14" t="s">
        <v>112</v>
      </c>
      <c r="I3145" s="14" t="s">
        <v>59</v>
      </c>
      <c r="J3145" s="14" t="s">
        <v>198</v>
      </c>
      <c r="K3145" s="14" t="s">
        <v>205</v>
      </c>
      <c r="L3145" s="14" t="s">
        <v>274</v>
      </c>
      <c r="M3145" s="14" t="s">
        <v>275</v>
      </c>
      <c r="N3145" s="14" t="s">
        <v>276</v>
      </c>
      <c r="O3145" s="14">
        <v>0.0</v>
      </c>
      <c r="P3145" s="21">
        <v>1.0</v>
      </c>
      <c r="Q3145" s="22" t="str">
        <f t="shared" ref="Q3145:Q3148" si="1870">"+0"</f>
        <v>+0</v>
      </c>
      <c r="S3145" s="14" t="s">
        <v>277</v>
      </c>
    </row>
    <row r="3146">
      <c r="A3146" s="13">
        <v>45901.0</v>
      </c>
      <c r="B3146" s="14" t="s">
        <v>47</v>
      </c>
      <c r="C3146" s="14" t="s">
        <v>48</v>
      </c>
      <c r="D3146" s="14" t="s">
        <v>77</v>
      </c>
      <c r="E3146" s="14" t="s">
        <v>78</v>
      </c>
      <c r="F3146" s="15" t="s">
        <v>51</v>
      </c>
      <c r="G3146" s="14" t="s">
        <v>128</v>
      </c>
      <c r="H3146" s="14" t="s">
        <v>81</v>
      </c>
      <c r="I3146" s="14" t="s">
        <v>59</v>
      </c>
      <c r="J3146" s="14" t="s">
        <v>200</v>
      </c>
      <c r="K3146" s="14" t="s">
        <v>216</v>
      </c>
      <c r="L3146" s="14" t="s">
        <v>1491</v>
      </c>
      <c r="M3146" s="14" t="s">
        <v>1987</v>
      </c>
      <c r="N3146" s="14" t="s">
        <v>1988</v>
      </c>
      <c r="O3146" s="14">
        <v>0.0</v>
      </c>
      <c r="P3146" s="21">
        <v>0.0</v>
      </c>
      <c r="Q3146" s="22" t="str">
        <f t="shared" si="1870"/>
        <v>+0</v>
      </c>
      <c r="R3146" s="18" t="str">
        <f t="shared" ref="R3146:R3148" si="1871">"+0"</f>
        <v>+0</v>
      </c>
      <c r="S3146" s="14" t="s">
        <v>327</v>
      </c>
    </row>
    <row r="3147">
      <c r="A3147" s="13">
        <v>45901.0</v>
      </c>
      <c r="B3147" s="14" t="s">
        <v>47</v>
      </c>
      <c r="C3147" s="14" t="s">
        <v>48</v>
      </c>
      <c r="D3147" s="14" t="s">
        <v>116</v>
      </c>
      <c r="E3147" s="14" t="s">
        <v>117</v>
      </c>
      <c r="F3147" s="15" t="s">
        <v>51</v>
      </c>
      <c r="G3147" s="14" t="s">
        <v>161</v>
      </c>
      <c r="H3147" s="14" t="s">
        <v>116</v>
      </c>
      <c r="I3147" s="14" t="s">
        <v>54</v>
      </c>
      <c r="J3147" s="14" t="s">
        <v>200</v>
      </c>
      <c r="K3147" s="14" t="s">
        <v>213</v>
      </c>
      <c r="L3147" s="14" t="s">
        <v>359</v>
      </c>
      <c r="M3147" s="14" t="s">
        <v>628</v>
      </c>
      <c r="N3147" s="14" t="s">
        <v>629</v>
      </c>
      <c r="O3147" s="14">
        <v>100.0</v>
      </c>
      <c r="P3147" s="21">
        <v>99.0</v>
      </c>
      <c r="Q3147" s="22" t="str">
        <f t="shared" si="1870"/>
        <v>+0</v>
      </c>
      <c r="R3147" s="18" t="str">
        <f t="shared" si="1871"/>
        <v>+0</v>
      </c>
      <c r="S3147" s="14" t="s">
        <v>260</v>
      </c>
    </row>
    <row r="3148">
      <c r="A3148" s="13">
        <v>45901.0</v>
      </c>
      <c r="B3148" s="14" t="s">
        <v>47</v>
      </c>
      <c r="C3148" s="14" t="s">
        <v>48</v>
      </c>
      <c r="D3148" s="14" t="s">
        <v>158</v>
      </c>
      <c r="E3148" s="14" t="s">
        <v>159</v>
      </c>
      <c r="F3148" s="15" t="s">
        <v>51</v>
      </c>
      <c r="G3148" s="14" t="s">
        <v>160</v>
      </c>
      <c r="H3148" s="14" t="s">
        <v>158</v>
      </c>
      <c r="I3148" s="14" t="s">
        <v>54</v>
      </c>
      <c r="J3148" s="14" t="s">
        <v>198</v>
      </c>
      <c r="K3148" s="14" t="s">
        <v>210</v>
      </c>
      <c r="L3148" s="14" t="s">
        <v>264</v>
      </c>
      <c r="M3148" s="14" t="s">
        <v>313</v>
      </c>
      <c r="N3148" s="14" t="s">
        <v>314</v>
      </c>
      <c r="O3148" s="14">
        <v>0.0</v>
      </c>
      <c r="P3148" s="21">
        <v>0.0</v>
      </c>
      <c r="Q3148" s="22" t="str">
        <f t="shared" si="1870"/>
        <v>+0</v>
      </c>
      <c r="R3148" s="18" t="str">
        <f t="shared" si="1871"/>
        <v>+0</v>
      </c>
      <c r="S3148" s="14" t="s">
        <v>277</v>
      </c>
    </row>
    <row r="3149">
      <c r="A3149" s="13">
        <v>45901.0</v>
      </c>
      <c r="B3149" s="14" t="s">
        <v>47</v>
      </c>
      <c r="C3149" s="14" t="s">
        <v>48</v>
      </c>
      <c r="D3149" s="14" t="s">
        <v>158</v>
      </c>
      <c r="E3149" s="14" t="s">
        <v>159</v>
      </c>
      <c r="F3149" s="15" t="s">
        <v>51</v>
      </c>
      <c r="G3149" s="14" t="s">
        <v>160</v>
      </c>
      <c r="H3149" s="14" t="s">
        <v>158</v>
      </c>
      <c r="I3149" s="14" t="s">
        <v>54</v>
      </c>
      <c r="J3149" s="14" t="s">
        <v>198</v>
      </c>
      <c r="K3149" s="14" t="s">
        <v>210</v>
      </c>
      <c r="L3149" s="14" t="s">
        <v>264</v>
      </c>
      <c r="M3149" s="14" t="s">
        <v>265</v>
      </c>
      <c r="N3149" s="14" t="s">
        <v>266</v>
      </c>
      <c r="O3149" s="14">
        <v>51.0</v>
      </c>
      <c r="P3149" s="21">
        <v>143.0</v>
      </c>
      <c r="Q3149" s="22" t="str">
        <f>"-84"</f>
        <v>-84</v>
      </c>
      <c r="R3149" s="18" t="str">
        <f>"-437"</f>
        <v>-437</v>
      </c>
      <c r="S3149" s="14" t="s">
        <v>1989</v>
      </c>
    </row>
    <row r="3150">
      <c r="A3150" s="13">
        <v>45901.0</v>
      </c>
      <c r="B3150" s="14" t="s">
        <v>47</v>
      </c>
      <c r="C3150" s="14" t="s">
        <v>48</v>
      </c>
      <c r="D3150" s="14" t="s">
        <v>77</v>
      </c>
      <c r="E3150" s="14" t="s">
        <v>78</v>
      </c>
      <c r="F3150" s="15" t="s">
        <v>51</v>
      </c>
      <c r="G3150" s="14" t="s">
        <v>128</v>
      </c>
      <c r="H3150" s="14" t="s">
        <v>81</v>
      </c>
      <c r="I3150" s="14" t="s">
        <v>59</v>
      </c>
      <c r="J3150" s="14" t="s">
        <v>198</v>
      </c>
      <c r="K3150" s="14" t="s">
        <v>210</v>
      </c>
      <c r="L3150" s="14" t="s">
        <v>278</v>
      </c>
      <c r="M3150" s="14" t="s">
        <v>279</v>
      </c>
      <c r="N3150" s="14" t="s">
        <v>280</v>
      </c>
      <c r="O3150" s="14">
        <v>100.0</v>
      </c>
      <c r="P3150" s="21">
        <v>0.0</v>
      </c>
      <c r="Q3150" s="22" t="str">
        <f t="shared" ref="Q3150:R3150" si="1872">"+0"</f>
        <v>+0</v>
      </c>
      <c r="R3150" s="18" t="str">
        <f t="shared" si="1872"/>
        <v>+0</v>
      </c>
      <c r="S3150" s="14" t="s">
        <v>281</v>
      </c>
    </row>
    <row r="3151">
      <c r="A3151" s="13">
        <v>45901.0</v>
      </c>
      <c r="B3151" s="14" t="s">
        <v>47</v>
      </c>
      <c r="C3151" s="14" t="s">
        <v>48</v>
      </c>
      <c r="D3151" s="14" t="s">
        <v>116</v>
      </c>
      <c r="E3151" s="14" t="s">
        <v>117</v>
      </c>
      <c r="F3151" s="15" t="s">
        <v>51</v>
      </c>
      <c r="G3151" s="14" t="s">
        <v>161</v>
      </c>
      <c r="H3151" s="14" t="s">
        <v>116</v>
      </c>
      <c r="I3151" s="14" t="s">
        <v>54</v>
      </c>
      <c r="J3151" s="14" t="s">
        <v>198</v>
      </c>
      <c r="K3151" s="14" t="s">
        <v>210</v>
      </c>
      <c r="L3151" s="14" t="s">
        <v>264</v>
      </c>
      <c r="M3151" s="14" t="s">
        <v>943</v>
      </c>
      <c r="N3151" s="14" t="s">
        <v>944</v>
      </c>
      <c r="O3151" s="14">
        <v>0.0</v>
      </c>
      <c r="P3151" s="21">
        <v>0.0</v>
      </c>
      <c r="Q3151" s="22" t="str">
        <f t="shared" ref="Q3151:R3151" si="1873">"+0"</f>
        <v>+0</v>
      </c>
      <c r="R3151" s="18" t="str">
        <f t="shared" si="1873"/>
        <v>+0</v>
      </c>
      <c r="S3151" s="14" t="s">
        <v>277</v>
      </c>
    </row>
    <row r="3152">
      <c r="A3152" s="13">
        <v>45901.0</v>
      </c>
      <c r="B3152" s="14" t="s">
        <v>47</v>
      </c>
      <c r="C3152" s="14" t="s">
        <v>48</v>
      </c>
      <c r="D3152" s="14" t="s">
        <v>158</v>
      </c>
      <c r="E3152" s="14" t="s">
        <v>159</v>
      </c>
      <c r="F3152" s="15" t="s">
        <v>51</v>
      </c>
      <c r="G3152" s="14" t="s">
        <v>160</v>
      </c>
      <c r="H3152" s="14" t="s">
        <v>158</v>
      </c>
      <c r="I3152" s="14" t="s">
        <v>54</v>
      </c>
      <c r="J3152" s="14" t="s">
        <v>198</v>
      </c>
      <c r="K3152" s="14" t="s">
        <v>212</v>
      </c>
      <c r="L3152" s="14" t="s">
        <v>249</v>
      </c>
      <c r="M3152" s="14" t="s">
        <v>686</v>
      </c>
      <c r="N3152" s="14" t="s">
        <v>687</v>
      </c>
      <c r="O3152" s="14">
        <v>0.0</v>
      </c>
      <c r="P3152" s="21">
        <v>0.0</v>
      </c>
      <c r="Q3152" s="22" t="str">
        <f t="shared" ref="Q3152:R3152" si="1874">"+0"</f>
        <v>+0</v>
      </c>
      <c r="R3152" s="18" t="str">
        <f t="shared" si="1874"/>
        <v>+0</v>
      </c>
      <c r="S3152" s="14" t="s">
        <v>277</v>
      </c>
    </row>
    <row r="3153">
      <c r="A3153" s="13">
        <v>45901.0</v>
      </c>
      <c r="B3153" s="14" t="s">
        <v>47</v>
      </c>
      <c r="C3153" s="14" t="s">
        <v>48</v>
      </c>
      <c r="D3153" s="14" t="s">
        <v>158</v>
      </c>
      <c r="E3153" s="14" t="s">
        <v>159</v>
      </c>
      <c r="F3153" s="15" t="s">
        <v>51</v>
      </c>
      <c r="G3153" s="14" t="s">
        <v>160</v>
      </c>
      <c r="H3153" s="14" t="s">
        <v>158</v>
      </c>
      <c r="I3153" s="14" t="s">
        <v>54</v>
      </c>
      <c r="J3153" s="14" t="s">
        <v>200</v>
      </c>
      <c r="K3153" s="14" t="s">
        <v>224</v>
      </c>
      <c r="L3153" s="14" t="s">
        <v>427</v>
      </c>
      <c r="M3153" s="14" t="s">
        <v>617</v>
      </c>
      <c r="N3153" s="14" t="s">
        <v>618</v>
      </c>
      <c r="O3153" s="14">
        <v>0.0</v>
      </c>
      <c r="P3153" s="17"/>
      <c r="Q3153" s="22"/>
      <c r="S3153" s="14" t="s">
        <v>619</v>
      </c>
    </row>
    <row r="3154">
      <c r="A3154" s="13">
        <v>45901.0</v>
      </c>
      <c r="B3154" s="14" t="s">
        <v>47</v>
      </c>
      <c r="C3154" s="14" t="s">
        <v>48</v>
      </c>
      <c r="D3154" s="14" t="s">
        <v>121</v>
      </c>
      <c r="E3154" s="14" t="s">
        <v>122</v>
      </c>
      <c r="F3154" s="15" t="s">
        <v>51</v>
      </c>
      <c r="G3154" s="14" t="s">
        <v>123</v>
      </c>
      <c r="H3154" s="14" t="s">
        <v>124</v>
      </c>
      <c r="I3154" s="14" t="s">
        <v>59</v>
      </c>
      <c r="J3154" s="14" t="s">
        <v>200</v>
      </c>
      <c r="K3154" s="14" t="s">
        <v>232</v>
      </c>
      <c r="L3154" s="14" t="s">
        <v>282</v>
      </c>
      <c r="M3154" s="14" t="s">
        <v>283</v>
      </c>
      <c r="N3154" s="14" t="s">
        <v>284</v>
      </c>
      <c r="O3154" s="14">
        <v>0.0</v>
      </c>
      <c r="P3154" s="23">
        <v>0.0</v>
      </c>
      <c r="Q3154" s="22" t="str">
        <f t="shared" ref="Q3154:R3154" si="1875">"+0.00%"</f>
        <v>+0.00%</v>
      </c>
      <c r="R3154" s="18" t="str">
        <f t="shared" si="1875"/>
        <v>+0.00%</v>
      </c>
      <c r="S3154" s="14" t="s">
        <v>285</v>
      </c>
    </row>
    <row r="3155">
      <c r="A3155" s="13">
        <v>45901.0</v>
      </c>
      <c r="B3155" s="14" t="s">
        <v>47</v>
      </c>
      <c r="C3155" s="14" t="s">
        <v>48</v>
      </c>
      <c r="D3155" s="14" t="s">
        <v>60</v>
      </c>
      <c r="E3155" s="14" t="s">
        <v>61</v>
      </c>
      <c r="F3155" s="15" t="s">
        <v>51</v>
      </c>
      <c r="G3155" s="14" t="s">
        <v>62</v>
      </c>
      <c r="H3155" s="14" t="s">
        <v>60</v>
      </c>
      <c r="I3155" s="14" t="s">
        <v>59</v>
      </c>
      <c r="J3155" s="14" t="s">
        <v>200</v>
      </c>
      <c r="K3155" s="14" t="s">
        <v>223</v>
      </c>
      <c r="L3155" s="14" t="s">
        <v>257</v>
      </c>
      <c r="M3155" s="14" t="s">
        <v>622</v>
      </c>
      <c r="N3155" s="14" t="s">
        <v>623</v>
      </c>
      <c r="O3155" s="14">
        <v>0.0</v>
      </c>
      <c r="P3155" s="23">
        <v>-1.0</v>
      </c>
      <c r="Q3155" s="22" t="str">
        <f t="shared" ref="Q3155:R3155" si="1876">"+0.00%"</f>
        <v>+0.00%</v>
      </c>
      <c r="R3155" s="18" t="str">
        <f t="shared" si="1876"/>
        <v>+0.00%</v>
      </c>
      <c r="S3155" s="14" t="s">
        <v>1990</v>
      </c>
    </row>
    <row r="3156">
      <c r="A3156" s="13">
        <v>45901.0</v>
      </c>
      <c r="B3156" s="14" t="s">
        <v>47</v>
      </c>
      <c r="C3156" s="14" t="s">
        <v>48</v>
      </c>
      <c r="D3156" s="14" t="s">
        <v>181</v>
      </c>
      <c r="E3156" s="14" t="s">
        <v>182</v>
      </c>
      <c r="F3156" s="15" t="s">
        <v>51</v>
      </c>
      <c r="G3156" s="14" t="s">
        <v>183</v>
      </c>
      <c r="H3156" s="14" t="s">
        <v>181</v>
      </c>
      <c r="I3156" s="14" t="s">
        <v>59</v>
      </c>
      <c r="J3156" s="14" t="s">
        <v>199</v>
      </c>
      <c r="K3156" s="14" t="s">
        <v>206</v>
      </c>
      <c r="L3156" s="14" t="s">
        <v>515</v>
      </c>
      <c r="M3156" s="14" t="s">
        <v>515</v>
      </c>
      <c r="N3156" s="14" t="s">
        <v>516</v>
      </c>
      <c r="O3156" s="14">
        <v>0.0</v>
      </c>
      <c r="P3156" s="21">
        <v>0.0</v>
      </c>
      <c r="Q3156" s="22" t="str">
        <f t="shared" ref="Q3156:R3156" si="1877">"+0"</f>
        <v>+0</v>
      </c>
      <c r="R3156" s="18" t="str">
        <f t="shared" si="1877"/>
        <v>+0</v>
      </c>
      <c r="S3156" s="14" t="s">
        <v>383</v>
      </c>
    </row>
    <row r="3157">
      <c r="A3157" s="13">
        <v>45901.0</v>
      </c>
      <c r="B3157" s="14" t="s">
        <v>47</v>
      </c>
      <c r="C3157" s="14" t="s">
        <v>48</v>
      </c>
      <c r="D3157" s="14" t="s">
        <v>155</v>
      </c>
      <c r="E3157" s="14" t="s">
        <v>156</v>
      </c>
      <c r="F3157" s="15" t="s">
        <v>51</v>
      </c>
      <c r="G3157" s="14" t="s">
        <v>157</v>
      </c>
      <c r="H3157" s="14" t="s">
        <v>155</v>
      </c>
      <c r="I3157" s="14" t="s">
        <v>59</v>
      </c>
      <c r="J3157" s="14" t="s">
        <v>200</v>
      </c>
      <c r="K3157" s="14" t="s">
        <v>223</v>
      </c>
      <c r="L3157" s="14" t="s">
        <v>363</v>
      </c>
      <c r="M3157" s="14" t="s">
        <v>842</v>
      </c>
      <c r="N3157" s="14" t="s">
        <v>843</v>
      </c>
      <c r="O3157" s="14">
        <v>100.0</v>
      </c>
      <c r="P3157" s="21">
        <v>16.0</v>
      </c>
      <c r="Q3157" s="22" t="str">
        <f t="shared" ref="Q3157:R3157" si="1878">"+0"</f>
        <v>+0</v>
      </c>
      <c r="R3157" s="18" t="str">
        <f t="shared" si="1878"/>
        <v>+0</v>
      </c>
      <c r="S3157" s="14" t="s">
        <v>260</v>
      </c>
    </row>
    <row r="3158">
      <c r="A3158" s="13">
        <v>45901.0</v>
      </c>
      <c r="B3158" s="14" t="s">
        <v>47</v>
      </c>
      <c r="C3158" s="14" t="s">
        <v>48</v>
      </c>
      <c r="D3158" s="14" t="s">
        <v>165</v>
      </c>
      <c r="E3158" s="14" t="s">
        <v>166</v>
      </c>
      <c r="F3158" s="15" t="s">
        <v>51</v>
      </c>
      <c r="G3158" s="14" t="s">
        <v>167</v>
      </c>
      <c r="H3158" s="14" t="s">
        <v>165</v>
      </c>
      <c r="I3158" s="14" t="s">
        <v>54</v>
      </c>
      <c r="J3158" s="14" t="s">
        <v>198</v>
      </c>
      <c r="K3158" s="14" t="s">
        <v>205</v>
      </c>
      <c r="L3158" s="14" t="s">
        <v>274</v>
      </c>
      <c r="M3158" s="14" t="s">
        <v>466</v>
      </c>
      <c r="N3158" s="14" t="s">
        <v>467</v>
      </c>
      <c r="O3158" s="14">
        <v>100.0</v>
      </c>
      <c r="P3158" s="21">
        <v>1.0</v>
      </c>
      <c r="Q3158" s="22" t="str">
        <f t="shared" ref="Q3158:Q3160" si="1879">"+0"</f>
        <v>+0</v>
      </c>
      <c r="S3158" s="14" t="s">
        <v>281</v>
      </c>
    </row>
    <row r="3159">
      <c r="A3159" s="13">
        <v>45901.0</v>
      </c>
      <c r="B3159" s="14" t="s">
        <v>47</v>
      </c>
      <c r="C3159" s="14" t="s">
        <v>48</v>
      </c>
      <c r="D3159" s="14" t="s">
        <v>165</v>
      </c>
      <c r="E3159" s="14" t="s">
        <v>166</v>
      </c>
      <c r="F3159" s="15" t="s">
        <v>51</v>
      </c>
      <c r="G3159" s="14" t="s">
        <v>167</v>
      </c>
      <c r="H3159" s="14" t="s">
        <v>165</v>
      </c>
      <c r="I3159" s="14" t="s">
        <v>54</v>
      </c>
      <c r="J3159" s="14" t="s">
        <v>200</v>
      </c>
      <c r="K3159" s="14" t="s">
        <v>222</v>
      </c>
      <c r="L3159" s="14" t="s">
        <v>253</v>
      </c>
      <c r="M3159" s="14" t="s">
        <v>732</v>
      </c>
      <c r="N3159" s="14" t="s">
        <v>733</v>
      </c>
      <c r="O3159" s="14">
        <v>100.0</v>
      </c>
      <c r="P3159" s="21">
        <v>2.0</v>
      </c>
      <c r="Q3159" s="22" t="str">
        <f t="shared" si="1879"/>
        <v>+0</v>
      </c>
      <c r="R3159" s="18" t="str">
        <f t="shared" ref="R3159:R3160" si="1880">"+0"</f>
        <v>+0</v>
      </c>
      <c r="S3159" s="14" t="s">
        <v>450</v>
      </c>
    </row>
    <row r="3160">
      <c r="A3160" s="13">
        <v>45901.0</v>
      </c>
      <c r="B3160" s="14" t="s">
        <v>47</v>
      </c>
      <c r="C3160" s="14" t="s">
        <v>48</v>
      </c>
      <c r="D3160" s="14" t="s">
        <v>99</v>
      </c>
      <c r="E3160" s="14" t="s">
        <v>100</v>
      </c>
      <c r="F3160" s="15" t="s">
        <v>51</v>
      </c>
      <c r="G3160" s="14" t="s">
        <v>101</v>
      </c>
      <c r="H3160" s="14" t="s">
        <v>102</v>
      </c>
      <c r="I3160" s="14" t="s">
        <v>54</v>
      </c>
      <c r="J3160" s="14" t="s">
        <v>198</v>
      </c>
      <c r="K3160" s="14" t="s">
        <v>210</v>
      </c>
      <c r="L3160" s="14" t="s">
        <v>264</v>
      </c>
      <c r="M3160" s="14" t="s">
        <v>407</v>
      </c>
      <c r="N3160" s="14" t="s">
        <v>408</v>
      </c>
      <c r="O3160" s="14">
        <v>100.0</v>
      </c>
      <c r="P3160" s="21">
        <v>0.0</v>
      </c>
      <c r="Q3160" s="22" t="str">
        <f t="shared" si="1879"/>
        <v>+0</v>
      </c>
      <c r="R3160" s="18" t="str">
        <f t="shared" si="1880"/>
        <v>+0</v>
      </c>
      <c r="S3160" s="14" t="s">
        <v>281</v>
      </c>
    </row>
    <row r="3161">
      <c r="A3161" s="13">
        <v>45901.0</v>
      </c>
      <c r="B3161" s="14" t="s">
        <v>47</v>
      </c>
      <c r="C3161" s="14" t="s">
        <v>48</v>
      </c>
      <c r="D3161" s="14" t="s">
        <v>63</v>
      </c>
      <c r="E3161" s="14" t="s">
        <v>64</v>
      </c>
      <c r="F3161" s="15" t="s">
        <v>51</v>
      </c>
      <c r="G3161" s="14" t="s">
        <v>65</v>
      </c>
      <c r="H3161" s="14" t="s">
        <v>63</v>
      </c>
      <c r="I3161" s="14" t="s">
        <v>54</v>
      </c>
      <c r="J3161" s="14" t="s">
        <v>200</v>
      </c>
      <c r="K3161" s="14" t="s">
        <v>213</v>
      </c>
      <c r="L3161" s="14" t="s">
        <v>289</v>
      </c>
      <c r="M3161" s="14" t="s">
        <v>684</v>
      </c>
      <c r="N3161" s="14" t="s">
        <v>685</v>
      </c>
      <c r="O3161" s="14">
        <v>100.0</v>
      </c>
      <c r="P3161" s="23">
        <v>0.001</v>
      </c>
      <c r="Q3161" s="22" t="str">
        <f>"+0.06%"</f>
        <v>+0.06%</v>
      </c>
      <c r="R3161" s="18" t="str">
        <f>"+0.03%"</f>
        <v>+0.03%</v>
      </c>
      <c r="S3161" s="14" t="s">
        <v>285</v>
      </c>
    </row>
    <row r="3162">
      <c r="A3162" s="13">
        <v>45901.0</v>
      </c>
      <c r="B3162" s="14" t="s">
        <v>47</v>
      </c>
      <c r="C3162" s="14" t="s">
        <v>48</v>
      </c>
      <c r="D3162" s="14" t="s">
        <v>91</v>
      </c>
      <c r="E3162" s="14" t="s">
        <v>92</v>
      </c>
      <c r="F3162" s="14" t="s">
        <v>71</v>
      </c>
      <c r="G3162" s="14">
        <v>5.00008343E8</v>
      </c>
      <c r="H3162" s="14" t="s">
        <v>91</v>
      </c>
      <c r="I3162" s="14" t="s">
        <v>59</v>
      </c>
      <c r="J3162" s="14" t="s">
        <v>199</v>
      </c>
      <c r="K3162" s="14" t="s">
        <v>206</v>
      </c>
      <c r="L3162" s="14" t="s">
        <v>531</v>
      </c>
      <c r="M3162" s="14" t="s">
        <v>531</v>
      </c>
      <c r="N3162" s="14" t="s">
        <v>532</v>
      </c>
      <c r="O3162" s="14">
        <v>100.0</v>
      </c>
      <c r="P3162" s="21">
        <v>13.0</v>
      </c>
      <c r="Q3162" s="22" t="str">
        <f t="shared" ref="Q3162:R3162" si="1881">"+0"</f>
        <v>+0</v>
      </c>
      <c r="R3162" s="18" t="str">
        <f t="shared" si="1881"/>
        <v>+0</v>
      </c>
      <c r="S3162" s="14" t="s">
        <v>260</v>
      </c>
    </row>
    <row r="3163">
      <c r="A3163" s="13">
        <v>45901.0</v>
      </c>
      <c r="B3163" s="14" t="s">
        <v>47</v>
      </c>
      <c r="C3163" s="14" t="s">
        <v>48</v>
      </c>
      <c r="D3163" s="14" t="s">
        <v>63</v>
      </c>
      <c r="E3163" s="14" t="s">
        <v>64</v>
      </c>
      <c r="F3163" s="15" t="s">
        <v>51</v>
      </c>
      <c r="G3163" s="14" t="s">
        <v>65</v>
      </c>
      <c r="H3163" s="14" t="s">
        <v>63</v>
      </c>
      <c r="I3163" s="14" t="s">
        <v>54</v>
      </c>
      <c r="J3163" s="14" t="s">
        <v>198</v>
      </c>
      <c r="K3163" s="14" t="s">
        <v>210</v>
      </c>
      <c r="L3163" s="14" t="s">
        <v>264</v>
      </c>
      <c r="M3163" s="14" t="s">
        <v>524</v>
      </c>
      <c r="N3163" s="14" t="s">
        <v>525</v>
      </c>
      <c r="O3163" s="14">
        <v>85.0</v>
      </c>
      <c r="P3163" s="21">
        <v>1.0</v>
      </c>
      <c r="Q3163" s="22" t="str">
        <f>"-2,689"</f>
        <v>-2,689</v>
      </c>
      <c r="R3163" s="18" t="str">
        <f>"-17"</f>
        <v>-17</v>
      </c>
      <c r="S3163" s="14" t="s">
        <v>526</v>
      </c>
    </row>
    <row r="3164">
      <c r="A3164" s="13">
        <v>45901.0</v>
      </c>
      <c r="B3164" s="14" t="s">
        <v>47</v>
      </c>
      <c r="C3164" s="14" t="s">
        <v>48</v>
      </c>
      <c r="D3164" s="14" t="s">
        <v>63</v>
      </c>
      <c r="E3164" s="14" t="s">
        <v>64</v>
      </c>
      <c r="F3164" s="15" t="s">
        <v>51</v>
      </c>
      <c r="G3164" s="14" t="s">
        <v>65</v>
      </c>
      <c r="H3164" s="14" t="s">
        <v>63</v>
      </c>
      <c r="I3164" s="14" t="s">
        <v>54</v>
      </c>
      <c r="J3164" s="14" t="s">
        <v>198</v>
      </c>
      <c r="K3164" s="14" t="s">
        <v>210</v>
      </c>
      <c r="L3164" s="14" t="s">
        <v>505</v>
      </c>
      <c r="M3164" s="14" t="s">
        <v>1097</v>
      </c>
      <c r="N3164" s="14" t="s">
        <v>1098</v>
      </c>
      <c r="O3164" s="14">
        <v>0.0</v>
      </c>
      <c r="P3164" s="21">
        <v>0.0</v>
      </c>
      <c r="Q3164" s="22" t="str">
        <f t="shared" ref="Q3164:R3164" si="1882">"+0"</f>
        <v>+0</v>
      </c>
      <c r="R3164" s="18" t="str">
        <f t="shared" si="1882"/>
        <v>+0</v>
      </c>
      <c r="S3164" s="14" t="s">
        <v>277</v>
      </c>
    </row>
    <row r="3165">
      <c r="A3165" s="13">
        <v>45901.0</v>
      </c>
      <c r="B3165" s="14" t="s">
        <v>47</v>
      </c>
      <c r="C3165" s="14" t="s">
        <v>48</v>
      </c>
      <c r="D3165" s="14" t="s">
        <v>91</v>
      </c>
      <c r="E3165" s="14" t="s">
        <v>92</v>
      </c>
      <c r="F3165" s="15" t="s">
        <v>51</v>
      </c>
      <c r="G3165" s="14" t="s">
        <v>163</v>
      </c>
      <c r="H3165" s="14" t="s">
        <v>91</v>
      </c>
      <c r="I3165" s="14" t="s">
        <v>59</v>
      </c>
      <c r="J3165" s="14" t="s">
        <v>200</v>
      </c>
      <c r="K3165" s="14" t="s">
        <v>223</v>
      </c>
      <c r="L3165" s="14" t="s">
        <v>710</v>
      </c>
      <c r="M3165" s="14" t="s">
        <v>806</v>
      </c>
      <c r="N3165" s="14" t="s">
        <v>807</v>
      </c>
      <c r="O3165" s="14">
        <v>0.0</v>
      </c>
      <c r="P3165" s="23">
        <v>0.0</v>
      </c>
      <c r="Q3165" s="22" t="str">
        <f t="shared" ref="Q3165:R3165" si="1883">"+0.00%"</f>
        <v>+0.00%</v>
      </c>
      <c r="R3165" s="18" t="str">
        <f t="shared" si="1883"/>
        <v>+0.00%</v>
      </c>
      <c r="S3165" s="14" t="s">
        <v>285</v>
      </c>
    </row>
    <row r="3166">
      <c r="A3166" s="13">
        <v>45901.0</v>
      </c>
      <c r="B3166" s="14" t="s">
        <v>47</v>
      </c>
      <c r="C3166" s="14" t="s">
        <v>48</v>
      </c>
      <c r="D3166" s="14" t="s">
        <v>91</v>
      </c>
      <c r="E3166" s="14" t="s">
        <v>92</v>
      </c>
      <c r="F3166" s="14" t="s">
        <v>71</v>
      </c>
      <c r="G3166" s="14">
        <v>5.00008612E8</v>
      </c>
      <c r="H3166" s="14" t="s">
        <v>91</v>
      </c>
      <c r="I3166" s="14" t="s">
        <v>59</v>
      </c>
      <c r="J3166" s="14" t="s">
        <v>199</v>
      </c>
      <c r="K3166" s="14" t="s">
        <v>206</v>
      </c>
      <c r="L3166" s="14" t="s">
        <v>531</v>
      </c>
      <c r="M3166" s="14" t="s">
        <v>531</v>
      </c>
      <c r="N3166" s="14" t="s">
        <v>532</v>
      </c>
      <c r="O3166" s="14">
        <v>100.0</v>
      </c>
      <c r="P3166" s="21">
        <v>13.0</v>
      </c>
      <c r="Q3166" s="22" t="str">
        <f t="shared" ref="Q3166:R3166" si="1884">"+0"</f>
        <v>+0</v>
      </c>
      <c r="R3166" s="18" t="str">
        <f t="shared" si="1884"/>
        <v>+0</v>
      </c>
      <c r="S3166" s="14" t="s">
        <v>260</v>
      </c>
    </row>
    <row r="3167">
      <c r="A3167" s="13">
        <v>45901.0</v>
      </c>
      <c r="B3167" s="14" t="s">
        <v>47</v>
      </c>
      <c r="C3167" s="14" t="s">
        <v>48</v>
      </c>
      <c r="D3167" s="14" t="s">
        <v>132</v>
      </c>
      <c r="E3167" s="14" t="s">
        <v>133</v>
      </c>
      <c r="F3167" s="15" t="s">
        <v>51</v>
      </c>
      <c r="G3167" s="14" t="s">
        <v>134</v>
      </c>
      <c r="H3167" s="14" t="s">
        <v>135</v>
      </c>
      <c r="I3167" s="14" t="s">
        <v>59</v>
      </c>
      <c r="J3167" s="14" t="s">
        <v>199</v>
      </c>
      <c r="K3167" s="14" t="s">
        <v>203</v>
      </c>
      <c r="L3167" s="14" t="s">
        <v>342</v>
      </c>
      <c r="M3167" s="14" t="s">
        <v>342</v>
      </c>
      <c r="N3167" s="14" t="s">
        <v>343</v>
      </c>
      <c r="O3167" s="14">
        <v>0.0</v>
      </c>
      <c r="P3167" s="21">
        <v>0.0</v>
      </c>
      <c r="Q3167" s="22" t="str">
        <f t="shared" ref="Q3167:R3167" si="1885">"+0"</f>
        <v>+0</v>
      </c>
      <c r="R3167" s="18" t="str">
        <f t="shared" si="1885"/>
        <v>+0</v>
      </c>
      <c r="S3167" s="14" t="s">
        <v>260</v>
      </c>
    </row>
    <row r="3168">
      <c r="A3168" s="13">
        <v>45901.0</v>
      </c>
      <c r="B3168" s="14" t="s">
        <v>47</v>
      </c>
      <c r="C3168" s="14" t="s">
        <v>48</v>
      </c>
      <c r="D3168" s="14" t="s">
        <v>132</v>
      </c>
      <c r="E3168" s="14" t="s">
        <v>133</v>
      </c>
      <c r="F3168" s="15" t="s">
        <v>51</v>
      </c>
      <c r="G3168" s="14" t="s">
        <v>134</v>
      </c>
      <c r="H3168" s="14" t="s">
        <v>135</v>
      </c>
      <c r="I3168" s="14" t="s">
        <v>59</v>
      </c>
      <c r="J3168" s="14" t="s">
        <v>199</v>
      </c>
      <c r="K3168" s="14" t="s">
        <v>206</v>
      </c>
      <c r="L3168" s="14" t="s">
        <v>569</v>
      </c>
      <c r="M3168" s="14" t="s">
        <v>569</v>
      </c>
      <c r="N3168" s="14" t="s">
        <v>570</v>
      </c>
      <c r="O3168" s="14">
        <v>0.0</v>
      </c>
      <c r="P3168" s="21">
        <v>0.0</v>
      </c>
      <c r="Q3168" s="22" t="str">
        <f t="shared" ref="Q3168:R3168" si="1886">"+0"</f>
        <v>+0</v>
      </c>
      <c r="R3168" s="18" t="str">
        <f t="shared" si="1886"/>
        <v>+0</v>
      </c>
      <c r="S3168" s="14" t="s">
        <v>383</v>
      </c>
    </row>
    <row r="3169">
      <c r="A3169" s="13">
        <v>45901.0</v>
      </c>
      <c r="B3169" s="14" t="s">
        <v>47</v>
      </c>
      <c r="C3169" s="14" t="s">
        <v>48</v>
      </c>
      <c r="D3169" s="14" t="s">
        <v>149</v>
      </c>
      <c r="E3169" s="14" t="s">
        <v>150</v>
      </c>
      <c r="F3169" s="15" t="s">
        <v>51</v>
      </c>
      <c r="G3169" s="14" t="s">
        <v>151</v>
      </c>
      <c r="H3169" s="14" t="s">
        <v>152</v>
      </c>
      <c r="I3169" s="14" t="s">
        <v>54</v>
      </c>
      <c r="J3169" s="14" t="s">
        <v>200</v>
      </c>
      <c r="K3169" s="14" t="s">
        <v>231</v>
      </c>
      <c r="L3169" s="14" t="s">
        <v>751</v>
      </c>
      <c r="M3169" s="14" t="s">
        <v>912</v>
      </c>
      <c r="N3169" s="14" t="s">
        <v>913</v>
      </c>
      <c r="O3169" s="14">
        <v>0.0</v>
      </c>
      <c r="P3169" s="21">
        <v>0.0</v>
      </c>
      <c r="Q3169" s="22" t="str">
        <f t="shared" ref="Q3169:R3169" si="1887">"+0"</f>
        <v>+0</v>
      </c>
      <c r="R3169" s="18" t="str">
        <f t="shared" si="1887"/>
        <v>+0</v>
      </c>
      <c r="S3169" s="14" t="s">
        <v>260</v>
      </c>
    </row>
    <row r="3170">
      <c r="A3170" s="13">
        <v>45901.0</v>
      </c>
      <c r="B3170" s="14" t="s">
        <v>47</v>
      </c>
      <c r="C3170" s="14" t="s">
        <v>48</v>
      </c>
      <c r="D3170" s="14" t="s">
        <v>149</v>
      </c>
      <c r="E3170" s="14" t="s">
        <v>150</v>
      </c>
      <c r="F3170" s="15" t="s">
        <v>51</v>
      </c>
      <c r="G3170" s="14" t="s">
        <v>151</v>
      </c>
      <c r="H3170" s="14" t="s">
        <v>152</v>
      </c>
      <c r="I3170" s="14" t="s">
        <v>54</v>
      </c>
      <c r="J3170" s="14" t="s">
        <v>200</v>
      </c>
      <c r="K3170" s="14" t="s">
        <v>202</v>
      </c>
      <c r="L3170" s="14" t="s">
        <v>253</v>
      </c>
      <c r="M3170" s="14" t="s">
        <v>347</v>
      </c>
      <c r="N3170" s="14" t="s">
        <v>348</v>
      </c>
      <c r="O3170" s="14">
        <v>41.0</v>
      </c>
      <c r="P3170" s="23">
        <v>0.4074</v>
      </c>
      <c r="Q3170" s="22" t="str">
        <f t="shared" ref="Q3170:R3170" si="1888">"+0.00%"</f>
        <v>+0.00%</v>
      </c>
      <c r="R3170" s="18" t="str">
        <f t="shared" si="1888"/>
        <v>+0.00%</v>
      </c>
      <c r="S3170" s="14" t="s">
        <v>1991</v>
      </c>
    </row>
    <row r="3171">
      <c r="A3171" s="13">
        <v>45901.0</v>
      </c>
      <c r="B3171" s="14" t="s">
        <v>47</v>
      </c>
      <c r="C3171" s="14" t="s">
        <v>48</v>
      </c>
      <c r="D3171" s="14" t="s">
        <v>149</v>
      </c>
      <c r="E3171" s="14" t="s">
        <v>150</v>
      </c>
      <c r="F3171" s="15" t="s">
        <v>51</v>
      </c>
      <c r="G3171" s="14" t="s">
        <v>151</v>
      </c>
      <c r="H3171" s="14" t="s">
        <v>152</v>
      </c>
      <c r="I3171" s="14" t="s">
        <v>54</v>
      </c>
      <c r="J3171" s="14" t="s">
        <v>200</v>
      </c>
      <c r="K3171" s="14" t="s">
        <v>224</v>
      </c>
      <c r="L3171" s="14" t="s">
        <v>453</v>
      </c>
      <c r="M3171" s="14" t="s">
        <v>665</v>
      </c>
      <c r="N3171" s="14" t="s">
        <v>666</v>
      </c>
      <c r="O3171" s="14">
        <v>100.0</v>
      </c>
      <c r="P3171" s="23">
        <v>1.0</v>
      </c>
      <c r="Q3171" s="22" t="str">
        <f t="shared" ref="Q3171:R3171" si="1889">"+0.00%"</f>
        <v>+0.00%</v>
      </c>
      <c r="R3171" s="18" t="str">
        <f t="shared" si="1889"/>
        <v>+0.00%</v>
      </c>
      <c r="S3171" s="14" t="s">
        <v>667</v>
      </c>
    </row>
    <row r="3172">
      <c r="A3172" s="13">
        <v>45901.0</v>
      </c>
      <c r="B3172" s="14" t="s">
        <v>47</v>
      </c>
      <c r="C3172" s="14" t="s">
        <v>48</v>
      </c>
      <c r="D3172" s="14" t="s">
        <v>129</v>
      </c>
      <c r="E3172" s="14" t="s">
        <v>130</v>
      </c>
      <c r="F3172" s="15" t="s">
        <v>51</v>
      </c>
      <c r="G3172" s="14" t="s">
        <v>131</v>
      </c>
      <c r="H3172" s="14" t="s">
        <v>129</v>
      </c>
      <c r="I3172" s="14" t="s">
        <v>59</v>
      </c>
      <c r="J3172" s="14" t="s">
        <v>200</v>
      </c>
      <c r="K3172" s="14" t="s">
        <v>231</v>
      </c>
      <c r="L3172" s="14" t="s">
        <v>512</v>
      </c>
      <c r="M3172" s="14" t="s">
        <v>1738</v>
      </c>
      <c r="N3172" s="14" t="s">
        <v>1739</v>
      </c>
      <c r="O3172" s="14">
        <v>0.0</v>
      </c>
      <c r="P3172" s="21">
        <v>0.0</v>
      </c>
      <c r="Q3172" s="22" t="str">
        <f t="shared" ref="Q3172:R3172" si="1890">"+0"</f>
        <v>+0</v>
      </c>
      <c r="R3172" s="18" t="str">
        <f t="shared" si="1890"/>
        <v>+0</v>
      </c>
      <c r="S3172" s="14" t="s">
        <v>260</v>
      </c>
    </row>
    <row r="3173">
      <c r="A3173" s="13">
        <v>45901.0</v>
      </c>
      <c r="B3173" s="14" t="s">
        <v>47</v>
      </c>
      <c r="C3173" s="14" t="s">
        <v>48</v>
      </c>
      <c r="D3173" s="14" t="s">
        <v>136</v>
      </c>
      <c r="E3173" s="14" t="s">
        <v>137</v>
      </c>
      <c r="F3173" s="15" t="s">
        <v>51</v>
      </c>
      <c r="G3173" s="14" t="s">
        <v>138</v>
      </c>
      <c r="H3173" s="14" t="s">
        <v>139</v>
      </c>
      <c r="I3173" s="14" t="s">
        <v>59</v>
      </c>
      <c r="J3173" s="14" t="s">
        <v>199</v>
      </c>
      <c r="K3173" s="14" t="s">
        <v>208</v>
      </c>
      <c r="L3173" s="14" t="s">
        <v>352</v>
      </c>
      <c r="M3173" s="14" t="s">
        <v>352</v>
      </c>
      <c r="N3173" s="14" t="s">
        <v>353</v>
      </c>
      <c r="O3173" s="14">
        <v>0.0</v>
      </c>
      <c r="P3173" s="21">
        <v>0.0</v>
      </c>
      <c r="Q3173" s="22" t="str">
        <f t="shared" ref="Q3173:R3173" si="1891">"+0"</f>
        <v>+0</v>
      </c>
      <c r="R3173" s="18" t="str">
        <f t="shared" si="1891"/>
        <v>+0</v>
      </c>
      <c r="S3173" s="14" t="s">
        <v>260</v>
      </c>
    </row>
    <row r="3174">
      <c r="A3174" s="13">
        <v>45901.0</v>
      </c>
      <c r="B3174" s="14" t="s">
        <v>47</v>
      </c>
      <c r="C3174" s="14" t="s">
        <v>48</v>
      </c>
      <c r="D3174" s="14" t="s">
        <v>87</v>
      </c>
      <c r="E3174" s="14" t="s">
        <v>88</v>
      </c>
      <c r="F3174" s="15" t="s">
        <v>51</v>
      </c>
      <c r="G3174" s="14" t="s">
        <v>89</v>
      </c>
      <c r="H3174" s="14" t="s">
        <v>90</v>
      </c>
      <c r="I3174" s="14" t="s">
        <v>59</v>
      </c>
      <c r="J3174" s="14" t="s">
        <v>200</v>
      </c>
      <c r="K3174" s="14" t="s">
        <v>223</v>
      </c>
      <c r="L3174" s="14" t="s">
        <v>307</v>
      </c>
      <c r="M3174" s="14" t="s">
        <v>308</v>
      </c>
      <c r="N3174" s="14" t="s">
        <v>309</v>
      </c>
      <c r="O3174" s="14">
        <v>0.0</v>
      </c>
      <c r="P3174" s="23">
        <v>0.0</v>
      </c>
      <c r="Q3174" s="22" t="str">
        <f t="shared" ref="Q3174:R3174" si="1892">"+0.00%"</f>
        <v>+0.00%</v>
      </c>
      <c r="R3174" s="18" t="str">
        <f t="shared" si="1892"/>
        <v>+0.00%</v>
      </c>
      <c r="S3174" s="14" t="s">
        <v>285</v>
      </c>
    </row>
    <row r="3175">
      <c r="A3175" s="13">
        <v>45901.0</v>
      </c>
      <c r="B3175" s="14" t="s">
        <v>47</v>
      </c>
      <c r="C3175" s="14" t="s">
        <v>48</v>
      </c>
      <c r="D3175" s="14" t="s">
        <v>129</v>
      </c>
      <c r="E3175" s="14" t="s">
        <v>130</v>
      </c>
      <c r="F3175" s="15" t="s">
        <v>51</v>
      </c>
      <c r="G3175" s="14" t="s">
        <v>131</v>
      </c>
      <c r="H3175" s="14" t="s">
        <v>129</v>
      </c>
      <c r="I3175" s="14" t="s">
        <v>59</v>
      </c>
      <c r="J3175" s="14" t="s">
        <v>200</v>
      </c>
      <c r="K3175" s="14" t="s">
        <v>231</v>
      </c>
      <c r="L3175" s="14" t="s">
        <v>512</v>
      </c>
      <c r="M3175" s="14" t="s">
        <v>934</v>
      </c>
      <c r="N3175" s="14" t="s">
        <v>935</v>
      </c>
      <c r="O3175" s="14">
        <v>100.0</v>
      </c>
      <c r="P3175" s="21">
        <v>784.0</v>
      </c>
      <c r="Q3175" s="22" t="str">
        <f>"-165"</f>
        <v>-165</v>
      </c>
      <c r="R3175" s="18" t="str">
        <f>"-164"</f>
        <v>-164</v>
      </c>
      <c r="S3175" s="14" t="s">
        <v>260</v>
      </c>
    </row>
    <row r="3176">
      <c r="A3176" s="13">
        <v>45901.0</v>
      </c>
      <c r="B3176" s="14" t="s">
        <v>47</v>
      </c>
      <c r="C3176" s="14" t="s">
        <v>48</v>
      </c>
      <c r="D3176" s="14" t="s">
        <v>69</v>
      </c>
      <c r="E3176" s="14" t="s">
        <v>70</v>
      </c>
      <c r="F3176" s="15" t="s">
        <v>51</v>
      </c>
      <c r="G3176" s="14" t="s">
        <v>115</v>
      </c>
      <c r="H3176" s="14" t="s">
        <v>72</v>
      </c>
      <c r="I3176" s="14" t="s">
        <v>54</v>
      </c>
      <c r="J3176" s="14" t="s">
        <v>200</v>
      </c>
      <c r="K3176" s="14" t="s">
        <v>227</v>
      </c>
      <c r="L3176" s="14" t="s">
        <v>721</v>
      </c>
      <c r="M3176" s="14" t="s">
        <v>1060</v>
      </c>
      <c r="N3176" s="14" t="s">
        <v>1061</v>
      </c>
      <c r="O3176" s="14">
        <v>50.0</v>
      </c>
      <c r="P3176" s="23">
        <v>0.0017</v>
      </c>
      <c r="Q3176" s="22" t="str">
        <f>"+6.78%"</f>
        <v>+6.78%</v>
      </c>
      <c r="R3176" s="18" t="str">
        <f>"+1.28%"</f>
        <v>+1.28%</v>
      </c>
      <c r="S3176" s="14" t="s">
        <v>1062</v>
      </c>
    </row>
    <row r="3177">
      <c r="A3177" s="13">
        <v>45901.0</v>
      </c>
      <c r="B3177" s="14" t="s">
        <v>47</v>
      </c>
      <c r="C3177" s="14" t="s">
        <v>48</v>
      </c>
      <c r="D3177" s="14" t="s">
        <v>125</v>
      </c>
      <c r="E3177" s="14" t="s">
        <v>126</v>
      </c>
      <c r="F3177" s="15" t="s">
        <v>51</v>
      </c>
      <c r="G3177" s="14" t="s">
        <v>127</v>
      </c>
      <c r="H3177" s="14" t="s">
        <v>125</v>
      </c>
      <c r="I3177" s="14" t="s">
        <v>59</v>
      </c>
      <c r="J3177" s="14" t="s">
        <v>198</v>
      </c>
      <c r="K3177" s="14" t="s">
        <v>210</v>
      </c>
      <c r="L3177" s="14" t="s">
        <v>278</v>
      </c>
      <c r="M3177" s="14" t="s">
        <v>279</v>
      </c>
      <c r="N3177" s="14" t="s">
        <v>280</v>
      </c>
      <c r="O3177" s="14">
        <v>100.0</v>
      </c>
      <c r="P3177" s="21">
        <v>0.0</v>
      </c>
      <c r="Q3177" s="22" t="str">
        <f t="shared" ref="Q3177:R3177" si="1893">"+0"</f>
        <v>+0</v>
      </c>
      <c r="R3177" s="18" t="str">
        <f t="shared" si="1893"/>
        <v>+0</v>
      </c>
      <c r="S3177" s="14" t="s">
        <v>281</v>
      </c>
    </row>
    <row r="3178">
      <c r="A3178" s="13">
        <v>45901.0</v>
      </c>
      <c r="B3178" s="14" t="s">
        <v>47</v>
      </c>
      <c r="C3178" s="14" t="s">
        <v>48</v>
      </c>
      <c r="D3178" s="14" t="s">
        <v>69</v>
      </c>
      <c r="E3178" s="14" t="s">
        <v>70</v>
      </c>
      <c r="F3178" s="15" t="s">
        <v>51</v>
      </c>
      <c r="G3178" s="14" t="s">
        <v>115</v>
      </c>
      <c r="H3178" s="14" t="s">
        <v>72</v>
      </c>
      <c r="I3178" s="14" t="s">
        <v>54</v>
      </c>
      <c r="J3178" s="14" t="s">
        <v>200</v>
      </c>
      <c r="K3178" s="14" t="s">
        <v>215</v>
      </c>
      <c r="L3178" s="14" t="s">
        <v>253</v>
      </c>
      <c r="M3178" s="14" t="s">
        <v>1972</v>
      </c>
      <c r="N3178" s="14" t="s">
        <v>1973</v>
      </c>
      <c r="O3178" s="14">
        <v>100.0</v>
      </c>
      <c r="P3178" s="23">
        <v>1.0</v>
      </c>
      <c r="Q3178" s="22" t="str">
        <f t="shared" ref="Q3178:R3178" si="1894">"+0.00%"</f>
        <v>+0.00%</v>
      </c>
      <c r="R3178" s="18" t="str">
        <f t="shared" si="1894"/>
        <v>+0.00%</v>
      </c>
      <c r="S3178" s="14" t="s">
        <v>1054</v>
      </c>
    </row>
    <row r="3179">
      <c r="A3179" s="13">
        <v>45901.0</v>
      </c>
      <c r="B3179" s="14" t="s">
        <v>47</v>
      </c>
      <c r="C3179" s="14" t="s">
        <v>48</v>
      </c>
      <c r="D3179" s="14" t="s">
        <v>108</v>
      </c>
      <c r="E3179" s="14" t="s">
        <v>109</v>
      </c>
      <c r="F3179" s="15" t="s">
        <v>51</v>
      </c>
      <c r="G3179" s="14" t="s">
        <v>110</v>
      </c>
      <c r="H3179" s="14" t="s">
        <v>108</v>
      </c>
      <c r="I3179" s="14" t="s">
        <v>59</v>
      </c>
      <c r="J3179" s="14" t="s">
        <v>198</v>
      </c>
      <c r="K3179" s="14" t="s">
        <v>205</v>
      </c>
      <c r="L3179" s="14" t="s">
        <v>274</v>
      </c>
      <c r="M3179" s="14" t="s">
        <v>473</v>
      </c>
      <c r="N3179" s="14" t="s">
        <v>474</v>
      </c>
      <c r="O3179" s="14">
        <v>50.0</v>
      </c>
      <c r="P3179" s="21">
        <v>15.0</v>
      </c>
      <c r="Q3179" s="22" t="str">
        <f>"+0"</f>
        <v>+0</v>
      </c>
      <c r="S3179" s="14" t="s">
        <v>475</v>
      </c>
    </row>
    <row r="3180">
      <c r="A3180" s="13">
        <v>45901.0</v>
      </c>
      <c r="B3180" s="14" t="s">
        <v>47</v>
      </c>
      <c r="C3180" s="14" t="s">
        <v>48</v>
      </c>
      <c r="D3180" s="14" t="s">
        <v>116</v>
      </c>
      <c r="E3180" s="14" t="s">
        <v>117</v>
      </c>
      <c r="F3180" s="15" t="s">
        <v>51</v>
      </c>
      <c r="G3180" s="14" t="s">
        <v>161</v>
      </c>
      <c r="H3180" s="14" t="s">
        <v>116</v>
      </c>
      <c r="I3180" s="14" t="s">
        <v>54</v>
      </c>
      <c r="J3180" s="14" t="s">
        <v>200</v>
      </c>
      <c r="K3180" s="14" t="s">
        <v>227</v>
      </c>
      <c r="L3180" s="14" t="s">
        <v>270</v>
      </c>
      <c r="M3180" s="14" t="s">
        <v>417</v>
      </c>
      <c r="N3180" s="14" t="s">
        <v>418</v>
      </c>
      <c r="O3180" s="14">
        <v>14.0</v>
      </c>
      <c r="P3180" s="21">
        <v>3.0</v>
      </c>
      <c r="Q3180" s="22" t="str">
        <f>"+2"</f>
        <v>+2</v>
      </c>
      <c r="R3180" s="18" t="str">
        <f t="shared" ref="R3180:R3181" si="1895">"-1"</f>
        <v>-1</v>
      </c>
      <c r="S3180" s="14" t="s">
        <v>260</v>
      </c>
    </row>
    <row r="3181">
      <c r="A3181" s="13">
        <v>45901.0</v>
      </c>
      <c r="B3181" s="14" t="s">
        <v>47</v>
      </c>
      <c r="C3181" s="14" t="s">
        <v>48</v>
      </c>
      <c r="D3181" s="14" t="s">
        <v>108</v>
      </c>
      <c r="E3181" s="14" t="s">
        <v>109</v>
      </c>
      <c r="F3181" s="15" t="s">
        <v>51</v>
      </c>
      <c r="G3181" s="14" t="s">
        <v>110</v>
      </c>
      <c r="H3181" s="14" t="s">
        <v>108</v>
      </c>
      <c r="I3181" s="14" t="s">
        <v>59</v>
      </c>
      <c r="J3181" s="14" t="s">
        <v>200</v>
      </c>
      <c r="K3181" s="14" t="s">
        <v>227</v>
      </c>
      <c r="L3181" s="14" t="s">
        <v>270</v>
      </c>
      <c r="M3181" s="14" t="s">
        <v>400</v>
      </c>
      <c r="N3181" s="14" t="s">
        <v>401</v>
      </c>
      <c r="O3181" s="14">
        <v>0.0</v>
      </c>
      <c r="P3181" s="21">
        <v>0.0</v>
      </c>
      <c r="Q3181" s="22" t="str">
        <f t="shared" ref="Q3181:Q3182" si="1896">"+0"</f>
        <v>+0</v>
      </c>
      <c r="R3181" s="18" t="str">
        <f t="shared" si="1895"/>
        <v>-1</v>
      </c>
      <c r="S3181" s="14" t="s">
        <v>260</v>
      </c>
    </row>
    <row r="3182">
      <c r="A3182" s="13">
        <v>45901.0</v>
      </c>
      <c r="B3182" s="14" t="s">
        <v>47</v>
      </c>
      <c r="C3182" s="14" t="s">
        <v>48</v>
      </c>
      <c r="D3182" s="14" t="s">
        <v>116</v>
      </c>
      <c r="E3182" s="14" t="s">
        <v>117</v>
      </c>
      <c r="F3182" s="15" t="s">
        <v>51</v>
      </c>
      <c r="G3182" s="14" t="s">
        <v>161</v>
      </c>
      <c r="H3182" s="14" t="s">
        <v>116</v>
      </c>
      <c r="I3182" s="14" t="s">
        <v>54</v>
      </c>
      <c r="J3182" s="14" t="s">
        <v>199</v>
      </c>
      <c r="K3182" s="14" t="s">
        <v>203</v>
      </c>
      <c r="L3182" s="14" t="s">
        <v>1095</v>
      </c>
      <c r="M3182" s="14" t="s">
        <v>1095</v>
      </c>
      <c r="N3182" s="14" t="s">
        <v>1096</v>
      </c>
      <c r="O3182" s="14">
        <v>100.0</v>
      </c>
      <c r="P3182" s="21">
        <v>1.0</v>
      </c>
      <c r="Q3182" s="22" t="str">
        <f t="shared" si="1896"/>
        <v>+0</v>
      </c>
      <c r="R3182" s="18" t="str">
        <f>"+0"</f>
        <v>+0</v>
      </c>
      <c r="S3182" s="14" t="s">
        <v>260</v>
      </c>
    </row>
    <row r="3183">
      <c r="A3183" s="13">
        <v>45901.0</v>
      </c>
      <c r="B3183" s="14" t="s">
        <v>47</v>
      </c>
      <c r="C3183" s="14" t="s">
        <v>48</v>
      </c>
      <c r="D3183" s="14" t="s">
        <v>181</v>
      </c>
      <c r="E3183" s="14" t="s">
        <v>182</v>
      </c>
      <c r="F3183" s="15" t="s">
        <v>51</v>
      </c>
      <c r="G3183" s="14" t="s">
        <v>183</v>
      </c>
      <c r="H3183" s="14" t="s">
        <v>181</v>
      </c>
      <c r="I3183" s="14" t="s">
        <v>59</v>
      </c>
      <c r="J3183" s="14" t="s">
        <v>200</v>
      </c>
      <c r="K3183" s="14" t="s">
        <v>232</v>
      </c>
      <c r="L3183" s="14" t="s">
        <v>363</v>
      </c>
      <c r="M3183" s="14" t="s">
        <v>1634</v>
      </c>
      <c r="N3183" s="14" t="s">
        <v>1635</v>
      </c>
      <c r="O3183" s="14">
        <v>0.0</v>
      </c>
      <c r="P3183" s="23">
        <v>0.0</v>
      </c>
      <c r="Q3183" s="22" t="str">
        <f t="shared" ref="Q3183:R3183" si="1897">"+0.00%"</f>
        <v>+0.00%</v>
      </c>
      <c r="R3183" s="18" t="str">
        <f t="shared" si="1897"/>
        <v>+0.00%</v>
      </c>
      <c r="S3183" s="14" t="s">
        <v>285</v>
      </c>
    </row>
    <row r="3184">
      <c r="A3184" s="13">
        <v>45901.0</v>
      </c>
      <c r="B3184" s="14" t="s">
        <v>47</v>
      </c>
      <c r="C3184" s="14" t="s">
        <v>48</v>
      </c>
      <c r="D3184" s="14" t="s">
        <v>60</v>
      </c>
      <c r="E3184" s="14" t="s">
        <v>61</v>
      </c>
      <c r="F3184" s="15" t="s">
        <v>51</v>
      </c>
      <c r="G3184" s="14" t="s">
        <v>62</v>
      </c>
      <c r="H3184" s="14" t="s">
        <v>60</v>
      </c>
      <c r="I3184" s="14" t="s">
        <v>59</v>
      </c>
      <c r="J3184" s="14" t="s">
        <v>200</v>
      </c>
      <c r="K3184" s="14" t="s">
        <v>209</v>
      </c>
      <c r="L3184" s="14" t="s">
        <v>253</v>
      </c>
      <c r="M3184" s="14" t="s">
        <v>402</v>
      </c>
      <c r="N3184" s="14" t="s">
        <v>403</v>
      </c>
      <c r="O3184" s="14">
        <v>1.0</v>
      </c>
      <c r="P3184" s="23">
        <v>0.0158</v>
      </c>
      <c r="Q3184" s="22" t="str">
        <f>"+0.04%"</f>
        <v>+0.04%</v>
      </c>
      <c r="R3184" s="18" t="str">
        <f>"+0.06%"</f>
        <v>+0.06%</v>
      </c>
      <c r="S3184" s="14" t="s">
        <v>1992</v>
      </c>
    </row>
    <row r="3185">
      <c r="A3185" s="13">
        <v>45901.0</v>
      </c>
      <c r="B3185" s="14" t="s">
        <v>47</v>
      </c>
      <c r="C3185" s="14" t="s">
        <v>48</v>
      </c>
      <c r="D3185" s="14" t="s">
        <v>140</v>
      </c>
      <c r="E3185" s="14" t="s">
        <v>141</v>
      </c>
      <c r="F3185" s="15" t="s">
        <v>51</v>
      </c>
      <c r="G3185" s="14" t="s">
        <v>142</v>
      </c>
      <c r="H3185" s="14" t="s">
        <v>140</v>
      </c>
      <c r="I3185" s="14" t="s">
        <v>59</v>
      </c>
      <c r="J3185" s="14" t="s">
        <v>200</v>
      </c>
      <c r="K3185" s="14" t="s">
        <v>229</v>
      </c>
      <c r="L3185" s="14" t="s">
        <v>253</v>
      </c>
      <c r="M3185" s="14" t="s">
        <v>366</v>
      </c>
      <c r="N3185" s="14" t="s">
        <v>367</v>
      </c>
      <c r="O3185" s="14">
        <v>74.0</v>
      </c>
      <c r="P3185" s="23">
        <v>0.74</v>
      </c>
      <c r="Q3185" s="22" t="str">
        <f t="shared" ref="Q3185:R3185" si="1898">"+0.00%"</f>
        <v>+0.00%</v>
      </c>
      <c r="R3185" s="18" t="str">
        <f t="shared" si="1898"/>
        <v>+0.00%</v>
      </c>
      <c r="S3185" s="14" t="s">
        <v>1273</v>
      </c>
    </row>
    <row r="3186">
      <c r="A3186" s="13">
        <v>45901.0</v>
      </c>
      <c r="B3186" s="14" t="s">
        <v>47</v>
      </c>
      <c r="C3186" s="14" t="s">
        <v>48</v>
      </c>
      <c r="D3186" s="14" t="s">
        <v>181</v>
      </c>
      <c r="E3186" s="14" t="s">
        <v>182</v>
      </c>
      <c r="F3186" s="15" t="s">
        <v>51</v>
      </c>
      <c r="G3186" s="14" t="s">
        <v>183</v>
      </c>
      <c r="H3186" s="14" t="s">
        <v>181</v>
      </c>
      <c r="I3186" s="14" t="s">
        <v>59</v>
      </c>
      <c r="J3186" s="14" t="s">
        <v>200</v>
      </c>
      <c r="K3186" s="14" t="s">
        <v>232</v>
      </c>
      <c r="L3186" s="14" t="s">
        <v>286</v>
      </c>
      <c r="M3186" s="14" t="s">
        <v>287</v>
      </c>
      <c r="N3186" s="14" t="s">
        <v>288</v>
      </c>
      <c r="O3186" s="14">
        <v>0.0</v>
      </c>
      <c r="P3186" s="23">
        <v>0.0</v>
      </c>
      <c r="Q3186" s="22" t="str">
        <f t="shared" ref="Q3186:R3186" si="1899">"+0.00%"</f>
        <v>+0.00%</v>
      </c>
      <c r="R3186" s="18" t="str">
        <f t="shared" si="1899"/>
        <v>+0.00%</v>
      </c>
      <c r="S3186" s="14" t="s">
        <v>285</v>
      </c>
    </row>
    <row r="3187">
      <c r="A3187" s="13">
        <v>45901.0</v>
      </c>
      <c r="B3187" s="14" t="s">
        <v>47</v>
      </c>
      <c r="C3187" s="14" t="s">
        <v>48</v>
      </c>
      <c r="D3187" s="14" t="s">
        <v>181</v>
      </c>
      <c r="E3187" s="14" t="s">
        <v>182</v>
      </c>
      <c r="F3187" s="15" t="s">
        <v>51</v>
      </c>
      <c r="G3187" s="14" t="s">
        <v>183</v>
      </c>
      <c r="H3187" s="14" t="s">
        <v>181</v>
      </c>
      <c r="I3187" s="14" t="s">
        <v>59</v>
      </c>
      <c r="J3187" s="14" t="s">
        <v>200</v>
      </c>
      <c r="K3187" s="14" t="s">
        <v>232</v>
      </c>
      <c r="L3187" s="14" t="s">
        <v>710</v>
      </c>
      <c r="M3187" s="14" t="s">
        <v>711</v>
      </c>
      <c r="N3187" s="14" t="s">
        <v>712</v>
      </c>
      <c r="O3187" s="14">
        <v>0.0</v>
      </c>
      <c r="P3187" s="23">
        <v>0.0</v>
      </c>
      <c r="Q3187" s="22" t="str">
        <f t="shared" ref="Q3187:R3187" si="1900">"+0.00%"</f>
        <v>+0.00%</v>
      </c>
      <c r="R3187" s="18" t="str">
        <f t="shared" si="1900"/>
        <v>+0.00%</v>
      </c>
      <c r="S3187" s="14" t="s">
        <v>285</v>
      </c>
    </row>
    <row r="3188">
      <c r="A3188" s="13">
        <v>45901.0</v>
      </c>
      <c r="B3188" s="14" t="s">
        <v>47</v>
      </c>
      <c r="C3188" s="14" t="s">
        <v>48</v>
      </c>
      <c r="D3188" s="14" t="s">
        <v>49</v>
      </c>
      <c r="E3188" s="14" t="s">
        <v>50</v>
      </c>
      <c r="F3188" s="15" t="s">
        <v>51</v>
      </c>
      <c r="G3188" s="14" t="s">
        <v>52</v>
      </c>
      <c r="H3188" s="14" t="s">
        <v>53</v>
      </c>
      <c r="I3188" s="14" t="s">
        <v>54</v>
      </c>
      <c r="J3188" s="14" t="s">
        <v>198</v>
      </c>
      <c r="K3188" s="14" t="s">
        <v>210</v>
      </c>
      <c r="L3188" s="14" t="s">
        <v>264</v>
      </c>
      <c r="M3188" s="14" t="s">
        <v>959</v>
      </c>
      <c r="N3188" s="14" t="s">
        <v>960</v>
      </c>
      <c r="O3188" s="14">
        <v>0.0</v>
      </c>
      <c r="P3188" s="21">
        <v>0.0</v>
      </c>
      <c r="Q3188" s="22" t="str">
        <f t="shared" ref="Q3188:R3188" si="1901">"+0"</f>
        <v>+0</v>
      </c>
      <c r="R3188" s="18" t="str">
        <f t="shared" si="1901"/>
        <v>+0</v>
      </c>
      <c r="S3188" s="14" t="s">
        <v>277</v>
      </c>
    </row>
    <row r="3189">
      <c r="A3189" s="13">
        <v>45901.0</v>
      </c>
      <c r="B3189" s="14" t="s">
        <v>47</v>
      </c>
      <c r="C3189" s="14" t="s">
        <v>48</v>
      </c>
      <c r="D3189" s="14" t="s">
        <v>49</v>
      </c>
      <c r="E3189" s="14" t="s">
        <v>50</v>
      </c>
      <c r="F3189" s="15" t="s">
        <v>51</v>
      </c>
      <c r="G3189" s="14" t="s">
        <v>52</v>
      </c>
      <c r="H3189" s="14" t="s">
        <v>53</v>
      </c>
      <c r="I3189" s="14" t="s">
        <v>54</v>
      </c>
      <c r="J3189" s="14" t="s">
        <v>198</v>
      </c>
      <c r="K3189" s="14" t="s">
        <v>210</v>
      </c>
      <c r="L3189" s="14" t="s">
        <v>264</v>
      </c>
      <c r="M3189" s="14" t="s">
        <v>405</v>
      </c>
      <c r="N3189" s="14" t="s">
        <v>406</v>
      </c>
      <c r="O3189" s="14">
        <v>0.0</v>
      </c>
      <c r="P3189" s="21">
        <v>0.0</v>
      </c>
      <c r="Q3189" s="22" t="str">
        <f t="shared" ref="Q3189:R3189" si="1902">"+0"</f>
        <v>+0</v>
      </c>
      <c r="R3189" s="18" t="str">
        <f t="shared" si="1902"/>
        <v>+0</v>
      </c>
      <c r="S3189" s="14" t="s">
        <v>277</v>
      </c>
    </row>
    <row r="3190">
      <c r="A3190" s="13">
        <v>45901.0</v>
      </c>
      <c r="B3190" s="14" t="s">
        <v>47</v>
      </c>
      <c r="C3190" s="14" t="s">
        <v>48</v>
      </c>
      <c r="D3190" s="14" t="s">
        <v>165</v>
      </c>
      <c r="E3190" s="14" t="s">
        <v>166</v>
      </c>
      <c r="F3190" s="15" t="s">
        <v>51</v>
      </c>
      <c r="G3190" s="14" t="s">
        <v>167</v>
      </c>
      <c r="H3190" s="14" t="s">
        <v>165</v>
      </c>
      <c r="I3190" s="14" t="s">
        <v>54</v>
      </c>
      <c r="J3190" s="14" t="s">
        <v>198</v>
      </c>
      <c r="K3190" s="14" t="s">
        <v>210</v>
      </c>
      <c r="L3190" s="14" t="s">
        <v>264</v>
      </c>
      <c r="M3190" s="14" t="s">
        <v>407</v>
      </c>
      <c r="N3190" s="14" t="s">
        <v>408</v>
      </c>
      <c r="O3190" s="14">
        <v>67.0</v>
      </c>
      <c r="P3190" s="21">
        <v>4537.0</v>
      </c>
      <c r="Q3190" s="22" t="str">
        <f>"+709"</f>
        <v>+709</v>
      </c>
      <c r="R3190" s="18" t="str">
        <f>"-534"</f>
        <v>-534</v>
      </c>
      <c r="S3190" s="14" t="s">
        <v>1993</v>
      </c>
    </row>
    <row r="3191">
      <c r="A3191" s="13">
        <v>45901.0</v>
      </c>
      <c r="B3191" s="14" t="s">
        <v>47</v>
      </c>
      <c r="C3191" s="14" t="s">
        <v>48</v>
      </c>
      <c r="D3191" s="14" t="s">
        <v>49</v>
      </c>
      <c r="E3191" s="14" t="s">
        <v>50</v>
      </c>
      <c r="F3191" s="15" t="s">
        <v>51</v>
      </c>
      <c r="G3191" s="14" t="s">
        <v>52</v>
      </c>
      <c r="H3191" s="14" t="s">
        <v>53</v>
      </c>
      <c r="I3191" s="14" t="s">
        <v>54</v>
      </c>
      <c r="J3191" s="14" t="s">
        <v>200</v>
      </c>
      <c r="K3191" s="14" t="s">
        <v>227</v>
      </c>
      <c r="L3191" s="14" t="s">
        <v>721</v>
      </c>
      <c r="M3191" s="14" t="s">
        <v>748</v>
      </c>
      <c r="N3191" s="14" t="s">
        <v>749</v>
      </c>
      <c r="O3191" s="14">
        <v>0.0</v>
      </c>
      <c r="P3191" s="23">
        <v>-1.0</v>
      </c>
      <c r="Q3191" s="22" t="str">
        <f>"-114.29%"</f>
        <v>-114.29%</v>
      </c>
      <c r="R3191" s="18" t="str">
        <f>"-109.09%"</f>
        <v>-109.09%</v>
      </c>
      <c r="S3191" s="14" t="s">
        <v>750</v>
      </c>
    </row>
    <row r="3192">
      <c r="A3192" s="13">
        <v>45901.0</v>
      </c>
      <c r="B3192" s="14" t="s">
        <v>47</v>
      </c>
      <c r="C3192" s="14" t="s">
        <v>48</v>
      </c>
      <c r="D3192" s="14" t="s">
        <v>49</v>
      </c>
      <c r="E3192" s="14" t="s">
        <v>50</v>
      </c>
      <c r="F3192" s="15" t="s">
        <v>51</v>
      </c>
      <c r="G3192" s="14" t="s">
        <v>52</v>
      </c>
      <c r="H3192" s="14" t="s">
        <v>53</v>
      </c>
      <c r="I3192" s="14" t="s">
        <v>54</v>
      </c>
      <c r="J3192" s="14" t="s">
        <v>200</v>
      </c>
      <c r="K3192" s="14" t="s">
        <v>224</v>
      </c>
      <c r="L3192" s="14" t="s">
        <v>253</v>
      </c>
      <c r="M3192" s="14" t="s">
        <v>952</v>
      </c>
      <c r="N3192" s="14" t="s">
        <v>953</v>
      </c>
      <c r="O3192" s="14">
        <v>90.0</v>
      </c>
      <c r="P3192" s="23">
        <v>0.9091</v>
      </c>
      <c r="Q3192" s="22" t="str">
        <f t="shared" ref="Q3192:R3192" si="1903">"+3.03%"</f>
        <v>+3.03%</v>
      </c>
      <c r="R3192" s="18" t="str">
        <f t="shared" si="1903"/>
        <v>+3.03%</v>
      </c>
      <c r="S3192" s="14" t="s">
        <v>1994</v>
      </c>
    </row>
    <row r="3193">
      <c r="A3193" s="13">
        <v>45901.0</v>
      </c>
      <c r="B3193" s="14" t="s">
        <v>47</v>
      </c>
      <c r="C3193" s="14" t="s">
        <v>48</v>
      </c>
      <c r="D3193" s="14" t="s">
        <v>118</v>
      </c>
      <c r="E3193" s="14" t="s">
        <v>119</v>
      </c>
      <c r="F3193" s="15" t="s">
        <v>51</v>
      </c>
      <c r="G3193" s="14" t="s">
        <v>120</v>
      </c>
      <c r="H3193" s="14" t="s">
        <v>118</v>
      </c>
      <c r="I3193" s="14" t="s">
        <v>59</v>
      </c>
      <c r="J3193" s="14" t="s">
        <v>200</v>
      </c>
      <c r="K3193" s="14" t="s">
        <v>222</v>
      </c>
      <c r="L3193" s="14" t="s">
        <v>301</v>
      </c>
      <c r="M3193" s="14" t="s">
        <v>302</v>
      </c>
      <c r="N3193" s="14" t="s">
        <v>303</v>
      </c>
      <c r="O3193" s="14">
        <v>0.0</v>
      </c>
      <c r="P3193" s="21">
        <v>0.0</v>
      </c>
      <c r="Q3193" s="22" t="str">
        <f t="shared" ref="Q3193:R3193" si="1904">"+0"</f>
        <v>+0</v>
      </c>
      <c r="R3193" s="18" t="str">
        <f t="shared" si="1904"/>
        <v>+0</v>
      </c>
      <c r="S3193" s="14" t="s">
        <v>260</v>
      </c>
    </row>
    <row r="3194">
      <c r="A3194" s="13">
        <v>45901.0</v>
      </c>
      <c r="B3194" s="14" t="s">
        <v>47</v>
      </c>
      <c r="C3194" s="14" t="s">
        <v>48</v>
      </c>
      <c r="D3194" s="14" t="s">
        <v>91</v>
      </c>
      <c r="E3194" s="14" t="s">
        <v>92</v>
      </c>
      <c r="F3194" s="14" t="s">
        <v>71</v>
      </c>
      <c r="G3194" s="14">
        <v>5.10000484E8</v>
      </c>
      <c r="H3194" s="14" t="s">
        <v>91</v>
      </c>
      <c r="I3194" s="14" t="s">
        <v>54</v>
      </c>
      <c r="J3194" s="14" t="s">
        <v>199</v>
      </c>
      <c r="K3194" s="14" t="s">
        <v>203</v>
      </c>
      <c r="L3194" s="14" t="s">
        <v>736</v>
      </c>
      <c r="M3194" s="14" t="s">
        <v>736</v>
      </c>
      <c r="N3194" s="14" t="s">
        <v>737</v>
      </c>
      <c r="O3194" s="14">
        <v>100.0</v>
      </c>
      <c r="P3194" s="21">
        <v>5.0</v>
      </c>
      <c r="Q3194" s="22" t="str">
        <f t="shared" ref="Q3194:R3194" si="1905">"+0"</f>
        <v>+0</v>
      </c>
      <c r="R3194" s="18" t="str">
        <f t="shared" si="1905"/>
        <v>+0</v>
      </c>
      <c r="S3194" s="14" t="s">
        <v>260</v>
      </c>
    </row>
    <row r="3195">
      <c r="A3195" s="13">
        <v>45901.0</v>
      </c>
      <c r="B3195" s="14" t="s">
        <v>47</v>
      </c>
      <c r="C3195" s="14" t="s">
        <v>48</v>
      </c>
      <c r="D3195" s="14" t="s">
        <v>99</v>
      </c>
      <c r="E3195" s="14" t="s">
        <v>100</v>
      </c>
      <c r="F3195" s="15" t="s">
        <v>51</v>
      </c>
      <c r="G3195" s="14" t="s">
        <v>101</v>
      </c>
      <c r="H3195" s="14" t="s">
        <v>102</v>
      </c>
      <c r="I3195" s="14" t="s">
        <v>54</v>
      </c>
      <c r="J3195" s="14" t="s">
        <v>198</v>
      </c>
      <c r="K3195" s="14" t="s">
        <v>205</v>
      </c>
      <c r="L3195" s="14" t="s">
        <v>274</v>
      </c>
      <c r="M3195" s="14" t="s">
        <v>482</v>
      </c>
      <c r="N3195" s="14" t="s">
        <v>483</v>
      </c>
      <c r="O3195" s="14">
        <v>100.0</v>
      </c>
      <c r="P3195" s="21">
        <v>12.0</v>
      </c>
      <c r="Q3195" s="22" t="str">
        <f t="shared" ref="Q3195:Q3196" si="1906">"+0"</f>
        <v>+0</v>
      </c>
      <c r="S3195" s="14" t="s">
        <v>484</v>
      </c>
    </row>
    <row r="3196">
      <c r="A3196" s="13">
        <v>45901.0</v>
      </c>
      <c r="B3196" s="14" t="s">
        <v>47</v>
      </c>
      <c r="C3196" s="14" t="s">
        <v>48</v>
      </c>
      <c r="D3196" s="14" t="s">
        <v>66</v>
      </c>
      <c r="E3196" s="14" t="s">
        <v>67</v>
      </c>
      <c r="F3196" s="15" t="s">
        <v>51</v>
      </c>
      <c r="G3196" s="14" t="s">
        <v>68</v>
      </c>
      <c r="H3196" s="14" t="s">
        <v>66</v>
      </c>
      <c r="I3196" s="14" t="s">
        <v>59</v>
      </c>
      <c r="J3196" s="14" t="s">
        <v>198</v>
      </c>
      <c r="K3196" s="14" t="s">
        <v>210</v>
      </c>
      <c r="L3196" s="14" t="s">
        <v>278</v>
      </c>
      <c r="M3196" s="14" t="s">
        <v>279</v>
      </c>
      <c r="N3196" s="14" t="s">
        <v>280</v>
      </c>
      <c r="O3196" s="14">
        <v>100.0</v>
      </c>
      <c r="P3196" s="21">
        <v>0.0</v>
      </c>
      <c r="Q3196" s="22" t="str">
        <f t="shared" si="1906"/>
        <v>+0</v>
      </c>
      <c r="R3196" s="18" t="str">
        <f>"+0"</f>
        <v>+0</v>
      </c>
      <c r="S3196" s="14" t="s">
        <v>281</v>
      </c>
    </row>
    <row r="3197">
      <c r="A3197" s="13">
        <v>45901.0</v>
      </c>
      <c r="B3197" s="14" t="s">
        <v>47</v>
      </c>
      <c r="C3197" s="14" t="s">
        <v>48</v>
      </c>
      <c r="D3197" s="14" t="s">
        <v>192</v>
      </c>
      <c r="E3197" s="14" t="s">
        <v>193</v>
      </c>
      <c r="F3197" s="15" t="s">
        <v>51</v>
      </c>
      <c r="G3197" s="14" t="s">
        <v>194</v>
      </c>
      <c r="H3197" s="14" t="s">
        <v>192</v>
      </c>
      <c r="I3197" s="14" t="s">
        <v>54</v>
      </c>
      <c r="J3197" s="14" t="s">
        <v>198</v>
      </c>
      <c r="K3197" s="14" t="s">
        <v>210</v>
      </c>
      <c r="L3197" s="14" t="s">
        <v>264</v>
      </c>
      <c r="M3197" s="14" t="s">
        <v>1033</v>
      </c>
      <c r="N3197" s="14" t="s">
        <v>1034</v>
      </c>
      <c r="O3197" s="14">
        <v>100.0</v>
      </c>
      <c r="P3197" s="21">
        <v>2.0</v>
      </c>
      <c r="Q3197" s="22" t="str">
        <f>"+1"</f>
        <v>+1</v>
      </c>
      <c r="R3197" s="18" t="str">
        <f>"+2"</f>
        <v>+2</v>
      </c>
      <c r="S3197" s="14" t="s">
        <v>277</v>
      </c>
    </row>
    <row r="3198">
      <c r="A3198" s="13">
        <v>45901.0</v>
      </c>
      <c r="B3198" s="14" t="s">
        <v>47</v>
      </c>
      <c r="C3198" s="14" t="s">
        <v>48</v>
      </c>
      <c r="D3198" s="14" t="s">
        <v>192</v>
      </c>
      <c r="E3198" s="14" t="s">
        <v>193</v>
      </c>
      <c r="F3198" s="15" t="s">
        <v>51</v>
      </c>
      <c r="G3198" s="14" t="s">
        <v>194</v>
      </c>
      <c r="H3198" s="14" t="s">
        <v>192</v>
      </c>
      <c r="I3198" s="14" t="s">
        <v>54</v>
      </c>
      <c r="J3198" s="14" t="s">
        <v>199</v>
      </c>
      <c r="K3198" s="14" t="s">
        <v>206</v>
      </c>
      <c r="L3198" s="14" t="s">
        <v>295</v>
      </c>
      <c r="M3198" s="14" t="s">
        <v>986</v>
      </c>
      <c r="N3198" s="14" t="s">
        <v>987</v>
      </c>
      <c r="O3198" s="14">
        <v>0.0</v>
      </c>
      <c r="P3198" s="21">
        <v>0.0</v>
      </c>
      <c r="Q3198" s="22" t="str">
        <f t="shared" ref="Q3198:R3198" si="1907">"-2"</f>
        <v>-2</v>
      </c>
      <c r="R3198" s="18" t="str">
        <f t="shared" si="1907"/>
        <v>-2</v>
      </c>
      <c r="S3198" s="14" t="s">
        <v>260</v>
      </c>
    </row>
    <row r="3199">
      <c r="A3199" s="13">
        <v>45901.0</v>
      </c>
      <c r="B3199" s="14" t="s">
        <v>47</v>
      </c>
      <c r="C3199" s="14" t="s">
        <v>48</v>
      </c>
      <c r="D3199" s="14" t="s">
        <v>66</v>
      </c>
      <c r="E3199" s="14" t="s">
        <v>67</v>
      </c>
      <c r="F3199" s="15" t="s">
        <v>51</v>
      </c>
      <c r="G3199" s="14" t="s">
        <v>68</v>
      </c>
      <c r="H3199" s="14" t="s">
        <v>66</v>
      </c>
      <c r="I3199" s="14" t="s">
        <v>59</v>
      </c>
      <c r="J3199" s="14" t="s">
        <v>198</v>
      </c>
      <c r="K3199" s="14" t="s">
        <v>205</v>
      </c>
      <c r="L3199" s="14" t="s">
        <v>274</v>
      </c>
      <c r="M3199" s="14" t="s">
        <v>275</v>
      </c>
      <c r="N3199" s="14" t="s">
        <v>276</v>
      </c>
      <c r="O3199" s="14">
        <v>0.0</v>
      </c>
      <c r="P3199" s="21">
        <v>1.0</v>
      </c>
      <c r="Q3199" s="22" t="str">
        <f>"+0"</f>
        <v>+0</v>
      </c>
      <c r="S3199" s="14" t="s">
        <v>277</v>
      </c>
    </row>
    <row r="3200">
      <c r="A3200" s="13">
        <v>45901.0</v>
      </c>
      <c r="B3200" s="14" t="s">
        <v>47</v>
      </c>
      <c r="C3200" s="14" t="s">
        <v>48</v>
      </c>
      <c r="D3200" s="14" t="s">
        <v>192</v>
      </c>
      <c r="E3200" s="14" t="s">
        <v>193</v>
      </c>
      <c r="F3200" s="15" t="s">
        <v>51</v>
      </c>
      <c r="G3200" s="14" t="s">
        <v>194</v>
      </c>
      <c r="H3200" s="14" t="s">
        <v>192</v>
      </c>
      <c r="I3200" s="14" t="s">
        <v>54</v>
      </c>
      <c r="J3200" s="14" t="s">
        <v>198</v>
      </c>
      <c r="K3200" s="14" t="s">
        <v>210</v>
      </c>
      <c r="L3200" s="14" t="s">
        <v>264</v>
      </c>
      <c r="M3200" s="14" t="s">
        <v>470</v>
      </c>
      <c r="N3200" s="14" t="s">
        <v>471</v>
      </c>
      <c r="O3200" s="14">
        <v>66.0</v>
      </c>
      <c r="P3200" s="21">
        <v>756.0</v>
      </c>
      <c r="Q3200" s="22" t="str">
        <f>"-543"</f>
        <v>-543</v>
      </c>
      <c r="R3200" s="18" t="str">
        <f>"-1,649"</f>
        <v>-1,649</v>
      </c>
      <c r="S3200" s="14" t="s">
        <v>1995</v>
      </c>
    </row>
    <row r="3201">
      <c r="A3201" s="13">
        <v>45901.0</v>
      </c>
      <c r="B3201" s="14" t="s">
        <v>47</v>
      </c>
      <c r="C3201" s="14" t="s">
        <v>48</v>
      </c>
      <c r="D3201" s="14" t="s">
        <v>66</v>
      </c>
      <c r="E3201" s="14" t="s">
        <v>67</v>
      </c>
      <c r="F3201" s="15" t="s">
        <v>51</v>
      </c>
      <c r="G3201" s="14" t="s">
        <v>68</v>
      </c>
      <c r="H3201" s="14" t="s">
        <v>66</v>
      </c>
      <c r="I3201" s="14" t="s">
        <v>59</v>
      </c>
      <c r="J3201" s="14" t="s">
        <v>200</v>
      </c>
      <c r="K3201" s="14" t="s">
        <v>223</v>
      </c>
      <c r="L3201" s="14" t="s">
        <v>261</v>
      </c>
      <c r="M3201" s="14" t="s">
        <v>1338</v>
      </c>
      <c r="N3201" s="14" t="s">
        <v>1339</v>
      </c>
      <c r="O3201" s="14">
        <v>0.0</v>
      </c>
      <c r="P3201" s="23">
        <v>0.0</v>
      </c>
      <c r="Q3201" s="22" t="str">
        <f t="shared" ref="Q3201:R3201" si="1908">"+0.00%"</f>
        <v>+0.00%</v>
      </c>
      <c r="R3201" s="18" t="str">
        <f t="shared" si="1908"/>
        <v>+0.00%</v>
      </c>
      <c r="S3201" s="14" t="s">
        <v>285</v>
      </c>
    </row>
    <row r="3202">
      <c r="A3202" s="13">
        <v>45901.0</v>
      </c>
      <c r="B3202" s="14" t="s">
        <v>47</v>
      </c>
      <c r="C3202" s="14" t="s">
        <v>48</v>
      </c>
      <c r="D3202" s="14" t="s">
        <v>73</v>
      </c>
      <c r="E3202" s="14" t="s">
        <v>74</v>
      </c>
      <c r="F3202" s="15" t="s">
        <v>51</v>
      </c>
      <c r="G3202" s="14" t="s">
        <v>75</v>
      </c>
      <c r="H3202" s="14" t="s">
        <v>76</v>
      </c>
      <c r="I3202" s="14" t="s">
        <v>59</v>
      </c>
      <c r="J3202" s="14" t="s">
        <v>200</v>
      </c>
      <c r="K3202" s="14" t="s">
        <v>232</v>
      </c>
      <c r="L3202" s="14" t="s">
        <v>304</v>
      </c>
      <c r="M3202" s="14" t="s">
        <v>877</v>
      </c>
      <c r="N3202" s="14" t="s">
        <v>878</v>
      </c>
      <c r="O3202" s="14">
        <v>0.0</v>
      </c>
      <c r="P3202" s="23">
        <v>0.0</v>
      </c>
      <c r="Q3202" s="22" t="str">
        <f t="shared" ref="Q3202:R3202" si="1909">"+0.00%"</f>
        <v>+0.00%</v>
      </c>
      <c r="R3202" s="18" t="str">
        <f t="shared" si="1909"/>
        <v>+0.00%</v>
      </c>
      <c r="S3202" s="14" t="s">
        <v>1996</v>
      </c>
    </row>
    <row r="3203">
      <c r="A3203" s="13">
        <v>45901.0</v>
      </c>
      <c r="B3203" s="14" t="s">
        <v>47</v>
      </c>
      <c r="C3203" s="14" t="s">
        <v>48</v>
      </c>
      <c r="D3203" s="14" t="s">
        <v>143</v>
      </c>
      <c r="E3203" s="14" t="s">
        <v>144</v>
      </c>
      <c r="F3203" s="15" t="s">
        <v>51</v>
      </c>
      <c r="G3203" s="14" t="s">
        <v>145</v>
      </c>
      <c r="H3203" s="14" t="s">
        <v>143</v>
      </c>
      <c r="I3203" s="14" t="s">
        <v>59</v>
      </c>
      <c r="J3203" s="14" t="s">
        <v>200</v>
      </c>
      <c r="K3203" s="14" t="s">
        <v>222</v>
      </c>
      <c r="L3203" s="14" t="s">
        <v>337</v>
      </c>
      <c r="M3203" s="14" t="s">
        <v>1000</v>
      </c>
      <c r="N3203" s="14" t="s">
        <v>1001</v>
      </c>
      <c r="O3203" s="14">
        <v>0.0</v>
      </c>
      <c r="P3203" s="21">
        <v>0.0</v>
      </c>
      <c r="Q3203" s="22" t="str">
        <f t="shared" ref="Q3203:R3203" si="1910">"+0"</f>
        <v>+0</v>
      </c>
      <c r="R3203" s="18" t="str">
        <f t="shared" si="1910"/>
        <v>+0</v>
      </c>
      <c r="S3203" s="14" t="s">
        <v>260</v>
      </c>
    </row>
    <row r="3204">
      <c r="A3204" s="13">
        <v>45901.0</v>
      </c>
      <c r="B3204" s="14" t="s">
        <v>47</v>
      </c>
      <c r="C3204" s="14" t="s">
        <v>48</v>
      </c>
      <c r="D3204" s="14" t="s">
        <v>129</v>
      </c>
      <c r="E3204" s="14" t="s">
        <v>130</v>
      </c>
      <c r="F3204" s="15" t="s">
        <v>51</v>
      </c>
      <c r="G3204" s="14" t="s">
        <v>131</v>
      </c>
      <c r="H3204" s="14" t="s">
        <v>129</v>
      </c>
      <c r="I3204" s="14" t="s">
        <v>59</v>
      </c>
      <c r="J3204" s="14" t="s">
        <v>200</v>
      </c>
      <c r="K3204" s="14" t="s">
        <v>231</v>
      </c>
      <c r="L3204" s="14" t="s">
        <v>512</v>
      </c>
      <c r="M3204" s="14" t="s">
        <v>982</v>
      </c>
      <c r="N3204" s="14" t="s">
        <v>983</v>
      </c>
      <c r="O3204" s="14">
        <v>0.0</v>
      </c>
      <c r="P3204" s="21">
        <v>0.0</v>
      </c>
      <c r="Q3204" s="22" t="str">
        <f t="shared" ref="Q3204:R3204" si="1911">"+0"</f>
        <v>+0</v>
      </c>
      <c r="R3204" s="18" t="str">
        <f t="shared" si="1911"/>
        <v>+0</v>
      </c>
      <c r="S3204" s="14" t="s">
        <v>260</v>
      </c>
    </row>
    <row r="3205">
      <c r="A3205" s="13">
        <v>45901.0</v>
      </c>
      <c r="B3205" s="14" t="s">
        <v>47</v>
      </c>
      <c r="C3205" s="14" t="s">
        <v>48</v>
      </c>
      <c r="D3205" s="14" t="s">
        <v>171</v>
      </c>
      <c r="E3205" s="14" t="s">
        <v>172</v>
      </c>
      <c r="F3205" s="15" t="s">
        <v>51</v>
      </c>
      <c r="G3205" s="14" t="s">
        <v>173</v>
      </c>
      <c r="H3205" s="14" t="s">
        <v>171</v>
      </c>
      <c r="I3205" s="14" t="s">
        <v>59</v>
      </c>
      <c r="J3205" s="14" t="s">
        <v>198</v>
      </c>
      <c r="K3205" s="14" t="s">
        <v>210</v>
      </c>
      <c r="L3205" s="14" t="s">
        <v>264</v>
      </c>
      <c r="M3205" s="14" t="s">
        <v>524</v>
      </c>
      <c r="N3205" s="14" t="s">
        <v>525</v>
      </c>
      <c r="O3205" s="14">
        <v>100.0</v>
      </c>
      <c r="P3205" s="21">
        <v>0.0</v>
      </c>
      <c r="Q3205" s="22" t="str">
        <f>"-4"</f>
        <v>-4</v>
      </c>
      <c r="R3205" s="18" t="str">
        <f>"+0"</f>
        <v>+0</v>
      </c>
      <c r="S3205" s="14" t="s">
        <v>281</v>
      </c>
    </row>
    <row r="3206">
      <c r="A3206" s="13">
        <v>45901.0</v>
      </c>
      <c r="B3206" s="14" t="s">
        <v>47</v>
      </c>
      <c r="C3206" s="14" t="s">
        <v>48</v>
      </c>
      <c r="D3206" s="14" t="s">
        <v>96</v>
      </c>
      <c r="E3206" s="14" t="s">
        <v>97</v>
      </c>
      <c r="F3206" s="15" t="s">
        <v>51</v>
      </c>
      <c r="G3206" s="14" t="s">
        <v>98</v>
      </c>
      <c r="H3206" s="14" t="s">
        <v>96</v>
      </c>
      <c r="I3206" s="14" t="s">
        <v>59</v>
      </c>
      <c r="J3206" s="14" t="s">
        <v>198</v>
      </c>
      <c r="K3206" s="14" t="s">
        <v>210</v>
      </c>
      <c r="L3206" s="14" t="s">
        <v>264</v>
      </c>
      <c r="M3206" s="14" t="s">
        <v>265</v>
      </c>
      <c r="N3206" s="14" t="s">
        <v>266</v>
      </c>
      <c r="O3206" s="14">
        <v>55.0</v>
      </c>
      <c r="P3206" s="21">
        <v>128.0</v>
      </c>
      <c r="Q3206" s="22" t="str">
        <f>"-15"</f>
        <v>-15</v>
      </c>
      <c r="R3206" s="18" t="str">
        <f>"-226"</f>
        <v>-226</v>
      </c>
      <c r="S3206" s="14" t="s">
        <v>1997</v>
      </c>
    </row>
    <row r="3207">
      <c r="A3207" s="13">
        <v>45901.0</v>
      </c>
      <c r="B3207" s="14" t="s">
        <v>47</v>
      </c>
      <c r="C3207" s="14" t="s">
        <v>48</v>
      </c>
      <c r="D3207" s="14" t="s">
        <v>69</v>
      </c>
      <c r="E3207" s="14" t="s">
        <v>70</v>
      </c>
      <c r="F3207" s="15" t="s">
        <v>51</v>
      </c>
      <c r="G3207" s="14" t="s">
        <v>115</v>
      </c>
      <c r="H3207" s="14" t="s">
        <v>72</v>
      </c>
      <c r="I3207" s="14" t="s">
        <v>54</v>
      </c>
      <c r="J3207" s="14" t="s">
        <v>198</v>
      </c>
      <c r="K3207" s="14" t="s">
        <v>210</v>
      </c>
      <c r="L3207" s="14" t="s">
        <v>505</v>
      </c>
      <c r="M3207" s="14" t="s">
        <v>831</v>
      </c>
      <c r="N3207" s="14" t="s">
        <v>832</v>
      </c>
      <c r="O3207" s="14">
        <v>0.0</v>
      </c>
      <c r="P3207" s="21">
        <v>0.0</v>
      </c>
      <c r="Q3207" s="22" t="str">
        <f t="shared" ref="Q3207:R3207" si="1912">"+0"</f>
        <v>+0</v>
      </c>
      <c r="R3207" s="18" t="str">
        <f t="shared" si="1912"/>
        <v>+0</v>
      </c>
      <c r="S3207" s="14" t="s">
        <v>277</v>
      </c>
    </row>
    <row r="3208">
      <c r="A3208" s="13">
        <v>45901.0</v>
      </c>
      <c r="B3208" s="14" t="s">
        <v>47</v>
      </c>
      <c r="C3208" s="14" t="s">
        <v>48</v>
      </c>
      <c r="D3208" s="14" t="s">
        <v>195</v>
      </c>
      <c r="E3208" s="14" t="s">
        <v>196</v>
      </c>
      <c r="F3208" s="14" t="s">
        <v>111</v>
      </c>
      <c r="G3208" s="14">
        <v>5252823.0</v>
      </c>
      <c r="H3208" s="14" t="s">
        <v>197</v>
      </c>
      <c r="I3208" s="14" t="s">
        <v>59</v>
      </c>
      <c r="J3208" s="14" t="s">
        <v>199</v>
      </c>
      <c r="K3208" s="14" t="s">
        <v>206</v>
      </c>
      <c r="L3208" s="14" t="s">
        <v>268</v>
      </c>
      <c r="M3208" s="14" t="s">
        <v>268</v>
      </c>
      <c r="N3208" s="14" t="s">
        <v>269</v>
      </c>
      <c r="O3208" s="14">
        <v>0.0</v>
      </c>
      <c r="P3208" s="21">
        <v>0.0</v>
      </c>
      <c r="Q3208" s="22" t="str">
        <f t="shared" ref="Q3208:R3208" si="1913">"+0"</f>
        <v>+0</v>
      </c>
      <c r="R3208" s="18" t="str">
        <f t="shared" si="1913"/>
        <v>+0</v>
      </c>
      <c r="S3208" s="14" t="s">
        <v>260</v>
      </c>
    </row>
    <row r="3209">
      <c r="A3209" s="13">
        <v>45901.0</v>
      </c>
      <c r="B3209" s="14" t="s">
        <v>47</v>
      </c>
      <c r="C3209" s="14" t="s">
        <v>48</v>
      </c>
      <c r="D3209" s="14" t="s">
        <v>69</v>
      </c>
      <c r="E3209" s="14" t="s">
        <v>70</v>
      </c>
      <c r="F3209" s="15" t="s">
        <v>51</v>
      </c>
      <c r="G3209" s="14" t="s">
        <v>115</v>
      </c>
      <c r="H3209" s="14" t="s">
        <v>72</v>
      </c>
      <c r="I3209" s="14" t="s">
        <v>54</v>
      </c>
      <c r="J3209" s="14" t="s">
        <v>199</v>
      </c>
      <c r="K3209" s="14" t="s">
        <v>208</v>
      </c>
      <c r="L3209" s="14" t="s">
        <v>412</v>
      </c>
      <c r="M3209" s="14" t="s">
        <v>412</v>
      </c>
      <c r="N3209" s="14" t="s">
        <v>413</v>
      </c>
      <c r="O3209" s="14">
        <v>100.0</v>
      </c>
      <c r="P3209" s="21">
        <v>16.0</v>
      </c>
      <c r="Q3209" s="22" t="str">
        <f t="shared" ref="Q3209:R3209" si="1914">"+1"</f>
        <v>+1</v>
      </c>
      <c r="R3209" s="18" t="str">
        <f t="shared" si="1914"/>
        <v>+1</v>
      </c>
      <c r="S3209" s="14" t="s">
        <v>260</v>
      </c>
    </row>
    <row r="3210">
      <c r="A3210" s="13">
        <v>45901.0</v>
      </c>
      <c r="B3210" s="14" t="s">
        <v>47</v>
      </c>
      <c r="C3210" s="14" t="s">
        <v>48</v>
      </c>
      <c r="D3210" s="14" t="s">
        <v>77</v>
      </c>
      <c r="E3210" s="14" t="s">
        <v>78</v>
      </c>
      <c r="F3210" s="15" t="s">
        <v>51</v>
      </c>
      <c r="G3210" s="14" t="s">
        <v>128</v>
      </c>
      <c r="H3210" s="14" t="s">
        <v>81</v>
      </c>
      <c r="I3210" s="14" t="s">
        <v>59</v>
      </c>
      <c r="J3210" s="14" t="s">
        <v>200</v>
      </c>
      <c r="K3210" s="14" t="s">
        <v>223</v>
      </c>
      <c r="L3210" s="14" t="s">
        <v>440</v>
      </c>
      <c r="M3210" s="14" t="s">
        <v>510</v>
      </c>
      <c r="N3210" s="14" t="s">
        <v>511</v>
      </c>
      <c r="O3210" s="14">
        <v>0.0</v>
      </c>
      <c r="P3210" s="23">
        <v>0.0</v>
      </c>
      <c r="Q3210" s="22" t="str">
        <f t="shared" ref="Q3210:R3210" si="1915">"+0.00%"</f>
        <v>+0.00%</v>
      </c>
      <c r="R3210" s="18" t="str">
        <f t="shared" si="1915"/>
        <v>+0.00%</v>
      </c>
      <c r="S3210" s="14" t="s">
        <v>285</v>
      </c>
    </row>
    <row r="3211">
      <c r="A3211" s="13">
        <v>45901.0</v>
      </c>
      <c r="B3211" s="14" t="s">
        <v>47</v>
      </c>
      <c r="C3211" s="14" t="s">
        <v>48</v>
      </c>
      <c r="D3211" s="14" t="s">
        <v>174</v>
      </c>
      <c r="E3211" s="14" t="s">
        <v>175</v>
      </c>
      <c r="F3211" s="15" t="s">
        <v>51</v>
      </c>
      <c r="G3211" s="14" t="s">
        <v>176</v>
      </c>
      <c r="H3211" s="14" t="s">
        <v>174</v>
      </c>
      <c r="I3211" s="14" t="s">
        <v>59</v>
      </c>
      <c r="J3211" s="14" t="s">
        <v>200</v>
      </c>
      <c r="K3211" s="14" t="s">
        <v>213</v>
      </c>
      <c r="L3211" s="14" t="s">
        <v>307</v>
      </c>
      <c r="M3211" s="14" t="s">
        <v>308</v>
      </c>
      <c r="N3211" s="14" t="s">
        <v>309</v>
      </c>
      <c r="O3211" s="14">
        <v>0.0</v>
      </c>
      <c r="P3211" s="23">
        <v>0.0</v>
      </c>
      <c r="Q3211" s="22" t="str">
        <f t="shared" ref="Q3211:R3211" si="1916">"+0.00%"</f>
        <v>+0.00%</v>
      </c>
      <c r="R3211" s="18" t="str">
        <f t="shared" si="1916"/>
        <v>+0.00%</v>
      </c>
      <c r="S3211" s="14" t="s">
        <v>285</v>
      </c>
    </row>
    <row r="3212">
      <c r="A3212" s="13">
        <v>45901.0</v>
      </c>
      <c r="B3212" s="14" t="s">
        <v>47</v>
      </c>
      <c r="C3212" s="14" t="s">
        <v>48</v>
      </c>
      <c r="D3212" s="14" t="s">
        <v>77</v>
      </c>
      <c r="E3212" s="14" t="s">
        <v>78</v>
      </c>
      <c r="F3212" s="15" t="s">
        <v>51</v>
      </c>
      <c r="G3212" s="14" t="s">
        <v>128</v>
      </c>
      <c r="H3212" s="14" t="s">
        <v>81</v>
      </c>
      <c r="I3212" s="14" t="s">
        <v>59</v>
      </c>
      <c r="J3212" s="14" t="s">
        <v>200</v>
      </c>
      <c r="K3212" s="14" t="s">
        <v>223</v>
      </c>
      <c r="L3212" s="14" t="s">
        <v>261</v>
      </c>
      <c r="M3212" s="14" t="s">
        <v>906</v>
      </c>
      <c r="N3212" s="14" t="s">
        <v>907</v>
      </c>
      <c r="O3212" s="14">
        <v>0.0</v>
      </c>
      <c r="P3212" s="23">
        <v>0.0</v>
      </c>
      <c r="Q3212" s="22" t="str">
        <f t="shared" ref="Q3212:R3212" si="1917">"+0.00%"</f>
        <v>+0.00%</v>
      </c>
      <c r="R3212" s="18" t="str">
        <f t="shared" si="1917"/>
        <v>+0.00%</v>
      </c>
      <c r="S3212" s="14" t="s">
        <v>1998</v>
      </c>
    </row>
    <row r="3213">
      <c r="A3213" s="13">
        <v>45901.0</v>
      </c>
      <c r="B3213" s="14" t="s">
        <v>47</v>
      </c>
      <c r="C3213" s="14" t="s">
        <v>48</v>
      </c>
      <c r="D3213" s="14" t="s">
        <v>168</v>
      </c>
      <c r="E3213" s="14" t="s">
        <v>169</v>
      </c>
      <c r="F3213" s="15" t="s">
        <v>51</v>
      </c>
      <c r="G3213" s="14" t="s">
        <v>170</v>
      </c>
      <c r="H3213" s="14" t="s">
        <v>168</v>
      </c>
      <c r="I3213" s="14" t="s">
        <v>59</v>
      </c>
      <c r="J3213" s="14" t="s">
        <v>200</v>
      </c>
      <c r="K3213" s="14" t="s">
        <v>213</v>
      </c>
      <c r="L3213" s="14" t="s">
        <v>359</v>
      </c>
      <c r="M3213" s="14" t="s">
        <v>519</v>
      </c>
      <c r="N3213" s="14" t="s">
        <v>520</v>
      </c>
      <c r="O3213" s="14">
        <v>0.0</v>
      </c>
      <c r="P3213" s="21">
        <v>0.0</v>
      </c>
      <c r="Q3213" s="22" t="str">
        <f t="shared" ref="Q3213:R3213" si="1918">"+0"</f>
        <v>+0</v>
      </c>
      <c r="R3213" s="18" t="str">
        <f t="shared" si="1918"/>
        <v>+0</v>
      </c>
      <c r="S3213" s="14" t="s">
        <v>260</v>
      </c>
    </row>
    <row r="3214">
      <c r="A3214" s="13">
        <v>45901.0</v>
      </c>
      <c r="B3214" s="14" t="s">
        <v>47</v>
      </c>
      <c r="C3214" s="14" t="s">
        <v>48</v>
      </c>
      <c r="D3214" s="14" t="s">
        <v>60</v>
      </c>
      <c r="E3214" s="14" t="s">
        <v>61</v>
      </c>
      <c r="F3214" s="15" t="s">
        <v>51</v>
      </c>
      <c r="G3214" s="14" t="s">
        <v>62</v>
      </c>
      <c r="H3214" s="14" t="s">
        <v>60</v>
      </c>
      <c r="I3214" s="14" t="s">
        <v>59</v>
      </c>
      <c r="J3214" s="14" t="s">
        <v>199</v>
      </c>
      <c r="K3214" s="14" t="s">
        <v>203</v>
      </c>
      <c r="L3214" s="14" t="s">
        <v>736</v>
      </c>
      <c r="M3214" s="14" t="s">
        <v>736</v>
      </c>
      <c r="N3214" s="14" t="s">
        <v>737</v>
      </c>
      <c r="O3214" s="14">
        <v>0.0</v>
      </c>
      <c r="P3214" s="21">
        <v>0.0</v>
      </c>
      <c r="Q3214" s="22" t="str">
        <f t="shared" ref="Q3214:R3214" si="1919">"+0"</f>
        <v>+0</v>
      </c>
      <c r="R3214" s="18" t="str">
        <f t="shared" si="1919"/>
        <v>+0</v>
      </c>
      <c r="S3214" s="14" t="s">
        <v>260</v>
      </c>
    </row>
    <row r="3215">
      <c r="A3215" s="13">
        <v>45901.0</v>
      </c>
      <c r="B3215" s="14" t="s">
        <v>47</v>
      </c>
      <c r="C3215" s="14" t="s">
        <v>48</v>
      </c>
      <c r="D3215" s="14" t="s">
        <v>60</v>
      </c>
      <c r="E3215" s="14" t="s">
        <v>61</v>
      </c>
      <c r="F3215" s="15" t="s">
        <v>51</v>
      </c>
      <c r="G3215" s="14" t="s">
        <v>62</v>
      </c>
      <c r="H3215" s="14" t="s">
        <v>60</v>
      </c>
      <c r="I3215" s="14" t="s">
        <v>59</v>
      </c>
      <c r="J3215" s="14" t="s">
        <v>200</v>
      </c>
      <c r="K3215" s="14" t="s">
        <v>223</v>
      </c>
      <c r="L3215" s="14" t="s">
        <v>607</v>
      </c>
      <c r="M3215" s="14" t="s">
        <v>1312</v>
      </c>
      <c r="N3215" s="14" t="s">
        <v>1313</v>
      </c>
      <c r="O3215" s="14">
        <v>0.0</v>
      </c>
      <c r="P3215" s="23">
        <v>0.0</v>
      </c>
      <c r="Q3215" s="22" t="str">
        <f t="shared" ref="Q3215:R3215" si="1920">"+0.00%"</f>
        <v>+0.00%</v>
      </c>
      <c r="R3215" s="18" t="str">
        <f t="shared" si="1920"/>
        <v>+0.00%</v>
      </c>
      <c r="S3215" s="14" t="s">
        <v>285</v>
      </c>
    </row>
    <row r="3216">
      <c r="A3216" s="13">
        <v>45901.0</v>
      </c>
      <c r="B3216" s="14" t="s">
        <v>47</v>
      </c>
      <c r="C3216" s="14" t="s">
        <v>48</v>
      </c>
      <c r="D3216" s="14" t="s">
        <v>56</v>
      </c>
      <c r="E3216" s="14" t="s">
        <v>57</v>
      </c>
      <c r="F3216" s="15" t="s">
        <v>51</v>
      </c>
      <c r="G3216" s="14" t="s">
        <v>58</v>
      </c>
      <c r="H3216" s="14" t="s">
        <v>56</v>
      </c>
      <c r="I3216" s="14" t="s">
        <v>59</v>
      </c>
      <c r="J3216" s="14" t="s">
        <v>200</v>
      </c>
      <c r="K3216" s="14" t="s">
        <v>223</v>
      </c>
      <c r="L3216" s="14" t="s">
        <v>422</v>
      </c>
      <c r="M3216" s="14" t="s">
        <v>1197</v>
      </c>
      <c r="N3216" s="14" t="s">
        <v>1198</v>
      </c>
      <c r="O3216" s="14">
        <v>100.0</v>
      </c>
      <c r="P3216" s="23">
        <v>0.36</v>
      </c>
      <c r="Q3216" s="22" t="str">
        <f>"-4.00%"</f>
        <v>-4.00%</v>
      </c>
      <c r="R3216" s="18" t="str">
        <f>"+11.00%"</f>
        <v>+11.00%</v>
      </c>
      <c r="S3216" s="14" t="s">
        <v>285</v>
      </c>
    </row>
    <row r="3217">
      <c r="A3217" s="13">
        <v>45901.0</v>
      </c>
      <c r="B3217" s="14" t="s">
        <v>47</v>
      </c>
      <c r="C3217" s="14" t="s">
        <v>48</v>
      </c>
      <c r="D3217" s="14" t="s">
        <v>49</v>
      </c>
      <c r="E3217" s="14" t="s">
        <v>50</v>
      </c>
      <c r="F3217" s="15" t="s">
        <v>51</v>
      </c>
      <c r="G3217" s="14" t="s">
        <v>52</v>
      </c>
      <c r="H3217" s="14" t="s">
        <v>53</v>
      </c>
      <c r="I3217" s="14" t="s">
        <v>54</v>
      </c>
      <c r="J3217" s="14" t="s">
        <v>200</v>
      </c>
      <c r="K3217" s="14" t="s">
        <v>213</v>
      </c>
      <c r="L3217" s="14" t="s">
        <v>257</v>
      </c>
      <c r="M3217" s="14" t="s">
        <v>258</v>
      </c>
      <c r="N3217" s="14" t="s">
        <v>259</v>
      </c>
      <c r="O3217" s="14">
        <v>100.0</v>
      </c>
      <c r="P3217" s="21">
        <v>12.0</v>
      </c>
      <c r="Q3217" s="22" t="str">
        <f t="shared" ref="Q3217:R3217" si="1921">"+0"</f>
        <v>+0</v>
      </c>
      <c r="R3217" s="18" t="str">
        <f t="shared" si="1921"/>
        <v>+0</v>
      </c>
      <c r="S3217" s="14" t="s">
        <v>260</v>
      </c>
    </row>
    <row r="3218">
      <c r="A3218" s="13">
        <v>45901.0</v>
      </c>
      <c r="B3218" s="14" t="s">
        <v>47</v>
      </c>
      <c r="C3218" s="14" t="s">
        <v>48</v>
      </c>
      <c r="D3218" s="14" t="s">
        <v>49</v>
      </c>
      <c r="E3218" s="14" t="s">
        <v>50</v>
      </c>
      <c r="F3218" s="15" t="s">
        <v>51</v>
      </c>
      <c r="G3218" s="14" t="s">
        <v>52</v>
      </c>
      <c r="H3218" s="14" t="s">
        <v>53</v>
      </c>
      <c r="I3218" s="14" t="s">
        <v>54</v>
      </c>
      <c r="J3218" s="14" t="s">
        <v>198</v>
      </c>
      <c r="K3218" s="14" t="s">
        <v>205</v>
      </c>
      <c r="L3218" s="14" t="s">
        <v>274</v>
      </c>
      <c r="M3218" s="14" t="s">
        <v>425</v>
      </c>
      <c r="N3218" s="14" t="s">
        <v>426</v>
      </c>
      <c r="O3218" s="14">
        <v>0.0</v>
      </c>
      <c r="P3218" s="21">
        <v>0.0</v>
      </c>
      <c r="Q3218" s="22" t="str">
        <f t="shared" ref="Q3218:Q3219" si="1922">"+0"</f>
        <v>+0</v>
      </c>
      <c r="S3218" s="14" t="s">
        <v>281</v>
      </c>
    </row>
    <row r="3219">
      <c r="A3219" s="13">
        <v>45901.0</v>
      </c>
      <c r="B3219" s="14" t="s">
        <v>47</v>
      </c>
      <c r="C3219" s="14" t="s">
        <v>48</v>
      </c>
      <c r="D3219" s="14" t="s">
        <v>91</v>
      </c>
      <c r="E3219" s="14" t="s">
        <v>92</v>
      </c>
      <c r="F3219" s="15" t="s">
        <v>51</v>
      </c>
      <c r="G3219" s="14" t="s">
        <v>163</v>
      </c>
      <c r="H3219" s="14" t="s">
        <v>91</v>
      </c>
      <c r="I3219" s="14" t="s">
        <v>59</v>
      </c>
      <c r="J3219" s="14" t="s">
        <v>198</v>
      </c>
      <c r="K3219" s="14" t="s">
        <v>210</v>
      </c>
      <c r="L3219" s="14" t="s">
        <v>458</v>
      </c>
      <c r="M3219" s="14" t="s">
        <v>459</v>
      </c>
      <c r="N3219" s="14" t="s">
        <v>460</v>
      </c>
      <c r="O3219" s="14">
        <v>100.0</v>
      </c>
      <c r="P3219" s="21">
        <v>0.0</v>
      </c>
      <c r="Q3219" s="22" t="str">
        <f t="shared" si="1922"/>
        <v>+0</v>
      </c>
      <c r="R3219" s="18" t="str">
        <f t="shared" ref="R3219:R3220" si="1923">"+0"</f>
        <v>+0</v>
      </c>
      <c r="S3219" s="14" t="s">
        <v>281</v>
      </c>
    </row>
    <row r="3220">
      <c r="A3220" s="13">
        <v>45901.0</v>
      </c>
      <c r="B3220" s="14" t="s">
        <v>47</v>
      </c>
      <c r="C3220" s="14" t="s">
        <v>48</v>
      </c>
      <c r="D3220" s="14" t="s">
        <v>91</v>
      </c>
      <c r="E3220" s="14" t="s">
        <v>92</v>
      </c>
      <c r="F3220" s="15" t="s">
        <v>51</v>
      </c>
      <c r="G3220" s="14" t="s">
        <v>163</v>
      </c>
      <c r="H3220" s="14" t="s">
        <v>91</v>
      </c>
      <c r="I3220" s="14" t="s">
        <v>59</v>
      </c>
      <c r="J3220" s="14" t="s">
        <v>198</v>
      </c>
      <c r="K3220" s="14" t="s">
        <v>210</v>
      </c>
      <c r="L3220" s="14" t="s">
        <v>264</v>
      </c>
      <c r="M3220" s="14" t="s">
        <v>470</v>
      </c>
      <c r="N3220" s="14" t="s">
        <v>471</v>
      </c>
      <c r="O3220" s="14">
        <v>0.0</v>
      </c>
      <c r="P3220" s="21">
        <v>30.0</v>
      </c>
      <c r="Q3220" s="22" t="str">
        <f>"-1"</f>
        <v>-1</v>
      </c>
      <c r="R3220" s="18" t="str">
        <f t="shared" si="1923"/>
        <v>+0</v>
      </c>
      <c r="S3220" s="14" t="s">
        <v>1321</v>
      </c>
    </row>
    <row r="3221">
      <c r="A3221" s="13">
        <v>45901.0</v>
      </c>
      <c r="B3221" s="14" t="s">
        <v>47</v>
      </c>
      <c r="C3221" s="14" t="s">
        <v>48</v>
      </c>
      <c r="D3221" s="14" t="s">
        <v>99</v>
      </c>
      <c r="E3221" s="14" t="s">
        <v>100</v>
      </c>
      <c r="F3221" s="15" t="s">
        <v>51</v>
      </c>
      <c r="G3221" s="14" t="s">
        <v>101</v>
      </c>
      <c r="H3221" s="14" t="s">
        <v>102</v>
      </c>
      <c r="I3221" s="14" t="s">
        <v>54</v>
      </c>
      <c r="J3221" s="14" t="s">
        <v>198</v>
      </c>
      <c r="K3221" s="14" t="s">
        <v>210</v>
      </c>
      <c r="L3221" s="14" t="s">
        <v>505</v>
      </c>
      <c r="M3221" s="14" t="s">
        <v>1049</v>
      </c>
      <c r="N3221" s="14" t="s">
        <v>1050</v>
      </c>
      <c r="O3221" s="14">
        <v>0.0</v>
      </c>
      <c r="P3221" s="21">
        <v>0.0</v>
      </c>
      <c r="Q3221" s="22" t="str">
        <f t="shared" ref="Q3221:R3221" si="1924">"+0"</f>
        <v>+0</v>
      </c>
      <c r="R3221" s="18" t="str">
        <f t="shared" si="1924"/>
        <v>+0</v>
      </c>
      <c r="S3221" s="14" t="s">
        <v>277</v>
      </c>
    </row>
    <row r="3222">
      <c r="A3222" s="13">
        <v>45901.0</v>
      </c>
      <c r="B3222" s="14" t="s">
        <v>47</v>
      </c>
      <c r="C3222" s="14" t="s">
        <v>48</v>
      </c>
      <c r="D3222" s="14" t="s">
        <v>177</v>
      </c>
      <c r="E3222" s="14" t="s">
        <v>178</v>
      </c>
      <c r="F3222" s="14" t="s">
        <v>146</v>
      </c>
      <c r="G3222" s="14" t="s">
        <v>179</v>
      </c>
      <c r="H3222" s="14" t="s">
        <v>177</v>
      </c>
      <c r="I3222" s="14" t="s">
        <v>107</v>
      </c>
      <c r="J3222" s="14" t="s">
        <v>200</v>
      </c>
      <c r="K3222" s="14" t="s">
        <v>226</v>
      </c>
      <c r="L3222" s="14" t="s">
        <v>672</v>
      </c>
      <c r="M3222" s="14" t="s">
        <v>972</v>
      </c>
      <c r="N3222" s="14" t="s">
        <v>973</v>
      </c>
      <c r="O3222" s="14">
        <v>47.0</v>
      </c>
      <c r="P3222" s="23">
        <v>0.0</v>
      </c>
      <c r="Q3222" s="22" t="str">
        <f t="shared" ref="Q3222:R3222" si="1925">"+0.00%"</f>
        <v>+0.00%</v>
      </c>
      <c r="R3222" s="18" t="str">
        <f t="shared" si="1925"/>
        <v>+0.00%</v>
      </c>
      <c r="S3222" s="14" t="s">
        <v>974</v>
      </c>
    </row>
    <row r="3223">
      <c r="A3223" s="13">
        <v>45901.0</v>
      </c>
      <c r="B3223" s="14" t="s">
        <v>47</v>
      </c>
      <c r="C3223" s="14" t="s">
        <v>48</v>
      </c>
      <c r="D3223" s="14" t="s">
        <v>91</v>
      </c>
      <c r="E3223" s="14" t="s">
        <v>92</v>
      </c>
      <c r="F3223" s="14" t="s">
        <v>79</v>
      </c>
      <c r="G3223" s="14" t="s">
        <v>164</v>
      </c>
      <c r="H3223" s="14" t="s">
        <v>91</v>
      </c>
      <c r="I3223" s="14" t="s">
        <v>154</v>
      </c>
      <c r="J3223" s="14" t="s">
        <v>199</v>
      </c>
      <c r="K3223" s="14" t="s">
        <v>208</v>
      </c>
      <c r="L3223" s="14" t="s">
        <v>352</v>
      </c>
      <c r="M3223" s="14" t="s">
        <v>352</v>
      </c>
      <c r="N3223" s="14" t="s">
        <v>353</v>
      </c>
      <c r="O3223" s="14">
        <v>100.0</v>
      </c>
      <c r="P3223" s="21">
        <v>57.0</v>
      </c>
      <c r="Q3223" s="22" t="str">
        <f t="shared" ref="Q3223:R3223" si="1926">"+1"</f>
        <v>+1</v>
      </c>
      <c r="R3223" s="18" t="str">
        <f t="shared" si="1926"/>
        <v>+1</v>
      </c>
      <c r="S3223" s="14" t="s">
        <v>260</v>
      </c>
    </row>
    <row r="3224">
      <c r="A3224" s="13">
        <v>45901.0</v>
      </c>
      <c r="B3224" s="14" t="s">
        <v>47</v>
      </c>
      <c r="C3224" s="14" t="s">
        <v>48</v>
      </c>
      <c r="D3224" s="14" t="s">
        <v>66</v>
      </c>
      <c r="E3224" s="14" t="s">
        <v>67</v>
      </c>
      <c r="F3224" s="15" t="s">
        <v>51</v>
      </c>
      <c r="G3224" s="14" t="s">
        <v>68</v>
      </c>
      <c r="H3224" s="14" t="s">
        <v>66</v>
      </c>
      <c r="I3224" s="14" t="s">
        <v>59</v>
      </c>
      <c r="J3224" s="14" t="s">
        <v>200</v>
      </c>
      <c r="K3224" s="14" t="s">
        <v>227</v>
      </c>
      <c r="L3224" s="14" t="s">
        <v>270</v>
      </c>
      <c r="M3224" s="14" t="s">
        <v>271</v>
      </c>
      <c r="N3224" s="14" t="s">
        <v>272</v>
      </c>
      <c r="O3224" s="14">
        <v>0.0</v>
      </c>
      <c r="P3224" s="23">
        <v>-1.0</v>
      </c>
      <c r="Q3224" s="22" t="str">
        <f t="shared" ref="Q3224:R3224" si="1927">"+0.00%"</f>
        <v>+0.00%</v>
      </c>
      <c r="R3224" s="18" t="str">
        <f t="shared" si="1927"/>
        <v>+0.00%</v>
      </c>
      <c r="S3224" s="14" t="s">
        <v>273</v>
      </c>
    </row>
    <row r="3225">
      <c r="A3225" s="13">
        <v>45901.0</v>
      </c>
      <c r="B3225" s="14" t="s">
        <v>47</v>
      </c>
      <c r="C3225" s="14" t="s">
        <v>48</v>
      </c>
      <c r="D3225" s="14" t="s">
        <v>132</v>
      </c>
      <c r="E3225" s="14" t="s">
        <v>133</v>
      </c>
      <c r="F3225" s="15" t="s">
        <v>51</v>
      </c>
      <c r="G3225" s="14" t="s">
        <v>134</v>
      </c>
      <c r="H3225" s="14" t="s">
        <v>135</v>
      </c>
      <c r="I3225" s="14" t="s">
        <v>59</v>
      </c>
      <c r="J3225" s="14" t="s">
        <v>200</v>
      </c>
      <c r="K3225" s="14" t="s">
        <v>227</v>
      </c>
      <c r="L3225" s="14" t="s">
        <v>253</v>
      </c>
      <c r="M3225" s="14" t="s">
        <v>254</v>
      </c>
      <c r="N3225" s="14" t="s">
        <v>255</v>
      </c>
      <c r="O3225" s="14">
        <v>1.0</v>
      </c>
      <c r="P3225" s="23">
        <v>0.0087</v>
      </c>
      <c r="Q3225" s="22" t="str">
        <f t="shared" ref="Q3225:R3225" si="1928">"+0.00%"</f>
        <v>+0.00%</v>
      </c>
      <c r="R3225" s="18" t="str">
        <f t="shared" si="1928"/>
        <v>+0.00%</v>
      </c>
      <c r="S3225" s="14" t="s">
        <v>399</v>
      </c>
    </row>
    <row r="3226">
      <c r="A3226" s="13">
        <v>45901.0</v>
      </c>
      <c r="B3226" s="14" t="s">
        <v>47</v>
      </c>
      <c r="C3226" s="14" t="s">
        <v>48</v>
      </c>
      <c r="D3226" s="14" t="s">
        <v>143</v>
      </c>
      <c r="E3226" s="14" t="s">
        <v>144</v>
      </c>
      <c r="F3226" s="15" t="s">
        <v>51</v>
      </c>
      <c r="G3226" s="14" t="s">
        <v>145</v>
      </c>
      <c r="H3226" s="14" t="s">
        <v>143</v>
      </c>
      <c r="I3226" s="14" t="s">
        <v>59</v>
      </c>
      <c r="J3226" s="14" t="s">
        <v>200</v>
      </c>
      <c r="K3226" s="14" t="s">
        <v>227</v>
      </c>
      <c r="L3226" s="14" t="s">
        <v>721</v>
      </c>
      <c r="M3226" s="14" t="s">
        <v>1060</v>
      </c>
      <c r="N3226" s="14" t="s">
        <v>1061</v>
      </c>
      <c r="O3226" s="14">
        <v>46.0</v>
      </c>
      <c r="P3226" s="23">
        <v>-0.0654</v>
      </c>
      <c r="Q3226" s="22" t="str">
        <f>"+14.71%"</f>
        <v>+14.71%</v>
      </c>
      <c r="R3226" s="18" t="str">
        <f>"-21.93%"</f>
        <v>-21.93%</v>
      </c>
      <c r="S3226" s="14" t="s">
        <v>1062</v>
      </c>
    </row>
    <row r="3227">
      <c r="A3227" s="13">
        <v>45901.0</v>
      </c>
      <c r="B3227" s="14" t="s">
        <v>47</v>
      </c>
      <c r="C3227" s="14" t="s">
        <v>48</v>
      </c>
      <c r="D3227" s="14" t="s">
        <v>171</v>
      </c>
      <c r="E3227" s="14" t="s">
        <v>172</v>
      </c>
      <c r="F3227" s="15" t="s">
        <v>51</v>
      </c>
      <c r="G3227" s="14" t="s">
        <v>173</v>
      </c>
      <c r="H3227" s="14" t="s">
        <v>171</v>
      </c>
      <c r="I3227" s="14" t="s">
        <v>59</v>
      </c>
      <c r="J3227" s="14" t="s">
        <v>200</v>
      </c>
      <c r="K3227" s="14" t="s">
        <v>213</v>
      </c>
      <c r="L3227" s="14" t="s">
        <v>289</v>
      </c>
      <c r="M3227" s="14" t="s">
        <v>331</v>
      </c>
      <c r="N3227" s="14" t="s">
        <v>332</v>
      </c>
      <c r="O3227" s="14">
        <v>0.0</v>
      </c>
      <c r="P3227" s="23">
        <v>0.0</v>
      </c>
      <c r="Q3227" s="22" t="str">
        <f t="shared" ref="Q3227:R3227" si="1929">"+0.00%"</f>
        <v>+0.00%</v>
      </c>
      <c r="R3227" s="18" t="str">
        <f t="shared" si="1929"/>
        <v>+0.00%</v>
      </c>
      <c r="S3227" s="14" t="s">
        <v>285</v>
      </c>
    </row>
    <row r="3228">
      <c r="A3228" s="13">
        <v>45901.0</v>
      </c>
      <c r="B3228" s="14" t="s">
        <v>47</v>
      </c>
      <c r="C3228" s="14" t="s">
        <v>48</v>
      </c>
      <c r="D3228" s="14" t="s">
        <v>87</v>
      </c>
      <c r="E3228" s="14" t="s">
        <v>88</v>
      </c>
      <c r="F3228" s="15" t="s">
        <v>51</v>
      </c>
      <c r="G3228" s="14" t="s">
        <v>89</v>
      </c>
      <c r="H3228" s="14" t="s">
        <v>90</v>
      </c>
      <c r="I3228" s="14" t="s">
        <v>59</v>
      </c>
      <c r="J3228" s="14" t="s">
        <v>200</v>
      </c>
      <c r="K3228" s="14" t="s">
        <v>223</v>
      </c>
      <c r="L3228" s="14" t="s">
        <v>705</v>
      </c>
      <c r="M3228" s="14" t="s">
        <v>706</v>
      </c>
      <c r="N3228" s="14" t="s">
        <v>707</v>
      </c>
      <c r="O3228" s="14">
        <v>0.0</v>
      </c>
      <c r="P3228" s="21">
        <v>0.0</v>
      </c>
      <c r="Q3228" s="22" t="str">
        <f t="shared" ref="Q3228:R3228" si="1930">"+0"</f>
        <v>+0</v>
      </c>
      <c r="R3228" s="18" t="str">
        <f t="shared" si="1930"/>
        <v>+0</v>
      </c>
      <c r="S3228" s="14" t="s">
        <v>260</v>
      </c>
    </row>
    <row r="3229">
      <c r="A3229" s="13">
        <v>45901.0</v>
      </c>
      <c r="B3229" s="14" t="s">
        <v>47</v>
      </c>
      <c r="C3229" s="14" t="s">
        <v>48</v>
      </c>
      <c r="D3229" s="14" t="s">
        <v>171</v>
      </c>
      <c r="E3229" s="14" t="s">
        <v>172</v>
      </c>
      <c r="F3229" s="15" t="s">
        <v>51</v>
      </c>
      <c r="G3229" s="14" t="s">
        <v>173</v>
      </c>
      <c r="H3229" s="14" t="s">
        <v>171</v>
      </c>
      <c r="I3229" s="14" t="s">
        <v>59</v>
      </c>
      <c r="J3229" s="14" t="s">
        <v>198</v>
      </c>
      <c r="K3229" s="14" t="s">
        <v>205</v>
      </c>
      <c r="L3229" s="14" t="s">
        <v>274</v>
      </c>
      <c r="M3229" s="14" t="s">
        <v>473</v>
      </c>
      <c r="N3229" s="14" t="s">
        <v>474</v>
      </c>
      <c r="O3229" s="14">
        <v>50.0</v>
      </c>
      <c r="P3229" s="21">
        <v>15.0</v>
      </c>
      <c r="Q3229" s="22" t="str">
        <f t="shared" ref="Q3229:Q3231" si="1931">"+0"</f>
        <v>+0</v>
      </c>
      <c r="S3229" s="14" t="s">
        <v>475</v>
      </c>
    </row>
    <row r="3230">
      <c r="A3230" s="13">
        <v>45901.0</v>
      </c>
      <c r="B3230" s="14" t="s">
        <v>47</v>
      </c>
      <c r="C3230" s="14" t="s">
        <v>48</v>
      </c>
      <c r="D3230" s="14" t="s">
        <v>149</v>
      </c>
      <c r="E3230" s="14" t="s">
        <v>150</v>
      </c>
      <c r="F3230" s="15" t="s">
        <v>51</v>
      </c>
      <c r="G3230" s="14" t="s">
        <v>151</v>
      </c>
      <c r="H3230" s="14" t="s">
        <v>152</v>
      </c>
      <c r="I3230" s="14" t="s">
        <v>54</v>
      </c>
      <c r="J3230" s="14" t="s">
        <v>199</v>
      </c>
      <c r="K3230" s="14" t="s">
        <v>206</v>
      </c>
      <c r="L3230" s="14" t="s">
        <v>295</v>
      </c>
      <c r="M3230" s="14" t="s">
        <v>529</v>
      </c>
      <c r="N3230" s="14" t="s">
        <v>530</v>
      </c>
      <c r="O3230" s="14">
        <v>0.0</v>
      </c>
      <c r="P3230" s="21">
        <v>0.0</v>
      </c>
      <c r="Q3230" s="22" t="str">
        <f t="shared" si="1931"/>
        <v>+0</v>
      </c>
      <c r="R3230" s="18" t="str">
        <f t="shared" ref="R3230:R3231" si="1932">"+0"</f>
        <v>+0</v>
      </c>
      <c r="S3230" s="14" t="s">
        <v>260</v>
      </c>
    </row>
    <row r="3231">
      <c r="A3231" s="13">
        <v>45901.0</v>
      </c>
      <c r="B3231" s="14" t="s">
        <v>47</v>
      </c>
      <c r="C3231" s="14" t="s">
        <v>48</v>
      </c>
      <c r="D3231" s="14" t="s">
        <v>149</v>
      </c>
      <c r="E3231" s="14" t="s">
        <v>150</v>
      </c>
      <c r="F3231" s="15" t="s">
        <v>51</v>
      </c>
      <c r="G3231" s="14" t="s">
        <v>151</v>
      </c>
      <c r="H3231" s="14" t="s">
        <v>152</v>
      </c>
      <c r="I3231" s="14" t="s">
        <v>54</v>
      </c>
      <c r="J3231" s="14" t="s">
        <v>199</v>
      </c>
      <c r="K3231" s="14" t="s">
        <v>203</v>
      </c>
      <c r="L3231" s="14" t="s">
        <v>340</v>
      </c>
      <c r="M3231" s="14" t="s">
        <v>340</v>
      </c>
      <c r="N3231" s="14" t="s">
        <v>341</v>
      </c>
      <c r="O3231" s="14">
        <v>0.0</v>
      </c>
      <c r="P3231" s="21">
        <v>0.0</v>
      </c>
      <c r="Q3231" s="22" t="str">
        <f t="shared" si="1931"/>
        <v>+0</v>
      </c>
      <c r="R3231" s="18" t="str">
        <f t="shared" si="1932"/>
        <v>+0</v>
      </c>
      <c r="S3231" s="14" t="s">
        <v>260</v>
      </c>
    </row>
    <row r="3232">
      <c r="A3232" s="13">
        <v>45901.0</v>
      </c>
      <c r="B3232" s="14" t="s">
        <v>47</v>
      </c>
      <c r="C3232" s="14" t="s">
        <v>48</v>
      </c>
      <c r="D3232" s="14" t="s">
        <v>69</v>
      </c>
      <c r="E3232" s="14" t="s">
        <v>70</v>
      </c>
      <c r="F3232" s="15" t="s">
        <v>51</v>
      </c>
      <c r="G3232" s="14" t="s">
        <v>115</v>
      </c>
      <c r="H3232" s="14" t="s">
        <v>72</v>
      </c>
      <c r="I3232" s="14" t="s">
        <v>54</v>
      </c>
      <c r="J3232" s="14" t="s">
        <v>200</v>
      </c>
      <c r="K3232" s="14" t="s">
        <v>224</v>
      </c>
      <c r="L3232" s="14" t="s">
        <v>392</v>
      </c>
      <c r="M3232" s="14" t="s">
        <v>754</v>
      </c>
      <c r="N3232" s="14" t="s">
        <v>755</v>
      </c>
      <c r="O3232" s="14">
        <v>16.0</v>
      </c>
      <c r="P3232" s="23">
        <v>0.1667</v>
      </c>
      <c r="Q3232" s="22" t="str">
        <f>"-50.00%"</f>
        <v>-50.00%</v>
      </c>
      <c r="R3232" s="18" t="str">
        <f>"-23.33%"</f>
        <v>-23.33%</v>
      </c>
      <c r="S3232" s="14" t="s">
        <v>1999</v>
      </c>
    </row>
    <row r="3233">
      <c r="A3233" s="13">
        <v>45901.0</v>
      </c>
      <c r="B3233" s="14" t="s">
        <v>47</v>
      </c>
      <c r="C3233" s="14" t="s">
        <v>48</v>
      </c>
      <c r="D3233" s="14" t="s">
        <v>125</v>
      </c>
      <c r="E3233" s="14" t="s">
        <v>126</v>
      </c>
      <c r="F3233" s="15" t="s">
        <v>51</v>
      </c>
      <c r="G3233" s="14" t="s">
        <v>127</v>
      </c>
      <c r="H3233" s="14" t="s">
        <v>125</v>
      </c>
      <c r="I3233" s="14" t="s">
        <v>59</v>
      </c>
      <c r="J3233" s="14" t="s">
        <v>200</v>
      </c>
      <c r="K3233" s="14" t="s">
        <v>224</v>
      </c>
      <c r="L3233" s="14" t="s">
        <v>392</v>
      </c>
      <c r="M3233" s="14" t="s">
        <v>1172</v>
      </c>
      <c r="N3233" s="14" t="s">
        <v>1173</v>
      </c>
      <c r="O3233" s="14">
        <v>0.0</v>
      </c>
      <c r="P3233" s="17"/>
      <c r="Q3233" s="22"/>
      <c r="S3233" s="14" t="s">
        <v>2000</v>
      </c>
    </row>
    <row r="3234">
      <c r="A3234" s="13">
        <v>45901.0</v>
      </c>
      <c r="B3234" s="14" t="s">
        <v>47</v>
      </c>
      <c r="C3234" s="14" t="s">
        <v>48</v>
      </c>
      <c r="D3234" s="14" t="s">
        <v>77</v>
      </c>
      <c r="E3234" s="14" t="s">
        <v>78</v>
      </c>
      <c r="F3234" s="15" t="s">
        <v>51</v>
      </c>
      <c r="G3234" s="14" t="s">
        <v>128</v>
      </c>
      <c r="H3234" s="14" t="s">
        <v>81</v>
      </c>
      <c r="I3234" s="14" t="s">
        <v>59</v>
      </c>
      <c r="J3234" s="14" t="s">
        <v>198</v>
      </c>
      <c r="K3234" s="14" t="s">
        <v>205</v>
      </c>
      <c r="L3234" s="14" t="s">
        <v>274</v>
      </c>
      <c r="M3234" s="14" t="s">
        <v>791</v>
      </c>
      <c r="N3234" s="14" t="s">
        <v>792</v>
      </c>
      <c r="O3234" s="14">
        <v>50.0</v>
      </c>
      <c r="P3234" s="21">
        <v>1.0</v>
      </c>
      <c r="Q3234" s="22" t="str">
        <f t="shared" ref="Q3234:Q3235" si="1933">"+0"</f>
        <v>+0</v>
      </c>
      <c r="S3234" s="14" t="s">
        <v>260</v>
      </c>
    </row>
    <row r="3235">
      <c r="A3235" s="13">
        <v>45901.0</v>
      </c>
      <c r="B3235" s="14" t="s">
        <v>47</v>
      </c>
      <c r="C3235" s="14" t="s">
        <v>48</v>
      </c>
      <c r="D3235" s="14" t="s">
        <v>116</v>
      </c>
      <c r="E3235" s="14" t="s">
        <v>117</v>
      </c>
      <c r="F3235" s="15" t="s">
        <v>51</v>
      </c>
      <c r="G3235" s="14" t="s">
        <v>161</v>
      </c>
      <c r="H3235" s="14" t="s">
        <v>116</v>
      </c>
      <c r="I3235" s="14" t="s">
        <v>54</v>
      </c>
      <c r="J3235" s="14" t="s">
        <v>198</v>
      </c>
      <c r="K3235" s="14" t="s">
        <v>210</v>
      </c>
      <c r="L3235" s="14" t="s">
        <v>458</v>
      </c>
      <c r="M3235" s="14" t="s">
        <v>620</v>
      </c>
      <c r="N3235" s="14" t="s">
        <v>621</v>
      </c>
      <c r="O3235" s="14">
        <v>0.0</v>
      </c>
      <c r="P3235" s="21">
        <v>0.0</v>
      </c>
      <c r="Q3235" s="22" t="str">
        <f t="shared" si="1933"/>
        <v>+0</v>
      </c>
      <c r="R3235" s="18" t="str">
        <f>"+0"</f>
        <v>+0</v>
      </c>
      <c r="S3235" s="14" t="s">
        <v>277</v>
      </c>
    </row>
    <row r="3236">
      <c r="A3236" s="13">
        <v>45901.0</v>
      </c>
      <c r="B3236" s="14" t="s">
        <v>47</v>
      </c>
      <c r="C3236" s="14" t="s">
        <v>48</v>
      </c>
      <c r="D3236" s="14" t="s">
        <v>60</v>
      </c>
      <c r="E3236" s="14" t="s">
        <v>61</v>
      </c>
      <c r="F3236" s="15" t="s">
        <v>51</v>
      </c>
      <c r="G3236" s="14" t="s">
        <v>62</v>
      </c>
      <c r="H3236" s="14" t="s">
        <v>60</v>
      </c>
      <c r="I3236" s="14" t="s">
        <v>59</v>
      </c>
      <c r="J3236" s="14" t="s">
        <v>200</v>
      </c>
      <c r="K3236" s="14" t="s">
        <v>216</v>
      </c>
      <c r="L3236" s="14" t="s">
        <v>253</v>
      </c>
      <c r="M3236" s="14" t="s">
        <v>1777</v>
      </c>
      <c r="N3236" s="14" t="s">
        <v>1778</v>
      </c>
      <c r="O3236" s="14">
        <v>55.0</v>
      </c>
      <c r="P3236" s="23">
        <v>0.5571</v>
      </c>
      <c r="Q3236" s="22" t="str">
        <f>"+7.83%"</f>
        <v>+7.83%</v>
      </c>
      <c r="R3236" s="18" t="str">
        <f>"-6.95%"</f>
        <v>-6.95%</v>
      </c>
      <c r="S3236" s="14" t="s">
        <v>371</v>
      </c>
    </row>
    <row r="3237">
      <c r="A3237" s="13">
        <v>45901.0</v>
      </c>
      <c r="B3237" s="14" t="s">
        <v>47</v>
      </c>
      <c r="C3237" s="14" t="s">
        <v>48</v>
      </c>
      <c r="D3237" s="14" t="s">
        <v>181</v>
      </c>
      <c r="E3237" s="14" t="s">
        <v>182</v>
      </c>
      <c r="F3237" s="15" t="s">
        <v>51</v>
      </c>
      <c r="G3237" s="14" t="s">
        <v>183</v>
      </c>
      <c r="H3237" s="14" t="s">
        <v>181</v>
      </c>
      <c r="I3237" s="14" t="s">
        <v>59</v>
      </c>
      <c r="J3237" s="14" t="s">
        <v>198</v>
      </c>
      <c r="K3237" s="14" t="s">
        <v>210</v>
      </c>
      <c r="L3237" s="14" t="s">
        <v>264</v>
      </c>
      <c r="M3237" s="14" t="s">
        <v>265</v>
      </c>
      <c r="N3237" s="14" t="s">
        <v>266</v>
      </c>
      <c r="O3237" s="14">
        <v>85.0</v>
      </c>
      <c r="P3237" s="21">
        <v>15.0</v>
      </c>
      <c r="Q3237" s="22" t="str">
        <f>"+1"</f>
        <v>+1</v>
      </c>
      <c r="R3237" s="18" t="str">
        <f>"-424"</f>
        <v>-424</v>
      </c>
      <c r="S3237" s="14" t="s">
        <v>2001</v>
      </c>
    </row>
    <row r="3238">
      <c r="A3238" s="13">
        <v>45901.0</v>
      </c>
      <c r="B3238" s="14" t="s">
        <v>47</v>
      </c>
      <c r="C3238" s="14" t="s">
        <v>48</v>
      </c>
      <c r="D3238" s="14" t="s">
        <v>49</v>
      </c>
      <c r="E3238" s="14" t="s">
        <v>50</v>
      </c>
      <c r="F3238" s="15" t="s">
        <v>51</v>
      </c>
      <c r="G3238" s="14" t="s">
        <v>52</v>
      </c>
      <c r="H3238" s="14" t="s">
        <v>53</v>
      </c>
      <c r="I3238" s="14" t="s">
        <v>54</v>
      </c>
      <c r="J3238" s="14" t="s">
        <v>198</v>
      </c>
      <c r="K3238" s="14" t="s">
        <v>210</v>
      </c>
      <c r="L3238" s="14" t="s">
        <v>458</v>
      </c>
      <c r="M3238" s="14" t="s">
        <v>1401</v>
      </c>
      <c r="N3238" s="14" t="s">
        <v>1402</v>
      </c>
      <c r="O3238" s="14">
        <v>0.0</v>
      </c>
      <c r="P3238" s="21">
        <v>0.0</v>
      </c>
      <c r="Q3238" s="22" t="str">
        <f t="shared" ref="Q3238:R3238" si="1934">"+0"</f>
        <v>+0</v>
      </c>
      <c r="R3238" s="18" t="str">
        <f t="shared" si="1934"/>
        <v>+0</v>
      </c>
      <c r="S3238" s="14" t="s">
        <v>277</v>
      </c>
    </row>
    <row r="3239">
      <c r="A3239" s="13">
        <v>45901.0</v>
      </c>
      <c r="B3239" s="14" t="s">
        <v>47</v>
      </c>
      <c r="C3239" s="14" t="s">
        <v>48</v>
      </c>
      <c r="D3239" s="14" t="s">
        <v>99</v>
      </c>
      <c r="E3239" s="14" t="s">
        <v>100</v>
      </c>
      <c r="F3239" s="15" t="s">
        <v>51</v>
      </c>
      <c r="G3239" s="14" t="s">
        <v>101</v>
      </c>
      <c r="H3239" s="14" t="s">
        <v>102</v>
      </c>
      <c r="I3239" s="14" t="s">
        <v>54</v>
      </c>
      <c r="J3239" s="14" t="s">
        <v>198</v>
      </c>
      <c r="K3239" s="14" t="s">
        <v>210</v>
      </c>
      <c r="L3239" s="14" t="s">
        <v>264</v>
      </c>
      <c r="M3239" s="14" t="s">
        <v>265</v>
      </c>
      <c r="N3239" s="14" t="s">
        <v>266</v>
      </c>
      <c r="O3239" s="14">
        <v>83.0</v>
      </c>
      <c r="P3239" s="21">
        <v>25.0</v>
      </c>
      <c r="Q3239" s="22" t="str">
        <f>"+1"</f>
        <v>+1</v>
      </c>
      <c r="R3239" s="18" t="str">
        <f>"-36"</f>
        <v>-36</v>
      </c>
      <c r="S3239" s="14" t="s">
        <v>2002</v>
      </c>
    </row>
    <row r="3240">
      <c r="A3240" s="13">
        <v>45901.0</v>
      </c>
      <c r="B3240" s="14" t="s">
        <v>47</v>
      </c>
      <c r="C3240" s="14" t="s">
        <v>48</v>
      </c>
      <c r="D3240" s="14" t="s">
        <v>136</v>
      </c>
      <c r="E3240" s="14" t="s">
        <v>137</v>
      </c>
      <c r="F3240" s="15" t="s">
        <v>51</v>
      </c>
      <c r="G3240" s="14" t="s">
        <v>138</v>
      </c>
      <c r="H3240" s="14" t="s">
        <v>139</v>
      </c>
      <c r="I3240" s="14" t="s">
        <v>59</v>
      </c>
      <c r="J3240" s="14" t="s">
        <v>198</v>
      </c>
      <c r="K3240" s="14" t="s">
        <v>205</v>
      </c>
      <c r="L3240" s="14" t="s">
        <v>274</v>
      </c>
      <c r="M3240" s="14" t="s">
        <v>448</v>
      </c>
      <c r="N3240" s="14" t="s">
        <v>449</v>
      </c>
      <c r="O3240" s="14">
        <v>100.0</v>
      </c>
      <c r="P3240" s="21">
        <v>3.0</v>
      </c>
      <c r="Q3240" s="22" t="str">
        <f>"+0"</f>
        <v>+0</v>
      </c>
      <c r="S3240" s="14" t="s">
        <v>450</v>
      </c>
    </row>
    <row r="3241">
      <c r="A3241" s="13">
        <v>45901.0</v>
      </c>
      <c r="B3241" s="14" t="s">
        <v>47</v>
      </c>
      <c r="C3241" s="14" t="s">
        <v>48</v>
      </c>
      <c r="D3241" s="14" t="s">
        <v>112</v>
      </c>
      <c r="E3241" s="14" t="s">
        <v>113</v>
      </c>
      <c r="F3241" s="15" t="s">
        <v>51</v>
      </c>
      <c r="G3241" s="14" t="s">
        <v>114</v>
      </c>
      <c r="H3241" s="14" t="s">
        <v>112</v>
      </c>
      <c r="I3241" s="14" t="s">
        <v>59</v>
      </c>
      <c r="J3241" s="14" t="s">
        <v>200</v>
      </c>
      <c r="K3241" s="14" t="s">
        <v>201</v>
      </c>
      <c r="L3241" s="14" t="s">
        <v>253</v>
      </c>
      <c r="M3241" s="14" t="s">
        <v>538</v>
      </c>
      <c r="N3241" s="14" t="s">
        <v>539</v>
      </c>
      <c r="O3241" s="14">
        <v>1.0</v>
      </c>
      <c r="P3241" s="23">
        <v>0.001</v>
      </c>
      <c r="Q3241" s="22" t="str">
        <f>"-0.02%"</f>
        <v>-0.02%</v>
      </c>
      <c r="R3241" s="18" t="str">
        <f>"-0.05%"</f>
        <v>-0.05%</v>
      </c>
      <c r="S3241" s="14" t="s">
        <v>1667</v>
      </c>
    </row>
    <row r="3242">
      <c r="A3242" s="13">
        <v>45901.0</v>
      </c>
      <c r="B3242" s="14" t="s">
        <v>47</v>
      </c>
      <c r="C3242" s="14" t="s">
        <v>48</v>
      </c>
      <c r="D3242" s="14" t="s">
        <v>168</v>
      </c>
      <c r="E3242" s="14" t="s">
        <v>169</v>
      </c>
      <c r="F3242" s="15" t="s">
        <v>51</v>
      </c>
      <c r="G3242" s="14" t="s">
        <v>170</v>
      </c>
      <c r="H3242" s="14" t="s">
        <v>168</v>
      </c>
      <c r="I3242" s="14" t="s">
        <v>59</v>
      </c>
      <c r="J3242" s="14" t="s">
        <v>198</v>
      </c>
      <c r="K3242" s="14" t="s">
        <v>210</v>
      </c>
      <c r="L3242" s="14" t="s">
        <v>505</v>
      </c>
      <c r="M3242" s="14" t="s">
        <v>506</v>
      </c>
      <c r="N3242" s="14" t="s">
        <v>507</v>
      </c>
      <c r="O3242" s="14">
        <v>100.0</v>
      </c>
      <c r="P3242" s="21">
        <v>0.0</v>
      </c>
      <c r="Q3242" s="22" t="str">
        <f t="shared" ref="Q3242:R3242" si="1935">"+0"</f>
        <v>+0</v>
      </c>
      <c r="R3242" s="18" t="str">
        <f t="shared" si="1935"/>
        <v>+0</v>
      </c>
      <c r="S3242" s="14" t="s">
        <v>281</v>
      </c>
    </row>
    <row r="3243">
      <c r="A3243" s="13">
        <v>45901.0</v>
      </c>
      <c r="B3243" s="14" t="s">
        <v>47</v>
      </c>
      <c r="C3243" s="14" t="s">
        <v>48</v>
      </c>
      <c r="D3243" s="14" t="s">
        <v>93</v>
      </c>
      <c r="E3243" s="14" t="s">
        <v>94</v>
      </c>
      <c r="F3243" s="15" t="s">
        <v>51</v>
      </c>
      <c r="G3243" s="14" t="s">
        <v>191</v>
      </c>
      <c r="H3243" s="14" t="s">
        <v>95</v>
      </c>
      <c r="I3243" s="14" t="s">
        <v>59</v>
      </c>
      <c r="J3243" s="14" t="s">
        <v>198</v>
      </c>
      <c r="K3243" s="14" t="s">
        <v>205</v>
      </c>
      <c r="L3243" s="14" t="s">
        <v>274</v>
      </c>
      <c r="M3243" s="14" t="s">
        <v>275</v>
      </c>
      <c r="N3243" s="14" t="s">
        <v>276</v>
      </c>
      <c r="O3243" s="14">
        <v>0.0</v>
      </c>
      <c r="P3243" s="21">
        <v>1.0</v>
      </c>
      <c r="Q3243" s="22" t="str">
        <f>"+0"</f>
        <v>+0</v>
      </c>
      <c r="S3243" s="14" t="s">
        <v>277</v>
      </c>
    </row>
    <row r="3244">
      <c r="A3244" s="13">
        <v>45901.0</v>
      </c>
      <c r="B3244" s="14" t="s">
        <v>47</v>
      </c>
      <c r="C3244" s="14" t="s">
        <v>48</v>
      </c>
      <c r="D3244" s="14" t="s">
        <v>143</v>
      </c>
      <c r="E3244" s="14" t="s">
        <v>144</v>
      </c>
      <c r="F3244" s="15" t="s">
        <v>51</v>
      </c>
      <c r="G3244" s="14" t="s">
        <v>145</v>
      </c>
      <c r="H3244" s="14" t="s">
        <v>143</v>
      </c>
      <c r="I3244" s="14" t="s">
        <v>59</v>
      </c>
      <c r="J3244" s="14" t="s">
        <v>200</v>
      </c>
      <c r="K3244" s="14" t="s">
        <v>232</v>
      </c>
      <c r="L3244" s="14" t="s">
        <v>375</v>
      </c>
      <c r="M3244" s="14" t="s">
        <v>902</v>
      </c>
      <c r="N3244" s="14" t="s">
        <v>903</v>
      </c>
      <c r="O3244" s="14">
        <v>0.0</v>
      </c>
      <c r="P3244" s="23">
        <v>0.0</v>
      </c>
      <c r="Q3244" s="22" t="str">
        <f t="shared" ref="Q3244:R3244" si="1936">"+0.00%"</f>
        <v>+0.00%</v>
      </c>
      <c r="R3244" s="18" t="str">
        <f t="shared" si="1936"/>
        <v>+0.00%</v>
      </c>
      <c r="S3244" s="14" t="s">
        <v>285</v>
      </c>
    </row>
    <row r="3245">
      <c r="A3245" s="13">
        <v>45901.0</v>
      </c>
      <c r="B3245" s="14" t="s">
        <v>47</v>
      </c>
      <c r="C3245" s="14" t="s">
        <v>48</v>
      </c>
      <c r="D3245" s="14" t="s">
        <v>91</v>
      </c>
      <c r="E3245" s="14" t="s">
        <v>92</v>
      </c>
      <c r="F3245" s="15" t="s">
        <v>51</v>
      </c>
      <c r="G3245" s="14" t="s">
        <v>163</v>
      </c>
      <c r="H3245" s="14" t="s">
        <v>91</v>
      </c>
      <c r="I3245" s="14" t="s">
        <v>59</v>
      </c>
      <c r="J3245" s="14" t="s">
        <v>200</v>
      </c>
      <c r="K3245" s="14" t="s">
        <v>223</v>
      </c>
      <c r="L3245" s="14" t="s">
        <v>307</v>
      </c>
      <c r="M3245" s="14" t="s">
        <v>1176</v>
      </c>
      <c r="N3245" s="14" t="s">
        <v>1177</v>
      </c>
      <c r="O3245" s="14">
        <v>0.0</v>
      </c>
      <c r="P3245" s="23">
        <v>0.0</v>
      </c>
      <c r="Q3245" s="22" t="str">
        <f t="shared" ref="Q3245:R3245" si="1937">"+0.00%"</f>
        <v>+0.00%</v>
      </c>
      <c r="R3245" s="18" t="str">
        <f t="shared" si="1937"/>
        <v>+0.00%</v>
      </c>
      <c r="S3245" s="14" t="s">
        <v>285</v>
      </c>
    </row>
    <row r="3246">
      <c r="A3246" s="13">
        <v>45901.0</v>
      </c>
      <c r="B3246" s="14" t="s">
        <v>47</v>
      </c>
      <c r="C3246" s="14" t="s">
        <v>48</v>
      </c>
      <c r="D3246" s="14" t="s">
        <v>82</v>
      </c>
      <c r="E3246" s="14" t="s">
        <v>83</v>
      </c>
      <c r="F3246" s="15" t="s">
        <v>51</v>
      </c>
      <c r="G3246" s="14" t="s">
        <v>84</v>
      </c>
      <c r="H3246" s="14" t="s">
        <v>82</v>
      </c>
      <c r="I3246" s="14" t="s">
        <v>59</v>
      </c>
      <c r="J3246" s="14" t="s">
        <v>200</v>
      </c>
      <c r="K3246" s="14" t="s">
        <v>227</v>
      </c>
      <c r="L3246" s="14" t="s">
        <v>253</v>
      </c>
      <c r="M3246" s="14" t="s">
        <v>396</v>
      </c>
      <c r="N3246" s="14" t="s">
        <v>397</v>
      </c>
      <c r="O3246" s="14">
        <v>50.0</v>
      </c>
      <c r="P3246" s="23">
        <v>0.5</v>
      </c>
      <c r="Q3246" s="22" t="str">
        <f t="shared" ref="Q3246:R3246" si="1938">"+0.00%"</f>
        <v>+0.00%</v>
      </c>
      <c r="R3246" s="18" t="str">
        <f t="shared" si="1938"/>
        <v>+0.00%</v>
      </c>
      <c r="S3246" s="14" t="s">
        <v>2003</v>
      </c>
    </row>
    <row r="3247">
      <c r="A3247" s="13">
        <v>45901.0</v>
      </c>
      <c r="B3247" s="14" t="s">
        <v>47</v>
      </c>
      <c r="C3247" s="14" t="s">
        <v>48</v>
      </c>
      <c r="D3247" s="14" t="s">
        <v>103</v>
      </c>
      <c r="E3247" s="14" t="s">
        <v>104</v>
      </c>
      <c r="F3247" s="15" t="s">
        <v>51</v>
      </c>
      <c r="G3247" s="14" t="s">
        <v>105</v>
      </c>
      <c r="H3247" s="14" t="s">
        <v>106</v>
      </c>
      <c r="I3247" s="14" t="s">
        <v>59</v>
      </c>
      <c r="J3247" s="14" t="s">
        <v>198</v>
      </c>
      <c r="K3247" s="14" t="s">
        <v>205</v>
      </c>
      <c r="L3247" s="14" t="s">
        <v>274</v>
      </c>
      <c r="M3247" s="14" t="s">
        <v>767</v>
      </c>
      <c r="N3247" s="14" t="s">
        <v>768</v>
      </c>
      <c r="O3247" s="14">
        <v>100.0</v>
      </c>
      <c r="P3247" s="21">
        <v>1.0</v>
      </c>
      <c r="Q3247" s="22" t="str">
        <f t="shared" ref="Q3247:Q3248" si="1939">"+0"</f>
        <v>+0</v>
      </c>
      <c r="S3247" s="14" t="s">
        <v>281</v>
      </c>
    </row>
    <row r="3248">
      <c r="A3248" s="13">
        <v>45901.0</v>
      </c>
      <c r="B3248" s="14" t="s">
        <v>47</v>
      </c>
      <c r="C3248" s="14" t="s">
        <v>48</v>
      </c>
      <c r="D3248" s="14" t="s">
        <v>132</v>
      </c>
      <c r="E3248" s="14" t="s">
        <v>133</v>
      </c>
      <c r="F3248" s="15" t="s">
        <v>51</v>
      </c>
      <c r="G3248" s="14" t="s">
        <v>134</v>
      </c>
      <c r="H3248" s="14" t="s">
        <v>135</v>
      </c>
      <c r="I3248" s="14" t="s">
        <v>59</v>
      </c>
      <c r="J3248" s="14" t="s">
        <v>199</v>
      </c>
      <c r="K3248" s="14" t="s">
        <v>203</v>
      </c>
      <c r="L3248" s="14" t="s">
        <v>736</v>
      </c>
      <c r="M3248" s="14" t="s">
        <v>736</v>
      </c>
      <c r="N3248" s="14" t="s">
        <v>737</v>
      </c>
      <c r="O3248" s="14">
        <v>0.0</v>
      </c>
      <c r="P3248" s="21">
        <v>0.0</v>
      </c>
      <c r="Q3248" s="22" t="str">
        <f t="shared" si="1939"/>
        <v>+0</v>
      </c>
      <c r="R3248" s="18" t="str">
        <f>"+0"</f>
        <v>+0</v>
      </c>
      <c r="S3248" s="14" t="s">
        <v>260</v>
      </c>
    </row>
    <row r="3249">
      <c r="A3249" s="13">
        <v>45901.0</v>
      </c>
      <c r="B3249" s="14" t="s">
        <v>47</v>
      </c>
      <c r="C3249" s="14" t="s">
        <v>48</v>
      </c>
      <c r="D3249" s="14" t="s">
        <v>143</v>
      </c>
      <c r="E3249" s="14" t="s">
        <v>144</v>
      </c>
      <c r="F3249" s="15" t="s">
        <v>51</v>
      </c>
      <c r="G3249" s="14" t="s">
        <v>145</v>
      </c>
      <c r="H3249" s="14" t="s">
        <v>143</v>
      </c>
      <c r="I3249" s="14" t="s">
        <v>59</v>
      </c>
      <c r="J3249" s="14" t="s">
        <v>200</v>
      </c>
      <c r="K3249" s="14" t="s">
        <v>224</v>
      </c>
      <c r="L3249" s="14" t="s">
        <v>453</v>
      </c>
      <c r="M3249" s="14" t="s">
        <v>454</v>
      </c>
      <c r="N3249" s="14" t="s">
        <v>455</v>
      </c>
      <c r="O3249" s="14">
        <v>100.0</v>
      </c>
      <c r="P3249" s="23">
        <v>1.0</v>
      </c>
      <c r="Q3249" s="22" t="str">
        <f>"+0.00%"</f>
        <v>+0.00%</v>
      </c>
      <c r="S3249" s="14" t="s">
        <v>371</v>
      </c>
    </row>
    <row r="3250">
      <c r="A3250" s="13">
        <v>45901.0</v>
      </c>
      <c r="B3250" s="14" t="s">
        <v>47</v>
      </c>
      <c r="C3250" s="14" t="s">
        <v>48</v>
      </c>
      <c r="D3250" s="14" t="s">
        <v>149</v>
      </c>
      <c r="E3250" s="14" t="s">
        <v>150</v>
      </c>
      <c r="F3250" s="15" t="s">
        <v>51</v>
      </c>
      <c r="G3250" s="14" t="s">
        <v>151</v>
      </c>
      <c r="H3250" s="14" t="s">
        <v>152</v>
      </c>
      <c r="I3250" s="14" t="s">
        <v>54</v>
      </c>
      <c r="J3250" s="14" t="s">
        <v>198</v>
      </c>
      <c r="K3250" s="14" t="s">
        <v>212</v>
      </c>
      <c r="L3250" s="14" t="s">
        <v>249</v>
      </c>
      <c r="M3250" s="14" t="s">
        <v>686</v>
      </c>
      <c r="N3250" s="14" t="s">
        <v>687</v>
      </c>
      <c r="O3250" s="14">
        <v>0.0</v>
      </c>
      <c r="P3250" s="21">
        <v>0.0</v>
      </c>
      <c r="Q3250" s="22" t="str">
        <f t="shared" ref="Q3250:R3250" si="1940">"+0"</f>
        <v>+0</v>
      </c>
      <c r="R3250" s="18" t="str">
        <f t="shared" si="1940"/>
        <v>+0</v>
      </c>
      <c r="S3250" s="14" t="s">
        <v>277</v>
      </c>
    </row>
    <row r="3251">
      <c r="A3251" s="13">
        <v>45901.0</v>
      </c>
      <c r="B3251" s="14" t="s">
        <v>47</v>
      </c>
      <c r="C3251" s="14" t="s">
        <v>48</v>
      </c>
      <c r="D3251" s="14" t="s">
        <v>87</v>
      </c>
      <c r="E3251" s="14" t="s">
        <v>88</v>
      </c>
      <c r="F3251" s="15" t="s">
        <v>51</v>
      </c>
      <c r="G3251" s="14" t="s">
        <v>89</v>
      </c>
      <c r="H3251" s="14" t="s">
        <v>90</v>
      </c>
      <c r="I3251" s="14" t="s">
        <v>59</v>
      </c>
      <c r="J3251" s="14" t="s">
        <v>200</v>
      </c>
      <c r="K3251" s="14" t="s">
        <v>227</v>
      </c>
      <c r="L3251" s="14" t="s">
        <v>253</v>
      </c>
      <c r="M3251" s="14" t="s">
        <v>254</v>
      </c>
      <c r="N3251" s="14" t="s">
        <v>255</v>
      </c>
      <c r="O3251" s="14">
        <v>4.0</v>
      </c>
      <c r="P3251" s="23">
        <v>0.0435</v>
      </c>
      <c r="Q3251" s="22" t="str">
        <f t="shared" ref="Q3251:R3251" si="1941">"+0.00%"</f>
        <v>+0.00%</v>
      </c>
      <c r="R3251" s="18" t="str">
        <f t="shared" si="1941"/>
        <v>+0.00%</v>
      </c>
      <c r="S3251" s="14" t="s">
        <v>399</v>
      </c>
    </row>
    <row r="3252">
      <c r="A3252" s="13">
        <v>45901.0</v>
      </c>
      <c r="B3252" s="14" t="s">
        <v>47</v>
      </c>
      <c r="C3252" s="14" t="s">
        <v>48</v>
      </c>
      <c r="D3252" s="14" t="s">
        <v>136</v>
      </c>
      <c r="E3252" s="14" t="s">
        <v>137</v>
      </c>
      <c r="F3252" s="15" t="s">
        <v>51</v>
      </c>
      <c r="G3252" s="14" t="s">
        <v>138</v>
      </c>
      <c r="H3252" s="14" t="s">
        <v>139</v>
      </c>
      <c r="I3252" s="14" t="s">
        <v>59</v>
      </c>
      <c r="J3252" s="14" t="s">
        <v>198</v>
      </c>
      <c r="K3252" s="14" t="s">
        <v>210</v>
      </c>
      <c r="L3252" s="14" t="s">
        <v>264</v>
      </c>
      <c r="M3252" s="14" t="s">
        <v>470</v>
      </c>
      <c r="N3252" s="14" t="s">
        <v>471</v>
      </c>
      <c r="O3252" s="14">
        <v>100.0</v>
      </c>
      <c r="P3252" s="21">
        <v>0.0</v>
      </c>
      <c r="Q3252" s="22" t="str">
        <f>"-10"</f>
        <v>-10</v>
      </c>
      <c r="R3252" s="18" t="str">
        <f>"+0"</f>
        <v>+0</v>
      </c>
      <c r="S3252" s="14" t="s">
        <v>281</v>
      </c>
    </row>
    <row r="3253">
      <c r="A3253" s="13">
        <v>45901.0</v>
      </c>
      <c r="B3253" s="14" t="s">
        <v>47</v>
      </c>
      <c r="C3253" s="14" t="s">
        <v>48</v>
      </c>
      <c r="D3253" s="14" t="s">
        <v>129</v>
      </c>
      <c r="E3253" s="14" t="s">
        <v>130</v>
      </c>
      <c r="F3253" s="15" t="s">
        <v>51</v>
      </c>
      <c r="G3253" s="14" t="s">
        <v>131</v>
      </c>
      <c r="H3253" s="14" t="s">
        <v>129</v>
      </c>
      <c r="I3253" s="14" t="s">
        <v>59</v>
      </c>
      <c r="J3253" s="14" t="s">
        <v>198</v>
      </c>
      <c r="K3253" s="14" t="s">
        <v>205</v>
      </c>
      <c r="L3253" s="14" t="s">
        <v>274</v>
      </c>
      <c r="M3253" s="14" t="s">
        <v>575</v>
      </c>
      <c r="N3253" s="14" t="s">
        <v>576</v>
      </c>
      <c r="O3253" s="14">
        <v>100.0</v>
      </c>
      <c r="P3253" s="21">
        <v>0.0</v>
      </c>
      <c r="Q3253" s="22" t="str">
        <f t="shared" ref="Q3253:Q3256" si="1942">"+0"</f>
        <v>+0</v>
      </c>
      <c r="S3253" s="14" t="s">
        <v>577</v>
      </c>
    </row>
    <row r="3254">
      <c r="A3254" s="13">
        <v>45901.0</v>
      </c>
      <c r="B3254" s="14" t="s">
        <v>47</v>
      </c>
      <c r="C3254" s="14" t="s">
        <v>48</v>
      </c>
      <c r="D3254" s="14" t="s">
        <v>129</v>
      </c>
      <c r="E3254" s="14" t="s">
        <v>130</v>
      </c>
      <c r="F3254" s="15" t="s">
        <v>51</v>
      </c>
      <c r="G3254" s="14" t="s">
        <v>131</v>
      </c>
      <c r="H3254" s="14" t="s">
        <v>129</v>
      </c>
      <c r="I3254" s="14" t="s">
        <v>59</v>
      </c>
      <c r="J3254" s="14" t="s">
        <v>199</v>
      </c>
      <c r="K3254" s="14" t="s">
        <v>203</v>
      </c>
      <c r="L3254" s="14" t="s">
        <v>601</v>
      </c>
      <c r="M3254" s="14" t="s">
        <v>601</v>
      </c>
      <c r="N3254" s="14" t="s">
        <v>602</v>
      </c>
      <c r="O3254" s="14">
        <v>0.0</v>
      </c>
      <c r="P3254" s="21">
        <v>0.0</v>
      </c>
      <c r="Q3254" s="22" t="str">
        <f t="shared" si="1942"/>
        <v>+0</v>
      </c>
      <c r="R3254" s="18" t="str">
        <f>"+0"</f>
        <v>+0</v>
      </c>
      <c r="S3254" s="14" t="s">
        <v>260</v>
      </c>
    </row>
    <row r="3255">
      <c r="A3255" s="13">
        <v>45901.0</v>
      </c>
      <c r="B3255" s="14" t="s">
        <v>47</v>
      </c>
      <c r="C3255" s="14" t="s">
        <v>48</v>
      </c>
      <c r="D3255" s="14" t="s">
        <v>69</v>
      </c>
      <c r="E3255" s="14" t="s">
        <v>70</v>
      </c>
      <c r="F3255" s="15" t="s">
        <v>51</v>
      </c>
      <c r="G3255" s="14" t="s">
        <v>115</v>
      </c>
      <c r="H3255" s="14" t="s">
        <v>72</v>
      </c>
      <c r="I3255" s="14" t="s">
        <v>54</v>
      </c>
      <c r="J3255" s="14" t="s">
        <v>198</v>
      </c>
      <c r="K3255" s="14" t="s">
        <v>207</v>
      </c>
      <c r="L3255" s="14" t="s">
        <v>318</v>
      </c>
      <c r="M3255" s="14" t="s">
        <v>508</v>
      </c>
      <c r="N3255" s="14" t="s">
        <v>509</v>
      </c>
      <c r="O3255" s="14">
        <v>0.0</v>
      </c>
      <c r="P3255" s="21">
        <v>0.0</v>
      </c>
      <c r="Q3255" s="22" t="str">
        <f t="shared" si="1942"/>
        <v>+0</v>
      </c>
      <c r="S3255" s="14" t="s">
        <v>281</v>
      </c>
    </row>
    <row r="3256">
      <c r="A3256" s="13">
        <v>45901.0</v>
      </c>
      <c r="B3256" s="14" t="s">
        <v>47</v>
      </c>
      <c r="C3256" s="14" t="s">
        <v>48</v>
      </c>
      <c r="D3256" s="14" t="s">
        <v>85</v>
      </c>
      <c r="E3256" s="14" t="s">
        <v>86</v>
      </c>
      <c r="F3256" s="14" t="s">
        <v>146</v>
      </c>
      <c r="G3256" s="14" t="s">
        <v>162</v>
      </c>
      <c r="H3256" s="14" t="s">
        <v>85</v>
      </c>
      <c r="I3256" s="14" t="s">
        <v>107</v>
      </c>
      <c r="J3256" s="14" t="s">
        <v>199</v>
      </c>
      <c r="K3256" s="14" t="s">
        <v>206</v>
      </c>
      <c r="L3256" s="14" t="s">
        <v>381</v>
      </c>
      <c r="M3256" s="14" t="s">
        <v>381</v>
      </c>
      <c r="N3256" s="14" t="s">
        <v>382</v>
      </c>
      <c r="O3256" s="14">
        <v>0.0</v>
      </c>
      <c r="P3256" s="21">
        <v>0.0</v>
      </c>
      <c r="Q3256" s="22" t="str">
        <f t="shared" si="1942"/>
        <v>+0</v>
      </c>
      <c r="R3256" s="18" t="str">
        <f>"-1"</f>
        <v>-1</v>
      </c>
      <c r="S3256" s="14" t="s">
        <v>383</v>
      </c>
    </row>
    <row r="3257">
      <c r="A3257" s="13">
        <v>45901.0</v>
      </c>
      <c r="B3257" s="14" t="s">
        <v>47</v>
      </c>
      <c r="C3257" s="14" t="s">
        <v>48</v>
      </c>
      <c r="D3257" s="14" t="s">
        <v>77</v>
      </c>
      <c r="E3257" s="14" t="s">
        <v>78</v>
      </c>
      <c r="F3257" s="15" t="s">
        <v>51</v>
      </c>
      <c r="G3257" s="14" t="s">
        <v>128</v>
      </c>
      <c r="H3257" s="14" t="s">
        <v>81</v>
      </c>
      <c r="I3257" s="14" t="s">
        <v>59</v>
      </c>
      <c r="J3257" s="14" t="s">
        <v>200</v>
      </c>
      <c r="K3257" s="14" t="s">
        <v>216</v>
      </c>
      <c r="L3257" s="14" t="s">
        <v>658</v>
      </c>
      <c r="M3257" s="14" t="s">
        <v>659</v>
      </c>
      <c r="N3257" s="14" t="s">
        <v>660</v>
      </c>
      <c r="O3257" s="14">
        <v>0.0</v>
      </c>
      <c r="P3257" s="17"/>
      <c r="Q3257" s="22"/>
      <c r="S3257" s="14" t="s">
        <v>661</v>
      </c>
    </row>
    <row r="3258">
      <c r="A3258" s="13">
        <v>45901.0</v>
      </c>
      <c r="B3258" s="14" t="s">
        <v>47</v>
      </c>
      <c r="C3258" s="14" t="s">
        <v>48</v>
      </c>
      <c r="D3258" s="14" t="s">
        <v>116</v>
      </c>
      <c r="E3258" s="14" t="s">
        <v>117</v>
      </c>
      <c r="F3258" s="15" t="s">
        <v>51</v>
      </c>
      <c r="G3258" s="14" t="s">
        <v>161</v>
      </c>
      <c r="H3258" s="14" t="s">
        <v>116</v>
      </c>
      <c r="I3258" s="14" t="s">
        <v>54</v>
      </c>
      <c r="J3258" s="14" t="s">
        <v>198</v>
      </c>
      <c r="K3258" s="14" t="s">
        <v>210</v>
      </c>
      <c r="L3258" s="14" t="s">
        <v>264</v>
      </c>
      <c r="M3258" s="14" t="s">
        <v>694</v>
      </c>
      <c r="N3258" s="14" t="s">
        <v>695</v>
      </c>
      <c r="O3258" s="14">
        <v>100.0</v>
      </c>
      <c r="P3258" s="21">
        <v>1.0</v>
      </c>
      <c r="Q3258" s="22" t="str">
        <f t="shared" ref="Q3258:R3258" si="1943">"+1"</f>
        <v>+1</v>
      </c>
      <c r="R3258" s="18" t="str">
        <f t="shared" si="1943"/>
        <v>+1</v>
      </c>
      <c r="S3258" s="14" t="s">
        <v>277</v>
      </c>
    </row>
    <row r="3259">
      <c r="A3259" s="13">
        <v>45901.0</v>
      </c>
      <c r="B3259" s="14" t="s">
        <v>47</v>
      </c>
      <c r="C3259" s="14" t="s">
        <v>48</v>
      </c>
      <c r="D3259" s="14" t="s">
        <v>158</v>
      </c>
      <c r="E3259" s="14" t="s">
        <v>159</v>
      </c>
      <c r="F3259" s="15" t="s">
        <v>51</v>
      </c>
      <c r="G3259" s="14" t="s">
        <v>160</v>
      </c>
      <c r="H3259" s="14" t="s">
        <v>158</v>
      </c>
      <c r="I3259" s="14" t="s">
        <v>54</v>
      </c>
      <c r="J3259" s="14" t="s">
        <v>198</v>
      </c>
      <c r="K3259" s="14" t="s">
        <v>210</v>
      </c>
      <c r="L3259" s="14" t="s">
        <v>278</v>
      </c>
      <c r="M3259" s="14" t="s">
        <v>1005</v>
      </c>
      <c r="N3259" s="14" t="s">
        <v>1006</v>
      </c>
      <c r="O3259" s="14">
        <v>0.0</v>
      </c>
      <c r="P3259" s="21">
        <v>0.0</v>
      </c>
      <c r="Q3259" s="22" t="str">
        <f t="shared" ref="Q3259:R3259" si="1944">"+0"</f>
        <v>+0</v>
      </c>
      <c r="R3259" s="18" t="str">
        <f t="shared" si="1944"/>
        <v>+0</v>
      </c>
      <c r="S3259" s="14" t="s">
        <v>277</v>
      </c>
    </row>
    <row r="3260">
      <c r="A3260" s="13">
        <v>45901.0</v>
      </c>
      <c r="B3260" s="14" t="s">
        <v>47</v>
      </c>
      <c r="C3260" s="14" t="s">
        <v>48</v>
      </c>
      <c r="D3260" s="14" t="s">
        <v>112</v>
      </c>
      <c r="E3260" s="14" t="s">
        <v>113</v>
      </c>
      <c r="F3260" s="15" t="s">
        <v>51</v>
      </c>
      <c r="G3260" s="14" t="s">
        <v>114</v>
      </c>
      <c r="H3260" s="14" t="s">
        <v>112</v>
      </c>
      <c r="I3260" s="14" t="s">
        <v>59</v>
      </c>
      <c r="J3260" s="14" t="s">
        <v>200</v>
      </c>
      <c r="K3260" s="14" t="s">
        <v>213</v>
      </c>
      <c r="L3260" s="14" t="s">
        <v>289</v>
      </c>
      <c r="M3260" s="14" t="s">
        <v>384</v>
      </c>
      <c r="N3260" s="14" t="s">
        <v>385</v>
      </c>
      <c r="O3260" s="14">
        <v>0.0</v>
      </c>
      <c r="P3260" s="23">
        <v>0.0</v>
      </c>
      <c r="Q3260" s="22" t="str">
        <f t="shared" ref="Q3260:R3260" si="1945">"+0.00%"</f>
        <v>+0.00%</v>
      </c>
      <c r="R3260" s="18" t="str">
        <f t="shared" si="1945"/>
        <v>+0.00%</v>
      </c>
      <c r="S3260" s="14" t="s">
        <v>2004</v>
      </c>
    </row>
    <row r="3261">
      <c r="A3261" s="13">
        <v>45901.0</v>
      </c>
      <c r="B3261" s="14" t="s">
        <v>47</v>
      </c>
      <c r="C3261" s="14" t="s">
        <v>48</v>
      </c>
      <c r="D3261" s="14" t="s">
        <v>108</v>
      </c>
      <c r="E3261" s="14" t="s">
        <v>109</v>
      </c>
      <c r="F3261" s="14" t="s">
        <v>79</v>
      </c>
      <c r="G3261" s="14" t="s">
        <v>153</v>
      </c>
      <c r="H3261" s="14" t="s">
        <v>108</v>
      </c>
      <c r="I3261" s="14" t="s">
        <v>154</v>
      </c>
      <c r="J3261" s="14" t="s">
        <v>200</v>
      </c>
      <c r="K3261" s="14" t="s">
        <v>238</v>
      </c>
      <c r="L3261" s="14" t="s">
        <v>253</v>
      </c>
      <c r="M3261" s="14" t="s">
        <v>772</v>
      </c>
      <c r="N3261" s="14" t="s">
        <v>773</v>
      </c>
      <c r="O3261" s="14">
        <v>20.0</v>
      </c>
      <c r="P3261" s="23">
        <v>0.2</v>
      </c>
      <c r="Q3261" s="22" t="str">
        <f>"+9.09%"</f>
        <v>+9.09%</v>
      </c>
      <c r="S3261" s="14" t="s">
        <v>2005</v>
      </c>
    </row>
    <row r="3262">
      <c r="A3262" s="13">
        <v>45901.0</v>
      </c>
      <c r="B3262" s="14" t="s">
        <v>47</v>
      </c>
      <c r="C3262" s="14" t="s">
        <v>48</v>
      </c>
      <c r="D3262" s="14" t="s">
        <v>56</v>
      </c>
      <c r="E3262" s="14" t="s">
        <v>57</v>
      </c>
      <c r="F3262" s="15" t="s">
        <v>51</v>
      </c>
      <c r="G3262" s="14" t="s">
        <v>58</v>
      </c>
      <c r="H3262" s="14" t="s">
        <v>56</v>
      </c>
      <c r="I3262" s="14" t="s">
        <v>59</v>
      </c>
      <c r="J3262" s="14" t="s">
        <v>200</v>
      </c>
      <c r="K3262" s="14" t="s">
        <v>223</v>
      </c>
      <c r="L3262" s="14" t="s">
        <v>304</v>
      </c>
      <c r="M3262" s="14" t="s">
        <v>688</v>
      </c>
      <c r="N3262" s="14" t="s">
        <v>689</v>
      </c>
      <c r="O3262" s="14">
        <v>36.0</v>
      </c>
      <c r="P3262" s="23">
        <v>0.36</v>
      </c>
      <c r="Q3262" s="22" t="str">
        <f>"+1.00%"</f>
        <v>+1.00%</v>
      </c>
      <c r="R3262" s="18" t="str">
        <f>"-1.50%"</f>
        <v>-1.50%</v>
      </c>
      <c r="S3262" s="14" t="s">
        <v>1912</v>
      </c>
    </row>
    <row r="3263">
      <c r="A3263" s="13">
        <v>45901.0</v>
      </c>
      <c r="B3263" s="14" t="s">
        <v>47</v>
      </c>
      <c r="C3263" s="14" t="s">
        <v>48</v>
      </c>
      <c r="D3263" s="14" t="s">
        <v>60</v>
      </c>
      <c r="E3263" s="14" t="s">
        <v>61</v>
      </c>
      <c r="F3263" s="15" t="s">
        <v>51</v>
      </c>
      <c r="G3263" s="14" t="s">
        <v>62</v>
      </c>
      <c r="H3263" s="14" t="s">
        <v>60</v>
      </c>
      <c r="I3263" s="14" t="s">
        <v>59</v>
      </c>
      <c r="J3263" s="14" t="s">
        <v>200</v>
      </c>
      <c r="K3263" s="14" t="s">
        <v>223</v>
      </c>
      <c r="L3263" s="14" t="s">
        <v>591</v>
      </c>
      <c r="M3263" s="14" t="s">
        <v>592</v>
      </c>
      <c r="N3263" s="14" t="s">
        <v>593</v>
      </c>
      <c r="O3263" s="14">
        <v>0.0</v>
      </c>
      <c r="P3263" s="23">
        <v>0.0</v>
      </c>
      <c r="Q3263" s="22" t="str">
        <f t="shared" ref="Q3263:R3263" si="1946">"+0.00%"</f>
        <v>+0.00%</v>
      </c>
      <c r="R3263" s="18" t="str">
        <f t="shared" si="1946"/>
        <v>+0.00%</v>
      </c>
      <c r="S3263" s="14" t="s">
        <v>285</v>
      </c>
    </row>
    <row r="3264">
      <c r="A3264" s="13">
        <v>45901.0</v>
      </c>
      <c r="B3264" s="14" t="s">
        <v>47</v>
      </c>
      <c r="C3264" s="14" t="s">
        <v>48</v>
      </c>
      <c r="D3264" s="14" t="s">
        <v>168</v>
      </c>
      <c r="E3264" s="14" t="s">
        <v>169</v>
      </c>
      <c r="F3264" s="15" t="s">
        <v>51</v>
      </c>
      <c r="G3264" s="14" t="s">
        <v>170</v>
      </c>
      <c r="H3264" s="14" t="s">
        <v>168</v>
      </c>
      <c r="I3264" s="14" t="s">
        <v>59</v>
      </c>
      <c r="J3264" s="14" t="s">
        <v>200</v>
      </c>
      <c r="K3264" s="14" t="s">
        <v>213</v>
      </c>
      <c r="L3264" s="14" t="s">
        <v>289</v>
      </c>
      <c r="M3264" s="14" t="s">
        <v>331</v>
      </c>
      <c r="N3264" s="14" t="s">
        <v>332</v>
      </c>
      <c r="O3264" s="14">
        <v>0.0</v>
      </c>
      <c r="P3264" s="23">
        <v>0.0</v>
      </c>
      <c r="Q3264" s="22" t="str">
        <f t="shared" ref="Q3264:R3264" si="1947">"+0.00%"</f>
        <v>+0.00%</v>
      </c>
      <c r="R3264" s="18" t="str">
        <f t="shared" si="1947"/>
        <v>+0.00%</v>
      </c>
      <c r="S3264" s="14" t="s">
        <v>285</v>
      </c>
    </row>
    <row r="3265">
      <c r="A3265" s="13">
        <v>45901.0</v>
      </c>
      <c r="B3265" s="14" t="s">
        <v>47</v>
      </c>
      <c r="C3265" s="14" t="s">
        <v>48</v>
      </c>
      <c r="D3265" s="14" t="s">
        <v>56</v>
      </c>
      <c r="E3265" s="14" t="s">
        <v>57</v>
      </c>
      <c r="F3265" s="15" t="s">
        <v>51</v>
      </c>
      <c r="G3265" s="14" t="s">
        <v>58</v>
      </c>
      <c r="H3265" s="14" t="s">
        <v>56</v>
      </c>
      <c r="I3265" s="14" t="s">
        <v>59</v>
      </c>
      <c r="J3265" s="14" t="s">
        <v>198</v>
      </c>
      <c r="K3265" s="14" t="s">
        <v>212</v>
      </c>
      <c r="L3265" s="14" t="s">
        <v>249</v>
      </c>
      <c r="M3265" s="14" t="s">
        <v>250</v>
      </c>
      <c r="N3265" s="14" t="s">
        <v>251</v>
      </c>
      <c r="O3265" s="14">
        <v>100.0</v>
      </c>
      <c r="P3265" s="21">
        <v>0.0</v>
      </c>
      <c r="Q3265" s="22" t="str">
        <f t="shared" ref="Q3265:R3265" si="1948">"+0"</f>
        <v>+0</v>
      </c>
      <c r="R3265" s="18" t="str">
        <f t="shared" si="1948"/>
        <v>+0</v>
      </c>
      <c r="S3265" s="14" t="s">
        <v>281</v>
      </c>
    </row>
    <row r="3266">
      <c r="A3266" s="13">
        <v>45901.0</v>
      </c>
      <c r="B3266" s="14" t="s">
        <v>47</v>
      </c>
      <c r="C3266" s="14" t="s">
        <v>48</v>
      </c>
      <c r="D3266" s="14" t="s">
        <v>121</v>
      </c>
      <c r="E3266" s="14" t="s">
        <v>122</v>
      </c>
      <c r="F3266" s="15" t="s">
        <v>51</v>
      </c>
      <c r="G3266" s="14" t="s">
        <v>123</v>
      </c>
      <c r="H3266" s="14" t="s">
        <v>124</v>
      </c>
      <c r="I3266" s="14" t="s">
        <v>59</v>
      </c>
      <c r="J3266" s="14" t="s">
        <v>200</v>
      </c>
      <c r="K3266" s="14" t="s">
        <v>209</v>
      </c>
      <c r="L3266" s="14" t="s">
        <v>253</v>
      </c>
      <c r="M3266" s="14" t="s">
        <v>402</v>
      </c>
      <c r="N3266" s="14" t="s">
        <v>403</v>
      </c>
      <c r="O3266" s="14">
        <v>1.0</v>
      </c>
      <c r="P3266" s="23">
        <v>0.0075</v>
      </c>
      <c r="Q3266" s="22" t="str">
        <f>"+0.00%"</f>
        <v>+0.00%</v>
      </c>
      <c r="R3266" s="18" t="str">
        <f>"+0.02%"</f>
        <v>+0.02%</v>
      </c>
      <c r="S3266" s="14" t="s">
        <v>2006</v>
      </c>
    </row>
    <row r="3267">
      <c r="A3267" s="13">
        <v>45901.0</v>
      </c>
      <c r="B3267" s="14" t="s">
        <v>47</v>
      </c>
      <c r="C3267" s="14" t="s">
        <v>48</v>
      </c>
      <c r="D3267" s="14" t="s">
        <v>60</v>
      </c>
      <c r="E3267" s="14" t="s">
        <v>61</v>
      </c>
      <c r="F3267" s="15" t="s">
        <v>51</v>
      </c>
      <c r="G3267" s="14" t="s">
        <v>62</v>
      </c>
      <c r="H3267" s="14" t="s">
        <v>60</v>
      </c>
      <c r="I3267" s="14" t="s">
        <v>59</v>
      </c>
      <c r="J3267" s="14" t="s">
        <v>200</v>
      </c>
      <c r="K3267" s="14" t="s">
        <v>223</v>
      </c>
      <c r="L3267" s="14" t="s">
        <v>607</v>
      </c>
      <c r="M3267" s="14" t="s">
        <v>869</v>
      </c>
      <c r="N3267" s="14" t="s">
        <v>870</v>
      </c>
      <c r="O3267" s="14">
        <v>90.0</v>
      </c>
      <c r="P3267" s="23">
        <v>0.8162</v>
      </c>
      <c r="Q3267" s="22" t="str">
        <f>"+107.01%"</f>
        <v>+107.01%</v>
      </c>
      <c r="R3267" s="18" t="str">
        <f>"+63.49%"</f>
        <v>+63.49%</v>
      </c>
      <c r="S3267" s="14" t="s">
        <v>2007</v>
      </c>
    </row>
    <row r="3268">
      <c r="A3268" s="13">
        <v>45901.0</v>
      </c>
      <c r="B3268" s="14" t="s">
        <v>47</v>
      </c>
      <c r="C3268" s="14" t="s">
        <v>48</v>
      </c>
      <c r="D3268" s="14" t="s">
        <v>56</v>
      </c>
      <c r="E3268" s="14" t="s">
        <v>57</v>
      </c>
      <c r="F3268" s="15" t="s">
        <v>51</v>
      </c>
      <c r="G3268" s="14" t="s">
        <v>58</v>
      </c>
      <c r="H3268" s="14" t="s">
        <v>56</v>
      </c>
      <c r="I3268" s="14" t="s">
        <v>59</v>
      </c>
      <c r="J3268" s="14" t="s">
        <v>199</v>
      </c>
      <c r="K3268" s="14" t="s">
        <v>203</v>
      </c>
      <c r="L3268" s="14" t="s">
        <v>342</v>
      </c>
      <c r="M3268" s="14" t="s">
        <v>342</v>
      </c>
      <c r="N3268" s="14" t="s">
        <v>343</v>
      </c>
      <c r="O3268" s="14">
        <v>100.0</v>
      </c>
      <c r="P3268" s="21">
        <v>1.0</v>
      </c>
      <c r="Q3268" s="22" t="str">
        <f t="shared" ref="Q3268:R3268" si="1949">"+0"</f>
        <v>+0</v>
      </c>
      <c r="R3268" s="18" t="str">
        <f t="shared" si="1949"/>
        <v>+0</v>
      </c>
      <c r="S3268" s="14" t="s">
        <v>260</v>
      </c>
    </row>
    <row r="3269">
      <c r="A3269" s="13">
        <v>45901.0</v>
      </c>
      <c r="B3269" s="14" t="s">
        <v>47</v>
      </c>
      <c r="C3269" s="14" t="s">
        <v>48</v>
      </c>
      <c r="D3269" s="14" t="s">
        <v>155</v>
      </c>
      <c r="E3269" s="14" t="s">
        <v>156</v>
      </c>
      <c r="F3269" s="15" t="s">
        <v>51</v>
      </c>
      <c r="G3269" s="14" t="s">
        <v>157</v>
      </c>
      <c r="H3269" s="14" t="s">
        <v>155</v>
      </c>
      <c r="I3269" s="14" t="s">
        <v>59</v>
      </c>
      <c r="J3269" s="14" t="s">
        <v>200</v>
      </c>
      <c r="K3269" s="14" t="s">
        <v>223</v>
      </c>
      <c r="L3269" s="14" t="s">
        <v>363</v>
      </c>
      <c r="M3269" s="14" t="s">
        <v>379</v>
      </c>
      <c r="N3269" s="14" t="s">
        <v>380</v>
      </c>
      <c r="O3269" s="14">
        <v>0.0</v>
      </c>
      <c r="P3269" s="21">
        <v>0.0</v>
      </c>
      <c r="Q3269" s="22" t="str">
        <f t="shared" ref="Q3269:R3269" si="1950">"+0"</f>
        <v>+0</v>
      </c>
      <c r="R3269" s="18" t="str">
        <f t="shared" si="1950"/>
        <v>+0</v>
      </c>
      <c r="S3269" s="14" t="s">
        <v>260</v>
      </c>
    </row>
    <row r="3270">
      <c r="A3270" s="13">
        <v>45901.0</v>
      </c>
      <c r="B3270" s="14" t="s">
        <v>47</v>
      </c>
      <c r="C3270" s="14" t="s">
        <v>48</v>
      </c>
      <c r="D3270" s="14" t="s">
        <v>155</v>
      </c>
      <c r="E3270" s="14" t="s">
        <v>156</v>
      </c>
      <c r="F3270" s="15" t="s">
        <v>51</v>
      </c>
      <c r="G3270" s="14" t="s">
        <v>157</v>
      </c>
      <c r="H3270" s="14" t="s">
        <v>155</v>
      </c>
      <c r="I3270" s="14" t="s">
        <v>59</v>
      </c>
      <c r="J3270" s="14" t="s">
        <v>198</v>
      </c>
      <c r="K3270" s="14" t="s">
        <v>210</v>
      </c>
      <c r="L3270" s="14" t="s">
        <v>264</v>
      </c>
      <c r="M3270" s="14" t="s">
        <v>407</v>
      </c>
      <c r="N3270" s="14" t="s">
        <v>408</v>
      </c>
      <c r="O3270" s="14">
        <v>100.0</v>
      </c>
      <c r="P3270" s="21">
        <v>0.0</v>
      </c>
      <c r="Q3270" s="22" t="str">
        <f t="shared" ref="Q3270:R3270" si="1951">"+0"</f>
        <v>+0</v>
      </c>
      <c r="R3270" s="18" t="str">
        <f t="shared" si="1951"/>
        <v>+0</v>
      </c>
      <c r="S3270" s="14" t="s">
        <v>281</v>
      </c>
    </row>
    <row r="3271">
      <c r="A3271" s="13">
        <v>45901.0</v>
      </c>
      <c r="B3271" s="14" t="s">
        <v>47</v>
      </c>
      <c r="C3271" s="14" t="s">
        <v>48</v>
      </c>
      <c r="D3271" s="14" t="s">
        <v>121</v>
      </c>
      <c r="E3271" s="14" t="s">
        <v>122</v>
      </c>
      <c r="F3271" s="15" t="s">
        <v>51</v>
      </c>
      <c r="G3271" s="14" t="s">
        <v>123</v>
      </c>
      <c r="H3271" s="14" t="s">
        <v>124</v>
      </c>
      <c r="I3271" s="14" t="s">
        <v>59</v>
      </c>
      <c r="J3271" s="14" t="s">
        <v>200</v>
      </c>
      <c r="K3271" s="14" t="s">
        <v>214</v>
      </c>
      <c r="L3271" s="14" t="s">
        <v>253</v>
      </c>
      <c r="M3271" s="14" t="s">
        <v>366</v>
      </c>
      <c r="N3271" s="14" t="s">
        <v>367</v>
      </c>
      <c r="O3271" s="14">
        <v>14.0</v>
      </c>
      <c r="P3271" s="23">
        <v>0.15</v>
      </c>
      <c r="Q3271" s="22" t="str">
        <f t="shared" ref="Q3271:R3271" si="1952">"+0.00%"</f>
        <v>+0.00%</v>
      </c>
      <c r="R3271" s="18" t="str">
        <f t="shared" si="1952"/>
        <v>+0.00%</v>
      </c>
      <c r="S3271" s="14" t="s">
        <v>2008</v>
      </c>
    </row>
    <row r="3272">
      <c r="A3272" s="13">
        <v>45901.0</v>
      </c>
      <c r="B3272" s="14" t="s">
        <v>47</v>
      </c>
      <c r="C3272" s="14" t="s">
        <v>48</v>
      </c>
      <c r="D3272" s="14" t="s">
        <v>49</v>
      </c>
      <c r="E3272" s="14" t="s">
        <v>50</v>
      </c>
      <c r="F3272" s="15" t="s">
        <v>51</v>
      </c>
      <c r="G3272" s="14" t="s">
        <v>52</v>
      </c>
      <c r="H3272" s="14" t="s">
        <v>53</v>
      </c>
      <c r="I3272" s="14" t="s">
        <v>54</v>
      </c>
      <c r="J3272" s="14" t="s">
        <v>200</v>
      </c>
      <c r="K3272" s="14" t="s">
        <v>227</v>
      </c>
      <c r="L3272" s="14" t="s">
        <v>721</v>
      </c>
      <c r="M3272" s="14" t="s">
        <v>1060</v>
      </c>
      <c r="N3272" s="14" t="s">
        <v>1061</v>
      </c>
      <c r="O3272" s="14">
        <v>52.0</v>
      </c>
      <c r="P3272" s="23">
        <v>0.0546</v>
      </c>
      <c r="Q3272" s="22" t="str">
        <f>"+8.28%"</f>
        <v>+8.28%</v>
      </c>
      <c r="R3272" s="18" t="str">
        <f>"-0.10%"</f>
        <v>-0.10%</v>
      </c>
      <c r="S3272" s="14" t="s">
        <v>1062</v>
      </c>
    </row>
    <row r="3273">
      <c r="A3273" s="13">
        <v>45901.0</v>
      </c>
      <c r="B3273" s="14" t="s">
        <v>47</v>
      </c>
      <c r="C3273" s="14" t="s">
        <v>48</v>
      </c>
      <c r="D3273" s="14" t="s">
        <v>184</v>
      </c>
      <c r="E3273" s="14" t="s">
        <v>185</v>
      </c>
      <c r="F3273" s="15" t="s">
        <v>51</v>
      </c>
      <c r="G3273" s="14" t="s">
        <v>186</v>
      </c>
      <c r="H3273" s="14" t="s">
        <v>187</v>
      </c>
      <c r="I3273" s="14" t="s">
        <v>59</v>
      </c>
      <c r="J3273" s="14" t="s">
        <v>199</v>
      </c>
      <c r="K3273" s="14" t="s">
        <v>206</v>
      </c>
      <c r="L3273" s="14" t="s">
        <v>531</v>
      </c>
      <c r="M3273" s="14" t="s">
        <v>531</v>
      </c>
      <c r="N3273" s="14" t="s">
        <v>532</v>
      </c>
      <c r="O3273" s="14">
        <v>0.0</v>
      </c>
      <c r="P3273" s="21">
        <v>0.0</v>
      </c>
      <c r="Q3273" s="22" t="str">
        <f t="shared" ref="Q3273:R3273" si="1953">"+0"</f>
        <v>+0</v>
      </c>
      <c r="R3273" s="18" t="str">
        <f t="shared" si="1953"/>
        <v>+0</v>
      </c>
      <c r="S3273" s="14" t="s">
        <v>260</v>
      </c>
    </row>
    <row r="3274">
      <c r="A3274" s="13">
        <v>45901.0</v>
      </c>
      <c r="B3274" s="14" t="s">
        <v>47</v>
      </c>
      <c r="C3274" s="14" t="s">
        <v>48</v>
      </c>
      <c r="D3274" s="14" t="s">
        <v>82</v>
      </c>
      <c r="E3274" s="14" t="s">
        <v>83</v>
      </c>
      <c r="F3274" s="15" t="s">
        <v>51</v>
      </c>
      <c r="G3274" s="14" t="s">
        <v>84</v>
      </c>
      <c r="H3274" s="14" t="s">
        <v>82</v>
      </c>
      <c r="I3274" s="14" t="s">
        <v>59</v>
      </c>
      <c r="J3274" s="14" t="s">
        <v>199</v>
      </c>
      <c r="K3274" s="14" t="s">
        <v>206</v>
      </c>
      <c r="L3274" s="14" t="s">
        <v>295</v>
      </c>
      <c r="M3274" s="14" t="s">
        <v>529</v>
      </c>
      <c r="N3274" s="14" t="s">
        <v>530</v>
      </c>
      <c r="O3274" s="14">
        <v>0.0</v>
      </c>
      <c r="P3274" s="21">
        <v>0.0</v>
      </c>
      <c r="Q3274" s="22" t="str">
        <f t="shared" ref="Q3274:R3274" si="1954">"+0"</f>
        <v>+0</v>
      </c>
      <c r="R3274" s="18" t="str">
        <f t="shared" si="1954"/>
        <v>+0</v>
      </c>
      <c r="S3274" s="14" t="s">
        <v>260</v>
      </c>
    </row>
    <row r="3275">
      <c r="A3275" s="13">
        <v>45901.0</v>
      </c>
      <c r="B3275" s="14" t="s">
        <v>47</v>
      </c>
      <c r="C3275" s="14" t="s">
        <v>48</v>
      </c>
      <c r="D3275" s="14" t="s">
        <v>192</v>
      </c>
      <c r="E3275" s="14" t="s">
        <v>193</v>
      </c>
      <c r="F3275" s="15" t="s">
        <v>51</v>
      </c>
      <c r="G3275" s="14" t="s">
        <v>194</v>
      </c>
      <c r="H3275" s="14" t="s">
        <v>192</v>
      </c>
      <c r="I3275" s="14" t="s">
        <v>54</v>
      </c>
      <c r="J3275" s="14" t="s">
        <v>200</v>
      </c>
      <c r="K3275" s="14" t="s">
        <v>211</v>
      </c>
      <c r="L3275" s="14" t="s">
        <v>253</v>
      </c>
      <c r="M3275" s="14" t="s">
        <v>1247</v>
      </c>
      <c r="N3275" s="14" t="s">
        <v>1248</v>
      </c>
      <c r="O3275" s="14">
        <v>1.0</v>
      </c>
      <c r="P3275" s="23">
        <v>0.0</v>
      </c>
      <c r="Q3275" s="22" t="str">
        <f t="shared" ref="Q3275:R3275" si="1955">"+0.00%"</f>
        <v>+0.00%</v>
      </c>
      <c r="R3275" s="18" t="str">
        <f t="shared" si="1955"/>
        <v>+0.00%</v>
      </c>
      <c r="S3275" s="14" t="s">
        <v>2009</v>
      </c>
    </row>
    <row r="3276">
      <c r="A3276" s="13">
        <v>45901.0</v>
      </c>
      <c r="B3276" s="14" t="s">
        <v>47</v>
      </c>
      <c r="C3276" s="14" t="s">
        <v>48</v>
      </c>
      <c r="D3276" s="14" t="s">
        <v>192</v>
      </c>
      <c r="E3276" s="14" t="s">
        <v>193</v>
      </c>
      <c r="F3276" s="15" t="s">
        <v>51</v>
      </c>
      <c r="G3276" s="14" t="s">
        <v>194</v>
      </c>
      <c r="H3276" s="14" t="s">
        <v>192</v>
      </c>
      <c r="I3276" s="14" t="s">
        <v>54</v>
      </c>
      <c r="J3276" s="14" t="s">
        <v>200</v>
      </c>
      <c r="K3276" s="14" t="s">
        <v>223</v>
      </c>
      <c r="L3276" s="14" t="s">
        <v>359</v>
      </c>
      <c r="M3276" s="14" t="s">
        <v>628</v>
      </c>
      <c r="N3276" s="14" t="s">
        <v>629</v>
      </c>
      <c r="O3276" s="14">
        <v>100.0</v>
      </c>
      <c r="P3276" s="21">
        <v>891.0</v>
      </c>
      <c r="Q3276" s="22" t="str">
        <f>"+1"</f>
        <v>+1</v>
      </c>
      <c r="R3276" s="18" t="str">
        <f>"+5"</f>
        <v>+5</v>
      </c>
      <c r="S3276" s="14" t="s">
        <v>260</v>
      </c>
    </row>
    <row r="3277">
      <c r="A3277" s="13">
        <v>45901.0</v>
      </c>
      <c r="B3277" s="14" t="s">
        <v>47</v>
      </c>
      <c r="C3277" s="14" t="s">
        <v>48</v>
      </c>
      <c r="D3277" s="14" t="s">
        <v>149</v>
      </c>
      <c r="E3277" s="14" t="s">
        <v>150</v>
      </c>
      <c r="F3277" s="15" t="s">
        <v>51</v>
      </c>
      <c r="G3277" s="14" t="s">
        <v>151</v>
      </c>
      <c r="H3277" s="14" t="s">
        <v>152</v>
      </c>
      <c r="I3277" s="14" t="s">
        <v>54</v>
      </c>
      <c r="J3277" s="14" t="s">
        <v>200</v>
      </c>
      <c r="K3277" s="14" t="s">
        <v>223</v>
      </c>
      <c r="L3277" s="14" t="s">
        <v>286</v>
      </c>
      <c r="M3277" s="14" t="s">
        <v>287</v>
      </c>
      <c r="N3277" s="14" t="s">
        <v>288</v>
      </c>
      <c r="O3277" s="14">
        <v>0.0</v>
      </c>
      <c r="P3277" s="23">
        <v>0.0</v>
      </c>
      <c r="Q3277" s="22" t="str">
        <f t="shared" ref="Q3277:R3277" si="1956">"+0.00%"</f>
        <v>+0.00%</v>
      </c>
      <c r="R3277" s="18" t="str">
        <f t="shared" si="1956"/>
        <v>+0.00%</v>
      </c>
      <c r="S3277" s="14" t="s">
        <v>285</v>
      </c>
    </row>
    <row r="3278">
      <c r="A3278" s="13">
        <v>45901.0</v>
      </c>
      <c r="B3278" s="14" t="s">
        <v>47</v>
      </c>
      <c r="C3278" s="14" t="s">
        <v>48</v>
      </c>
      <c r="D3278" s="14" t="s">
        <v>149</v>
      </c>
      <c r="E3278" s="14" t="s">
        <v>150</v>
      </c>
      <c r="F3278" s="15" t="s">
        <v>51</v>
      </c>
      <c r="G3278" s="14" t="s">
        <v>151</v>
      </c>
      <c r="H3278" s="14" t="s">
        <v>152</v>
      </c>
      <c r="I3278" s="14" t="s">
        <v>54</v>
      </c>
      <c r="J3278" s="14" t="s">
        <v>200</v>
      </c>
      <c r="K3278" s="14" t="s">
        <v>224</v>
      </c>
      <c r="L3278" s="14" t="s">
        <v>427</v>
      </c>
      <c r="M3278" s="14" t="s">
        <v>895</v>
      </c>
      <c r="N3278" s="14" t="s">
        <v>896</v>
      </c>
      <c r="O3278" s="14">
        <v>0.0</v>
      </c>
      <c r="P3278" s="23">
        <v>0.0</v>
      </c>
      <c r="Q3278" s="22" t="str">
        <f t="shared" ref="Q3278:R3278" si="1957">"+0.00%"</f>
        <v>+0.00%</v>
      </c>
      <c r="R3278" s="18" t="str">
        <f t="shared" si="1957"/>
        <v>+0.00%</v>
      </c>
      <c r="S3278" s="14" t="s">
        <v>897</v>
      </c>
    </row>
    <row r="3279">
      <c r="A3279" s="13">
        <v>45901.0</v>
      </c>
      <c r="B3279" s="14" t="s">
        <v>47</v>
      </c>
      <c r="C3279" s="14" t="s">
        <v>48</v>
      </c>
      <c r="D3279" s="14" t="s">
        <v>96</v>
      </c>
      <c r="E3279" s="14" t="s">
        <v>97</v>
      </c>
      <c r="F3279" s="15" t="s">
        <v>51</v>
      </c>
      <c r="G3279" s="14" t="s">
        <v>98</v>
      </c>
      <c r="H3279" s="14" t="s">
        <v>96</v>
      </c>
      <c r="I3279" s="14" t="s">
        <v>59</v>
      </c>
      <c r="J3279" s="14" t="s">
        <v>200</v>
      </c>
      <c r="K3279" s="14" t="s">
        <v>223</v>
      </c>
      <c r="L3279" s="14" t="s">
        <v>307</v>
      </c>
      <c r="M3279" s="14" t="s">
        <v>1176</v>
      </c>
      <c r="N3279" s="14" t="s">
        <v>1177</v>
      </c>
      <c r="O3279" s="14">
        <v>0.0</v>
      </c>
      <c r="P3279" s="23">
        <v>0.0</v>
      </c>
      <c r="Q3279" s="22" t="str">
        <f t="shared" ref="Q3279:R3279" si="1958">"+0.00%"</f>
        <v>+0.00%</v>
      </c>
      <c r="R3279" s="18" t="str">
        <f t="shared" si="1958"/>
        <v>+0.00%</v>
      </c>
      <c r="S3279" s="14" t="s">
        <v>285</v>
      </c>
    </row>
    <row r="3280">
      <c r="A3280" s="13">
        <v>45901.0</v>
      </c>
      <c r="B3280" s="14" t="s">
        <v>47</v>
      </c>
      <c r="C3280" s="14" t="s">
        <v>48</v>
      </c>
      <c r="D3280" s="14" t="s">
        <v>96</v>
      </c>
      <c r="E3280" s="14" t="s">
        <v>97</v>
      </c>
      <c r="F3280" s="15" t="s">
        <v>51</v>
      </c>
      <c r="G3280" s="14" t="s">
        <v>98</v>
      </c>
      <c r="H3280" s="14" t="s">
        <v>96</v>
      </c>
      <c r="I3280" s="14" t="s">
        <v>59</v>
      </c>
      <c r="J3280" s="14" t="s">
        <v>200</v>
      </c>
      <c r="K3280" s="14" t="s">
        <v>223</v>
      </c>
      <c r="L3280" s="14" t="s">
        <v>304</v>
      </c>
      <c r="M3280" s="14" t="s">
        <v>1012</v>
      </c>
      <c r="N3280" s="14" t="s">
        <v>1013</v>
      </c>
      <c r="O3280" s="14">
        <v>0.0</v>
      </c>
      <c r="P3280" s="23">
        <v>0.0</v>
      </c>
      <c r="Q3280" s="22" t="str">
        <f t="shared" ref="Q3280:R3280" si="1959">"+0.00%"</f>
        <v>+0.00%</v>
      </c>
      <c r="R3280" s="18" t="str">
        <f t="shared" si="1959"/>
        <v>+0.00%</v>
      </c>
      <c r="S3280" s="14" t="s">
        <v>285</v>
      </c>
    </row>
    <row r="3281">
      <c r="A3281" s="13">
        <v>45901.0</v>
      </c>
      <c r="B3281" s="14" t="s">
        <v>47</v>
      </c>
      <c r="C3281" s="14" t="s">
        <v>48</v>
      </c>
      <c r="D3281" s="14" t="s">
        <v>112</v>
      </c>
      <c r="E3281" s="14" t="s">
        <v>113</v>
      </c>
      <c r="F3281" s="15" t="s">
        <v>51</v>
      </c>
      <c r="G3281" s="14" t="s">
        <v>114</v>
      </c>
      <c r="H3281" s="14" t="s">
        <v>112</v>
      </c>
      <c r="I3281" s="14" t="s">
        <v>59</v>
      </c>
      <c r="J3281" s="14" t="s">
        <v>198</v>
      </c>
      <c r="K3281" s="14" t="s">
        <v>205</v>
      </c>
      <c r="L3281" s="14" t="s">
        <v>274</v>
      </c>
      <c r="M3281" s="14" t="s">
        <v>575</v>
      </c>
      <c r="N3281" s="14" t="s">
        <v>576</v>
      </c>
      <c r="O3281" s="14">
        <v>100.0</v>
      </c>
      <c r="P3281" s="21">
        <v>0.0</v>
      </c>
      <c r="Q3281" s="22" t="str">
        <f t="shared" ref="Q3281:Q3283" si="1960">"+0"</f>
        <v>+0</v>
      </c>
      <c r="S3281" s="14" t="s">
        <v>577</v>
      </c>
    </row>
    <row r="3282">
      <c r="A3282" s="13">
        <v>45901.0</v>
      </c>
      <c r="B3282" s="14" t="s">
        <v>47</v>
      </c>
      <c r="C3282" s="14" t="s">
        <v>48</v>
      </c>
      <c r="D3282" s="14" t="s">
        <v>158</v>
      </c>
      <c r="E3282" s="14" t="s">
        <v>159</v>
      </c>
      <c r="F3282" s="15" t="s">
        <v>51</v>
      </c>
      <c r="G3282" s="14" t="s">
        <v>160</v>
      </c>
      <c r="H3282" s="14" t="s">
        <v>158</v>
      </c>
      <c r="I3282" s="14" t="s">
        <v>54</v>
      </c>
      <c r="J3282" s="14" t="s">
        <v>198</v>
      </c>
      <c r="K3282" s="14" t="s">
        <v>210</v>
      </c>
      <c r="L3282" s="14" t="s">
        <v>278</v>
      </c>
      <c r="M3282" s="14" t="s">
        <v>468</v>
      </c>
      <c r="N3282" s="14" t="s">
        <v>469</v>
      </c>
      <c r="O3282" s="14">
        <v>0.0</v>
      </c>
      <c r="P3282" s="21">
        <v>0.0</v>
      </c>
      <c r="Q3282" s="22" t="str">
        <f t="shared" si="1960"/>
        <v>+0</v>
      </c>
      <c r="R3282" s="18" t="str">
        <f t="shared" ref="R3282:R3283" si="1961">"+0"</f>
        <v>+0</v>
      </c>
      <c r="S3282" s="14" t="s">
        <v>277</v>
      </c>
    </row>
    <row r="3283">
      <c r="A3283" s="13">
        <v>45901.0</v>
      </c>
      <c r="B3283" s="14" t="s">
        <v>47</v>
      </c>
      <c r="C3283" s="14" t="s">
        <v>48</v>
      </c>
      <c r="D3283" s="14" t="s">
        <v>140</v>
      </c>
      <c r="E3283" s="14" t="s">
        <v>141</v>
      </c>
      <c r="F3283" s="15" t="s">
        <v>51</v>
      </c>
      <c r="G3283" s="14" t="s">
        <v>142</v>
      </c>
      <c r="H3283" s="14" t="s">
        <v>140</v>
      </c>
      <c r="I3283" s="14" t="s">
        <v>59</v>
      </c>
      <c r="J3283" s="14" t="s">
        <v>198</v>
      </c>
      <c r="K3283" s="14" t="s">
        <v>210</v>
      </c>
      <c r="L3283" s="14" t="s">
        <v>505</v>
      </c>
      <c r="M3283" s="14" t="s">
        <v>506</v>
      </c>
      <c r="N3283" s="14" t="s">
        <v>507</v>
      </c>
      <c r="O3283" s="14">
        <v>100.0</v>
      </c>
      <c r="P3283" s="21">
        <v>0.0</v>
      </c>
      <c r="Q3283" s="22" t="str">
        <f t="shared" si="1960"/>
        <v>+0</v>
      </c>
      <c r="R3283" s="18" t="str">
        <f t="shared" si="1961"/>
        <v>+0</v>
      </c>
      <c r="S3283" s="14" t="s">
        <v>281</v>
      </c>
    </row>
    <row r="3284">
      <c r="A3284" s="13">
        <v>45901.0</v>
      </c>
      <c r="B3284" s="14" t="s">
        <v>47</v>
      </c>
      <c r="C3284" s="14" t="s">
        <v>48</v>
      </c>
      <c r="D3284" s="14" t="s">
        <v>168</v>
      </c>
      <c r="E3284" s="14" t="s">
        <v>169</v>
      </c>
      <c r="F3284" s="15" t="s">
        <v>51</v>
      </c>
      <c r="G3284" s="14" t="s">
        <v>170</v>
      </c>
      <c r="H3284" s="14" t="s">
        <v>168</v>
      </c>
      <c r="I3284" s="14" t="s">
        <v>59</v>
      </c>
      <c r="J3284" s="14" t="s">
        <v>200</v>
      </c>
      <c r="K3284" s="14" t="s">
        <v>213</v>
      </c>
      <c r="L3284" s="14" t="s">
        <v>257</v>
      </c>
      <c r="M3284" s="14" t="s">
        <v>622</v>
      </c>
      <c r="N3284" s="14" t="s">
        <v>623</v>
      </c>
      <c r="O3284" s="14">
        <v>9.0</v>
      </c>
      <c r="P3284" s="23">
        <v>-0.8133</v>
      </c>
      <c r="Q3284" s="22" t="str">
        <f>"+0.70%"</f>
        <v>+0.70%</v>
      </c>
      <c r="R3284" s="18" t="str">
        <f>"-15.55%"</f>
        <v>-15.55%</v>
      </c>
      <c r="S3284" s="14" t="s">
        <v>2010</v>
      </c>
    </row>
    <row r="3285">
      <c r="A3285" s="13">
        <v>45901.0</v>
      </c>
      <c r="B3285" s="14" t="s">
        <v>47</v>
      </c>
      <c r="C3285" s="14" t="s">
        <v>48</v>
      </c>
      <c r="D3285" s="14" t="s">
        <v>49</v>
      </c>
      <c r="E3285" s="14" t="s">
        <v>50</v>
      </c>
      <c r="F3285" s="15" t="s">
        <v>51</v>
      </c>
      <c r="G3285" s="14" t="s">
        <v>52</v>
      </c>
      <c r="H3285" s="14" t="s">
        <v>53</v>
      </c>
      <c r="I3285" s="14" t="s">
        <v>54</v>
      </c>
      <c r="J3285" s="14" t="s">
        <v>198</v>
      </c>
      <c r="K3285" s="14" t="s">
        <v>210</v>
      </c>
      <c r="L3285" s="14" t="s">
        <v>264</v>
      </c>
      <c r="M3285" s="14" t="s">
        <v>1369</v>
      </c>
      <c r="N3285" s="14" t="s">
        <v>1370</v>
      </c>
      <c r="O3285" s="14">
        <v>0.0</v>
      </c>
      <c r="P3285" s="21">
        <v>0.0</v>
      </c>
      <c r="Q3285" s="22" t="str">
        <f>"+0"</f>
        <v>+0</v>
      </c>
      <c r="R3285" s="18" t="str">
        <f>"-1"</f>
        <v>-1</v>
      </c>
      <c r="S3285" s="14" t="s">
        <v>277</v>
      </c>
    </row>
    <row r="3286">
      <c r="A3286" s="13">
        <v>45901.0</v>
      </c>
      <c r="B3286" s="14" t="s">
        <v>47</v>
      </c>
      <c r="C3286" s="14" t="s">
        <v>48</v>
      </c>
      <c r="D3286" s="14" t="s">
        <v>91</v>
      </c>
      <c r="E3286" s="14" t="s">
        <v>92</v>
      </c>
      <c r="F3286" s="15" t="s">
        <v>51</v>
      </c>
      <c r="G3286" s="14" t="s">
        <v>163</v>
      </c>
      <c r="H3286" s="14" t="s">
        <v>91</v>
      </c>
      <c r="I3286" s="14" t="s">
        <v>59</v>
      </c>
      <c r="J3286" s="14" t="s">
        <v>200</v>
      </c>
      <c r="K3286" s="14" t="s">
        <v>209</v>
      </c>
      <c r="L3286" s="14" t="s">
        <v>253</v>
      </c>
      <c r="M3286" s="14" t="s">
        <v>817</v>
      </c>
      <c r="N3286" s="14" t="s">
        <v>818</v>
      </c>
      <c r="O3286" s="14">
        <v>50.0</v>
      </c>
      <c r="P3286" s="23">
        <v>0.5007</v>
      </c>
      <c r="Q3286" s="22" t="str">
        <f>"+0.00%"</f>
        <v>+0.00%</v>
      </c>
      <c r="R3286" s="18" t="str">
        <f>"+0.01%"</f>
        <v>+0.01%</v>
      </c>
      <c r="S3286" s="14" t="s">
        <v>1125</v>
      </c>
    </row>
    <row r="3287">
      <c r="A3287" s="13">
        <v>45901.0</v>
      </c>
      <c r="B3287" s="14" t="s">
        <v>47</v>
      </c>
      <c r="C3287" s="14" t="s">
        <v>48</v>
      </c>
      <c r="D3287" s="14" t="s">
        <v>91</v>
      </c>
      <c r="E3287" s="14" t="s">
        <v>92</v>
      </c>
      <c r="F3287" s="14" t="s">
        <v>71</v>
      </c>
      <c r="G3287" s="14">
        <v>5.00008343E8</v>
      </c>
      <c r="H3287" s="14" t="s">
        <v>91</v>
      </c>
      <c r="I3287" s="14" t="s">
        <v>59</v>
      </c>
      <c r="J3287" s="14" t="s">
        <v>199</v>
      </c>
      <c r="K3287" s="14" t="s">
        <v>203</v>
      </c>
      <c r="L3287" s="14" t="s">
        <v>725</v>
      </c>
      <c r="M3287" s="14" t="s">
        <v>725</v>
      </c>
      <c r="N3287" s="14" t="s">
        <v>726</v>
      </c>
      <c r="O3287" s="14">
        <v>100.0</v>
      </c>
      <c r="P3287" s="21">
        <v>4.0</v>
      </c>
      <c r="Q3287" s="22" t="str">
        <f>"+1"</f>
        <v>+1</v>
      </c>
      <c r="R3287" s="18" t="str">
        <f>"+2"</f>
        <v>+2</v>
      </c>
      <c r="S3287" s="14" t="s">
        <v>260</v>
      </c>
    </row>
    <row r="3288">
      <c r="A3288" s="13">
        <v>45901.0</v>
      </c>
      <c r="B3288" s="14" t="s">
        <v>47</v>
      </c>
      <c r="C3288" s="14" t="s">
        <v>48</v>
      </c>
      <c r="D3288" s="14" t="s">
        <v>63</v>
      </c>
      <c r="E3288" s="14" t="s">
        <v>64</v>
      </c>
      <c r="F3288" s="15" t="s">
        <v>51</v>
      </c>
      <c r="G3288" s="14" t="s">
        <v>65</v>
      </c>
      <c r="H3288" s="14" t="s">
        <v>63</v>
      </c>
      <c r="I3288" s="14" t="s">
        <v>54</v>
      </c>
      <c r="J3288" s="14" t="s">
        <v>198</v>
      </c>
      <c r="K3288" s="14" t="s">
        <v>210</v>
      </c>
      <c r="L3288" s="14" t="s">
        <v>264</v>
      </c>
      <c r="M3288" s="14" t="s">
        <v>1274</v>
      </c>
      <c r="N3288" s="14" t="s">
        <v>1275</v>
      </c>
      <c r="O3288" s="14">
        <v>0.0</v>
      </c>
      <c r="P3288" s="21">
        <v>0.0</v>
      </c>
      <c r="Q3288" s="22" t="str">
        <f t="shared" ref="Q3288:R3288" si="1962">"+0"</f>
        <v>+0</v>
      </c>
      <c r="R3288" s="18" t="str">
        <f t="shared" si="1962"/>
        <v>+0</v>
      </c>
      <c r="S3288" s="14" t="s">
        <v>277</v>
      </c>
    </row>
    <row r="3289">
      <c r="A3289" s="13">
        <v>45901.0</v>
      </c>
      <c r="B3289" s="14" t="s">
        <v>47</v>
      </c>
      <c r="C3289" s="14" t="s">
        <v>48</v>
      </c>
      <c r="D3289" s="14" t="s">
        <v>63</v>
      </c>
      <c r="E3289" s="14" t="s">
        <v>64</v>
      </c>
      <c r="F3289" s="15" t="s">
        <v>51</v>
      </c>
      <c r="G3289" s="14" t="s">
        <v>65</v>
      </c>
      <c r="H3289" s="14" t="s">
        <v>63</v>
      </c>
      <c r="I3289" s="14" t="s">
        <v>54</v>
      </c>
      <c r="J3289" s="14" t="s">
        <v>198</v>
      </c>
      <c r="K3289" s="14" t="s">
        <v>210</v>
      </c>
      <c r="L3289" s="14" t="s">
        <v>278</v>
      </c>
      <c r="M3289" s="14" t="s">
        <v>1485</v>
      </c>
      <c r="N3289" s="14" t="s">
        <v>1486</v>
      </c>
      <c r="O3289" s="14">
        <v>0.0</v>
      </c>
      <c r="P3289" s="21">
        <v>0.0</v>
      </c>
      <c r="Q3289" s="22" t="str">
        <f t="shared" ref="Q3289:R3289" si="1963">"+0"</f>
        <v>+0</v>
      </c>
      <c r="R3289" s="18" t="str">
        <f t="shared" si="1963"/>
        <v>+0</v>
      </c>
      <c r="S3289" s="14" t="s">
        <v>277</v>
      </c>
    </row>
    <row r="3290">
      <c r="A3290" s="13">
        <v>45901.0</v>
      </c>
      <c r="B3290" s="14" t="s">
        <v>47</v>
      </c>
      <c r="C3290" s="14" t="s">
        <v>48</v>
      </c>
      <c r="D3290" s="14" t="s">
        <v>184</v>
      </c>
      <c r="E3290" s="14" t="s">
        <v>185</v>
      </c>
      <c r="F3290" s="15" t="s">
        <v>51</v>
      </c>
      <c r="G3290" s="14" t="s">
        <v>186</v>
      </c>
      <c r="H3290" s="14" t="s">
        <v>187</v>
      </c>
      <c r="I3290" s="14" t="s">
        <v>59</v>
      </c>
      <c r="J3290" s="14" t="s">
        <v>199</v>
      </c>
      <c r="K3290" s="14" t="s">
        <v>206</v>
      </c>
      <c r="L3290" s="14" t="s">
        <v>295</v>
      </c>
      <c r="M3290" s="14" t="s">
        <v>529</v>
      </c>
      <c r="N3290" s="14" t="s">
        <v>530</v>
      </c>
      <c r="O3290" s="14">
        <v>0.0</v>
      </c>
      <c r="P3290" s="21">
        <v>0.0</v>
      </c>
      <c r="Q3290" s="22" t="str">
        <f t="shared" ref="Q3290:R3290" si="1964">"+0"</f>
        <v>+0</v>
      </c>
      <c r="R3290" s="18" t="str">
        <f t="shared" si="1964"/>
        <v>+0</v>
      </c>
      <c r="S3290" s="14" t="s">
        <v>260</v>
      </c>
    </row>
    <row r="3291">
      <c r="A3291" s="13">
        <v>45901.0</v>
      </c>
      <c r="B3291" s="14" t="s">
        <v>47</v>
      </c>
      <c r="C3291" s="14" t="s">
        <v>48</v>
      </c>
      <c r="D3291" s="14" t="s">
        <v>192</v>
      </c>
      <c r="E3291" s="14" t="s">
        <v>193</v>
      </c>
      <c r="F3291" s="15" t="s">
        <v>51</v>
      </c>
      <c r="G3291" s="14" t="s">
        <v>194</v>
      </c>
      <c r="H3291" s="14" t="s">
        <v>192</v>
      </c>
      <c r="I3291" s="14" t="s">
        <v>54</v>
      </c>
      <c r="J3291" s="14" t="s">
        <v>200</v>
      </c>
      <c r="K3291" s="14" t="s">
        <v>231</v>
      </c>
      <c r="L3291" s="14" t="s">
        <v>253</v>
      </c>
      <c r="M3291" s="14" t="s">
        <v>389</v>
      </c>
      <c r="N3291" s="14" t="s">
        <v>390</v>
      </c>
      <c r="O3291" s="14">
        <v>50.0</v>
      </c>
      <c r="P3291" s="23">
        <v>0.5067</v>
      </c>
      <c r="Q3291" s="22" t="str">
        <f>"+2.26%"</f>
        <v>+2.26%</v>
      </c>
      <c r="R3291" s="18" t="str">
        <f>"-5.17%"</f>
        <v>-5.17%</v>
      </c>
      <c r="S3291" s="14" t="s">
        <v>2011</v>
      </c>
    </row>
    <row r="3292">
      <c r="A3292" s="13">
        <v>45901.0</v>
      </c>
      <c r="B3292" s="14" t="s">
        <v>47</v>
      </c>
      <c r="C3292" s="14" t="s">
        <v>48</v>
      </c>
      <c r="D3292" s="14" t="s">
        <v>103</v>
      </c>
      <c r="E3292" s="14" t="s">
        <v>104</v>
      </c>
      <c r="F3292" s="15" t="s">
        <v>51</v>
      </c>
      <c r="G3292" s="14" t="s">
        <v>105</v>
      </c>
      <c r="H3292" s="14" t="s">
        <v>106</v>
      </c>
      <c r="I3292" s="14" t="s">
        <v>59</v>
      </c>
      <c r="J3292" s="14" t="s">
        <v>200</v>
      </c>
      <c r="K3292" s="14" t="s">
        <v>232</v>
      </c>
      <c r="L3292" s="14" t="s">
        <v>282</v>
      </c>
      <c r="M3292" s="14" t="s">
        <v>283</v>
      </c>
      <c r="N3292" s="14" t="s">
        <v>284</v>
      </c>
      <c r="O3292" s="14">
        <v>0.0</v>
      </c>
      <c r="P3292" s="23">
        <v>0.0</v>
      </c>
      <c r="Q3292" s="22" t="str">
        <f t="shared" ref="Q3292:R3292" si="1965">"+0.00%"</f>
        <v>+0.00%</v>
      </c>
      <c r="R3292" s="18" t="str">
        <f t="shared" si="1965"/>
        <v>+0.00%</v>
      </c>
      <c r="S3292" s="14" t="s">
        <v>285</v>
      </c>
    </row>
    <row r="3293">
      <c r="A3293" s="13">
        <v>45901.0</v>
      </c>
      <c r="B3293" s="14" t="s">
        <v>47</v>
      </c>
      <c r="C3293" s="14" t="s">
        <v>48</v>
      </c>
      <c r="D3293" s="14" t="s">
        <v>87</v>
      </c>
      <c r="E3293" s="14" t="s">
        <v>88</v>
      </c>
      <c r="F3293" s="14" t="s">
        <v>71</v>
      </c>
      <c r="G3293" s="14">
        <v>5.46000941E8</v>
      </c>
      <c r="H3293" s="14" t="s">
        <v>90</v>
      </c>
      <c r="I3293" s="14" t="s">
        <v>107</v>
      </c>
      <c r="J3293" s="14" t="s">
        <v>200</v>
      </c>
      <c r="K3293" s="14" t="s">
        <v>218</v>
      </c>
      <c r="L3293" s="14" t="s">
        <v>253</v>
      </c>
      <c r="M3293" s="14" t="s">
        <v>463</v>
      </c>
      <c r="N3293" s="14" t="s">
        <v>464</v>
      </c>
      <c r="O3293" s="14">
        <v>25.0</v>
      </c>
      <c r="P3293" s="23">
        <v>0.2576</v>
      </c>
      <c r="Q3293" s="22" t="str">
        <f>"+15.80%"</f>
        <v>+15.80%</v>
      </c>
      <c r="R3293" s="18" t="str">
        <f>"+18.38%"</f>
        <v>+18.38%</v>
      </c>
      <c r="S3293" s="14" t="s">
        <v>1453</v>
      </c>
    </row>
    <row r="3294">
      <c r="A3294" s="13">
        <v>45901.0</v>
      </c>
      <c r="B3294" s="14" t="s">
        <v>47</v>
      </c>
      <c r="C3294" s="14" t="s">
        <v>48</v>
      </c>
      <c r="D3294" s="14" t="s">
        <v>149</v>
      </c>
      <c r="E3294" s="14" t="s">
        <v>150</v>
      </c>
      <c r="F3294" s="15" t="s">
        <v>51</v>
      </c>
      <c r="G3294" s="14" t="s">
        <v>151</v>
      </c>
      <c r="H3294" s="14" t="s">
        <v>152</v>
      </c>
      <c r="I3294" s="14" t="s">
        <v>54</v>
      </c>
      <c r="J3294" s="14" t="s">
        <v>200</v>
      </c>
      <c r="K3294" s="14" t="s">
        <v>223</v>
      </c>
      <c r="L3294" s="14" t="s">
        <v>487</v>
      </c>
      <c r="M3294" s="14" t="s">
        <v>1015</v>
      </c>
      <c r="N3294" s="14" t="s">
        <v>1016</v>
      </c>
      <c r="O3294" s="14">
        <v>0.0</v>
      </c>
      <c r="P3294" s="23">
        <v>0.0</v>
      </c>
      <c r="Q3294" s="22" t="str">
        <f t="shared" ref="Q3294:R3294" si="1966">"+0.00%"</f>
        <v>+0.00%</v>
      </c>
      <c r="R3294" s="18" t="str">
        <f t="shared" si="1966"/>
        <v>+0.00%</v>
      </c>
      <c r="S3294" s="14" t="s">
        <v>285</v>
      </c>
    </row>
    <row r="3295">
      <c r="A3295" s="13">
        <v>45901.0</v>
      </c>
      <c r="B3295" s="14" t="s">
        <v>47</v>
      </c>
      <c r="C3295" s="14" t="s">
        <v>48</v>
      </c>
      <c r="D3295" s="14" t="s">
        <v>87</v>
      </c>
      <c r="E3295" s="14" t="s">
        <v>88</v>
      </c>
      <c r="F3295" s="15" t="s">
        <v>51</v>
      </c>
      <c r="G3295" s="14" t="s">
        <v>89</v>
      </c>
      <c r="H3295" s="14" t="s">
        <v>90</v>
      </c>
      <c r="I3295" s="14" t="s">
        <v>59</v>
      </c>
      <c r="J3295" s="14" t="s">
        <v>200</v>
      </c>
      <c r="K3295" s="14" t="s">
        <v>223</v>
      </c>
      <c r="L3295" s="14" t="s">
        <v>307</v>
      </c>
      <c r="M3295" s="14" t="s">
        <v>502</v>
      </c>
      <c r="N3295" s="14" t="s">
        <v>503</v>
      </c>
      <c r="O3295" s="14">
        <v>1.0</v>
      </c>
      <c r="P3295" s="23">
        <v>0.011</v>
      </c>
      <c r="Q3295" s="22" t="str">
        <f>"+0.02%"</f>
        <v>+0.02%</v>
      </c>
      <c r="R3295" s="18" t="str">
        <f>"+1.10%"</f>
        <v>+1.10%</v>
      </c>
      <c r="S3295" s="14" t="s">
        <v>2012</v>
      </c>
    </row>
    <row r="3296">
      <c r="A3296" s="13">
        <v>45901.0</v>
      </c>
      <c r="B3296" s="14" t="s">
        <v>47</v>
      </c>
      <c r="C3296" s="14" t="s">
        <v>48</v>
      </c>
      <c r="D3296" s="14" t="s">
        <v>69</v>
      </c>
      <c r="E3296" s="14" t="s">
        <v>70</v>
      </c>
      <c r="F3296" s="15" t="s">
        <v>51</v>
      </c>
      <c r="G3296" s="14" t="s">
        <v>115</v>
      </c>
      <c r="H3296" s="14" t="s">
        <v>72</v>
      </c>
      <c r="I3296" s="14" t="s">
        <v>54</v>
      </c>
      <c r="J3296" s="14" t="s">
        <v>200</v>
      </c>
      <c r="K3296" s="14" t="s">
        <v>213</v>
      </c>
      <c r="L3296" s="14" t="s">
        <v>359</v>
      </c>
      <c r="M3296" s="14" t="s">
        <v>628</v>
      </c>
      <c r="N3296" s="14" t="s">
        <v>629</v>
      </c>
      <c r="O3296" s="14">
        <v>100.0</v>
      </c>
      <c r="P3296" s="21">
        <v>407.0</v>
      </c>
      <c r="Q3296" s="22" t="str">
        <f t="shared" ref="Q3296:Q3297" si="1967">"+0"</f>
        <v>+0</v>
      </c>
      <c r="R3296" s="18" t="str">
        <f>"+1"</f>
        <v>+1</v>
      </c>
      <c r="S3296" s="14" t="s">
        <v>260</v>
      </c>
    </row>
    <row r="3297">
      <c r="A3297" s="13">
        <v>45901.0</v>
      </c>
      <c r="B3297" s="14" t="s">
        <v>47</v>
      </c>
      <c r="C3297" s="14" t="s">
        <v>48</v>
      </c>
      <c r="D3297" s="14" t="s">
        <v>85</v>
      </c>
      <c r="E3297" s="14" t="s">
        <v>86</v>
      </c>
      <c r="F3297" s="14" t="s">
        <v>146</v>
      </c>
      <c r="G3297" s="14" t="s">
        <v>162</v>
      </c>
      <c r="H3297" s="14" t="s">
        <v>85</v>
      </c>
      <c r="I3297" s="14" t="s">
        <v>107</v>
      </c>
      <c r="J3297" s="14" t="s">
        <v>199</v>
      </c>
      <c r="K3297" s="14" t="s">
        <v>206</v>
      </c>
      <c r="L3297" s="14" t="s">
        <v>295</v>
      </c>
      <c r="M3297" s="14" t="s">
        <v>461</v>
      </c>
      <c r="N3297" s="14" t="s">
        <v>462</v>
      </c>
      <c r="O3297" s="14">
        <v>0.0</v>
      </c>
      <c r="P3297" s="21">
        <v>0.0</v>
      </c>
      <c r="Q3297" s="22" t="str">
        <f t="shared" si="1967"/>
        <v>+0</v>
      </c>
      <c r="R3297" s="18" t="str">
        <f>"+0"</f>
        <v>+0</v>
      </c>
      <c r="S3297" s="14" t="s">
        <v>260</v>
      </c>
    </row>
    <row r="3298">
      <c r="A3298" s="13">
        <v>45901.0</v>
      </c>
      <c r="B3298" s="14" t="s">
        <v>47</v>
      </c>
      <c r="C3298" s="14" t="s">
        <v>48</v>
      </c>
      <c r="D3298" s="14" t="s">
        <v>108</v>
      </c>
      <c r="E3298" s="14" t="s">
        <v>109</v>
      </c>
      <c r="F3298" s="15" t="s">
        <v>51</v>
      </c>
      <c r="G3298" s="14" t="s">
        <v>110</v>
      </c>
      <c r="H3298" s="14" t="s">
        <v>108</v>
      </c>
      <c r="I3298" s="14" t="s">
        <v>59</v>
      </c>
      <c r="J3298" s="14" t="s">
        <v>200</v>
      </c>
      <c r="K3298" s="14" t="s">
        <v>214</v>
      </c>
      <c r="L3298" s="14" t="s">
        <v>253</v>
      </c>
      <c r="M3298" s="14" t="s">
        <v>389</v>
      </c>
      <c r="N3298" s="14" t="s">
        <v>390</v>
      </c>
      <c r="O3298" s="14">
        <v>0.0</v>
      </c>
      <c r="P3298" s="17"/>
      <c r="Q3298" s="22"/>
      <c r="S3298" s="14" t="s">
        <v>2013</v>
      </c>
    </row>
    <row r="3299">
      <c r="A3299" s="13">
        <v>45901.0</v>
      </c>
      <c r="B3299" s="14" t="s">
        <v>47</v>
      </c>
      <c r="C3299" s="14" t="s">
        <v>48</v>
      </c>
      <c r="D3299" s="14" t="s">
        <v>108</v>
      </c>
      <c r="E3299" s="14" t="s">
        <v>109</v>
      </c>
      <c r="F3299" s="14" t="s">
        <v>79</v>
      </c>
      <c r="G3299" s="14" t="s">
        <v>153</v>
      </c>
      <c r="H3299" s="14" t="s">
        <v>108</v>
      </c>
      <c r="I3299" s="14" t="s">
        <v>154</v>
      </c>
      <c r="J3299" s="14" t="s">
        <v>200</v>
      </c>
      <c r="K3299" s="14" t="s">
        <v>237</v>
      </c>
      <c r="L3299" s="14" t="s">
        <v>333</v>
      </c>
      <c r="M3299" s="14" t="s">
        <v>1373</v>
      </c>
      <c r="N3299" s="14" t="s">
        <v>1374</v>
      </c>
      <c r="O3299" s="14">
        <v>0.0</v>
      </c>
      <c r="P3299" s="23">
        <v>-1.0</v>
      </c>
      <c r="Q3299" s="22" t="str">
        <f>"+0.00%"</f>
        <v>+0.00%</v>
      </c>
      <c r="S3299" s="14" t="s">
        <v>336</v>
      </c>
    </row>
    <row r="3300">
      <c r="A3300" s="13">
        <v>45901.0</v>
      </c>
      <c r="B3300" s="14" t="s">
        <v>47</v>
      </c>
      <c r="C3300" s="14" t="s">
        <v>48</v>
      </c>
      <c r="D3300" s="14" t="s">
        <v>77</v>
      </c>
      <c r="E3300" s="14" t="s">
        <v>78</v>
      </c>
      <c r="F3300" s="15" t="s">
        <v>51</v>
      </c>
      <c r="G3300" s="14" t="s">
        <v>128</v>
      </c>
      <c r="H3300" s="14" t="s">
        <v>81</v>
      </c>
      <c r="I3300" s="14" t="s">
        <v>59</v>
      </c>
      <c r="J3300" s="14" t="s">
        <v>198</v>
      </c>
      <c r="K3300" s="14" t="s">
        <v>210</v>
      </c>
      <c r="L3300" s="14" t="s">
        <v>264</v>
      </c>
      <c r="M3300" s="14" t="s">
        <v>407</v>
      </c>
      <c r="N3300" s="14" t="s">
        <v>408</v>
      </c>
      <c r="O3300" s="14">
        <v>100.0</v>
      </c>
      <c r="P3300" s="21">
        <v>0.0</v>
      </c>
      <c r="Q3300" s="22" t="str">
        <f t="shared" ref="Q3300:R3300" si="1968">"+0"</f>
        <v>+0</v>
      </c>
      <c r="R3300" s="18" t="str">
        <f t="shared" si="1968"/>
        <v>+0</v>
      </c>
      <c r="S3300" s="14" t="s">
        <v>281</v>
      </c>
    </row>
    <row r="3301">
      <c r="A3301" s="13">
        <v>45901.0</v>
      </c>
      <c r="B3301" s="14" t="s">
        <v>47</v>
      </c>
      <c r="C3301" s="14" t="s">
        <v>48</v>
      </c>
      <c r="D3301" s="14" t="s">
        <v>116</v>
      </c>
      <c r="E3301" s="14" t="s">
        <v>117</v>
      </c>
      <c r="F3301" s="15" t="s">
        <v>51</v>
      </c>
      <c r="G3301" s="14" t="s">
        <v>161</v>
      </c>
      <c r="H3301" s="14" t="s">
        <v>116</v>
      </c>
      <c r="I3301" s="14" t="s">
        <v>54</v>
      </c>
      <c r="J3301" s="14" t="s">
        <v>199</v>
      </c>
      <c r="K3301" s="14" t="s">
        <v>203</v>
      </c>
      <c r="L3301" s="14" t="s">
        <v>1631</v>
      </c>
      <c r="M3301" s="14" t="s">
        <v>1632</v>
      </c>
      <c r="N3301" s="14" t="s">
        <v>1633</v>
      </c>
      <c r="O3301" s="14">
        <v>100.0</v>
      </c>
      <c r="P3301" s="21">
        <v>1.0</v>
      </c>
      <c r="Q3301" s="22" t="str">
        <f t="shared" ref="Q3301:Q3304" si="1969">"+0"</f>
        <v>+0</v>
      </c>
      <c r="R3301" s="18" t="str">
        <f>"-1"</f>
        <v>-1</v>
      </c>
      <c r="S3301" s="14" t="s">
        <v>260</v>
      </c>
    </row>
    <row r="3302">
      <c r="A3302" s="13">
        <v>45901.0</v>
      </c>
      <c r="B3302" s="14" t="s">
        <v>47</v>
      </c>
      <c r="C3302" s="14" t="s">
        <v>48</v>
      </c>
      <c r="D3302" s="14" t="s">
        <v>158</v>
      </c>
      <c r="E3302" s="14" t="s">
        <v>159</v>
      </c>
      <c r="F3302" s="15" t="s">
        <v>51</v>
      </c>
      <c r="G3302" s="14" t="s">
        <v>160</v>
      </c>
      <c r="H3302" s="14" t="s">
        <v>158</v>
      </c>
      <c r="I3302" s="14" t="s">
        <v>54</v>
      </c>
      <c r="J3302" s="14" t="s">
        <v>198</v>
      </c>
      <c r="K3302" s="14" t="s">
        <v>210</v>
      </c>
      <c r="L3302" s="14" t="s">
        <v>264</v>
      </c>
      <c r="M3302" s="14" t="s">
        <v>350</v>
      </c>
      <c r="N3302" s="14" t="s">
        <v>351</v>
      </c>
      <c r="O3302" s="14">
        <v>0.0</v>
      </c>
      <c r="P3302" s="21">
        <v>0.0</v>
      </c>
      <c r="Q3302" s="22" t="str">
        <f t="shared" si="1969"/>
        <v>+0</v>
      </c>
      <c r="R3302" s="18" t="str">
        <f t="shared" ref="R3302:R3304" si="1970">"+0"</f>
        <v>+0</v>
      </c>
      <c r="S3302" s="14" t="s">
        <v>277</v>
      </c>
    </row>
    <row r="3303">
      <c r="A3303" s="13">
        <v>45901.0</v>
      </c>
      <c r="B3303" s="14" t="s">
        <v>47</v>
      </c>
      <c r="C3303" s="14" t="s">
        <v>48</v>
      </c>
      <c r="D3303" s="14" t="s">
        <v>112</v>
      </c>
      <c r="E3303" s="14" t="s">
        <v>113</v>
      </c>
      <c r="F3303" s="15" t="s">
        <v>51</v>
      </c>
      <c r="G3303" s="14" t="s">
        <v>114</v>
      </c>
      <c r="H3303" s="14" t="s">
        <v>112</v>
      </c>
      <c r="I3303" s="14" t="s">
        <v>59</v>
      </c>
      <c r="J3303" s="14" t="s">
        <v>200</v>
      </c>
      <c r="K3303" s="14" t="s">
        <v>222</v>
      </c>
      <c r="L3303" s="14" t="s">
        <v>253</v>
      </c>
      <c r="M3303" s="14" t="s">
        <v>732</v>
      </c>
      <c r="N3303" s="14" t="s">
        <v>733</v>
      </c>
      <c r="O3303" s="14">
        <v>50.0</v>
      </c>
      <c r="P3303" s="21">
        <v>1.0</v>
      </c>
      <c r="Q3303" s="22" t="str">
        <f t="shared" si="1969"/>
        <v>+0</v>
      </c>
      <c r="R3303" s="18" t="str">
        <f t="shared" si="1970"/>
        <v>+0</v>
      </c>
      <c r="S3303" s="14" t="s">
        <v>450</v>
      </c>
    </row>
    <row r="3304">
      <c r="A3304" s="13">
        <v>45901.0</v>
      </c>
      <c r="B3304" s="14" t="s">
        <v>47</v>
      </c>
      <c r="C3304" s="14" t="s">
        <v>48</v>
      </c>
      <c r="D3304" s="14" t="s">
        <v>108</v>
      </c>
      <c r="E3304" s="14" t="s">
        <v>109</v>
      </c>
      <c r="F3304" s="15" t="s">
        <v>51</v>
      </c>
      <c r="G3304" s="14" t="s">
        <v>110</v>
      </c>
      <c r="H3304" s="14" t="s">
        <v>108</v>
      </c>
      <c r="I3304" s="14" t="s">
        <v>59</v>
      </c>
      <c r="J3304" s="14" t="s">
        <v>200</v>
      </c>
      <c r="K3304" s="14" t="s">
        <v>227</v>
      </c>
      <c r="L3304" s="14" t="s">
        <v>328</v>
      </c>
      <c r="M3304" s="14" t="s">
        <v>329</v>
      </c>
      <c r="N3304" s="14" t="s">
        <v>330</v>
      </c>
      <c r="O3304" s="14">
        <v>0.0</v>
      </c>
      <c r="P3304" s="21">
        <v>0.0</v>
      </c>
      <c r="Q3304" s="22" t="str">
        <f t="shared" si="1969"/>
        <v>+0</v>
      </c>
      <c r="R3304" s="18" t="str">
        <f t="shared" si="1970"/>
        <v>+0</v>
      </c>
      <c r="S3304" s="14" t="s">
        <v>260</v>
      </c>
    </row>
    <row r="3305">
      <c r="A3305" s="13">
        <v>45901.0</v>
      </c>
      <c r="B3305" s="14" t="s">
        <v>47</v>
      </c>
      <c r="C3305" s="14" t="s">
        <v>48</v>
      </c>
      <c r="D3305" s="14" t="s">
        <v>168</v>
      </c>
      <c r="E3305" s="14" t="s">
        <v>169</v>
      </c>
      <c r="F3305" s="15" t="s">
        <v>51</v>
      </c>
      <c r="G3305" s="14" t="s">
        <v>170</v>
      </c>
      <c r="H3305" s="14" t="s">
        <v>168</v>
      </c>
      <c r="I3305" s="14" t="s">
        <v>59</v>
      </c>
      <c r="J3305" s="14" t="s">
        <v>200</v>
      </c>
      <c r="K3305" s="14" t="s">
        <v>213</v>
      </c>
      <c r="L3305" s="14" t="s">
        <v>676</v>
      </c>
      <c r="M3305" s="14" t="s">
        <v>858</v>
      </c>
      <c r="N3305" s="14" t="s">
        <v>859</v>
      </c>
      <c r="O3305" s="14">
        <v>0.0</v>
      </c>
      <c r="P3305" s="23">
        <v>-1.0</v>
      </c>
      <c r="Q3305" s="22" t="str">
        <f t="shared" ref="Q3305:R3305" si="1971">"+0.00%"</f>
        <v>+0.00%</v>
      </c>
      <c r="R3305" s="18" t="str">
        <f t="shared" si="1971"/>
        <v>+0.00%</v>
      </c>
      <c r="S3305" s="14" t="s">
        <v>1099</v>
      </c>
    </row>
    <row r="3306">
      <c r="A3306" s="13">
        <v>45901.0</v>
      </c>
      <c r="B3306" s="14" t="s">
        <v>47</v>
      </c>
      <c r="C3306" s="14" t="s">
        <v>48</v>
      </c>
      <c r="D3306" s="14" t="s">
        <v>121</v>
      </c>
      <c r="E3306" s="14" t="s">
        <v>122</v>
      </c>
      <c r="F3306" s="15" t="s">
        <v>51</v>
      </c>
      <c r="G3306" s="14" t="s">
        <v>123</v>
      </c>
      <c r="H3306" s="14" t="s">
        <v>124</v>
      </c>
      <c r="I3306" s="14" t="s">
        <v>59</v>
      </c>
      <c r="J3306" s="14" t="s">
        <v>199</v>
      </c>
      <c r="K3306" s="14" t="s">
        <v>206</v>
      </c>
      <c r="L3306" s="14" t="s">
        <v>569</v>
      </c>
      <c r="M3306" s="14" t="s">
        <v>569</v>
      </c>
      <c r="N3306" s="14" t="s">
        <v>570</v>
      </c>
      <c r="O3306" s="14">
        <v>100.0</v>
      </c>
      <c r="P3306" s="21">
        <v>2.0</v>
      </c>
      <c r="Q3306" s="22" t="str">
        <f>"+0"</f>
        <v>+0</v>
      </c>
      <c r="R3306" s="18" t="str">
        <f>"+2"</f>
        <v>+2</v>
      </c>
      <c r="S3306" s="14" t="s">
        <v>383</v>
      </c>
    </row>
    <row r="3307">
      <c r="A3307" s="13">
        <v>45901.0</v>
      </c>
      <c r="B3307" s="14" t="s">
        <v>47</v>
      </c>
      <c r="C3307" s="14" t="s">
        <v>48</v>
      </c>
      <c r="D3307" s="14" t="s">
        <v>168</v>
      </c>
      <c r="E3307" s="14" t="s">
        <v>169</v>
      </c>
      <c r="F3307" s="15" t="s">
        <v>51</v>
      </c>
      <c r="G3307" s="14" t="s">
        <v>170</v>
      </c>
      <c r="H3307" s="14" t="s">
        <v>168</v>
      </c>
      <c r="I3307" s="14" t="s">
        <v>59</v>
      </c>
      <c r="J3307" s="14" t="s">
        <v>200</v>
      </c>
      <c r="K3307" s="14" t="s">
        <v>213</v>
      </c>
      <c r="L3307" s="14" t="s">
        <v>676</v>
      </c>
      <c r="M3307" s="14" t="s">
        <v>836</v>
      </c>
      <c r="N3307" s="14" t="s">
        <v>837</v>
      </c>
      <c r="O3307" s="14">
        <v>0.0</v>
      </c>
      <c r="P3307" s="23">
        <v>0.0</v>
      </c>
      <c r="Q3307" s="22" t="str">
        <f t="shared" ref="Q3307:R3307" si="1972">"+0.00%"</f>
        <v>+0.00%</v>
      </c>
      <c r="R3307" s="18" t="str">
        <f t="shared" si="1972"/>
        <v>+0.00%</v>
      </c>
      <c r="S3307" s="14" t="s">
        <v>2014</v>
      </c>
    </row>
    <row r="3308">
      <c r="A3308" s="13">
        <v>45901.0</v>
      </c>
      <c r="B3308" s="14" t="s">
        <v>47</v>
      </c>
      <c r="C3308" s="14" t="s">
        <v>48</v>
      </c>
      <c r="D3308" s="14" t="s">
        <v>181</v>
      </c>
      <c r="E3308" s="14" t="s">
        <v>182</v>
      </c>
      <c r="F3308" s="15" t="s">
        <v>51</v>
      </c>
      <c r="G3308" s="14" t="s">
        <v>183</v>
      </c>
      <c r="H3308" s="14" t="s">
        <v>181</v>
      </c>
      <c r="I3308" s="14" t="s">
        <v>59</v>
      </c>
      <c r="J3308" s="14" t="s">
        <v>200</v>
      </c>
      <c r="K3308" s="14" t="s">
        <v>227</v>
      </c>
      <c r="L3308" s="14" t="s">
        <v>253</v>
      </c>
      <c r="M3308" s="14" t="s">
        <v>254</v>
      </c>
      <c r="N3308" s="14" t="s">
        <v>255</v>
      </c>
      <c r="O3308" s="14">
        <v>2.0</v>
      </c>
      <c r="P3308" s="23">
        <v>0.02</v>
      </c>
      <c r="Q3308" s="22" t="str">
        <f t="shared" ref="Q3308:R3308" si="1973">"+0.00%"</f>
        <v>+0.00%</v>
      </c>
      <c r="R3308" s="18" t="str">
        <f t="shared" si="1973"/>
        <v>+0.00%</v>
      </c>
      <c r="S3308" s="14" t="s">
        <v>2015</v>
      </c>
    </row>
    <row r="3309">
      <c r="A3309" s="13">
        <v>45901.0</v>
      </c>
      <c r="B3309" s="14" t="s">
        <v>47</v>
      </c>
      <c r="C3309" s="14" t="s">
        <v>48</v>
      </c>
      <c r="D3309" s="14" t="s">
        <v>49</v>
      </c>
      <c r="E3309" s="14" t="s">
        <v>50</v>
      </c>
      <c r="F3309" s="15" t="s">
        <v>51</v>
      </c>
      <c r="G3309" s="14" t="s">
        <v>52</v>
      </c>
      <c r="H3309" s="14" t="s">
        <v>53</v>
      </c>
      <c r="I3309" s="14" t="s">
        <v>54</v>
      </c>
      <c r="J3309" s="14" t="s">
        <v>200</v>
      </c>
      <c r="K3309" s="14" t="s">
        <v>213</v>
      </c>
      <c r="L3309" s="14" t="s">
        <v>676</v>
      </c>
      <c r="M3309" s="14" t="s">
        <v>836</v>
      </c>
      <c r="N3309" s="14" t="s">
        <v>837</v>
      </c>
      <c r="O3309" s="14">
        <v>1.0</v>
      </c>
      <c r="P3309" s="23">
        <v>0.0098</v>
      </c>
      <c r="Q3309" s="22" t="str">
        <f>"+0.22%"</f>
        <v>+0.22%</v>
      </c>
      <c r="R3309" s="18" t="str">
        <f>"+0.34%"</f>
        <v>+0.34%</v>
      </c>
      <c r="S3309" s="14" t="s">
        <v>2016</v>
      </c>
    </row>
    <row r="3310">
      <c r="A3310" s="13">
        <v>45901.0</v>
      </c>
      <c r="B3310" s="14" t="s">
        <v>47</v>
      </c>
      <c r="C3310" s="14" t="s">
        <v>48</v>
      </c>
      <c r="D3310" s="14" t="s">
        <v>49</v>
      </c>
      <c r="E3310" s="14" t="s">
        <v>50</v>
      </c>
      <c r="F3310" s="15" t="s">
        <v>51</v>
      </c>
      <c r="G3310" s="14" t="s">
        <v>52</v>
      </c>
      <c r="H3310" s="14" t="s">
        <v>53</v>
      </c>
      <c r="I3310" s="14" t="s">
        <v>54</v>
      </c>
      <c r="J3310" s="14" t="s">
        <v>198</v>
      </c>
      <c r="K3310" s="14" t="s">
        <v>210</v>
      </c>
      <c r="L3310" s="14" t="s">
        <v>505</v>
      </c>
      <c r="M3310" s="14" t="s">
        <v>1222</v>
      </c>
      <c r="N3310" s="14" t="s">
        <v>1223</v>
      </c>
      <c r="O3310" s="14">
        <v>0.0</v>
      </c>
      <c r="P3310" s="21">
        <v>0.0</v>
      </c>
      <c r="Q3310" s="22" t="str">
        <f t="shared" ref="Q3310:R3310" si="1974">"+0"</f>
        <v>+0</v>
      </c>
      <c r="R3310" s="18" t="str">
        <f t="shared" si="1974"/>
        <v>+0</v>
      </c>
      <c r="S3310" s="14" t="s">
        <v>277</v>
      </c>
    </row>
    <row r="3311">
      <c r="A3311" s="13">
        <v>45901.0</v>
      </c>
      <c r="B3311" s="14" t="s">
        <v>47</v>
      </c>
      <c r="C3311" s="14" t="s">
        <v>48</v>
      </c>
      <c r="D3311" s="14" t="s">
        <v>49</v>
      </c>
      <c r="E3311" s="14" t="s">
        <v>50</v>
      </c>
      <c r="F3311" s="15" t="s">
        <v>51</v>
      </c>
      <c r="G3311" s="14" t="s">
        <v>52</v>
      </c>
      <c r="H3311" s="14" t="s">
        <v>53</v>
      </c>
      <c r="I3311" s="14" t="s">
        <v>54</v>
      </c>
      <c r="J3311" s="14" t="s">
        <v>200</v>
      </c>
      <c r="K3311" s="14" t="s">
        <v>213</v>
      </c>
      <c r="L3311" s="14" t="s">
        <v>253</v>
      </c>
      <c r="M3311" s="14" t="s">
        <v>366</v>
      </c>
      <c r="N3311" s="14" t="s">
        <v>367</v>
      </c>
      <c r="O3311" s="14">
        <v>91.0</v>
      </c>
      <c r="P3311" s="23">
        <v>0.9129</v>
      </c>
      <c r="Q3311" s="22" t="str">
        <f>"+1.09%"</f>
        <v>+1.09%</v>
      </c>
      <c r="R3311" s="18" t="str">
        <f>"-0.44%"</f>
        <v>-0.44%</v>
      </c>
      <c r="S3311" s="14" t="s">
        <v>1022</v>
      </c>
    </row>
    <row r="3312">
      <c r="A3312" s="13">
        <v>45901.0</v>
      </c>
      <c r="B3312" s="14" t="s">
        <v>47</v>
      </c>
      <c r="C3312" s="14" t="s">
        <v>48</v>
      </c>
      <c r="D3312" s="14" t="s">
        <v>63</v>
      </c>
      <c r="E3312" s="14" t="s">
        <v>64</v>
      </c>
      <c r="F3312" s="15" t="s">
        <v>51</v>
      </c>
      <c r="G3312" s="14" t="s">
        <v>65</v>
      </c>
      <c r="H3312" s="14" t="s">
        <v>63</v>
      </c>
      <c r="I3312" s="14" t="s">
        <v>54</v>
      </c>
      <c r="J3312" s="14" t="s">
        <v>198</v>
      </c>
      <c r="K3312" s="14" t="s">
        <v>210</v>
      </c>
      <c r="L3312" s="14" t="s">
        <v>264</v>
      </c>
      <c r="M3312" s="14" t="s">
        <v>313</v>
      </c>
      <c r="N3312" s="14" t="s">
        <v>314</v>
      </c>
      <c r="O3312" s="14">
        <v>0.0</v>
      </c>
      <c r="P3312" s="21">
        <v>0.0</v>
      </c>
      <c r="Q3312" s="22" t="str">
        <f t="shared" ref="Q3312:R3312" si="1975">"+0"</f>
        <v>+0</v>
      </c>
      <c r="R3312" s="18" t="str">
        <f t="shared" si="1975"/>
        <v>+0</v>
      </c>
      <c r="S3312" s="14" t="s">
        <v>277</v>
      </c>
    </row>
    <row r="3313">
      <c r="A3313" s="13">
        <v>45901.0</v>
      </c>
      <c r="B3313" s="14" t="s">
        <v>47</v>
      </c>
      <c r="C3313" s="14" t="s">
        <v>48</v>
      </c>
      <c r="D3313" s="14" t="s">
        <v>63</v>
      </c>
      <c r="E3313" s="14" t="s">
        <v>64</v>
      </c>
      <c r="F3313" s="15" t="s">
        <v>51</v>
      </c>
      <c r="G3313" s="14" t="s">
        <v>65</v>
      </c>
      <c r="H3313" s="14" t="s">
        <v>63</v>
      </c>
      <c r="I3313" s="14" t="s">
        <v>54</v>
      </c>
      <c r="J3313" s="14" t="s">
        <v>198</v>
      </c>
      <c r="K3313" s="14" t="s">
        <v>210</v>
      </c>
      <c r="L3313" s="14" t="s">
        <v>264</v>
      </c>
      <c r="M3313" s="14" t="s">
        <v>470</v>
      </c>
      <c r="N3313" s="14" t="s">
        <v>471</v>
      </c>
      <c r="O3313" s="14">
        <v>21.0</v>
      </c>
      <c r="P3313" s="21">
        <v>4794.0</v>
      </c>
      <c r="Q3313" s="22" t="str">
        <f>"+4,030"</f>
        <v>+4,030</v>
      </c>
      <c r="R3313" s="18" t="str">
        <f>"+3,829"</f>
        <v>+3,829</v>
      </c>
      <c r="S3313" s="14" t="s">
        <v>2017</v>
      </c>
    </row>
    <row r="3314">
      <c r="A3314" s="13">
        <v>45901.0</v>
      </c>
      <c r="B3314" s="14" t="s">
        <v>47</v>
      </c>
      <c r="C3314" s="14" t="s">
        <v>48</v>
      </c>
      <c r="D3314" s="14" t="s">
        <v>63</v>
      </c>
      <c r="E3314" s="14" t="s">
        <v>64</v>
      </c>
      <c r="F3314" s="15" t="s">
        <v>51</v>
      </c>
      <c r="G3314" s="14" t="s">
        <v>65</v>
      </c>
      <c r="H3314" s="14" t="s">
        <v>63</v>
      </c>
      <c r="I3314" s="14" t="s">
        <v>54</v>
      </c>
      <c r="J3314" s="14" t="s">
        <v>200</v>
      </c>
      <c r="K3314" s="14" t="s">
        <v>215</v>
      </c>
      <c r="L3314" s="14" t="s">
        <v>548</v>
      </c>
      <c r="M3314" s="14" t="s">
        <v>1250</v>
      </c>
      <c r="N3314" s="14" t="s">
        <v>1251</v>
      </c>
      <c r="O3314" s="14">
        <v>0.0</v>
      </c>
      <c r="P3314" s="23">
        <v>-1.0</v>
      </c>
      <c r="Q3314" s="22" t="str">
        <f t="shared" ref="Q3314:R3314" si="1976">"+0.00%"</f>
        <v>+0.00%</v>
      </c>
      <c r="R3314" s="18" t="str">
        <f t="shared" si="1976"/>
        <v>+0.00%</v>
      </c>
      <c r="S3314" s="14" t="s">
        <v>336</v>
      </c>
    </row>
    <row r="3315">
      <c r="A3315" s="13">
        <v>45901.0</v>
      </c>
      <c r="B3315" s="14" t="s">
        <v>47</v>
      </c>
      <c r="C3315" s="14" t="s">
        <v>48</v>
      </c>
      <c r="D3315" s="14" t="s">
        <v>118</v>
      </c>
      <c r="E3315" s="14" t="s">
        <v>119</v>
      </c>
      <c r="F3315" s="15" t="s">
        <v>51</v>
      </c>
      <c r="G3315" s="14" t="s">
        <v>120</v>
      </c>
      <c r="H3315" s="14" t="s">
        <v>118</v>
      </c>
      <c r="I3315" s="14" t="s">
        <v>59</v>
      </c>
      <c r="J3315" s="14" t="s">
        <v>198</v>
      </c>
      <c r="K3315" s="14" t="s">
        <v>210</v>
      </c>
      <c r="L3315" s="14" t="s">
        <v>264</v>
      </c>
      <c r="M3315" s="14" t="s">
        <v>407</v>
      </c>
      <c r="N3315" s="14" t="s">
        <v>408</v>
      </c>
      <c r="O3315" s="14">
        <v>100.0</v>
      </c>
      <c r="P3315" s="21">
        <v>0.0</v>
      </c>
      <c r="Q3315" s="22" t="str">
        <f t="shared" ref="Q3315:R3315" si="1977">"+0"</f>
        <v>+0</v>
      </c>
      <c r="R3315" s="18" t="str">
        <f t="shared" si="1977"/>
        <v>+0</v>
      </c>
      <c r="S3315" s="14" t="s">
        <v>281</v>
      </c>
    </row>
    <row r="3316">
      <c r="A3316" s="13">
        <v>45901.0</v>
      </c>
      <c r="B3316" s="14" t="s">
        <v>47</v>
      </c>
      <c r="C3316" s="14" t="s">
        <v>48</v>
      </c>
      <c r="D3316" s="14" t="s">
        <v>91</v>
      </c>
      <c r="E3316" s="14" t="s">
        <v>92</v>
      </c>
      <c r="F3316" s="14" t="s">
        <v>71</v>
      </c>
      <c r="G3316" s="14">
        <v>1.00004432E8</v>
      </c>
      <c r="H3316" s="14" t="s">
        <v>91</v>
      </c>
      <c r="I3316" s="14" t="s">
        <v>59</v>
      </c>
      <c r="J3316" s="14" t="s">
        <v>199</v>
      </c>
      <c r="K3316" s="14" t="s">
        <v>203</v>
      </c>
      <c r="L3316" s="14" t="s">
        <v>342</v>
      </c>
      <c r="M3316" s="14" t="s">
        <v>342</v>
      </c>
      <c r="N3316" s="14" t="s">
        <v>343</v>
      </c>
      <c r="O3316" s="14">
        <v>100.0</v>
      </c>
      <c r="P3316" s="21">
        <v>163.0</v>
      </c>
      <c r="Q3316" s="22" t="str">
        <f t="shared" ref="Q3316:R3316" si="1978">"+0"</f>
        <v>+0</v>
      </c>
      <c r="R3316" s="18" t="str">
        <f t="shared" si="1978"/>
        <v>+0</v>
      </c>
      <c r="S3316" s="14" t="s">
        <v>260</v>
      </c>
    </row>
    <row r="3317">
      <c r="A3317" s="13">
        <v>45901.0</v>
      </c>
      <c r="B3317" s="14" t="s">
        <v>47</v>
      </c>
      <c r="C3317" s="14" t="s">
        <v>48</v>
      </c>
      <c r="D3317" s="14" t="s">
        <v>99</v>
      </c>
      <c r="E3317" s="14" t="s">
        <v>100</v>
      </c>
      <c r="F3317" s="15" t="s">
        <v>51</v>
      </c>
      <c r="G3317" s="14" t="s">
        <v>101</v>
      </c>
      <c r="H3317" s="14" t="s">
        <v>102</v>
      </c>
      <c r="I3317" s="14" t="s">
        <v>54</v>
      </c>
      <c r="J3317" s="14" t="s">
        <v>200</v>
      </c>
      <c r="K3317" s="14" t="s">
        <v>222</v>
      </c>
      <c r="L3317" s="14" t="s">
        <v>337</v>
      </c>
      <c r="M3317" s="14" t="s">
        <v>338</v>
      </c>
      <c r="N3317" s="14" t="s">
        <v>339</v>
      </c>
      <c r="O3317" s="14">
        <v>0.0</v>
      </c>
      <c r="P3317" s="21">
        <v>0.0</v>
      </c>
      <c r="Q3317" s="22" t="str">
        <f t="shared" ref="Q3317:R3317" si="1979">"+0"</f>
        <v>+0</v>
      </c>
      <c r="R3317" s="18" t="str">
        <f t="shared" si="1979"/>
        <v>+0</v>
      </c>
      <c r="S3317" s="14" t="s">
        <v>260</v>
      </c>
    </row>
    <row r="3318">
      <c r="A3318" s="13">
        <v>45901.0</v>
      </c>
      <c r="B3318" s="14" t="s">
        <v>47</v>
      </c>
      <c r="C3318" s="14" t="s">
        <v>48</v>
      </c>
      <c r="D3318" s="14" t="s">
        <v>118</v>
      </c>
      <c r="E3318" s="14" t="s">
        <v>119</v>
      </c>
      <c r="F3318" s="15" t="s">
        <v>51</v>
      </c>
      <c r="G3318" s="14" t="s">
        <v>120</v>
      </c>
      <c r="H3318" s="14" t="s">
        <v>118</v>
      </c>
      <c r="I3318" s="14" t="s">
        <v>59</v>
      </c>
      <c r="J3318" s="14" t="s">
        <v>200</v>
      </c>
      <c r="K3318" s="14" t="s">
        <v>222</v>
      </c>
      <c r="L3318" s="14" t="s">
        <v>337</v>
      </c>
      <c r="M3318" s="14" t="s">
        <v>338</v>
      </c>
      <c r="N3318" s="14" t="s">
        <v>339</v>
      </c>
      <c r="O3318" s="14">
        <v>0.0</v>
      </c>
      <c r="P3318" s="21">
        <v>0.0</v>
      </c>
      <c r="Q3318" s="22" t="str">
        <f t="shared" ref="Q3318:R3318" si="1980">"+0"</f>
        <v>+0</v>
      </c>
      <c r="R3318" s="18" t="str">
        <f t="shared" si="1980"/>
        <v>+0</v>
      </c>
      <c r="S3318" s="14" t="s">
        <v>260</v>
      </c>
    </row>
    <row r="3319">
      <c r="A3319" s="13">
        <v>45901.0</v>
      </c>
      <c r="B3319" s="14" t="s">
        <v>47</v>
      </c>
      <c r="C3319" s="14" t="s">
        <v>48</v>
      </c>
      <c r="D3319" s="14" t="s">
        <v>91</v>
      </c>
      <c r="E3319" s="14" t="s">
        <v>92</v>
      </c>
      <c r="F3319" s="14" t="s">
        <v>71</v>
      </c>
      <c r="G3319" s="14">
        <v>5.00008613E8</v>
      </c>
      <c r="H3319" s="14" t="s">
        <v>91</v>
      </c>
      <c r="I3319" s="14" t="s">
        <v>59</v>
      </c>
      <c r="J3319" s="14" t="s">
        <v>199</v>
      </c>
      <c r="K3319" s="14" t="s">
        <v>206</v>
      </c>
      <c r="L3319" s="14" t="s">
        <v>531</v>
      </c>
      <c r="M3319" s="14" t="s">
        <v>531</v>
      </c>
      <c r="N3319" s="14" t="s">
        <v>532</v>
      </c>
      <c r="O3319" s="14">
        <v>100.0</v>
      </c>
      <c r="P3319" s="21">
        <v>13.0</v>
      </c>
      <c r="Q3319" s="22" t="str">
        <f t="shared" ref="Q3319:R3319" si="1981">"+0"</f>
        <v>+0</v>
      </c>
      <c r="R3319" s="18" t="str">
        <f t="shared" si="1981"/>
        <v>+0</v>
      </c>
      <c r="S3319" s="14" t="s">
        <v>260</v>
      </c>
    </row>
    <row r="3320">
      <c r="A3320" s="13">
        <v>45901.0</v>
      </c>
      <c r="B3320" s="14" t="s">
        <v>47</v>
      </c>
      <c r="C3320" s="14" t="s">
        <v>48</v>
      </c>
      <c r="D3320" s="14" t="s">
        <v>91</v>
      </c>
      <c r="E3320" s="14" t="s">
        <v>92</v>
      </c>
      <c r="F3320" s="15" t="s">
        <v>51</v>
      </c>
      <c r="G3320" s="14" t="s">
        <v>163</v>
      </c>
      <c r="H3320" s="14" t="s">
        <v>91</v>
      </c>
      <c r="I3320" s="14" t="s">
        <v>59</v>
      </c>
      <c r="J3320" s="14" t="s">
        <v>200</v>
      </c>
      <c r="K3320" s="14" t="s">
        <v>223</v>
      </c>
      <c r="L3320" s="14" t="s">
        <v>363</v>
      </c>
      <c r="M3320" s="14" t="s">
        <v>379</v>
      </c>
      <c r="N3320" s="14" t="s">
        <v>380</v>
      </c>
      <c r="O3320" s="14">
        <v>0.0</v>
      </c>
      <c r="P3320" s="21">
        <v>0.0</v>
      </c>
      <c r="Q3320" s="22" t="str">
        <f t="shared" ref="Q3320:R3320" si="1982">"+0"</f>
        <v>+0</v>
      </c>
      <c r="R3320" s="18" t="str">
        <f t="shared" si="1982"/>
        <v>+0</v>
      </c>
      <c r="S3320" s="14" t="s">
        <v>260</v>
      </c>
    </row>
    <row r="3321">
      <c r="A3321" s="13">
        <v>45901.0</v>
      </c>
      <c r="B3321" s="14" t="s">
        <v>47</v>
      </c>
      <c r="C3321" s="14" t="s">
        <v>48</v>
      </c>
      <c r="D3321" s="14" t="s">
        <v>91</v>
      </c>
      <c r="E3321" s="14" t="s">
        <v>92</v>
      </c>
      <c r="F3321" s="14" t="s">
        <v>71</v>
      </c>
      <c r="G3321" s="14">
        <v>5.00008613E8</v>
      </c>
      <c r="H3321" s="14" t="s">
        <v>91</v>
      </c>
      <c r="I3321" s="14" t="s">
        <v>59</v>
      </c>
      <c r="J3321" s="14" t="s">
        <v>199</v>
      </c>
      <c r="K3321" s="14" t="s">
        <v>208</v>
      </c>
      <c r="L3321" s="14" t="s">
        <v>412</v>
      </c>
      <c r="M3321" s="14" t="s">
        <v>412</v>
      </c>
      <c r="N3321" s="14" t="s">
        <v>413</v>
      </c>
      <c r="O3321" s="14">
        <v>100.0</v>
      </c>
      <c r="P3321" s="21">
        <v>14.0</v>
      </c>
      <c r="Q3321" s="22" t="str">
        <f t="shared" ref="Q3321:R3321" si="1983">"+1"</f>
        <v>+1</v>
      </c>
      <c r="R3321" s="18" t="str">
        <f t="shared" si="1983"/>
        <v>+1</v>
      </c>
      <c r="S3321" s="14" t="s">
        <v>260</v>
      </c>
    </row>
    <row r="3322">
      <c r="A3322" s="13">
        <v>45901.0</v>
      </c>
      <c r="B3322" s="14" t="s">
        <v>47</v>
      </c>
      <c r="C3322" s="14" t="s">
        <v>48</v>
      </c>
      <c r="D3322" s="14" t="s">
        <v>99</v>
      </c>
      <c r="E3322" s="14" t="s">
        <v>100</v>
      </c>
      <c r="F3322" s="15" t="s">
        <v>51</v>
      </c>
      <c r="G3322" s="14" t="s">
        <v>101</v>
      </c>
      <c r="H3322" s="14" t="s">
        <v>102</v>
      </c>
      <c r="I3322" s="14" t="s">
        <v>54</v>
      </c>
      <c r="J3322" s="14" t="s">
        <v>198</v>
      </c>
      <c r="K3322" s="14" t="s">
        <v>207</v>
      </c>
      <c r="L3322" s="14" t="s">
        <v>318</v>
      </c>
      <c r="M3322" s="14" t="s">
        <v>508</v>
      </c>
      <c r="N3322" s="14" t="s">
        <v>509</v>
      </c>
      <c r="O3322" s="14">
        <v>0.0</v>
      </c>
      <c r="P3322" s="21">
        <v>0.0</v>
      </c>
      <c r="Q3322" s="22" t="str">
        <f>"+0"</f>
        <v>+0</v>
      </c>
      <c r="S3322" s="14" t="s">
        <v>281</v>
      </c>
    </row>
    <row r="3323">
      <c r="A3323" s="13">
        <v>45901.0</v>
      </c>
      <c r="B3323" s="14" t="s">
        <v>47</v>
      </c>
      <c r="C3323" s="14" t="s">
        <v>48</v>
      </c>
      <c r="D3323" s="14" t="s">
        <v>66</v>
      </c>
      <c r="E3323" s="14" t="s">
        <v>67</v>
      </c>
      <c r="F3323" s="15" t="s">
        <v>51</v>
      </c>
      <c r="G3323" s="14" t="s">
        <v>68</v>
      </c>
      <c r="H3323" s="14" t="s">
        <v>66</v>
      </c>
      <c r="I3323" s="14" t="s">
        <v>59</v>
      </c>
      <c r="J3323" s="14" t="s">
        <v>200</v>
      </c>
      <c r="K3323" s="14" t="s">
        <v>209</v>
      </c>
      <c r="L3323" s="14" t="s">
        <v>253</v>
      </c>
      <c r="M3323" s="14" t="s">
        <v>817</v>
      </c>
      <c r="N3323" s="14" t="s">
        <v>818</v>
      </c>
      <c r="O3323" s="14">
        <v>78.0</v>
      </c>
      <c r="P3323" s="23">
        <v>0.7868</v>
      </c>
      <c r="Q3323" s="22" t="str">
        <f>"+0.00%"</f>
        <v>+0.00%</v>
      </c>
      <c r="R3323" s="18" t="str">
        <f>"+9.65%"</f>
        <v>+9.65%</v>
      </c>
      <c r="S3323" s="14" t="s">
        <v>2018</v>
      </c>
    </row>
    <row r="3324">
      <c r="A3324" s="13">
        <v>45901.0</v>
      </c>
      <c r="B3324" s="14" t="s">
        <v>47</v>
      </c>
      <c r="C3324" s="14" t="s">
        <v>48</v>
      </c>
      <c r="D3324" s="14" t="s">
        <v>66</v>
      </c>
      <c r="E3324" s="14" t="s">
        <v>67</v>
      </c>
      <c r="F3324" s="15" t="s">
        <v>51</v>
      </c>
      <c r="G3324" s="14" t="s">
        <v>68</v>
      </c>
      <c r="H3324" s="14" t="s">
        <v>66</v>
      </c>
      <c r="I3324" s="14" t="s">
        <v>59</v>
      </c>
      <c r="J3324" s="14" t="s">
        <v>200</v>
      </c>
      <c r="K3324" s="14" t="s">
        <v>231</v>
      </c>
      <c r="L3324" s="14" t="s">
        <v>512</v>
      </c>
      <c r="M3324" s="14" t="s">
        <v>1544</v>
      </c>
      <c r="N3324" s="14" t="s">
        <v>1545</v>
      </c>
      <c r="O3324" s="14">
        <v>0.0</v>
      </c>
      <c r="P3324" s="21">
        <v>0.0</v>
      </c>
      <c r="Q3324" s="22" t="str">
        <f t="shared" ref="Q3324:R3324" si="1984">"+0"</f>
        <v>+0</v>
      </c>
      <c r="R3324" s="18" t="str">
        <f t="shared" si="1984"/>
        <v>+0</v>
      </c>
      <c r="S3324" s="14" t="s">
        <v>260</v>
      </c>
    </row>
    <row r="3325">
      <c r="A3325" s="13">
        <v>45901.0</v>
      </c>
      <c r="B3325" s="14" t="s">
        <v>47</v>
      </c>
      <c r="C3325" s="14" t="s">
        <v>48</v>
      </c>
      <c r="D3325" s="14" t="s">
        <v>103</v>
      </c>
      <c r="E3325" s="14" t="s">
        <v>104</v>
      </c>
      <c r="F3325" s="15" t="s">
        <v>51</v>
      </c>
      <c r="G3325" s="14" t="s">
        <v>105</v>
      </c>
      <c r="H3325" s="14" t="s">
        <v>106</v>
      </c>
      <c r="I3325" s="14" t="s">
        <v>59</v>
      </c>
      <c r="J3325" s="14" t="s">
        <v>199</v>
      </c>
      <c r="K3325" s="14" t="s">
        <v>203</v>
      </c>
      <c r="L3325" s="14" t="s">
        <v>601</v>
      </c>
      <c r="M3325" s="14" t="s">
        <v>601</v>
      </c>
      <c r="N3325" s="14" t="s">
        <v>602</v>
      </c>
      <c r="O3325" s="14">
        <v>0.0</v>
      </c>
      <c r="P3325" s="21">
        <v>0.0</v>
      </c>
      <c r="Q3325" s="22" t="str">
        <f t="shared" ref="Q3325:R3325" si="1985">"+0"</f>
        <v>+0</v>
      </c>
      <c r="R3325" s="18" t="str">
        <f t="shared" si="1985"/>
        <v>+0</v>
      </c>
      <c r="S3325" s="14" t="s">
        <v>260</v>
      </c>
    </row>
    <row r="3326">
      <c r="A3326" s="13">
        <v>45901.0</v>
      </c>
      <c r="B3326" s="14" t="s">
        <v>47</v>
      </c>
      <c r="C3326" s="14" t="s">
        <v>48</v>
      </c>
      <c r="D3326" s="14" t="s">
        <v>73</v>
      </c>
      <c r="E3326" s="14" t="s">
        <v>74</v>
      </c>
      <c r="F3326" s="15" t="s">
        <v>51</v>
      </c>
      <c r="G3326" s="14" t="s">
        <v>75</v>
      </c>
      <c r="H3326" s="14" t="s">
        <v>76</v>
      </c>
      <c r="I3326" s="14" t="s">
        <v>59</v>
      </c>
      <c r="J3326" s="14" t="s">
        <v>198</v>
      </c>
      <c r="K3326" s="14" t="s">
        <v>205</v>
      </c>
      <c r="L3326" s="14" t="s">
        <v>274</v>
      </c>
      <c r="M3326" s="14" t="s">
        <v>466</v>
      </c>
      <c r="N3326" s="14" t="s">
        <v>467</v>
      </c>
      <c r="O3326" s="14">
        <v>100.0</v>
      </c>
      <c r="P3326" s="21">
        <v>1.0</v>
      </c>
      <c r="Q3326" s="22" t="str">
        <f t="shared" ref="Q3326:Q3327" si="1986">"+0"</f>
        <v>+0</v>
      </c>
      <c r="S3326" s="14" t="s">
        <v>281</v>
      </c>
    </row>
    <row r="3327">
      <c r="A3327" s="13">
        <v>45901.0</v>
      </c>
      <c r="B3327" s="14" t="s">
        <v>47</v>
      </c>
      <c r="C3327" s="14" t="s">
        <v>48</v>
      </c>
      <c r="D3327" s="14" t="s">
        <v>103</v>
      </c>
      <c r="E3327" s="14" t="s">
        <v>104</v>
      </c>
      <c r="F3327" s="15" t="s">
        <v>51</v>
      </c>
      <c r="G3327" s="14" t="s">
        <v>105</v>
      </c>
      <c r="H3327" s="14" t="s">
        <v>106</v>
      </c>
      <c r="I3327" s="14" t="s">
        <v>59</v>
      </c>
      <c r="J3327" s="14" t="s">
        <v>199</v>
      </c>
      <c r="K3327" s="14" t="s">
        <v>203</v>
      </c>
      <c r="L3327" s="14" t="s">
        <v>340</v>
      </c>
      <c r="M3327" s="14" t="s">
        <v>340</v>
      </c>
      <c r="N3327" s="14" t="s">
        <v>341</v>
      </c>
      <c r="O3327" s="14">
        <v>0.0</v>
      </c>
      <c r="P3327" s="21">
        <v>0.0</v>
      </c>
      <c r="Q3327" s="22" t="str">
        <f t="shared" si="1986"/>
        <v>+0</v>
      </c>
      <c r="R3327" s="18" t="str">
        <f>"+0"</f>
        <v>+0</v>
      </c>
      <c r="S3327" s="14" t="s">
        <v>260</v>
      </c>
    </row>
    <row r="3328">
      <c r="A3328" s="13">
        <v>45901.0</v>
      </c>
      <c r="B3328" s="14" t="s">
        <v>47</v>
      </c>
      <c r="C3328" s="14" t="s">
        <v>48</v>
      </c>
      <c r="D3328" s="14" t="s">
        <v>136</v>
      </c>
      <c r="E3328" s="14" t="s">
        <v>137</v>
      </c>
      <c r="F3328" s="15" t="s">
        <v>51</v>
      </c>
      <c r="G3328" s="14" t="s">
        <v>138</v>
      </c>
      <c r="H3328" s="14" t="s">
        <v>139</v>
      </c>
      <c r="I3328" s="14" t="s">
        <v>59</v>
      </c>
      <c r="J3328" s="14" t="s">
        <v>200</v>
      </c>
      <c r="K3328" s="14" t="s">
        <v>224</v>
      </c>
      <c r="L3328" s="14" t="s">
        <v>436</v>
      </c>
      <c r="M3328" s="14" t="s">
        <v>437</v>
      </c>
      <c r="N3328" s="14" t="s">
        <v>438</v>
      </c>
      <c r="O3328" s="14">
        <v>0.0</v>
      </c>
      <c r="P3328" s="23">
        <v>0.0</v>
      </c>
      <c r="Q3328" s="22" t="str">
        <f>"+0.00%"</f>
        <v>+0.00%</v>
      </c>
      <c r="S3328" s="14" t="s">
        <v>2019</v>
      </c>
    </row>
    <row r="3329">
      <c r="A3329" s="13">
        <v>45901.0</v>
      </c>
      <c r="B3329" s="14" t="s">
        <v>47</v>
      </c>
      <c r="C3329" s="14" t="s">
        <v>48</v>
      </c>
      <c r="D3329" s="14" t="s">
        <v>87</v>
      </c>
      <c r="E3329" s="14" t="s">
        <v>88</v>
      </c>
      <c r="F3329" s="15" t="s">
        <v>51</v>
      </c>
      <c r="G3329" s="14" t="s">
        <v>89</v>
      </c>
      <c r="H3329" s="14" t="s">
        <v>90</v>
      </c>
      <c r="I3329" s="14" t="s">
        <v>59</v>
      </c>
      <c r="J3329" s="14" t="s">
        <v>200</v>
      </c>
      <c r="K3329" s="14" t="s">
        <v>223</v>
      </c>
      <c r="L3329" s="14" t="s">
        <v>304</v>
      </c>
      <c r="M3329" s="14" t="s">
        <v>702</v>
      </c>
      <c r="N3329" s="14" t="s">
        <v>703</v>
      </c>
      <c r="O3329" s="14">
        <v>100.0</v>
      </c>
      <c r="P3329" s="23">
        <v>0.1099</v>
      </c>
      <c r="Q3329" s="22" t="str">
        <f>"+1.80%"</f>
        <v>+1.80%</v>
      </c>
      <c r="R3329" s="18" t="str">
        <f>"-0.12%"</f>
        <v>-0.12%</v>
      </c>
      <c r="S3329" s="14" t="s">
        <v>285</v>
      </c>
    </row>
    <row r="3330">
      <c r="A3330" s="13">
        <v>45901.0</v>
      </c>
      <c r="B3330" s="14" t="s">
        <v>47</v>
      </c>
      <c r="C3330" s="14" t="s">
        <v>48</v>
      </c>
      <c r="D3330" s="14" t="s">
        <v>129</v>
      </c>
      <c r="E3330" s="14" t="s">
        <v>130</v>
      </c>
      <c r="F3330" s="15" t="s">
        <v>51</v>
      </c>
      <c r="G3330" s="14" t="s">
        <v>131</v>
      </c>
      <c r="H3330" s="14" t="s">
        <v>129</v>
      </c>
      <c r="I3330" s="14" t="s">
        <v>59</v>
      </c>
      <c r="J3330" s="14" t="s">
        <v>200</v>
      </c>
      <c r="K3330" s="14" t="s">
        <v>231</v>
      </c>
      <c r="L3330" s="14" t="s">
        <v>372</v>
      </c>
      <c r="M3330" s="14" t="s">
        <v>2020</v>
      </c>
      <c r="N3330" s="14" t="s">
        <v>2021</v>
      </c>
      <c r="O3330" s="14">
        <v>0.0</v>
      </c>
      <c r="P3330" s="21">
        <v>0.0</v>
      </c>
      <c r="Q3330" s="22" t="str">
        <f t="shared" ref="Q3330:R3330" si="1987">"+0"</f>
        <v>+0</v>
      </c>
      <c r="R3330" s="18" t="str">
        <f t="shared" si="1987"/>
        <v>+0</v>
      </c>
      <c r="S3330" s="14" t="s">
        <v>260</v>
      </c>
    </row>
    <row r="3331">
      <c r="A3331" s="13">
        <v>45901.0</v>
      </c>
      <c r="B3331" s="14" t="s">
        <v>47</v>
      </c>
      <c r="C3331" s="14" t="s">
        <v>48</v>
      </c>
      <c r="D3331" s="14" t="s">
        <v>85</v>
      </c>
      <c r="E3331" s="14" t="s">
        <v>86</v>
      </c>
      <c r="F3331" s="15" t="s">
        <v>51</v>
      </c>
      <c r="G3331" s="14" t="s">
        <v>148</v>
      </c>
      <c r="H3331" s="14" t="s">
        <v>85</v>
      </c>
      <c r="I3331" s="14" t="s">
        <v>59</v>
      </c>
      <c r="J3331" s="14" t="s">
        <v>200</v>
      </c>
      <c r="K3331" s="14" t="s">
        <v>225</v>
      </c>
      <c r="L3331" s="14" t="s">
        <v>253</v>
      </c>
      <c r="M3331" s="14" t="s">
        <v>1628</v>
      </c>
      <c r="N3331" s="14" t="s">
        <v>1629</v>
      </c>
      <c r="O3331" s="14">
        <v>83.0</v>
      </c>
      <c r="P3331" s="23">
        <v>0.8378</v>
      </c>
      <c r="Q3331" s="22" t="str">
        <f>"+0.72%"</f>
        <v>+0.72%</v>
      </c>
      <c r="R3331" s="18" t="str">
        <f>"+1.02%"</f>
        <v>+1.02%</v>
      </c>
      <c r="S3331" s="14" t="s">
        <v>2022</v>
      </c>
    </row>
    <row r="3332">
      <c r="A3332" s="13">
        <v>45901.0</v>
      </c>
      <c r="B3332" s="14" t="s">
        <v>47</v>
      </c>
      <c r="C3332" s="14" t="s">
        <v>48</v>
      </c>
      <c r="D3332" s="14" t="s">
        <v>125</v>
      </c>
      <c r="E3332" s="14" t="s">
        <v>126</v>
      </c>
      <c r="F3332" s="15" t="s">
        <v>51</v>
      </c>
      <c r="G3332" s="14" t="s">
        <v>127</v>
      </c>
      <c r="H3332" s="14" t="s">
        <v>125</v>
      </c>
      <c r="I3332" s="14" t="s">
        <v>59</v>
      </c>
      <c r="J3332" s="14" t="s">
        <v>200</v>
      </c>
      <c r="K3332" s="14" t="s">
        <v>224</v>
      </c>
      <c r="L3332" s="14" t="s">
        <v>427</v>
      </c>
      <c r="M3332" s="14" t="s">
        <v>1575</v>
      </c>
      <c r="N3332" s="14" t="s">
        <v>1576</v>
      </c>
      <c r="O3332" s="14">
        <v>0.0</v>
      </c>
      <c r="P3332" s="17"/>
      <c r="Q3332" s="22"/>
      <c r="S3332" s="14" t="s">
        <v>2023</v>
      </c>
    </row>
    <row r="3333">
      <c r="A3333" s="13">
        <v>45901.0</v>
      </c>
      <c r="B3333" s="14" t="s">
        <v>47</v>
      </c>
      <c r="C3333" s="14" t="s">
        <v>48</v>
      </c>
      <c r="D3333" s="14" t="s">
        <v>69</v>
      </c>
      <c r="E3333" s="14" t="s">
        <v>70</v>
      </c>
      <c r="F3333" s="15" t="s">
        <v>51</v>
      </c>
      <c r="G3333" s="14" t="s">
        <v>115</v>
      </c>
      <c r="H3333" s="14" t="s">
        <v>72</v>
      </c>
      <c r="I3333" s="14" t="s">
        <v>54</v>
      </c>
      <c r="J3333" s="14" t="s">
        <v>200</v>
      </c>
      <c r="K3333" s="14" t="s">
        <v>224</v>
      </c>
      <c r="L3333" s="14" t="s">
        <v>594</v>
      </c>
      <c r="M3333" s="14" t="s">
        <v>1795</v>
      </c>
      <c r="N3333" s="14" t="s">
        <v>1796</v>
      </c>
      <c r="O3333" s="14">
        <v>8.0</v>
      </c>
      <c r="P3333" s="23">
        <v>0.0833</v>
      </c>
      <c r="Q3333" s="22" t="str">
        <f>"+8.33%"</f>
        <v>+8.33%</v>
      </c>
      <c r="R3333" s="18" t="str">
        <f>"-11.67%"</f>
        <v>-11.67%</v>
      </c>
      <c r="S3333" s="14" t="s">
        <v>2024</v>
      </c>
    </row>
    <row r="3334">
      <c r="A3334" s="13">
        <v>45901.0</v>
      </c>
      <c r="B3334" s="14" t="s">
        <v>47</v>
      </c>
      <c r="C3334" s="14" t="s">
        <v>48</v>
      </c>
      <c r="D3334" s="14" t="s">
        <v>158</v>
      </c>
      <c r="E3334" s="14" t="s">
        <v>159</v>
      </c>
      <c r="F3334" s="15" t="s">
        <v>51</v>
      </c>
      <c r="G3334" s="14" t="s">
        <v>160</v>
      </c>
      <c r="H3334" s="14" t="s">
        <v>158</v>
      </c>
      <c r="I3334" s="14" t="s">
        <v>54</v>
      </c>
      <c r="J3334" s="14" t="s">
        <v>200</v>
      </c>
      <c r="K3334" s="14" t="s">
        <v>224</v>
      </c>
      <c r="L3334" s="14" t="s">
        <v>453</v>
      </c>
      <c r="M3334" s="14" t="s">
        <v>521</v>
      </c>
      <c r="N3334" s="14" t="s">
        <v>522</v>
      </c>
      <c r="O3334" s="14">
        <v>0.0</v>
      </c>
      <c r="P3334" s="17"/>
      <c r="Q3334" s="22"/>
      <c r="S3334" s="14" t="s">
        <v>523</v>
      </c>
    </row>
    <row r="3335">
      <c r="A3335" s="13">
        <v>45901.0</v>
      </c>
      <c r="B3335" s="14" t="s">
        <v>47</v>
      </c>
      <c r="C3335" s="14" t="s">
        <v>48</v>
      </c>
      <c r="D3335" s="14" t="s">
        <v>108</v>
      </c>
      <c r="E3335" s="14" t="s">
        <v>109</v>
      </c>
      <c r="F3335" s="15" t="s">
        <v>51</v>
      </c>
      <c r="G3335" s="14" t="s">
        <v>110</v>
      </c>
      <c r="H3335" s="14" t="s">
        <v>108</v>
      </c>
      <c r="I3335" s="14" t="s">
        <v>59</v>
      </c>
      <c r="J3335" s="14" t="s">
        <v>200</v>
      </c>
      <c r="K3335" s="14" t="s">
        <v>222</v>
      </c>
      <c r="L3335" s="14" t="s">
        <v>337</v>
      </c>
      <c r="M3335" s="14" t="s">
        <v>338</v>
      </c>
      <c r="N3335" s="14" t="s">
        <v>339</v>
      </c>
      <c r="O3335" s="14">
        <v>0.0</v>
      </c>
      <c r="P3335" s="21">
        <v>0.0</v>
      </c>
      <c r="Q3335" s="22" t="str">
        <f t="shared" ref="Q3335:R3335" si="1988">"+0"</f>
        <v>+0</v>
      </c>
      <c r="R3335" s="18" t="str">
        <f t="shared" si="1988"/>
        <v>+0</v>
      </c>
      <c r="S3335" s="14" t="s">
        <v>260</v>
      </c>
    </row>
    <row r="3336">
      <c r="A3336" s="13">
        <v>45901.0</v>
      </c>
      <c r="B3336" s="14" t="s">
        <v>47</v>
      </c>
      <c r="C3336" s="14" t="s">
        <v>48</v>
      </c>
      <c r="D3336" s="14" t="s">
        <v>112</v>
      </c>
      <c r="E3336" s="14" t="s">
        <v>113</v>
      </c>
      <c r="F3336" s="15" t="s">
        <v>51</v>
      </c>
      <c r="G3336" s="14" t="s">
        <v>114</v>
      </c>
      <c r="H3336" s="14" t="s">
        <v>112</v>
      </c>
      <c r="I3336" s="14" t="s">
        <v>59</v>
      </c>
      <c r="J3336" s="14" t="s">
        <v>200</v>
      </c>
      <c r="K3336" s="14" t="s">
        <v>204</v>
      </c>
      <c r="L3336" s="14" t="s">
        <v>253</v>
      </c>
      <c r="M3336" s="14" t="s">
        <v>844</v>
      </c>
      <c r="N3336" s="14" t="s">
        <v>845</v>
      </c>
      <c r="O3336" s="14">
        <v>0.0</v>
      </c>
      <c r="P3336" s="23">
        <v>0.0</v>
      </c>
      <c r="Q3336" s="22" t="str">
        <f t="shared" ref="Q3336:R3336" si="1989">"+0.00%"</f>
        <v>+0.00%</v>
      </c>
      <c r="R3336" s="18" t="str">
        <f t="shared" si="1989"/>
        <v>+0.00%</v>
      </c>
      <c r="S3336" s="14" t="s">
        <v>846</v>
      </c>
    </row>
    <row r="3337">
      <c r="A3337" s="13">
        <v>45901.0</v>
      </c>
      <c r="B3337" s="14" t="s">
        <v>47</v>
      </c>
      <c r="C3337" s="14" t="s">
        <v>48</v>
      </c>
      <c r="D3337" s="14" t="s">
        <v>108</v>
      </c>
      <c r="E3337" s="14" t="s">
        <v>109</v>
      </c>
      <c r="F3337" s="15" t="s">
        <v>51</v>
      </c>
      <c r="G3337" s="14" t="s">
        <v>110</v>
      </c>
      <c r="H3337" s="14" t="s">
        <v>108</v>
      </c>
      <c r="I3337" s="14" t="s">
        <v>59</v>
      </c>
      <c r="J3337" s="14" t="s">
        <v>200</v>
      </c>
      <c r="K3337" s="14" t="s">
        <v>213</v>
      </c>
      <c r="L3337" s="14" t="s">
        <v>253</v>
      </c>
      <c r="M3337" s="14" t="s">
        <v>552</v>
      </c>
      <c r="N3337" s="14" t="s">
        <v>553</v>
      </c>
      <c r="O3337" s="14">
        <v>32.0</v>
      </c>
      <c r="P3337" s="23">
        <v>0.3222</v>
      </c>
      <c r="Q3337" s="22" t="str">
        <f>"+13.55%"</f>
        <v>+13.55%</v>
      </c>
      <c r="S3337" s="14" t="s">
        <v>2025</v>
      </c>
    </row>
    <row r="3338">
      <c r="A3338" s="13">
        <v>45901.0</v>
      </c>
      <c r="B3338" s="14" t="s">
        <v>47</v>
      </c>
      <c r="C3338" s="14" t="s">
        <v>48</v>
      </c>
      <c r="D3338" s="14" t="s">
        <v>77</v>
      </c>
      <c r="E3338" s="14" t="s">
        <v>78</v>
      </c>
      <c r="F3338" s="15" t="s">
        <v>51</v>
      </c>
      <c r="G3338" s="14" t="s">
        <v>128</v>
      </c>
      <c r="H3338" s="14" t="s">
        <v>81</v>
      </c>
      <c r="I3338" s="14" t="s">
        <v>59</v>
      </c>
      <c r="J3338" s="14" t="s">
        <v>200</v>
      </c>
      <c r="K3338" s="14" t="s">
        <v>211</v>
      </c>
      <c r="L3338" s="14" t="s">
        <v>991</v>
      </c>
      <c r="M3338" s="14" t="s">
        <v>1040</v>
      </c>
      <c r="N3338" s="14" t="s">
        <v>1041</v>
      </c>
      <c r="O3338" s="14">
        <v>0.0</v>
      </c>
      <c r="P3338" s="21">
        <v>0.0</v>
      </c>
      <c r="Q3338" s="22" t="str">
        <f t="shared" ref="Q3338:R3338" si="1990">"+0"</f>
        <v>+0</v>
      </c>
      <c r="R3338" s="18" t="str">
        <f t="shared" si="1990"/>
        <v>+0</v>
      </c>
      <c r="S3338" s="14" t="s">
        <v>1042</v>
      </c>
    </row>
    <row r="3339">
      <c r="A3339" s="13">
        <v>45901.0</v>
      </c>
      <c r="B3339" s="14" t="s">
        <v>47</v>
      </c>
      <c r="C3339" s="14" t="s">
        <v>48</v>
      </c>
      <c r="D3339" s="14" t="s">
        <v>121</v>
      </c>
      <c r="E3339" s="14" t="s">
        <v>122</v>
      </c>
      <c r="F3339" s="15" t="s">
        <v>51</v>
      </c>
      <c r="G3339" s="14" t="s">
        <v>123</v>
      </c>
      <c r="H3339" s="14" t="s">
        <v>124</v>
      </c>
      <c r="I3339" s="14" t="s">
        <v>59</v>
      </c>
      <c r="J3339" s="14" t="s">
        <v>200</v>
      </c>
      <c r="K3339" s="14" t="s">
        <v>232</v>
      </c>
      <c r="L3339" s="14" t="s">
        <v>363</v>
      </c>
      <c r="M3339" s="14" t="s">
        <v>708</v>
      </c>
      <c r="N3339" s="14" t="s">
        <v>709</v>
      </c>
      <c r="O3339" s="14">
        <v>0.0</v>
      </c>
      <c r="P3339" s="23">
        <v>0.0</v>
      </c>
      <c r="Q3339" s="22" t="str">
        <f t="shared" ref="Q3339:R3339" si="1991">"+0.00%"</f>
        <v>+0.00%</v>
      </c>
      <c r="R3339" s="18" t="str">
        <f t="shared" si="1991"/>
        <v>+0.00%</v>
      </c>
      <c r="S3339" s="14" t="s">
        <v>285</v>
      </c>
    </row>
    <row r="3340">
      <c r="A3340" s="13">
        <v>45901.0</v>
      </c>
      <c r="B3340" s="14" t="s">
        <v>47</v>
      </c>
      <c r="C3340" s="14" t="s">
        <v>48</v>
      </c>
      <c r="D3340" s="14" t="s">
        <v>181</v>
      </c>
      <c r="E3340" s="14" t="s">
        <v>182</v>
      </c>
      <c r="F3340" s="15" t="s">
        <v>51</v>
      </c>
      <c r="G3340" s="14" t="s">
        <v>183</v>
      </c>
      <c r="H3340" s="14" t="s">
        <v>181</v>
      </c>
      <c r="I3340" s="14" t="s">
        <v>59</v>
      </c>
      <c r="J3340" s="14" t="s">
        <v>200</v>
      </c>
      <c r="K3340" s="14" t="s">
        <v>232</v>
      </c>
      <c r="L3340" s="14" t="s">
        <v>487</v>
      </c>
      <c r="M3340" s="14" t="s">
        <v>1075</v>
      </c>
      <c r="N3340" s="14" t="s">
        <v>1076</v>
      </c>
      <c r="O3340" s="14">
        <v>0.0</v>
      </c>
      <c r="P3340" s="23">
        <v>0.0</v>
      </c>
      <c r="Q3340" s="22" t="str">
        <f t="shared" ref="Q3340:R3340" si="1992">"+0.00%"</f>
        <v>+0.00%</v>
      </c>
      <c r="R3340" s="18" t="str">
        <f t="shared" si="1992"/>
        <v>+0.00%</v>
      </c>
      <c r="S3340" s="14" t="s">
        <v>285</v>
      </c>
    </row>
    <row r="3341">
      <c r="A3341" s="13">
        <v>45901.0</v>
      </c>
      <c r="B3341" s="14" t="s">
        <v>47</v>
      </c>
      <c r="C3341" s="14" t="s">
        <v>48</v>
      </c>
      <c r="D3341" s="14" t="s">
        <v>181</v>
      </c>
      <c r="E3341" s="14" t="s">
        <v>182</v>
      </c>
      <c r="F3341" s="15" t="s">
        <v>51</v>
      </c>
      <c r="G3341" s="14" t="s">
        <v>183</v>
      </c>
      <c r="H3341" s="14" t="s">
        <v>181</v>
      </c>
      <c r="I3341" s="14" t="s">
        <v>59</v>
      </c>
      <c r="J3341" s="14" t="s">
        <v>200</v>
      </c>
      <c r="K3341" s="14" t="s">
        <v>232</v>
      </c>
      <c r="L3341" s="14" t="s">
        <v>363</v>
      </c>
      <c r="M3341" s="14" t="s">
        <v>364</v>
      </c>
      <c r="N3341" s="14" t="s">
        <v>365</v>
      </c>
      <c r="O3341" s="14">
        <v>0.0</v>
      </c>
      <c r="P3341" s="23">
        <v>0.0</v>
      </c>
      <c r="Q3341" s="22" t="str">
        <f t="shared" ref="Q3341:R3341" si="1993">"+0.00%"</f>
        <v>+0.00%</v>
      </c>
      <c r="R3341" s="18" t="str">
        <f t="shared" si="1993"/>
        <v>+0.00%</v>
      </c>
      <c r="S3341" s="14" t="s">
        <v>285</v>
      </c>
    </row>
    <row r="3342">
      <c r="A3342" s="13">
        <v>45901.0</v>
      </c>
      <c r="B3342" s="14" t="s">
        <v>47</v>
      </c>
      <c r="C3342" s="14" t="s">
        <v>48</v>
      </c>
      <c r="D3342" s="14" t="s">
        <v>165</v>
      </c>
      <c r="E3342" s="14" t="s">
        <v>166</v>
      </c>
      <c r="F3342" s="15" t="s">
        <v>51</v>
      </c>
      <c r="G3342" s="14" t="s">
        <v>167</v>
      </c>
      <c r="H3342" s="14" t="s">
        <v>165</v>
      </c>
      <c r="I3342" s="14" t="s">
        <v>54</v>
      </c>
      <c r="J3342" s="14" t="s">
        <v>198</v>
      </c>
      <c r="K3342" s="14" t="s">
        <v>207</v>
      </c>
      <c r="L3342" s="14" t="s">
        <v>648</v>
      </c>
      <c r="M3342" s="14" t="s">
        <v>649</v>
      </c>
      <c r="N3342" s="14" t="s">
        <v>650</v>
      </c>
      <c r="O3342" s="14">
        <v>100.0</v>
      </c>
      <c r="P3342" s="21">
        <v>1.0</v>
      </c>
      <c r="Q3342" s="22" t="str">
        <f>"+0"</f>
        <v>+0</v>
      </c>
      <c r="S3342" s="14" t="s">
        <v>281</v>
      </c>
    </row>
    <row r="3343">
      <c r="A3343" s="13">
        <v>45901.0</v>
      </c>
      <c r="B3343" s="14" t="s">
        <v>47</v>
      </c>
      <c r="C3343" s="14" t="s">
        <v>48</v>
      </c>
      <c r="D3343" s="14" t="s">
        <v>118</v>
      </c>
      <c r="E3343" s="14" t="s">
        <v>119</v>
      </c>
      <c r="F3343" s="15" t="s">
        <v>51</v>
      </c>
      <c r="G3343" s="14" t="s">
        <v>120</v>
      </c>
      <c r="H3343" s="14" t="s">
        <v>118</v>
      </c>
      <c r="I3343" s="14" t="s">
        <v>59</v>
      </c>
      <c r="J3343" s="14" t="s">
        <v>200</v>
      </c>
      <c r="K3343" s="14" t="s">
        <v>213</v>
      </c>
      <c r="L3343" s="14" t="s">
        <v>257</v>
      </c>
      <c r="M3343" s="14" t="s">
        <v>493</v>
      </c>
      <c r="N3343" s="14" t="s">
        <v>494</v>
      </c>
      <c r="O3343" s="14">
        <v>37.0</v>
      </c>
      <c r="P3343" s="23">
        <v>-0.2432</v>
      </c>
      <c r="Q3343" s="22" t="str">
        <f>"+45.76%"</f>
        <v>+45.76%</v>
      </c>
      <c r="R3343" s="18" t="str">
        <f>"+41.04%"</f>
        <v>+41.04%</v>
      </c>
      <c r="S3343" s="14" t="s">
        <v>2026</v>
      </c>
    </row>
    <row r="3344">
      <c r="A3344" s="13">
        <v>45901.0</v>
      </c>
      <c r="B3344" s="14" t="s">
        <v>47</v>
      </c>
      <c r="C3344" s="14" t="s">
        <v>48</v>
      </c>
      <c r="D3344" s="14" t="s">
        <v>99</v>
      </c>
      <c r="E3344" s="14" t="s">
        <v>100</v>
      </c>
      <c r="F3344" s="15" t="s">
        <v>51</v>
      </c>
      <c r="G3344" s="14" t="s">
        <v>101</v>
      </c>
      <c r="H3344" s="14" t="s">
        <v>102</v>
      </c>
      <c r="I3344" s="14" t="s">
        <v>54</v>
      </c>
      <c r="J3344" s="14" t="s">
        <v>200</v>
      </c>
      <c r="K3344" s="14" t="s">
        <v>229</v>
      </c>
      <c r="L3344" s="14" t="s">
        <v>253</v>
      </c>
      <c r="M3344" s="14" t="s">
        <v>552</v>
      </c>
      <c r="N3344" s="14" t="s">
        <v>553</v>
      </c>
      <c r="O3344" s="14">
        <v>0.0</v>
      </c>
      <c r="P3344" s="17"/>
      <c r="Q3344" s="22"/>
      <c r="S3344" s="14" t="s">
        <v>2027</v>
      </c>
    </row>
    <row r="3345">
      <c r="A3345" s="13">
        <v>45901.0</v>
      </c>
      <c r="B3345" s="14" t="s">
        <v>47</v>
      </c>
      <c r="C3345" s="14" t="s">
        <v>48</v>
      </c>
      <c r="D3345" s="14" t="s">
        <v>63</v>
      </c>
      <c r="E3345" s="14" t="s">
        <v>64</v>
      </c>
      <c r="F3345" s="15" t="s">
        <v>51</v>
      </c>
      <c r="G3345" s="14" t="s">
        <v>65</v>
      </c>
      <c r="H3345" s="14" t="s">
        <v>63</v>
      </c>
      <c r="I3345" s="14" t="s">
        <v>54</v>
      </c>
      <c r="J3345" s="14" t="s">
        <v>200</v>
      </c>
      <c r="K3345" s="14" t="s">
        <v>227</v>
      </c>
      <c r="L3345" s="14" t="s">
        <v>721</v>
      </c>
      <c r="M3345" s="14" t="s">
        <v>1060</v>
      </c>
      <c r="N3345" s="14" t="s">
        <v>1061</v>
      </c>
      <c r="O3345" s="14">
        <v>36.0</v>
      </c>
      <c r="P3345" s="23">
        <v>-0.2765</v>
      </c>
      <c r="Q3345" s="22" t="str">
        <f>"+3.70%"</f>
        <v>+3.70%</v>
      </c>
      <c r="R3345" s="18" t="str">
        <f>"+0.08%"</f>
        <v>+0.08%</v>
      </c>
      <c r="S3345" s="14" t="s">
        <v>1062</v>
      </c>
    </row>
    <row r="3346">
      <c r="A3346" s="13">
        <v>45901.0</v>
      </c>
      <c r="B3346" s="14" t="s">
        <v>47</v>
      </c>
      <c r="C3346" s="14" t="s">
        <v>48</v>
      </c>
      <c r="D3346" s="14" t="s">
        <v>91</v>
      </c>
      <c r="E3346" s="14" t="s">
        <v>92</v>
      </c>
      <c r="F3346" s="15" t="s">
        <v>51</v>
      </c>
      <c r="G3346" s="14" t="s">
        <v>163</v>
      </c>
      <c r="H3346" s="14" t="s">
        <v>91</v>
      </c>
      <c r="I3346" s="14" t="s">
        <v>59</v>
      </c>
      <c r="J3346" s="14" t="s">
        <v>200</v>
      </c>
      <c r="K3346" s="14" t="s">
        <v>211</v>
      </c>
      <c r="L3346" s="14" t="s">
        <v>991</v>
      </c>
      <c r="M3346" s="14" t="s">
        <v>1040</v>
      </c>
      <c r="N3346" s="14" t="s">
        <v>1041</v>
      </c>
      <c r="O3346" s="14">
        <v>0.0</v>
      </c>
      <c r="P3346" s="21">
        <v>0.0</v>
      </c>
      <c r="Q3346" s="22" t="str">
        <f t="shared" ref="Q3346:R3346" si="1994">"+0"</f>
        <v>+0</v>
      </c>
      <c r="R3346" s="18" t="str">
        <f t="shared" si="1994"/>
        <v>+0</v>
      </c>
      <c r="S3346" s="14" t="s">
        <v>1042</v>
      </c>
    </row>
    <row r="3347">
      <c r="A3347" s="13">
        <v>45901.0</v>
      </c>
      <c r="B3347" s="14" t="s">
        <v>47</v>
      </c>
      <c r="C3347" s="14" t="s">
        <v>48</v>
      </c>
      <c r="D3347" s="14" t="s">
        <v>91</v>
      </c>
      <c r="E3347" s="14" t="s">
        <v>92</v>
      </c>
      <c r="F3347" s="15" t="s">
        <v>51</v>
      </c>
      <c r="G3347" s="14" t="s">
        <v>163</v>
      </c>
      <c r="H3347" s="14" t="s">
        <v>91</v>
      </c>
      <c r="I3347" s="14" t="s">
        <v>59</v>
      </c>
      <c r="J3347" s="14" t="s">
        <v>200</v>
      </c>
      <c r="K3347" s="14" t="s">
        <v>223</v>
      </c>
      <c r="L3347" s="14" t="s">
        <v>487</v>
      </c>
      <c r="M3347" s="14" t="s">
        <v>488</v>
      </c>
      <c r="N3347" s="14" t="s">
        <v>489</v>
      </c>
      <c r="O3347" s="14">
        <v>0.0</v>
      </c>
      <c r="P3347" s="21">
        <v>0.0</v>
      </c>
      <c r="Q3347" s="22" t="str">
        <f t="shared" ref="Q3347:R3347" si="1995">"+0"</f>
        <v>+0</v>
      </c>
      <c r="R3347" s="18" t="str">
        <f t="shared" si="1995"/>
        <v>+0</v>
      </c>
      <c r="S3347" s="14" t="s">
        <v>260</v>
      </c>
    </row>
    <row r="3348">
      <c r="A3348" s="13">
        <v>45901.0</v>
      </c>
      <c r="B3348" s="14" t="s">
        <v>47</v>
      </c>
      <c r="C3348" s="14" t="s">
        <v>48</v>
      </c>
      <c r="D3348" s="14" t="s">
        <v>66</v>
      </c>
      <c r="E3348" s="14" t="s">
        <v>67</v>
      </c>
      <c r="F3348" s="15" t="s">
        <v>51</v>
      </c>
      <c r="G3348" s="14" t="s">
        <v>68</v>
      </c>
      <c r="H3348" s="14" t="s">
        <v>66</v>
      </c>
      <c r="I3348" s="14" t="s">
        <v>59</v>
      </c>
      <c r="J3348" s="14" t="s">
        <v>199</v>
      </c>
      <c r="K3348" s="14" t="s">
        <v>206</v>
      </c>
      <c r="L3348" s="14" t="s">
        <v>295</v>
      </c>
      <c r="M3348" s="14" t="s">
        <v>461</v>
      </c>
      <c r="N3348" s="14" t="s">
        <v>462</v>
      </c>
      <c r="O3348" s="14">
        <v>0.0</v>
      </c>
      <c r="P3348" s="21">
        <v>0.0</v>
      </c>
      <c r="Q3348" s="22" t="str">
        <f t="shared" ref="Q3348:R3348" si="1996">"+0"</f>
        <v>+0</v>
      </c>
      <c r="R3348" s="18" t="str">
        <f t="shared" si="1996"/>
        <v>+0</v>
      </c>
      <c r="S3348" s="14" t="s">
        <v>260</v>
      </c>
    </row>
    <row r="3349">
      <c r="A3349" s="13">
        <v>45901.0</v>
      </c>
      <c r="B3349" s="14" t="s">
        <v>47</v>
      </c>
      <c r="C3349" s="14" t="s">
        <v>48</v>
      </c>
      <c r="D3349" s="14" t="s">
        <v>192</v>
      </c>
      <c r="E3349" s="14" t="s">
        <v>193</v>
      </c>
      <c r="F3349" s="15" t="s">
        <v>51</v>
      </c>
      <c r="G3349" s="14" t="s">
        <v>194</v>
      </c>
      <c r="H3349" s="14" t="s">
        <v>192</v>
      </c>
      <c r="I3349" s="14" t="s">
        <v>54</v>
      </c>
      <c r="J3349" s="14" t="s">
        <v>198</v>
      </c>
      <c r="K3349" s="14" t="s">
        <v>205</v>
      </c>
      <c r="L3349" s="14" t="s">
        <v>274</v>
      </c>
      <c r="M3349" s="14" t="s">
        <v>575</v>
      </c>
      <c r="N3349" s="14" t="s">
        <v>576</v>
      </c>
      <c r="O3349" s="14">
        <v>100.0</v>
      </c>
      <c r="P3349" s="21">
        <v>90.0</v>
      </c>
      <c r="Q3349" s="22" t="str">
        <f t="shared" ref="Q3349:Q3351" si="1997">"+0"</f>
        <v>+0</v>
      </c>
      <c r="S3349" s="14" t="s">
        <v>577</v>
      </c>
    </row>
    <row r="3350">
      <c r="A3350" s="13">
        <v>45901.0</v>
      </c>
      <c r="B3350" s="14" t="s">
        <v>47</v>
      </c>
      <c r="C3350" s="14" t="s">
        <v>48</v>
      </c>
      <c r="D3350" s="14" t="s">
        <v>82</v>
      </c>
      <c r="E3350" s="14" t="s">
        <v>83</v>
      </c>
      <c r="F3350" s="15" t="s">
        <v>51</v>
      </c>
      <c r="G3350" s="14" t="s">
        <v>84</v>
      </c>
      <c r="H3350" s="14" t="s">
        <v>82</v>
      </c>
      <c r="I3350" s="14" t="s">
        <v>59</v>
      </c>
      <c r="J3350" s="14" t="s">
        <v>198</v>
      </c>
      <c r="K3350" s="14" t="s">
        <v>205</v>
      </c>
      <c r="L3350" s="14" t="s">
        <v>274</v>
      </c>
      <c r="M3350" s="14" t="s">
        <v>696</v>
      </c>
      <c r="N3350" s="14" t="s">
        <v>697</v>
      </c>
      <c r="O3350" s="14">
        <v>100.0</v>
      </c>
      <c r="P3350" s="21">
        <v>1.0</v>
      </c>
      <c r="Q3350" s="22" t="str">
        <f t="shared" si="1997"/>
        <v>+0</v>
      </c>
      <c r="S3350" s="14" t="s">
        <v>281</v>
      </c>
    </row>
    <row r="3351">
      <c r="A3351" s="13">
        <v>45901.0</v>
      </c>
      <c r="B3351" s="14" t="s">
        <v>47</v>
      </c>
      <c r="C3351" s="14" t="s">
        <v>48</v>
      </c>
      <c r="D3351" s="14" t="s">
        <v>66</v>
      </c>
      <c r="E3351" s="14" t="s">
        <v>67</v>
      </c>
      <c r="F3351" s="15" t="s">
        <v>51</v>
      </c>
      <c r="G3351" s="14" t="s">
        <v>68</v>
      </c>
      <c r="H3351" s="14" t="s">
        <v>66</v>
      </c>
      <c r="I3351" s="14" t="s">
        <v>59</v>
      </c>
      <c r="J3351" s="14" t="s">
        <v>200</v>
      </c>
      <c r="K3351" s="14" t="s">
        <v>231</v>
      </c>
      <c r="L3351" s="14" t="s">
        <v>512</v>
      </c>
      <c r="M3351" s="14" t="s">
        <v>1403</v>
      </c>
      <c r="N3351" s="14" t="s">
        <v>1404</v>
      </c>
      <c r="O3351" s="14">
        <v>0.0</v>
      </c>
      <c r="P3351" s="21">
        <v>0.0</v>
      </c>
      <c r="Q3351" s="22" t="str">
        <f t="shared" si="1997"/>
        <v>+0</v>
      </c>
      <c r="R3351" s="18" t="str">
        <f>"+0"</f>
        <v>+0</v>
      </c>
      <c r="S3351" s="14" t="s">
        <v>260</v>
      </c>
    </row>
    <row r="3352">
      <c r="A3352" s="13">
        <v>45901.0</v>
      </c>
      <c r="B3352" s="14" t="s">
        <v>47</v>
      </c>
      <c r="C3352" s="14" t="s">
        <v>48</v>
      </c>
      <c r="D3352" s="14" t="s">
        <v>192</v>
      </c>
      <c r="E3352" s="14" t="s">
        <v>193</v>
      </c>
      <c r="F3352" s="15" t="s">
        <v>51</v>
      </c>
      <c r="G3352" s="14" t="s">
        <v>194</v>
      </c>
      <c r="H3352" s="14" t="s">
        <v>192</v>
      </c>
      <c r="I3352" s="14" t="s">
        <v>54</v>
      </c>
      <c r="J3352" s="14" t="s">
        <v>200</v>
      </c>
      <c r="K3352" s="14" t="s">
        <v>223</v>
      </c>
      <c r="L3352" s="14" t="s">
        <v>289</v>
      </c>
      <c r="M3352" s="14" t="s">
        <v>984</v>
      </c>
      <c r="N3352" s="14" t="s">
        <v>985</v>
      </c>
      <c r="O3352" s="14">
        <v>0.0</v>
      </c>
      <c r="P3352" s="23">
        <v>0.0</v>
      </c>
      <c r="Q3352" s="22" t="str">
        <f t="shared" ref="Q3352:R3352" si="1998">"+0.00%"</f>
        <v>+0.00%</v>
      </c>
      <c r="R3352" s="18" t="str">
        <f t="shared" si="1998"/>
        <v>+0.00%</v>
      </c>
      <c r="S3352" s="14" t="s">
        <v>285</v>
      </c>
    </row>
    <row r="3353">
      <c r="A3353" s="13">
        <v>45901.0</v>
      </c>
      <c r="B3353" s="14" t="s">
        <v>47</v>
      </c>
      <c r="C3353" s="14" t="s">
        <v>48</v>
      </c>
      <c r="D3353" s="14" t="s">
        <v>93</v>
      </c>
      <c r="E3353" s="14" t="s">
        <v>94</v>
      </c>
      <c r="F3353" s="14" t="s">
        <v>71</v>
      </c>
      <c r="G3353" s="14">
        <v>5.36001438E8</v>
      </c>
      <c r="H3353" s="14" t="s">
        <v>95</v>
      </c>
      <c r="I3353" s="14" t="s">
        <v>59</v>
      </c>
      <c r="J3353" s="14" t="s">
        <v>199</v>
      </c>
      <c r="K3353" s="14" t="s">
        <v>206</v>
      </c>
      <c r="L3353" s="14" t="s">
        <v>569</v>
      </c>
      <c r="M3353" s="14" t="s">
        <v>569</v>
      </c>
      <c r="N3353" s="14" t="s">
        <v>570</v>
      </c>
      <c r="O3353" s="14">
        <v>0.0</v>
      </c>
      <c r="P3353" s="21">
        <v>0.0</v>
      </c>
      <c r="Q3353" s="22" t="str">
        <f t="shared" ref="Q3353:R3353" si="1999">"+0"</f>
        <v>+0</v>
      </c>
      <c r="R3353" s="18" t="str">
        <f t="shared" si="1999"/>
        <v>+0</v>
      </c>
      <c r="S3353" s="14" t="s">
        <v>383</v>
      </c>
    </row>
    <row r="3354">
      <c r="A3354" s="13">
        <v>45901.0</v>
      </c>
      <c r="B3354" s="14" t="s">
        <v>47</v>
      </c>
      <c r="C3354" s="14" t="s">
        <v>48</v>
      </c>
      <c r="D3354" s="14" t="s">
        <v>82</v>
      </c>
      <c r="E3354" s="14" t="s">
        <v>83</v>
      </c>
      <c r="F3354" s="15" t="s">
        <v>51</v>
      </c>
      <c r="G3354" s="14" t="s">
        <v>84</v>
      </c>
      <c r="H3354" s="14" t="s">
        <v>82</v>
      </c>
      <c r="I3354" s="14" t="s">
        <v>59</v>
      </c>
      <c r="J3354" s="14" t="s">
        <v>200</v>
      </c>
      <c r="K3354" s="14" t="s">
        <v>213</v>
      </c>
      <c r="L3354" s="14" t="s">
        <v>307</v>
      </c>
      <c r="M3354" s="14" t="s">
        <v>1176</v>
      </c>
      <c r="N3354" s="14" t="s">
        <v>1177</v>
      </c>
      <c r="O3354" s="14">
        <v>0.0</v>
      </c>
      <c r="P3354" s="23">
        <v>0.0</v>
      </c>
      <c r="Q3354" s="22" t="str">
        <f t="shared" ref="Q3354:R3354" si="2000">"+0.00%"</f>
        <v>+0.00%</v>
      </c>
      <c r="R3354" s="18" t="str">
        <f t="shared" si="2000"/>
        <v>+0.00%</v>
      </c>
      <c r="S3354" s="14" t="s">
        <v>285</v>
      </c>
    </row>
    <row r="3355">
      <c r="A3355" s="13">
        <v>45901.0</v>
      </c>
      <c r="B3355" s="14" t="s">
        <v>47</v>
      </c>
      <c r="C3355" s="14" t="s">
        <v>48</v>
      </c>
      <c r="D3355" s="14" t="s">
        <v>103</v>
      </c>
      <c r="E3355" s="14" t="s">
        <v>104</v>
      </c>
      <c r="F3355" s="15" t="s">
        <v>51</v>
      </c>
      <c r="G3355" s="14" t="s">
        <v>105</v>
      </c>
      <c r="H3355" s="14" t="s">
        <v>106</v>
      </c>
      <c r="I3355" s="14" t="s">
        <v>59</v>
      </c>
      <c r="J3355" s="14" t="s">
        <v>198</v>
      </c>
      <c r="K3355" s="14" t="s">
        <v>210</v>
      </c>
      <c r="L3355" s="14" t="s">
        <v>458</v>
      </c>
      <c r="M3355" s="14" t="s">
        <v>459</v>
      </c>
      <c r="N3355" s="14" t="s">
        <v>460</v>
      </c>
      <c r="O3355" s="14">
        <v>100.0</v>
      </c>
      <c r="P3355" s="21">
        <v>0.0</v>
      </c>
      <c r="Q3355" s="22" t="str">
        <f t="shared" ref="Q3355:R3355" si="2001">"+0"</f>
        <v>+0</v>
      </c>
      <c r="R3355" s="18" t="str">
        <f t="shared" si="2001"/>
        <v>+0</v>
      </c>
      <c r="S3355" s="14" t="s">
        <v>281</v>
      </c>
    </row>
    <row r="3356">
      <c r="A3356" s="13">
        <v>45901.0</v>
      </c>
      <c r="B3356" s="14" t="s">
        <v>47</v>
      </c>
      <c r="C3356" s="14" t="s">
        <v>48</v>
      </c>
      <c r="D3356" s="14" t="s">
        <v>103</v>
      </c>
      <c r="E3356" s="14" t="s">
        <v>104</v>
      </c>
      <c r="F3356" s="15" t="s">
        <v>51</v>
      </c>
      <c r="G3356" s="14" t="s">
        <v>105</v>
      </c>
      <c r="H3356" s="14" t="s">
        <v>106</v>
      </c>
      <c r="I3356" s="14" t="s">
        <v>59</v>
      </c>
      <c r="J3356" s="14" t="s">
        <v>200</v>
      </c>
      <c r="K3356" s="14" t="s">
        <v>232</v>
      </c>
      <c r="L3356" s="14" t="s">
        <v>261</v>
      </c>
      <c r="M3356" s="14" t="s">
        <v>566</v>
      </c>
      <c r="N3356" s="14" t="s">
        <v>567</v>
      </c>
      <c r="O3356" s="14">
        <v>0.0</v>
      </c>
      <c r="P3356" s="23">
        <v>0.0</v>
      </c>
      <c r="Q3356" s="22" t="str">
        <f>"-28.57%"</f>
        <v>-28.57%</v>
      </c>
      <c r="R3356" s="18" t="str">
        <f>"+0.00%"</f>
        <v>+0.00%</v>
      </c>
      <c r="S3356" s="14" t="s">
        <v>2028</v>
      </c>
    </row>
    <row r="3357">
      <c r="A3357" s="13">
        <v>45901.0</v>
      </c>
      <c r="B3357" s="14" t="s">
        <v>47</v>
      </c>
      <c r="C3357" s="14" t="s">
        <v>48</v>
      </c>
      <c r="D3357" s="14" t="s">
        <v>132</v>
      </c>
      <c r="E3357" s="14" t="s">
        <v>133</v>
      </c>
      <c r="F3357" s="15" t="s">
        <v>51</v>
      </c>
      <c r="G3357" s="14" t="s">
        <v>134</v>
      </c>
      <c r="H3357" s="14" t="s">
        <v>135</v>
      </c>
      <c r="I3357" s="14" t="s">
        <v>59</v>
      </c>
      <c r="J3357" s="14" t="s">
        <v>200</v>
      </c>
      <c r="K3357" s="14" t="s">
        <v>222</v>
      </c>
      <c r="L3357" s="14" t="s">
        <v>337</v>
      </c>
      <c r="M3357" s="14" t="s">
        <v>1000</v>
      </c>
      <c r="N3357" s="14" t="s">
        <v>1001</v>
      </c>
      <c r="O3357" s="14">
        <v>0.0</v>
      </c>
      <c r="P3357" s="21">
        <v>0.0</v>
      </c>
      <c r="Q3357" s="22" t="str">
        <f t="shared" ref="Q3357:R3357" si="2002">"+0"</f>
        <v>+0</v>
      </c>
      <c r="R3357" s="18" t="str">
        <f t="shared" si="2002"/>
        <v>+0</v>
      </c>
      <c r="S3357" s="14" t="s">
        <v>260</v>
      </c>
    </row>
    <row r="3358">
      <c r="A3358" s="13">
        <v>45901.0</v>
      </c>
      <c r="B3358" s="14" t="s">
        <v>47</v>
      </c>
      <c r="C3358" s="14" t="s">
        <v>48</v>
      </c>
      <c r="D3358" s="14" t="s">
        <v>129</v>
      </c>
      <c r="E3358" s="14" t="s">
        <v>130</v>
      </c>
      <c r="F3358" s="15" t="s">
        <v>51</v>
      </c>
      <c r="G3358" s="14" t="s">
        <v>131</v>
      </c>
      <c r="H3358" s="14" t="s">
        <v>129</v>
      </c>
      <c r="I3358" s="14" t="s">
        <v>59</v>
      </c>
      <c r="J3358" s="14" t="s">
        <v>200</v>
      </c>
      <c r="K3358" s="14" t="s">
        <v>213</v>
      </c>
      <c r="L3358" s="14" t="s">
        <v>257</v>
      </c>
      <c r="M3358" s="14" t="s">
        <v>499</v>
      </c>
      <c r="N3358" s="14" t="s">
        <v>500</v>
      </c>
      <c r="O3358" s="14">
        <v>0.0</v>
      </c>
      <c r="P3358" s="23">
        <v>0.0</v>
      </c>
      <c r="Q3358" s="22" t="str">
        <f t="shared" ref="Q3358:R3358" si="2003">"+0.00%"</f>
        <v>+0.00%</v>
      </c>
      <c r="R3358" s="18" t="str">
        <f t="shared" si="2003"/>
        <v>+0.00%</v>
      </c>
      <c r="S3358" s="14" t="s">
        <v>1726</v>
      </c>
    </row>
    <row r="3359">
      <c r="A3359" s="13">
        <v>45901.0</v>
      </c>
      <c r="B3359" s="14" t="s">
        <v>47</v>
      </c>
      <c r="C3359" s="14" t="s">
        <v>48</v>
      </c>
      <c r="D3359" s="14" t="s">
        <v>87</v>
      </c>
      <c r="E3359" s="14" t="s">
        <v>88</v>
      </c>
      <c r="F3359" s="15" t="s">
        <v>51</v>
      </c>
      <c r="G3359" s="14" t="s">
        <v>89</v>
      </c>
      <c r="H3359" s="14" t="s">
        <v>90</v>
      </c>
      <c r="I3359" s="14" t="s">
        <v>59</v>
      </c>
      <c r="J3359" s="14" t="s">
        <v>200</v>
      </c>
      <c r="K3359" s="14" t="s">
        <v>246</v>
      </c>
      <c r="L3359" s="14" t="s">
        <v>220</v>
      </c>
      <c r="M3359" s="14" t="s">
        <v>2029</v>
      </c>
      <c r="N3359" s="14" t="s">
        <v>2030</v>
      </c>
      <c r="O3359" s="14">
        <v>0.0</v>
      </c>
      <c r="P3359" s="21">
        <v>0.0</v>
      </c>
      <c r="Q3359" s="22" t="str">
        <f t="shared" ref="Q3359:R3359" si="2004">"+0"</f>
        <v>+0</v>
      </c>
      <c r="R3359" s="18" t="str">
        <f t="shared" si="2004"/>
        <v>+0</v>
      </c>
      <c r="S3359" s="14" t="s">
        <v>260</v>
      </c>
    </row>
    <row r="3360">
      <c r="A3360" s="13">
        <v>45901.0</v>
      </c>
      <c r="B3360" s="14" t="s">
        <v>47</v>
      </c>
      <c r="C3360" s="14" t="s">
        <v>48</v>
      </c>
      <c r="D3360" s="14" t="s">
        <v>129</v>
      </c>
      <c r="E3360" s="14" t="s">
        <v>130</v>
      </c>
      <c r="F3360" s="15" t="s">
        <v>51</v>
      </c>
      <c r="G3360" s="14" t="s">
        <v>131</v>
      </c>
      <c r="H3360" s="14" t="s">
        <v>129</v>
      </c>
      <c r="I3360" s="14" t="s">
        <v>59</v>
      </c>
      <c r="J3360" s="14" t="s">
        <v>200</v>
      </c>
      <c r="K3360" s="14" t="s">
        <v>231</v>
      </c>
      <c r="L3360" s="14" t="s">
        <v>512</v>
      </c>
      <c r="M3360" s="14" t="s">
        <v>1276</v>
      </c>
      <c r="N3360" s="14" t="s">
        <v>1277</v>
      </c>
      <c r="O3360" s="14">
        <v>100.0</v>
      </c>
      <c r="P3360" s="21">
        <v>61.0</v>
      </c>
      <c r="Q3360" s="22" t="str">
        <f>"-26"</f>
        <v>-26</v>
      </c>
      <c r="R3360" s="18" t="str">
        <f>"-70"</f>
        <v>-70</v>
      </c>
      <c r="S3360" s="14" t="s">
        <v>260</v>
      </c>
    </row>
    <row r="3361">
      <c r="A3361" s="13">
        <v>45901.0</v>
      </c>
      <c r="B3361" s="14" t="s">
        <v>47</v>
      </c>
      <c r="C3361" s="14" t="s">
        <v>48</v>
      </c>
      <c r="D3361" s="14" t="s">
        <v>69</v>
      </c>
      <c r="E3361" s="14" t="s">
        <v>70</v>
      </c>
      <c r="F3361" s="15" t="s">
        <v>51</v>
      </c>
      <c r="G3361" s="14" t="s">
        <v>115</v>
      </c>
      <c r="H3361" s="14" t="s">
        <v>72</v>
      </c>
      <c r="I3361" s="14" t="s">
        <v>54</v>
      </c>
      <c r="J3361" s="14" t="s">
        <v>198</v>
      </c>
      <c r="K3361" s="14" t="s">
        <v>205</v>
      </c>
      <c r="L3361" s="14" t="s">
        <v>274</v>
      </c>
      <c r="M3361" s="14" t="s">
        <v>636</v>
      </c>
      <c r="N3361" s="14" t="s">
        <v>637</v>
      </c>
      <c r="O3361" s="14">
        <v>0.0</v>
      </c>
      <c r="P3361" s="21">
        <v>0.0</v>
      </c>
      <c r="Q3361" s="22" t="str">
        <f>"+0"</f>
        <v>+0</v>
      </c>
      <c r="S3361" s="14" t="s">
        <v>281</v>
      </c>
    </row>
    <row r="3362">
      <c r="A3362" s="13">
        <v>45901.0</v>
      </c>
      <c r="B3362" s="14" t="s">
        <v>47</v>
      </c>
      <c r="C3362" s="14" t="s">
        <v>48</v>
      </c>
      <c r="D3362" s="14" t="s">
        <v>125</v>
      </c>
      <c r="E3362" s="14" t="s">
        <v>126</v>
      </c>
      <c r="F3362" s="15" t="s">
        <v>51</v>
      </c>
      <c r="G3362" s="14" t="s">
        <v>127</v>
      </c>
      <c r="H3362" s="14" t="s">
        <v>125</v>
      </c>
      <c r="I3362" s="14" t="s">
        <v>59</v>
      </c>
      <c r="J3362" s="14" t="s">
        <v>200</v>
      </c>
      <c r="K3362" s="14" t="s">
        <v>232</v>
      </c>
      <c r="L3362" s="14" t="s">
        <v>261</v>
      </c>
      <c r="M3362" s="14" t="s">
        <v>814</v>
      </c>
      <c r="N3362" s="14" t="s">
        <v>815</v>
      </c>
      <c r="O3362" s="14">
        <v>0.0</v>
      </c>
      <c r="P3362" s="23">
        <v>-1.0</v>
      </c>
      <c r="Q3362" s="22" t="str">
        <f t="shared" ref="Q3362:R3362" si="2005">"+0.00%"</f>
        <v>+0.00%</v>
      </c>
      <c r="R3362" s="18" t="str">
        <f t="shared" si="2005"/>
        <v>+0.00%</v>
      </c>
      <c r="S3362" s="14" t="s">
        <v>2031</v>
      </c>
    </row>
    <row r="3363">
      <c r="A3363" s="13">
        <v>45901.0</v>
      </c>
      <c r="B3363" s="14" t="s">
        <v>47</v>
      </c>
      <c r="C3363" s="14" t="s">
        <v>48</v>
      </c>
      <c r="D3363" s="14" t="s">
        <v>125</v>
      </c>
      <c r="E3363" s="14" t="s">
        <v>126</v>
      </c>
      <c r="F3363" s="15" t="s">
        <v>51</v>
      </c>
      <c r="G3363" s="14" t="s">
        <v>127</v>
      </c>
      <c r="H3363" s="14" t="s">
        <v>125</v>
      </c>
      <c r="I3363" s="14" t="s">
        <v>59</v>
      </c>
      <c r="J3363" s="14" t="s">
        <v>198</v>
      </c>
      <c r="K3363" s="14" t="s">
        <v>205</v>
      </c>
      <c r="L3363" s="14" t="s">
        <v>274</v>
      </c>
      <c r="M3363" s="14" t="s">
        <v>473</v>
      </c>
      <c r="N3363" s="14" t="s">
        <v>474</v>
      </c>
      <c r="O3363" s="14">
        <v>50.0</v>
      </c>
      <c r="P3363" s="21">
        <v>15.0</v>
      </c>
      <c r="Q3363" s="22" t="str">
        <f t="shared" ref="Q3363:Q3365" si="2006">"+0"</f>
        <v>+0</v>
      </c>
      <c r="S3363" s="14" t="s">
        <v>475</v>
      </c>
    </row>
    <row r="3364">
      <c r="A3364" s="13">
        <v>45901.0</v>
      </c>
      <c r="B3364" s="14" t="s">
        <v>47</v>
      </c>
      <c r="C3364" s="14" t="s">
        <v>48</v>
      </c>
      <c r="D3364" s="14" t="s">
        <v>125</v>
      </c>
      <c r="E3364" s="14" t="s">
        <v>126</v>
      </c>
      <c r="F3364" s="15" t="s">
        <v>51</v>
      </c>
      <c r="G3364" s="14" t="s">
        <v>127</v>
      </c>
      <c r="H3364" s="14" t="s">
        <v>125</v>
      </c>
      <c r="I3364" s="14" t="s">
        <v>59</v>
      </c>
      <c r="J3364" s="14" t="s">
        <v>200</v>
      </c>
      <c r="K3364" s="14" t="s">
        <v>232</v>
      </c>
      <c r="L3364" s="14" t="s">
        <v>487</v>
      </c>
      <c r="M3364" s="14" t="s">
        <v>1415</v>
      </c>
      <c r="N3364" s="14" t="s">
        <v>1416</v>
      </c>
      <c r="O3364" s="14">
        <v>0.0</v>
      </c>
      <c r="P3364" s="21">
        <v>0.0</v>
      </c>
      <c r="Q3364" s="22" t="str">
        <f t="shared" si="2006"/>
        <v>+0</v>
      </c>
      <c r="R3364" s="18" t="str">
        <f>"+0"</f>
        <v>+0</v>
      </c>
      <c r="S3364" s="14" t="s">
        <v>260</v>
      </c>
    </row>
    <row r="3365">
      <c r="A3365" s="13">
        <v>45901.0</v>
      </c>
      <c r="B3365" s="14" t="s">
        <v>47</v>
      </c>
      <c r="C3365" s="14" t="s">
        <v>48</v>
      </c>
      <c r="D3365" s="14" t="s">
        <v>69</v>
      </c>
      <c r="E3365" s="14" t="s">
        <v>70</v>
      </c>
      <c r="F3365" s="15" t="s">
        <v>51</v>
      </c>
      <c r="G3365" s="14" t="s">
        <v>115</v>
      </c>
      <c r="H3365" s="14" t="s">
        <v>72</v>
      </c>
      <c r="I3365" s="14" t="s">
        <v>54</v>
      </c>
      <c r="J3365" s="14" t="s">
        <v>200</v>
      </c>
      <c r="K3365" s="14" t="s">
        <v>227</v>
      </c>
      <c r="L3365" s="14" t="s">
        <v>328</v>
      </c>
      <c r="M3365" s="14" t="s">
        <v>329</v>
      </c>
      <c r="N3365" s="14" t="s">
        <v>330</v>
      </c>
      <c r="O3365" s="14">
        <v>12.0</v>
      </c>
      <c r="P3365" s="21">
        <v>3.0</v>
      </c>
      <c r="Q3365" s="22" t="str">
        <f t="shared" si="2006"/>
        <v>+0</v>
      </c>
      <c r="R3365" s="18" t="str">
        <f>"-2"</f>
        <v>-2</v>
      </c>
      <c r="S3365" s="14" t="s">
        <v>260</v>
      </c>
    </row>
    <row r="3366">
      <c r="A3366" s="13">
        <v>45901.0</v>
      </c>
      <c r="B3366" s="14" t="s">
        <v>47</v>
      </c>
      <c r="C3366" s="14" t="s">
        <v>48</v>
      </c>
      <c r="D3366" s="14" t="s">
        <v>85</v>
      </c>
      <c r="E3366" s="14" t="s">
        <v>86</v>
      </c>
      <c r="F3366" s="15" t="s">
        <v>51</v>
      </c>
      <c r="G3366" s="14" t="s">
        <v>148</v>
      </c>
      <c r="H3366" s="14" t="s">
        <v>85</v>
      </c>
      <c r="I3366" s="14" t="s">
        <v>59</v>
      </c>
      <c r="J3366" s="14" t="s">
        <v>199</v>
      </c>
      <c r="K3366" s="14" t="s">
        <v>206</v>
      </c>
      <c r="L3366" s="14" t="s">
        <v>433</v>
      </c>
      <c r="M3366" s="14" t="s">
        <v>433</v>
      </c>
      <c r="N3366" s="14" t="s">
        <v>434</v>
      </c>
      <c r="O3366" s="14">
        <v>100.0</v>
      </c>
      <c r="P3366" s="21">
        <v>25.0</v>
      </c>
      <c r="Q3366" s="22" t="str">
        <f>"-4"</f>
        <v>-4</v>
      </c>
      <c r="R3366" s="18" t="str">
        <f>"+9"</f>
        <v>+9</v>
      </c>
      <c r="S3366" s="14" t="s">
        <v>383</v>
      </c>
    </row>
    <row r="3367">
      <c r="A3367" s="13">
        <v>45901.0</v>
      </c>
      <c r="B3367" s="14" t="s">
        <v>47</v>
      </c>
      <c r="C3367" s="14" t="s">
        <v>48</v>
      </c>
      <c r="D3367" s="14" t="s">
        <v>69</v>
      </c>
      <c r="E3367" s="14" t="s">
        <v>70</v>
      </c>
      <c r="F3367" s="14" t="s">
        <v>71</v>
      </c>
      <c r="G3367" s="14">
        <v>1.00002092E8</v>
      </c>
      <c r="H3367" s="14" t="s">
        <v>72</v>
      </c>
      <c r="I3367" s="14" t="s">
        <v>54</v>
      </c>
      <c r="J3367" s="14" t="s">
        <v>199</v>
      </c>
      <c r="K3367" s="14" t="s">
        <v>206</v>
      </c>
      <c r="L3367" s="14" t="s">
        <v>569</v>
      </c>
      <c r="M3367" s="14" t="s">
        <v>569</v>
      </c>
      <c r="N3367" s="14" t="s">
        <v>570</v>
      </c>
      <c r="O3367" s="14">
        <v>100.0</v>
      </c>
      <c r="P3367" s="21">
        <v>53.0</v>
      </c>
      <c r="Q3367" s="22" t="str">
        <f>"+0"</f>
        <v>+0</v>
      </c>
      <c r="R3367" s="18" t="str">
        <f>"+52"</f>
        <v>+52</v>
      </c>
      <c r="S3367" s="14" t="s">
        <v>383</v>
      </c>
    </row>
    <row r="3368">
      <c r="A3368" s="13">
        <v>45901.0</v>
      </c>
      <c r="B3368" s="14" t="s">
        <v>47</v>
      </c>
      <c r="C3368" s="14" t="s">
        <v>48</v>
      </c>
      <c r="D3368" s="14" t="s">
        <v>85</v>
      </c>
      <c r="E3368" s="14" t="s">
        <v>86</v>
      </c>
      <c r="F3368" s="15" t="s">
        <v>51</v>
      </c>
      <c r="G3368" s="14" t="s">
        <v>148</v>
      </c>
      <c r="H3368" s="14" t="s">
        <v>85</v>
      </c>
      <c r="I3368" s="14" t="s">
        <v>59</v>
      </c>
      <c r="J3368" s="14" t="s">
        <v>200</v>
      </c>
      <c r="K3368" s="14" t="s">
        <v>242</v>
      </c>
      <c r="L3368" s="14" t="s">
        <v>253</v>
      </c>
      <c r="M3368" s="14" t="s">
        <v>2032</v>
      </c>
      <c r="N3368" s="14" t="s">
        <v>2033</v>
      </c>
      <c r="O3368" s="14">
        <v>0.0</v>
      </c>
      <c r="P3368" s="23">
        <v>0.0</v>
      </c>
      <c r="Q3368" s="22" t="str">
        <f t="shared" ref="Q3368:R3368" si="2007">"+0.00%"</f>
        <v>+0.00%</v>
      </c>
      <c r="R3368" s="18" t="str">
        <f t="shared" si="2007"/>
        <v>+0.00%</v>
      </c>
      <c r="S3368" s="14" t="s">
        <v>2034</v>
      </c>
    </row>
    <row r="3369">
      <c r="A3369" s="13">
        <v>45901.0</v>
      </c>
      <c r="B3369" s="14" t="s">
        <v>47</v>
      </c>
      <c r="C3369" s="14" t="s">
        <v>48</v>
      </c>
      <c r="D3369" s="14" t="s">
        <v>69</v>
      </c>
      <c r="E3369" s="14" t="s">
        <v>70</v>
      </c>
      <c r="F3369" s="15" t="s">
        <v>51</v>
      </c>
      <c r="G3369" s="14" t="s">
        <v>115</v>
      </c>
      <c r="H3369" s="14" t="s">
        <v>72</v>
      </c>
      <c r="I3369" s="14" t="s">
        <v>54</v>
      </c>
      <c r="J3369" s="14" t="s">
        <v>198</v>
      </c>
      <c r="K3369" s="14" t="s">
        <v>210</v>
      </c>
      <c r="L3369" s="14" t="s">
        <v>264</v>
      </c>
      <c r="M3369" s="14" t="s">
        <v>1802</v>
      </c>
      <c r="N3369" s="14" t="s">
        <v>1803</v>
      </c>
      <c r="O3369" s="14">
        <v>0.0</v>
      </c>
      <c r="P3369" s="21">
        <v>0.0</v>
      </c>
      <c r="Q3369" s="22" t="str">
        <f t="shared" ref="Q3369:R3369" si="2008">"+0"</f>
        <v>+0</v>
      </c>
      <c r="R3369" s="18" t="str">
        <f t="shared" si="2008"/>
        <v>+0</v>
      </c>
      <c r="S3369" s="14" t="s">
        <v>277</v>
      </c>
    </row>
    <row r="3370">
      <c r="A3370" s="13">
        <v>45901.0</v>
      </c>
      <c r="B3370" s="14" t="s">
        <v>47</v>
      </c>
      <c r="C3370" s="14" t="s">
        <v>48</v>
      </c>
      <c r="D3370" s="14" t="s">
        <v>69</v>
      </c>
      <c r="E3370" s="14" t="s">
        <v>70</v>
      </c>
      <c r="F3370" s="15" t="s">
        <v>51</v>
      </c>
      <c r="G3370" s="14" t="s">
        <v>115</v>
      </c>
      <c r="H3370" s="14" t="s">
        <v>72</v>
      </c>
      <c r="I3370" s="14" t="s">
        <v>54</v>
      </c>
      <c r="J3370" s="14" t="s">
        <v>200</v>
      </c>
      <c r="K3370" s="14" t="s">
        <v>215</v>
      </c>
      <c r="L3370" s="14" t="s">
        <v>1341</v>
      </c>
      <c r="M3370" s="14" t="s">
        <v>2035</v>
      </c>
      <c r="N3370" s="14" t="s">
        <v>1367</v>
      </c>
      <c r="O3370" s="14">
        <v>0.0</v>
      </c>
      <c r="P3370" s="23">
        <v>-1.0</v>
      </c>
      <c r="Q3370" s="22" t="str">
        <f t="shared" ref="Q3370:Q3372" si="2009">"+0.00%"</f>
        <v>+0.00%</v>
      </c>
      <c r="R3370" s="18" t="str">
        <f>"-100.00%"</f>
        <v>-100.00%</v>
      </c>
      <c r="S3370" s="14" t="s">
        <v>729</v>
      </c>
    </row>
    <row r="3371">
      <c r="A3371" s="13">
        <v>45901.0</v>
      </c>
      <c r="B3371" s="14" t="s">
        <v>47</v>
      </c>
      <c r="C3371" s="14" t="s">
        <v>48</v>
      </c>
      <c r="D3371" s="14" t="s">
        <v>108</v>
      </c>
      <c r="E3371" s="14" t="s">
        <v>109</v>
      </c>
      <c r="F3371" s="15" t="s">
        <v>51</v>
      </c>
      <c r="G3371" s="14" t="s">
        <v>110</v>
      </c>
      <c r="H3371" s="14" t="s">
        <v>108</v>
      </c>
      <c r="I3371" s="14" t="s">
        <v>59</v>
      </c>
      <c r="J3371" s="14" t="s">
        <v>200</v>
      </c>
      <c r="K3371" s="14" t="s">
        <v>227</v>
      </c>
      <c r="L3371" s="14" t="s">
        <v>253</v>
      </c>
      <c r="M3371" s="14" t="s">
        <v>811</v>
      </c>
      <c r="N3371" s="14" t="s">
        <v>812</v>
      </c>
      <c r="O3371" s="14">
        <v>0.0</v>
      </c>
      <c r="P3371" s="23">
        <v>0.0</v>
      </c>
      <c r="Q3371" s="22" t="str">
        <f t="shared" si="2009"/>
        <v>+0.00%</v>
      </c>
      <c r="R3371" s="18" t="str">
        <f t="shared" ref="R3371:R3372" si="2010">"+0.00%"</f>
        <v>+0.00%</v>
      </c>
      <c r="S3371" s="14" t="s">
        <v>398</v>
      </c>
    </row>
    <row r="3372">
      <c r="A3372" s="13">
        <v>45901.0</v>
      </c>
      <c r="B3372" s="14" t="s">
        <v>47</v>
      </c>
      <c r="C3372" s="14" t="s">
        <v>48</v>
      </c>
      <c r="D3372" s="14" t="s">
        <v>116</v>
      </c>
      <c r="E3372" s="14" t="s">
        <v>117</v>
      </c>
      <c r="F3372" s="15" t="s">
        <v>51</v>
      </c>
      <c r="G3372" s="14" t="s">
        <v>161</v>
      </c>
      <c r="H3372" s="14" t="s">
        <v>116</v>
      </c>
      <c r="I3372" s="14" t="s">
        <v>54</v>
      </c>
      <c r="J3372" s="14" t="s">
        <v>200</v>
      </c>
      <c r="K3372" s="14" t="s">
        <v>204</v>
      </c>
      <c r="L3372" s="14" t="s">
        <v>253</v>
      </c>
      <c r="M3372" s="14" t="s">
        <v>490</v>
      </c>
      <c r="N3372" s="14" t="s">
        <v>491</v>
      </c>
      <c r="O3372" s="14">
        <v>0.0</v>
      </c>
      <c r="P3372" s="23">
        <v>0.0</v>
      </c>
      <c r="Q3372" s="22" t="str">
        <f t="shared" si="2009"/>
        <v>+0.00%</v>
      </c>
      <c r="R3372" s="18" t="str">
        <f t="shared" si="2010"/>
        <v>+0.00%</v>
      </c>
      <c r="S3372" s="14" t="s">
        <v>492</v>
      </c>
    </row>
    <row r="3373">
      <c r="A3373" s="13">
        <v>45901.0</v>
      </c>
      <c r="B3373" s="14" t="s">
        <v>47</v>
      </c>
      <c r="C3373" s="14" t="s">
        <v>48</v>
      </c>
      <c r="D3373" s="14" t="s">
        <v>77</v>
      </c>
      <c r="E3373" s="14" t="s">
        <v>78</v>
      </c>
      <c r="F3373" s="15" t="s">
        <v>51</v>
      </c>
      <c r="G3373" s="14" t="s">
        <v>128</v>
      </c>
      <c r="H3373" s="14" t="s">
        <v>81</v>
      </c>
      <c r="I3373" s="14" t="s">
        <v>59</v>
      </c>
      <c r="J3373" s="14" t="s">
        <v>198</v>
      </c>
      <c r="K3373" s="14" t="s">
        <v>205</v>
      </c>
      <c r="L3373" s="14" t="s">
        <v>274</v>
      </c>
      <c r="M3373" s="14" t="s">
        <v>482</v>
      </c>
      <c r="N3373" s="14" t="s">
        <v>483</v>
      </c>
      <c r="O3373" s="14">
        <v>100.0</v>
      </c>
      <c r="P3373" s="21">
        <v>8.0</v>
      </c>
      <c r="Q3373" s="22" t="str">
        <f>"+0"</f>
        <v>+0</v>
      </c>
      <c r="S3373" s="14" t="s">
        <v>484</v>
      </c>
    </row>
    <row r="3374">
      <c r="A3374" s="13">
        <v>45901.0</v>
      </c>
      <c r="B3374" s="14" t="s">
        <v>47</v>
      </c>
      <c r="C3374" s="14" t="s">
        <v>48</v>
      </c>
      <c r="D3374" s="14" t="s">
        <v>174</v>
      </c>
      <c r="E3374" s="14" t="s">
        <v>175</v>
      </c>
      <c r="F3374" s="15" t="s">
        <v>51</v>
      </c>
      <c r="G3374" s="14" t="s">
        <v>176</v>
      </c>
      <c r="H3374" s="14" t="s">
        <v>174</v>
      </c>
      <c r="I3374" s="14" t="s">
        <v>59</v>
      </c>
      <c r="J3374" s="14" t="s">
        <v>200</v>
      </c>
      <c r="K3374" s="14" t="s">
        <v>213</v>
      </c>
      <c r="L3374" s="14" t="s">
        <v>257</v>
      </c>
      <c r="M3374" s="14" t="s">
        <v>315</v>
      </c>
      <c r="N3374" s="14" t="s">
        <v>316</v>
      </c>
      <c r="O3374" s="14">
        <v>73.0</v>
      </c>
      <c r="P3374" s="23">
        <v>0.7333</v>
      </c>
      <c r="Q3374" s="22" t="str">
        <f>"+1.34%"</f>
        <v>+1.34%</v>
      </c>
      <c r="R3374" s="18" t="str">
        <f>"-2.31%"</f>
        <v>-2.31%</v>
      </c>
      <c r="S3374" s="14" t="s">
        <v>2036</v>
      </c>
    </row>
    <row r="3375">
      <c r="A3375" s="13">
        <v>45901.0</v>
      </c>
      <c r="B3375" s="14" t="s">
        <v>47</v>
      </c>
      <c r="C3375" s="14" t="s">
        <v>48</v>
      </c>
      <c r="D3375" s="14" t="s">
        <v>60</v>
      </c>
      <c r="E3375" s="14" t="s">
        <v>61</v>
      </c>
      <c r="F3375" s="15" t="s">
        <v>51</v>
      </c>
      <c r="G3375" s="14" t="s">
        <v>62</v>
      </c>
      <c r="H3375" s="14" t="s">
        <v>60</v>
      </c>
      <c r="I3375" s="14" t="s">
        <v>59</v>
      </c>
      <c r="J3375" s="14" t="s">
        <v>200</v>
      </c>
      <c r="K3375" s="14" t="s">
        <v>209</v>
      </c>
      <c r="L3375" s="14" t="s">
        <v>253</v>
      </c>
      <c r="M3375" s="14" t="s">
        <v>817</v>
      </c>
      <c r="N3375" s="14" t="s">
        <v>818</v>
      </c>
      <c r="O3375" s="14">
        <v>16.0</v>
      </c>
      <c r="P3375" s="23">
        <v>0.1665</v>
      </c>
      <c r="Q3375" s="22" t="str">
        <f>"+0.93%"</f>
        <v>+0.93%</v>
      </c>
      <c r="R3375" s="18" t="str">
        <f>"+3.13%"</f>
        <v>+3.13%</v>
      </c>
      <c r="S3375" s="14" t="s">
        <v>2037</v>
      </c>
    </row>
    <row r="3376">
      <c r="A3376" s="13">
        <v>45901.0</v>
      </c>
      <c r="B3376" s="14" t="s">
        <v>47</v>
      </c>
      <c r="C3376" s="14" t="s">
        <v>48</v>
      </c>
      <c r="D3376" s="14" t="s">
        <v>60</v>
      </c>
      <c r="E3376" s="14" t="s">
        <v>61</v>
      </c>
      <c r="F3376" s="15" t="s">
        <v>51</v>
      </c>
      <c r="G3376" s="14" t="s">
        <v>62</v>
      </c>
      <c r="H3376" s="14" t="s">
        <v>60</v>
      </c>
      <c r="I3376" s="14" t="s">
        <v>59</v>
      </c>
      <c r="J3376" s="14" t="s">
        <v>200</v>
      </c>
      <c r="K3376" s="14" t="s">
        <v>201</v>
      </c>
      <c r="L3376" s="14" t="s">
        <v>253</v>
      </c>
      <c r="M3376" s="14" t="s">
        <v>409</v>
      </c>
      <c r="N3376" s="14" t="s">
        <v>410</v>
      </c>
      <c r="O3376" s="14">
        <v>1.0</v>
      </c>
      <c r="P3376" s="23">
        <v>0.0</v>
      </c>
      <c r="Q3376" s="22" t="str">
        <f t="shared" ref="Q3376:R3376" si="2011">"+0.00%"</f>
        <v>+0.00%</v>
      </c>
      <c r="R3376" s="18" t="str">
        <f t="shared" si="2011"/>
        <v>+0.00%</v>
      </c>
      <c r="S3376" s="14" t="s">
        <v>1405</v>
      </c>
    </row>
    <row r="3377">
      <c r="A3377" s="13">
        <v>45901.0</v>
      </c>
      <c r="B3377" s="14" t="s">
        <v>47</v>
      </c>
      <c r="C3377" s="14" t="s">
        <v>48</v>
      </c>
      <c r="D3377" s="14" t="s">
        <v>121</v>
      </c>
      <c r="E3377" s="14" t="s">
        <v>122</v>
      </c>
      <c r="F3377" s="15" t="s">
        <v>51</v>
      </c>
      <c r="G3377" s="14" t="s">
        <v>123</v>
      </c>
      <c r="H3377" s="14" t="s">
        <v>124</v>
      </c>
      <c r="I3377" s="14" t="s">
        <v>59</v>
      </c>
      <c r="J3377" s="14" t="s">
        <v>200</v>
      </c>
      <c r="K3377" s="14" t="s">
        <v>232</v>
      </c>
      <c r="L3377" s="14" t="s">
        <v>363</v>
      </c>
      <c r="M3377" s="14" t="s">
        <v>842</v>
      </c>
      <c r="N3377" s="14" t="s">
        <v>843</v>
      </c>
      <c r="O3377" s="14">
        <v>100.0</v>
      </c>
      <c r="P3377" s="21">
        <v>30.0</v>
      </c>
      <c r="Q3377" s="22" t="str">
        <f t="shared" ref="Q3377:R3377" si="2012">"+0"</f>
        <v>+0</v>
      </c>
      <c r="R3377" s="18" t="str">
        <f t="shared" si="2012"/>
        <v>+0</v>
      </c>
      <c r="S3377" s="14" t="s">
        <v>260</v>
      </c>
    </row>
    <row r="3378">
      <c r="A3378" s="13">
        <v>45901.0</v>
      </c>
      <c r="B3378" s="14" t="s">
        <v>47</v>
      </c>
      <c r="C3378" s="14" t="s">
        <v>48</v>
      </c>
      <c r="D3378" s="14" t="s">
        <v>140</v>
      </c>
      <c r="E3378" s="14" t="s">
        <v>141</v>
      </c>
      <c r="F3378" s="15" t="s">
        <v>51</v>
      </c>
      <c r="G3378" s="14" t="s">
        <v>142</v>
      </c>
      <c r="H3378" s="14" t="s">
        <v>140</v>
      </c>
      <c r="I3378" s="14" t="s">
        <v>59</v>
      </c>
      <c r="J3378" s="14" t="s">
        <v>200</v>
      </c>
      <c r="K3378" s="14" t="s">
        <v>213</v>
      </c>
      <c r="L3378" s="14" t="s">
        <v>289</v>
      </c>
      <c r="M3378" s="14" t="s">
        <v>384</v>
      </c>
      <c r="N3378" s="14" t="s">
        <v>385</v>
      </c>
      <c r="O3378" s="14">
        <v>0.0</v>
      </c>
      <c r="P3378" s="23">
        <v>0.0</v>
      </c>
      <c r="Q3378" s="22" t="str">
        <f t="shared" ref="Q3378:R3378" si="2013">"+0.00%"</f>
        <v>+0.00%</v>
      </c>
      <c r="R3378" s="18" t="str">
        <f t="shared" si="2013"/>
        <v>+0.00%</v>
      </c>
      <c r="S3378" s="14" t="s">
        <v>2038</v>
      </c>
    </row>
    <row r="3379">
      <c r="A3379" s="13">
        <v>45901.0</v>
      </c>
      <c r="B3379" s="14" t="s">
        <v>47</v>
      </c>
      <c r="C3379" s="14" t="s">
        <v>48</v>
      </c>
      <c r="D3379" s="14" t="s">
        <v>168</v>
      </c>
      <c r="E3379" s="14" t="s">
        <v>169</v>
      </c>
      <c r="F3379" s="15" t="s">
        <v>51</v>
      </c>
      <c r="G3379" s="14" t="s">
        <v>170</v>
      </c>
      <c r="H3379" s="14" t="s">
        <v>168</v>
      </c>
      <c r="I3379" s="14" t="s">
        <v>59</v>
      </c>
      <c r="J3379" s="14" t="s">
        <v>200</v>
      </c>
      <c r="K3379" s="14" t="s">
        <v>214</v>
      </c>
      <c r="L3379" s="14" t="s">
        <v>253</v>
      </c>
      <c r="M3379" s="14" t="s">
        <v>389</v>
      </c>
      <c r="N3379" s="14" t="s">
        <v>390</v>
      </c>
      <c r="O3379" s="14">
        <v>100.0</v>
      </c>
      <c r="P3379" s="23">
        <v>1.0</v>
      </c>
      <c r="Q3379" s="22" t="str">
        <f>"+0.00%"</f>
        <v>+0.00%</v>
      </c>
      <c r="R3379" s="18" t="str">
        <f>"+96.51%"</f>
        <v>+96.51%</v>
      </c>
      <c r="S3379" s="14" t="s">
        <v>2039</v>
      </c>
    </row>
    <row r="3380">
      <c r="A3380" s="13">
        <v>45901.0</v>
      </c>
      <c r="B3380" s="14" t="s">
        <v>47</v>
      </c>
      <c r="C3380" s="14" t="s">
        <v>48</v>
      </c>
      <c r="D3380" s="14" t="s">
        <v>121</v>
      </c>
      <c r="E3380" s="14" t="s">
        <v>122</v>
      </c>
      <c r="F3380" s="15" t="s">
        <v>51</v>
      </c>
      <c r="G3380" s="14" t="s">
        <v>123</v>
      </c>
      <c r="H3380" s="14" t="s">
        <v>124</v>
      </c>
      <c r="I3380" s="14" t="s">
        <v>59</v>
      </c>
      <c r="J3380" s="14" t="s">
        <v>198</v>
      </c>
      <c r="K3380" s="14" t="s">
        <v>205</v>
      </c>
      <c r="L3380" s="14" t="s">
        <v>274</v>
      </c>
      <c r="M3380" s="14" t="s">
        <v>482</v>
      </c>
      <c r="N3380" s="14" t="s">
        <v>483</v>
      </c>
      <c r="O3380" s="14">
        <v>100.0</v>
      </c>
      <c r="P3380" s="21">
        <v>8.0</v>
      </c>
      <c r="Q3380" s="22" t="str">
        <f t="shared" ref="Q3380:Q3382" si="2014">"+0"</f>
        <v>+0</v>
      </c>
      <c r="S3380" s="14" t="s">
        <v>484</v>
      </c>
    </row>
    <row r="3381">
      <c r="A3381" s="13">
        <v>45901.0</v>
      </c>
      <c r="B3381" s="14" t="s">
        <v>47</v>
      </c>
      <c r="C3381" s="14" t="s">
        <v>48</v>
      </c>
      <c r="D3381" s="14" t="s">
        <v>165</v>
      </c>
      <c r="E3381" s="14" t="s">
        <v>166</v>
      </c>
      <c r="F3381" s="15" t="s">
        <v>51</v>
      </c>
      <c r="G3381" s="14" t="s">
        <v>167</v>
      </c>
      <c r="H3381" s="14" t="s">
        <v>165</v>
      </c>
      <c r="I3381" s="14" t="s">
        <v>54</v>
      </c>
      <c r="J3381" s="14" t="s">
        <v>198</v>
      </c>
      <c r="K3381" s="14" t="s">
        <v>205</v>
      </c>
      <c r="L3381" s="14" t="s">
        <v>274</v>
      </c>
      <c r="M3381" s="14" t="s">
        <v>696</v>
      </c>
      <c r="N3381" s="14" t="s">
        <v>697</v>
      </c>
      <c r="O3381" s="14">
        <v>100.0</v>
      </c>
      <c r="P3381" s="21">
        <v>1.0</v>
      </c>
      <c r="Q3381" s="22" t="str">
        <f t="shared" si="2014"/>
        <v>+0</v>
      </c>
      <c r="S3381" s="14" t="s">
        <v>281</v>
      </c>
    </row>
    <row r="3382">
      <c r="A3382" s="13">
        <v>45901.0</v>
      </c>
      <c r="B3382" s="14" t="s">
        <v>47</v>
      </c>
      <c r="C3382" s="14" t="s">
        <v>48</v>
      </c>
      <c r="D3382" s="14" t="s">
        <v>49</v>
      </c>
      <c r="E3382" s="14" t="s">
        <v>50</v>
      </c>
      <c r="F3382" s="15" t="s">
        <v>51</v>
      </c>
      <c r="G3382" s="14" t="s">
        <v>52</v>
      </c>
      <c r="H3382" s="14" t="s">
        <v>53</v>
      </c>
      <c r="I3382" s="14" t="s">
        <v>54</v>
      </c>
      <c r="J3382" s="14" t="s">
        <v>200</v>
      </c>
      <c r="K3382" s="14" t="s">
        <v>222</v>
      </c>
      <c r="L3382" s="14" t="s">
        <v>253</v>
      </c>
      <c r="M3382" s="14" t="s">
        <v>732</v>
      </c>
      <c r="N3382" s="14" t="s">
        <v>733</v>
      </c>
      <c r="O3382" s="14">
        <v>100.0</v>
      </c>
      <c r="P3382" s="21">
        <v>2.0</v>
      </c>
      <c r="Q3382" s="22" t="str">
        <f t="shared" si="2014"/>
        <v>+0</v>
      </c>
      <c r="R3382" s="18" t="str">
        <f>"+0"</f>
        <v>+0</v>
      </c>
      <c r="S3382" s="14" t="s">
        <v>450</v>
      </c>
    </row>
    <row r="3383">
      <c r="A3383" s="13">
        <v>45901.0</v>
      </c>
      <c r="B3383" s="14" t="s">
        <v>47</v>
      </c>
      <c r="C3383" s="14" t="s">
        <v>48</v>
      </c>
      <c r="D3383" s="14" t="s">
        <v>99</v>
      </c>
      <c r="E3383" s="14" t="s">
        <v>100</v>
      </c>
      <c r="F3383" s="15" t="s">
        <v>51</v>
      </c>
      <c r="G3383" s="14" t="s">
        <v>101</v>
      </c>
      <c r="H3383" s="14" t="s">
        <v>102</v>
      </c>
      <c r="I3383" s="14" t="s">
        <v>54</v>
      </c>
      <c r="J3383" s="14" t="s">
        <v>200</v>
      </c>
      <c r="K3383" s="14" t="s">
        <v>213</v>
      </c>
      <c r="L3383" s="14" t="s">
        <v>307</v>
      </c>
      <c r="M3383" s="14" t="s">
        <v>308</v>
      </c>
      <c r="N3383" s="14" t="s">
        <v>309</v>
      </c>
      <c r="O3383" s="14">
        <v>0.0</v>
      </c>
      <c r="P3383" s="23">
        <v>0.0</v>
      </c>
      <c r="Q3383" s="22" t="str">
        <f t="shared" ref="Q3383:R3383" si="2015">"+0.00%"</f>
        <v>+0.00%</v>
      </c>
      <c r="R3383" s="18" t="str">
        <f t="shared" si="2015"/>
        <v>+0.00%</v>
      </c>
      <c r="S3383" s="14" t="s">
        <v>285</v>
      </c>
    </row>
    <row r="3384">
      <c r="A3384" s="13">
        <v>45901.0</v>
      </c>
      <c r="B3384" s="14" t="s">
        <v>47</v>
      </c>
      <c r="C3384" s="14" t="s">
        <v>48</v>
      </c>
      <c r="D3384" s="14" t="s">
        <v>63</v>
      </c>
      <c r="E3384" s="14" t="s">
        <v>64</v>
      </c>
      <c r="F3384" s="15" t="s">
        <v>51</v>
      </c>
      <c r="G3384" s="14" t="s">
        <v>65</v>
      </c>
      <c r="H3384" s="14" t="s">
        <v>63</v>
      </c>
      <c r="I3384" s="14" t="s">
        <v>54</v>
      </c>
      <c r="J3384" s="14" t="s">
        <v>198</v>
      </c>
      <c r="K3384" s="14" t="s">
        <v>205</v>
      </c>
      <c r="L3384" s="14" t="s">
        <v>274</v>
      </c>
      <c r="M3384" s="14" t="s">
        <v>1851</v>
      </c>
      <c r="N3384" s="14" t="s">
        <v>1852</v>
      </c>
      <c r="O3384" s="14">
        <v>0.0</v>
      </c>
      <c r="P3384" s="21">
        <v>0.0</v>
      </c>
      <c r="Q3384" s="22" t="str">
        <f>"+0"</f>
        <v>+0</v>
      </c>
      <c r="S3384" s="14" t="s">
        <v>281</v>
      </c>
    </row>
    <row r="3385">
      <c r="A3385" s="13">
        <v>45901.0</v>
      </c>
      <c r="B3385" s="14" t="s">
        <v>47</v>
      </c>
      <c r="C3385" s="14" t="s">
        <v>48</v>
      </c>
      <c r="D3385" s="14" t="s">
        <v>91</v>
      </c>
      <c r="E3385" s="14" t="s">
        <v>92</v>
      </c>
      <c r="F3385" s="14" t="s">
        <v>71</v>
      </c>
      <c r="G3385" s="14">
        <v>1.00004432E8</v>
      </c>
      <c r="H3385" s="14" t="s">
        <v>91</v>
      </c>
      <c r="I3385" s="14" t="s">
        <v>59</v>
      </c>
      <c r="J3385" s="14" t="s">
        <v>199</v>
      </c>
      <c r="K3385" s="14" t="s">
        <v>206</v>
      </c>
      <c r="L3385" s="14" t="s">
        <v>295</v>
      </c>
      <c r="M3385" s="14" t="s">
        <v>986</v>
      </c>
      <c r="N3385" s="14" t="s">
        <v>987</v>
      </c>
      <c r="O3385" s="14">
        <v>0.0</v>
      </c>
      <c r="P3385" s="21">
        <v>0.0</v>
      </c>
      <c r="Q3385" s="22" t="str">
        <f t="shared" ref="Q3385:R3385" si="2016">"-6"</f>
        <v>-6</v>
      </c>
      <c r="R3385" s="18" t="str">
        <f t="shared" si="2016"/>
        <v>-6</v>
      </c>
      <c r="S3385" s="14" t="s">
        <v>260</v>
      </c>
    </row>
    <row r="3386">
      <c r="A3386" s="13">
        <v>45901.0</v>
      </c>
      <c r="B3386" s="14" t="s">
        <v>47</v>
      </c>
      <c r="C3386" s="14" t="s">
        <v>48</v>
      </c>
      <c r="D3386" s="14" t="s">
        <v>103</v>
      </c>
      <c r="E3386" s="14" t="s">
        <v>104</v>
      </c>
      <c r="F3386" s="15" t="s">
        <v>51</v>
      </c>
      <c r="G3386" s="14" t="s">
        <v>105</v>
      </c>
      <c r="H3386" s="14" t="s">
        <v>106</v>
      </c>
      <c r="I3386" s="14" t="s">
        <v>59</v>
      </c>
      <c r="J3386" s="14" t="s">
        <v>200</v>
      </c>
      <c r="K3386" s="14" t="s">
        <v>232</v>
      </c>
      <c r="L3386" s="14" t="s">
        <v>487</v>
      </c>
      <c r="M3386" s="14" t="s">
        <v>670</v>
      </c>
      <c r="N3386" s="14" t="s">
        <v>671</v>
      </c>
      <c r="O3386" s="14">
        <v>0.0</v>
      </c>
      <c r="P3386" s="21">
        <v>0.0</v>
      </c>
      <c r="Q3386" s="22" t="str">
        <f t="shared" ref="Q3386:R3386" si="2017">"+0"</f>
        <v>+0</v>
      </c>
      <c r="R3386" s="18" t="str">
        <f t="shared" si="2017"/>
        <v>+0</v>
      </c>
      <c r="S3386" s="14" t="s">
        <v>260</v>
      </c>
    </row>
    <row r="3387">
      <c r="A3387" s="13">
        <v>45901.0</v>
      </c>
      <c r="B3387" s="14" t="s">
        <v>47</v>
      </c>
      <c r="C3387" s="14" t="s">
        <v>48</v>
      </c>
      <c r="D3387" s="14" t="s">
        <v>73</v>
      </c>
      <c r="E3387" s="14" t="s">
        <v>74</v>
      </c>
      <c r="F3387" s="15" t="s">
        <v>51</v>
      </c>
      <c r="G3387" s="14" t="s">
        <v>75</v>
      </c>
      <c r="H3387" s="14" t="s">
        <v>76</v>
      </c>
      <c r="I3387" s="14" t="s">
        <v>59</v>
      </c>
      <c r="J3387" s="14" t="s">
        <v>200</v>
      </c>
      <c r="K3387" s="14" t="s">
        <v>232</v>
      </c>
      <c r="L3387" s="14" t="s">
        <v>487</v>
      </c>
      <c r="M3387" s="14" t="s">
        <v>788</v>
      </c>
      <c r="N3387" s="14" t="s">
        <v>789</v>
      </c>
      <c r="O3387" s="14">
        <v>0.0</v>
      </c>
      <c r="P3387" s="23">
        <v>0.0</v>
      </c>
      <c r="Q3387" s="22" t="str">
        <f t="shared" ref="Q3387:R3387" si="2018">"+0.00%"</f>
        <v>+0.00%</v>
      </c>
      <c r="R3387" s="18" t="str">
        <f t="shared" si="2018"/>
        <v>+0.00%</v>
      </c>
      <c r="S3387" s="14" t="s">
        <v>285</v>
      </c>
    </row>
    <row r="3388">
      <c r="A3388" s="13">
        <v>45901.0</v>
      </c>
      <c r="B3388" s="14" t="s">
        <v>47</v>
      </c>
      <c r="C3388" s="14" t="s">
        <v>48</v>
      </c>
      <c r="D3388" s="14" t="s">
        <v>116</v>
      </c>
      <c r="E3388" s="14" t="s">
        <v>117</v>
      </c>
      <c r="F3388" s="14" t="s">
        <v>111</v>
      </c>
      <c r="G3388" s="14">
        <v>5298600.0</v>
      </c>
      <c r="H3388" s="14" t="s">
        <v>116</v>
      </c>
      <c r="I3388" s="14" t="s">
        <v>59</v>
      </c>
      <c r="J3388" s="14" t="s">
        <v>199</v>
      </c>
      <c r="K3388" s="14" t="s">
        <v>203</v>
      </c>
      <c r="L3388" s="14" t="s">
        <v>725</v>
      </c>
      <c r="M3388" s="14" t="s">
        <v>725</v>
      </c>
      <c r="N3388" s="14" t="s">
        <v>726</v>
      </c>
      <c r="O3388" s="14">
        <v>0.0</v>
      </c>
      <c r="P3388" s="21">
        <v>0.0</v>
      </c>
      <c r="Q3388" s="22" t="str">
        <f t="shared" ref="Q3388:R3388" si="2019">"+0"</f>
        <v>+0</v>
      </c>
      <c r="R3388" s="18" t="str">
        <f t="shared" si="2019"/>
        <v>+0</v>
      </c>
      <c r="S3388" s="14" t="s">
        <v>260</v>
      </c>
    </row>
    <row r="3389">
      <c r="A3389" s="13">
        <v>45901.0</v>
      </c>
      <c r="B3389" s="14" t="s">
        <v>47</v>
      </c>
      <c r="C3389" s="14" t="s">
        <v>48</v>
      </c>
      <c r="D3389" s="14" t="s">
        <v>116</v>
      </c>
      <c r="E3389" s="14" t="s">
        <v>117</v>
      </c>
      <c r="F3389" s="15" t="s">
        <v>51</v>
      </c>
      <c r="G3389" s="14" t="s">
        <v>161</v>
      </c>
      <c r="H3389" s="14" t="s">
        <v>116</v>
      </c>
      <c r="I3389" s="14" t="s">
        <v>54</v>
      </c>
      <c r="J3389" s="14" t="s">
        <v>198</v>
      </c>
      <c r="K3389" s="14" t="s">
        <v>210</v>
      </c>
      <c r="L3389" s="14" t="s">
        <v>264</v>
      </c>
      <c r="M3389" s="14" t="s">
        <v>1283</v>
      </c>
      <c r="N3389" s="14" t="s">
        <v>1284</v>
      </c>
      <c r="O3389" s="14">
        <v>0.0</v>
      </c>
      <c r="P3389" s="21">
        <v>0.0</v>
      </c>
      <c r="Q3389" s="22" t="str">
        <f t="shared" ref="Q3389:R3389" si="2020">"+0"</f>
        <v>+0</v>
      </c>
      <c r="R3389" s="18" t="str">
        <f t="shared" si="2020"/>
        <v>+0</v>
      </c>
      <c r="S3389" s="14" t="s">
        <v>277</v>
      </c>
    </row>
    <row r="3390">
      <c r="A3390" s="13">
        <v>45901.0</v>
      </c>
      <c r="B3390" s="14" t="s">
        <v>47</v>
      </c>
      <c r="C3390" s="14" t="s">
        <v>48</v>
      </c>
      <c r="D3390" s="14" t="s">
        <v>108</v>
      </c>
      <c r="E3390" s="14" t="s">
        <v>109</v>
      </c>
      <c r="F3390" s="15" t="s">
        <v>51</v>
      </c>
      <c r="G3390" s="14" t="s">
        <v>110</v>
      </c>
      <c r="H3390" s="14" t="s">
        <v>108</v>
      </c>
      <c r="I3390" s="14" t="s">
        <v>59</v>
      </c>
      <c r="J3390" s="14" t="s">
        <v>200</v>
      </c>
      <c r="K3390" s="14" t="s">
        <v>233</v>
      </c>
      <c r="L3390" s="14" t="s">
        <v>292</v>
      </c>
      <c r="M3390" s="14" t="s">
        <v>2040</v>
      </c>
      <c r="N3390" s="14" t="s">
        <v>2041</v>
      </c>
      <c r="O3390" s="14">
        <v>0.0</v>
      </c>
      <c r="P3390" s="21">
        <v>0.0</v>
      </c>
      <c r="Q3390" s="22" t="str">
        <f>"+0"</f>
        <v>+0</v>
      </c>
      <c r="S3390" s="14" t="s">
        <v>260</v>
      </c>
    </row>
    <row r="3391">
      <c r="A3391" s="13">
        <v>45901.0</v>
      </c>
      <c r="B3391" s="14" t="s">
        <v>47</v>
      </c>
      <c r="C3391" s="14" t="s">
        <v>48</v>
      </c>
      <c r="D3391" s="14" t="s">
        <v>77</v>
      </c>
      <c r="E3391" s="14" t="s">
        <v>78</v>
      </c>
      <c r="F3391" s="15" t="s">
        <v>51</v>
      </c>
      <c r="G3391" s="14" t="s">
        <v>128</v>
      </c>
      <c r="H3391" s="14" t="s">
        <v>81</v>
      </c>
      <c r="I3391" s="14" t="s">
        <v>59</v>
      </c>
      <c r="J3391" s="14" t="s">
        <v>200</v>
      </c>
      <c r="K3391" s="14" t="s">
        <v>202</v>
      </c>
      <c r="L3391" s="14" t="s">
        <v>253</v>
      </c>
      <c r="M3391" s="14" t="s">
        <v>874</v>
      </c>
      <c r="N3391" s="14" t="s">
        <v>875</v>
      </c>
      <c r="O3391" s="14">
        <v>49.0</v>
      </c>
      <c r="P3391" s="23">
        <v>0.5</v>
      </c>
      <c r="Q3391" s="22"/>
      <c r="R3391" s="18" t="str">
        <f>"+0.00%"</f>
        <v>+0.00%</v>
      </c>
      <c r="S3391" s="14" t="s">
        <v>2042</v>
      </c>
    </row>
    <row r="3392">
      <c r="A3392" s="13">
        <v>45901.0</v>
      </c>
      <c r="B3392" s="14" t="s">
        <v>47</v>
      </c>
      <c r="C3392" s="14" t="s">
        <v>48</v>
      </c>
      <c r="D3392" s="14" t="s">
        <v>99</v>
      </c>
      <c r="E3392" s="14" t="s">
        <v>100</v>
      </c>
      <c r="F3392" s="15" t="s">
        <v>51</v>
      </c>
      <c r="G3392" s="14" t="s">
        <v>101</v>
      </c>
      <c r="H3392" s="14" t="s">
        <v>102</v>
      </c>
      <c r="I3392" s="14" t="s">
        <v>54</v>
      </c>
      <c r="J3392" s="14" t="s">
        <v>198</v>
      </c>
      <c r="K3392" s="14" t="s">
        <v>210</v>
      </c>
      <c r="L3392" s="14" t="s">
        <v>278</v>
      </c>
      <c r="M3392" s="14" t="s">
        <v>468</v>
      </c>
      <c r="N3392" s="14" t="s">
        <v>469</v>
      </c>
      <c r="O3392" s="14">
        <v>0.0</v>
      </c>
      <c r="P3392" s="21">
        <v>0.0</v>
      </c>
      <c r="Q3392" s="22" t="str">
        <f t="shared" ref="Q3392:R3392" si="2021">"+0"</f>
        <v>+0</v>
      </c>
      <c r="R3392" s="18" t="str">
        <f t="shared" si="2021"/>
        <v>+0</v>
      </c>
      <c r="S3392" s="14" t="s">
        <v>277</v>
      </c>
    </row>
    <row r="3393">
      <c r="A3393" s="13">
        <v>45901.0</v>
      </c>
      <c r="B3393" s="14" t="s">
        <v>47</v>
      </c>
      <c r="C3393" s="14" t="s">
        <v>48</v>
      </c>
      <c r="D3393" s="14" t="s">
        <v>91</v>
      </c>
      <c r="E3393" s="14" t="s">
        <v>92</v>
      </c>
      <c r="F3393" s="15" t="s">
        <v>51</v>
      </c>
      <c r="G3393" s="14" t="s">
        <v>163</v>
      </c>
      <c r="H3393" s="14" t="s">
        <v>91</v>
      </c>
      <c r="I3393" s="14" t="s">
        <v>59</v>
      </c>
      <c r="J3393" s="14" t="s">
        <v>200</v>
      </c>
      <c r="K3393" s="14" t="s">
        <v>227</v>
      </c>
      <c r="L3393" s="14" t="s">
        <v>270</v>
      </c>
      <c r="M3393" s="14" t="s">
        <v>400</v>
      </c>
      <c r="N3393" s="14" t="s">
        <v>401</v>
      </c>
      <c r="O3393" s="14">
        <v>0.0</v>
      </c>
      <c r="P3393" s="21">
        <v>0.0</v>
      </c>
      <c r="Q3393" s="22" t="str">
        <f t="shared" ref="Q3393:R3393" si="2022">"+0"</f>
        <v>+0</v>
      </c>
      <c r="R3393" s="18" t="str">
        <f t="shared" si="2022"/>
        <v>+0</v>
      </c>
      <c r="S3393" s="14" t="s">
        <v>260</v>
      </c>
    </row>
    <row r="3394">
      <c r="A3394" s="13">
        <v>45901.0</v>
      </c>
      <c r="B3394" s="14" t="s">
        <v>47</v>
      </c>
      <c r="C3394" s="14" t="s">
        <v>48</v>
      </c>
      <c r="D3394" s="14" t="s">
        <v>91</v>
      </c>
      <c r="E3394" s="14" t="s">
        <v>92</v>
      </c>
      <c r="F3394" s="15" t="s">
        <v>51</v>
      </c>
      <c r="G3394" s="14" t="s">
        <v>163</v>
      </c>
      <c r="H3394" s="14" t="s">
        <v>91</v>
      </c>
      <c r="I3394" s="14" t="s">
        <v>59</v>
      </c>
      <c r="J3394" s="14" t="s">
        <v>200</v>
      </c>
      <c r="K3394" s="14" t="s">
        <v>223</v>
      </c>
      <c r="L3394" s="14" t="s">
        <v>676</v>
      </c>
      <c r="M3394" s="14" t="s">
        <v>858</v>
      </c>
      <c r="N3394" s="14" t="s">
        <v>859</v>
      </c>
      <c r="O3394" s="14">
        <v>0.0</v>
      </c>
      <c r="P3394" s="23">
        <v>-1.0</v>
      </c>
      <c r="Q3394" s="22" t="str">
        <f t="shared" ref="Q3394:R3394" si="2023">"+0.00%"</f>
        <v>+0.00%</v>
      </c>
      <c r="R3394" s="18" t="str">
        <f t="shared" si="2023"/>
        <v>+0.00%</v>
      </c>
      <c r="S3394" s="14" t="s">
        <v>2043</v>
      </c>
    </row>
    <row r="3395">
      <c r="A3395" s="13">
        <v>45901.0</v>
      </c>
      <c r="B3395" s="14" t="s">
        <v>47</v>
      </c>
      <c r="C3395" s="14" t="s">
        <v>48</v>
      </c>
      <c r="D3395" s="14" t="s">
        <v>63</v>
      </c>
      <c r="E3395" s="14" t="s">
        <v>64</v>
      </c>
      <c r="F3395" s="15" t="s">
        <v>51</v>
      </c>
      <c r="G3395" s="14" t="s">
        <v>65</v>
      </c>
      <c r="H3395" s="14" t="s">
        <v>63</v>
      </c>
      <c r="I3395" s="14" t="s">
        <v>54</v>
      </c>
      <c r="J3395" s="14" t="s">
        <v>200</v>
      </c>
      <c r="K3395" s="14" t="s">
        <v>227</v>
      </c>
      <c r="L3395" s="14" t="s">
        <v>253</v>
      </c>
      <c r="M3395" s="14" t="s">
        <v>849</v>
      </c>
      <c r="N3395" s="14" t="s">
        <v>850</v>
      </c>
      <c r="O3395" s="14">
        <v>20.0</v>
      </c>
      <c r="P3395" s="23">
        <v>0.2</v>
      </c>
      <c r="Q3395" s="22" t="str">
        <f t="shared" ref="Q3395:R3395" si="2024">"+0.00%"</f>
        <v>+0.00%</v>
      </c>
      <c r="R3395" s="18" t="str">
        <f t="shared" si="2024"/>
        <v>+0.00%</v>
      </c>
      <c r="S3395" s="14" t="s">
        <v>851</v>
      </c>
    </row>
    <row r="3396">
      <c r="A3396" s="13">
        <v>45901.0</v>
      </c>
      <c r="B3396" s="14" t="s">
        <v>47</v>
      </c>
      <c r="C3396" s="14" t="s">
        <v>48</v>
      </c>
      <c r="D3396" s="14" t="s">
        <v>192</v>
      </c>
      <c r="E3396" s="14" t="s">
        <v>193</v>
      </c>
      <c r="F3396" s="15" t="s">
        <v>51</v>
      </c>
      <c r="G3396" s="14" t="s">
        <v>194</v>
      </c>
      <c r="H3396" s="14" t="s">
        <v>192</v>
      </c>
      <c r="I3396" s="14" t="s">
        <v>54</v>
      </c>
      <c r="J3396" s="14" t="s">
        <v>198</v>
      </c>
      <c r="K3396" s="14" t="s">
        <v>205</v>
      </c>
      <c r="L3396" s="14" t="s">
        <v>274</v>
      </c>
      <c r="M3396" s="14" t="s">
        <v>448</v>
      </c>
      <c r="N3396" s="14" t="s">
        <v>449</v>
      </c>
      <c r="O3396" s="14">
        <v>100.0</v>
      </c>
      <c r="P3396" s="21">
        <v>5.0</v>
      </c>
      <c r="Q3396" s="22" t="str">
        <f t="shared" ref="Q3396:Q3397" si="2025">"+0"</f>
        <v>+0</v>
      </c>
      <c r="S3396" s="14" t="s">
        <v>450</v>
      </c>
    </row>
    <row r="3397">
      <c r="A3397" s="13">
        <v>45901.0</v>
      </c>
      <c r="B3397" s="14" t="s">
        <v>47</v>
      </c>
      <c r="C3397" s="14" t="s">
        <v>48</v>
      </c>
      <c r="D3397" s="14" t="s">
        <v>93</v>
      </c>
      <c r="E3397" s="14" t="s">
        <v>94</v>
      </c>
      <c r="F3397" s="14" t="s">
        <v>71</v>
      </c>
      <c r="G3397" s="14">
        <v>5.36001438E8</v>
      </c>
      <c r="H3397" s="14" t="s">
        <v>95</v>
      </c>
      <c r="I3397" s="14" t="s">
        <v>59</v>
      </c>
      <c r="J3397" s="14" t="s">
        <v>199</v>
      </c>
      <c r="K3397" s="14" t="s">
        <v>203</v>
      </c>
      <c r="L3397" s="14" t="s">
        <v>725</v>
      </c>
      <c r="M3397" s="14" t="s">
        <v>725</v>
      </c>
      <c r="N3397" s="14" t="s">
        <v>726</v>
      </c>
      <c r="O3397" s="14">
        <v>0.0</v>
      </c>
      <c r="P3397" s="21">
        <v>0.0</v>
      </c>
      <c r="Q3397" s="22" t="str">
        <f t="shared" si="2025"/>
        <v>+0</v>
      </c>
      <c r="R3397" s="18" t="str">
        <f>"+0"</f>
        <v>+0</v>
      </c>
      <c r="S3397" s="14" t="s">
        <v>260</v>
      </c>
    </row>
    <row r="3398">
      <c r="A3398" s="13">
        <v>45901.0</v>
      </c>
      <c r="B3398" s="14" t="s">
        <v>47</v>
      </c>
      <c r="C3398" s="14" t="s">
        <v>48</v>
      </c>
      <c r="D3398" s="14" t="s">
        <v>66</v>
      </c>
      <c r="E3398" s="14" t="s">
        <v>67</v>
      </c>
      <c r="F3398" s="15" t="s">
        <v>51</v>
      </c>
      <c r="G3398" s="14" t="s">
        <v>68</v>
      </c>
      <c r="H3398" s="14" t="s">
        <v>66</v>
      </c>
      <c r="I3398" s="14" t="s">
        <v>59</v>
      </c>
      <c r="J3398" s="14" t="s">
        <v>200</v>
      </c>
      <c r="K3398" s="14" t="s">
        <v>223</v>
      </c>
      <c r="L3398" s="14" t="s">
        <v>261</v>
      </c>
      <c r="M3398" s="14" t="s">
        <v>906</v>
      </c>
      <c r="N3398" s="14" t="s">
        <v>907</v>
      </c>
      <c r="O3398" s="14">
        <v>0.0</v>
      </c>
      <c r="P3398" s="23">
        <v>0.0</v>
      </c>
      <c r="Q3398" s="22" t="str">
        <f t="shared" ref="Q3398:R3398" si="2026">"+0.00%"</f>
        <v>+0.00%</v>
      </c>
      <c r="R3398" s="18" t="str">
        <f t="shared" si="2026"/>
        <v>+0.00%</v>
      </c>
      <c r="S3398" s="14" t="s">
        <v>2044</v>
      </c>
    </row>
    <row r="3399">
      <c r="A3399" s="13">
        <v>45901.0</v>
      </c>
      <c r="B3399" s="14" t="s">
        <v>47</v>
      </c>
      <c r="C3399" s="14" t="s">
        <v>48</v>
      </c>
      <c r="D3399" s="14" t="s">
        <v>192</v>
      </c>
      <c r="E3399" s="14" t="s">
        <v>193</v>
      </c>
      <c r="F3399" s="15" t="s">
        <v>51</v>
      </c>
      <c r="G3399" s="14" t="s">
        <v>194</v>
      </c>
      <c r="H3399" s="14" t="s">
        <v>192</v>
      </c>
      <c r="I3399" s="14" t="s">
        <v>54</v>
      </c>
      <c r="J3399" s="14" t="s">
        <v>200</v>
      </c>
      <c r="K3399" s="14" t="s">
        <v>201</v>
      </c>
      <c r="L3399" s="14" t="s">
        <v>253</v>
      </c>
      <c r="M3399" s="14" t="s">
        <v>538</v>
      </c>
      <c r="N3399" s="14" t="s">
        <v>539</v>
      </c>
      <c r="O3399" s="14">
        <v>32.0</v>
      </c>
      <c r="P3399" s="23">
        <v>0.3295</v>
      </c>
      <c r="Q3399" s="22" t="str">
        <f>"+0.55%"</f>
        <v>+0.55%</v>
      </c>
      <c r="R3399" s="18" t="str">
        <f>"+3.04%"</f>
        <v>+3.04%</v>
      </c>
      <c r="S3399" s="14" t="s">
        <v>1732</v>
      </c>
    </row>
    <row r="3400">
      <c r="A3400" s="13">
        <v>45901.0</v>
      </c>
      <c r="B3400" s="14" t="s">
        <v>47</v>
      </c>
      <c r="C3400" s="14" t="s">
        <v>48</v>
      </c>
      <c r="D3400" s="14" t="s">
        <v>192</v>
      </c>
      <c r="E3400" s="14" t="s">
        <v>193</v>
      </c>
      <c r="F3400" s="15" t="s">
        <v>51</v>
      </c>
      <c r="G3400" s="14" t="s">
        <v>194</v>
      </c>
      <c r="H3400" s="14" t="s">
        <v>192</v>
      </c>
      <c r="I3400" s="14" t="s">
        <v>54</v>
      </c>
      <c r="J3400" s="14" t="s">
        <v>200</v>
      </c>
      <c r="K3400" s="14" t="s">
        <v>223</v>
      </c>
      <c r="L3400" s="14" t="s">
        <v>422</v>
      </c>
      <c r="M3400" s="14" t="s">
        <v>423</v>
      </c>
      <c r="N3400" s="14" t="s">
        <v>424</v>
      </c>
      <c r="O3400" s="14">
        <v>100.0</v>
      </c>
      <c r="P3400" s="21">
        <v>21.0</v>
      </c>
      <c r="Q3400" s="22" t="str">
        <f t="shared" ref="Q3400:R3400" si="2027">"+0"</f>
        <v>+0</v>
      </c>
      <c r="R3400" s="18" t="str">
        <f t="shared" si="2027"/>
        <v>+0</v>
      </c>
      <c r="S3400" s="14" t="s">
        <v>260</v>
      </c>
    </row>
    <row r="3401">
      <c r="A3401" s="13">
        <v>45901.0</v>
      </c>
      <c r="B3401" s="14" t="s">
        <v>47</v>
      </c>
      <c r="C3401" s="14" t="s">
        <v>48</v>
      </c>
      <c r="D3401" s="14" t="s">
        <v>192</v>
      </c>
      <c r="E3401" s="14" t="s">
        <v>193</v>
      </c>
      <c r="F3401" s="15" t="s">
        <v>51</v>
      </c>
      <c r="G3401" s="14" t="s">
        <v>194</v>
      </c>
      <c r="H3401" s="14" t="s">
        <v>192</v>
      </c>
      <c r="I3401" s="14" t="s">
        <v>54</v>
      </c>
      <c r="J3401" s="14" t="s">
        <v>199</v>
      </c>
      <c r="K3401" s="14" t="s">
        <v>208</v>
      </c>
      <c r="L3401" s="14" t="s">
        <v>352</v>
      </c>
      <c r="M3401" s="14" t="s">
        <v>352</v>
      </c>
      <c r="N3401" s="14" t="s">
        <v>353</v>
      </c>
      <c r="O3401" s="14">
        <v>100.0</v>
      </c>
      <c r="P3401" s="21">
        <v>83.0</v>
      </c>
      <c r="Q3401" s="22" t="str">
        <f>"+0"</f>
        <v>+0</v>
      </c>
      <c r="R3401" s="18" t="str">
        <f>"+6"</f>
        <v>+6</v>
      </c>
      <c r="S3401" s="14" t="s">
        <v>260</v>
      </c>
    </row>
    <row r="3402">
      <c r="A3402" s="13">
        <v>45901.0</v>
      </c>
      <c r="B3402" s="14" t="s">
        <v>47</v>
      </c>
      <c r="C3402" s="14" t="s">
        <v>48</v>
      </c>
      <c r="D3402" s="14" t="s">
        <v>192</v>
      </c>
      <c r="E3402" s="14" t="s">
        <v>193</v>
      </c>
      <c r="F3402" s="15" t="s">
        <v>51</v>
      </c>
      <c r="G3402" s="14" t="s">
        <v>194</v>
      </c>
      <c r="H3402" s="14" t="s">
        <v>192</v>
      </c>
      <c r="I3402" s="14" t="s">
        <v>54</v>
      </c>
      <c r="J3402" s="14" t="s">
        <v>200</v>
      </c>
      <c r="K3402" s="14" t="s">
        <v>219</v>
      </c>
      <c r="L3402" s="14" t="s">
        <v>253</v>
      </c>
      <c r="M3402" s="14" t="s">
        <v>1614</v>
      </c>
      <c r="N3402" s="14" t="s">
        <v>1615</v>
      </c>
      <c r="O3402" s="14">
        <v>100.0</v>
      </c>
      <c r="P3402" s="23">
        <v>1.0</v>
      </c>
      <c r="Q3402" s="22" t="str">
        <f t="shared" ref="Q3402:R3402" si="2028">"+0.00%"</f>
        <v>+0.00%</v>
      </c>
      <c r="R3402" s="18" t="str">
        <f t="shared" si="2028"/>
        <v>+0.00%</v>
      </c>
      <c r="S3402" s="14" t="s">
        <v>285</v>
      </c>
    </row>
    <row r="3403">
      <c r="A3403" s="13">
        <v>45901.0</v>
      </c>
      <c r="B3403" s="14" t="s">
        <v>47</v>
      </c>
      <c r="C3403" s="14" t="s">
        <v>48</v>
      </c>
      <c r="D3403" s="14" t="s">
        <v>143</v>
      </c>
      <c r="E3403" s="14" t="s">
        <v>144</v>
      </c>
      <c r="F3403" s="15" t="s">
        <v>51</v>
      </c>
      <c r="G3403" s="14" t="s">
        <v>145</v>
      </c>
      <c r="H3403" s="14" t="s">
        <v>143</v>
      </c>
      <c r="I3403" s="14" t="s">
        <v>59</v>
      </c>
      <c r="J3403" s="14" t="s">
        <v>200</v>
      </c>
      <c r="K3403" s="14" t="s">
        <v>224</v>
      </c>
      <c r="L3403" s="14" t="s">
        <v>427</v>
      </c>
      <c r="M3403" s="14" t="s">
        <v>895</v>
      </c>
      <c r="N3403" s="14" t="s">
        <v>896</v>
      </c>
      <c r="O3403" s="14">
        <v>0.0</v>
      </c>
      <c r="P3403" s="23">
        <v>0.0</v>
      </c>
      <c r="Q3403" s="22" t="str">
        <f>"+0.00%"</f>
        <v>+0.00%</v>
      </c>
      <c r="S3403" s="14" t="s">
        <v>897</v>
      </c>
    </row>
    <row r="3404">
      <c r="A3404" s="13">
        <v>45901.0</v>
      </c>
      <c r="B3404" s="14" t="s">
        <v>47</v>
      </c>
      <c r="C3404" s="14" t="s">
        <v>48</v>
      </c>
      <c r="D3404" s="14" t="s">
        <v>171</v>
      </c>
      <c r="E3404" s="14" t="s">
        <v>172</v>
      </c>
      <c r="F3404" s="15" t="s">
        <v>51</v>
      </c>
      <c r="G3404" s="14" t="s">
        <v>173</v>
      </c>
      <c r="H3404" s="14" t="s">
        <v>171</v>
      </c>
      <c r="I3404" s="14" t="s">
        <v>59</v>
      </c>
      <c r="J3404" s="14" t="s">
        <v>199</v>
      </c>
      <c r="K3404" s="14" t="s">
        <v>206</v>
      </c>
      <c r="L3404" s="14" t="s">
        <v>295</v>
      </c>
      <c r="M3404" s="14" t="s">
        <v>296</v>
      </c>
      <c r="N3404" s="14" t="s">
        <v>297</v>
      </c>
      <c r="O3404" s="14">
        <v>0.0</v>
      </c>
      <c r="P3404" s="21">
        <v>0.0</v>
      </c>
      <c r="Q3404" s="22" t="str">
        <f t="shared" ref="Q3404:R3404" si="2029">"+0"</f>
        <v>+0</v>
      </c>
      <c r="R3404" s="18" t="str">
        <f t="shared" si="2029"/>
        <v>+0</v>
      </c>
      <c r="S3404" s="14" t="s">
        <v>260</v>
      </c>
    </row>
    <row r="3405">
      <c r="A3405" s="13">
        <v>45901.0</v>
      </c>
      <c r="B3405" s="14" t="s">
        <v>47</v>
      </c>
      <c r="C3405" s="14" t="s">
        <v>48</v>
      </c>
      <c r="D3405" s="14" t="s">
        <v>171</v>
      </c>
      <c r="E3405" s="14" t="s">
        <v>172</v>
      </c>
      <c r="F3405" s="15" t="s">
        <v>51</v>
      </c>
      <c r="G3405" s="14" t="s">
        <v>173</v>
      </c>
      <c r="H3405" s="14" t="s">
        <v>171</v>
      </c>
      <c r="I3405" s="14" t="s">
        <v>59</v>
      </c>
      <c r="J3405" s="14" t="s">
        <v>198</v>
      </c>
      <c r="K3405" s="14" t="s">
        <v>205</v>
      </c>
      <c r="L3405" s="14" t="s">
        <v>274</v>
      </c>
      <c r="M3405" s="14" t="s">
        <v>767</v>
      </c>
      <c r="N3405" s="14" t="s">
        <v>768</v>
      </c>
      <c r="O3405" s="14">
        <v>100.0</v>
      </c>
      <c r="P3405" s="21">
        <v>1.0</v>
      </c>
      <c r="Q3405" s="22" t="str">
        <f>"+0"</f>
        <v>+0</v>
      </c>
      <c r="S3405" s="14" t="s">
        <v>281</v>
      </c>
    </row>
    <row r="3406">
      <c r="A3406" s="13">
        <v>45901.0</v>
      </c>
      <c r="B3406" s="14" t="s">
        <v>47</v>
      </c>
      <c r="C3406" s="14" t="s">
        <v>48</v>
      </c>
      <c r="D3406" s="14" t="s">
        <v>69</v>
      </c>
      <c r="E3406" s="14" t="s">
        <v>70</v>
      </c>
      <c r="F3406" s="15" t="s">
        <v>51</v>
      </c>
      <c r="G3406" s="14" t="s">
        <v>115</v>
      </c>
      <c r="H3406" s="14" t="s">
        <v>72</v>
      </c>
      <c r="I3406" s="14" t="s">
        <v>54</v>
      </c>
      <c r="J3406" s="14" t="s">
        <v>200</v>
      </c>
      <c r="K3406" s="14" t="s">
        <v>213</v>
      </c>
      <c r="L3406" s="14" t="s">
        <v>359</v>
      </c>
      <c r="M3406" s="14" t="s">
        <v>360</v>
      </c>
      <c r="N3406" s="14" t="s">
        <v>361</v>
      </c>
      <c r="O3406" s="14">
        <v>1.0</v>
      </c>
      <c r="P3406" s="23">
        <v>2.0E-4</v>
      </c>
      <c r="Q3406" s="22" t="str">
        <f>"+0.02%"</f>
        <v>+0.02%</v>
      </c>
      <c r="R3406" s="18" t="str">
        <f>"-0.02%"</f>
        <v>-0.02%</v>
      </c>
      <c r="S3406" s="14" t="s">
        <v>2045</v>
      </c>
    </row>
    <row r="3407">
      <c r="A3407" s="13">
        <v>45901.0</v>
      </c>
      <c r="B3407" s="14" t="s">
        <v>47</v>
      </c>
      <c r="C3407" s="14" t="s">
        <v>48</v>
      </c>
      <c r="D3407" s="14" t="s">
        <v>69</v>
      </c>
      <c r="E3407" s="14" t="s">
        <v>70</v>
      </c>
      <c r="F3407" s="15" t="s">
        <v>51</v>
      </c>
      <c r="G3407" s="14" t="s">
        <v>115</v>
      </c>
      <c r="H3407" s="14" t="s">
        <v>72</v>
      </c>
      <c r="I3407" s="14" t="s">
        <v>54</v>
      </c>
      <c r="J3407" s="14" t="s">
        <v>200</v>
      </c>
      <c r="K3407" s="14" t="s">
        <v>222</v>
      </c>
      <c r="L3407" s="14" t="s">
        <v>1158</v>
      </c>
      <c r="M3407" s="14" t="s">
        <v>1458</v>
      </c>
      <c r="N3407" s="14" t="s">
        <v>1459</v>
      </c>
      <c r="O3407" s="14">
        <v>0.0</v>
      </c>
      <c r="P3407" s="21">
        <v>0.0</v>
      </c>
      <c r="Q3407" s="22" t="str">
        <f t="shared" ref="Q3407:R3407" si="2030">"+0"</f>
        <v>+0</v>
      </c>
      <c r="R3407" s="18" t="str">
        <f t="shared" si="2030"/>
        <v>+0</v>
      </c>
      <c r="S3407" s="14" t="s">
        <v>260</v>
      </c>
    </row>
    <row r="3408">
      <c r="A3408" s="13">
        <v>45901.0</v>
      </c>
      <c r="B3408" s="14" t="s">
        <v>47</v>
      </c>
      <c r="C3408" s="14" t="s">
        <v>48</v>
      </c>
      <c r="D3408" s="14" t="s">
        <v>125</v>
      </c>
      <c r="E3408" s="14" t="s">
        <v>126</v>
      </c>
      <c r="F3408" s="15" t="s">
        <v>51</v>
      </c>
      <c r="G3408" s="14" t="s">
        <v>127</v>
      </c>
      <c r="H3408" s="14" t="s">
        <v>125</v>
      </c>
      <c r="I3408" s="14" t="s">
        <v>59</v>
      </c>
      <c r="J3408" s="14" t="s">
        <v>200</v>
      </c>
      <c r="K3408" s="14" t="s">
        <v>232</v>
      </c>
      <c r="L3408" s="14" t="s">
        <v>304</v>
      </c>
      <c r="M3408" s="14" t="s">
        <v>688</v>
      </c>
      <c r="N3408" s="14" t="s">
        <v>689</v>
      </c>
      <c r="O3408" s="14">
        <v>0.0</v>
      </c>
      <c r="P3408" s="23">
        <v>0.0</v>
      </c>
      <c r="Q3408" s="22" t="str">
        <f t="shared" ref="Q3408:R3408" si="2031">"+0.00%"</f>
        <v>+0.00%</v>
      </c>
      <c r="R3408" s="18" t="str">
        <f t="shared" si="2031"/>
        <v>+0.00%</v>
      </c>
      <c r="S3408" s="14" t="s">
        <v>2046</v>
      </c>
    </row>
    <row r="3409">
      <c r="A3409" s="13">
        <v>45901.0</v>
      </c>
      <c r="B3409" s="14" t="s">
        <v>47</v>
      </c>
      <c r="C3409" s="14" t="s">
        <v>48</v>
      </c>
      <c r="D3409" s="14" t="s">
        <v>85</v>
      </c>
      <c r="E3409" s="14" t="s">
        <v>86</v>
      </c>
      <c r="F3409" s="15" t="s">
        <v>51</v>
      </c>
      <c r="G3409" s="14" t="s">
        <v>148</v>
      </c>
      <c r="H3409" s="14" t="s">
        <v>85</v>
      </c>
      <c r="I3409" s="14" t="s">
        <v>59</v>
      </c>
      <c r="J3409" s="14" t="s">
        <v>200</v>
      </c>
      <c r="K3409" s="14" t="s">
        <v>227</v>
      </c>
      <c r="L3409" s="14" t="s">
        <v>721</v>
      </c>
      <c r="M3409" s="14" t="s">
        <v>722</v>
      </c>
      <c r="N3409" s="14" t="s">
        <v>723</v>
      </c>
      <c r="O3409" s="14">
        <v>44.0</v>
      </c>
      <c r="P3409" s="23">
        <v>-0.1143</v>
      </c>
      <c r="Q3409" s="22" t="str">
        <f>"+1.88%"</f>
        <v>+1.88%</v>
      </c>
      <c r="R3409" s="18" t="str">
        <f>"-32.68%"</f>
        <v>-32.68%</v>
      </c>
      <c r="S3409" s="14" t="s">
        <v>724</v>
      </c>
    </row>
    <row r="3410">
      <c r="A3410" s="13">
        <v>45901.0</v>
      </c>
      <c r="B3410" s="14" t="s">
        <v>47</v>
      </c>
      <c r="C3410" s="14" t="s">
        <v>48</v>
      </c>
      <c r="D3410" s="14" t="s">
        <v>125</v>
      </c>
      <c r="E3410" s="14" t="s">
        <v>126</v>
      </c>
      <c r="F3410" s="15" t="s">
        <v>51</v>
      </c>
      <c r="G3410" s="14" t="s">
        <v>127</v>
      </c>
      <c r="H3410" s="14" t="s">
        <v>125</v>
      </c>
      <c r="I3410" s="14" t="s">
        <v>59</v>
      </c>
      <c r="J3410" s="14" t="s">
        <v>200</v>
      </c>
      <c r="K3410" s="14" t="s">
        <v>232</v>
      </c>
      <c r="L3410" s="14" t="s">
        <v>261</v>
      </c>
      <c r="M3410" s="14" t="s">
        <v>262</v>
      </c>
      <c r="N3410" s="14" t="s">
        <v>263</v>
      </c>
      <c r="O3410" s="14">
        <v>0.0</v>
      </c>
      <c r="P3410" s="21">
        <v>0.0</v>
      </c>
      <c r="Q3410" s="22" t="str">
        <f t="shared" ref="Q3410:R3410" si="2032">"+0"</f>
        <v>+0</v>
      </c>
      <c r="R3410" s="18" t="str">
        <f t="shared" si="2032"/>
        <v>+0</v>
      </c>
      <c r="S3410" s="14" t="s">
        <v>260</v>
      </c>
    </row>
    <row r="3411">
      <c r="A3411" s="13">
        <v>45901.0</v>
      </c>
      <c r="B3411" s="14" t="s">
        <v>47</v>
      </c>
      <c r="C3411" s="14" t="s">
        <v>48</v>
      </c>
      <c r="D3411" s="14" t="s">
        <v>116</v>
      </c>
      <c r="E3411" s="14" t="s">
        <v>117</v>
      </c>
      <c r="F3411" s="15" t="s">
        <v>51</v>
      </c>
      <c r="G3411" s="14" t="s">
        <v>161</v>
      </c>
      <c r="H3411" s="14" t="s">
        <v>116</v>
      </c>
      <c r="I3411" s="14" t="s">
        <v>54</v>
      </c>
      <c r="J3411" s="14" t="s">
        <v>200</v>
      </c>
      <c r="K3411" s="14" t="s">
        <v>213</v>
      </c>
      <c r="L3411" s="14" t="s">
        <v>307</v>
      </c>
      <c r="M3411" s="14" t="s">
        <v>308</v>
      </c>
      <c r="N3411" s="14" t="s">
        <v>309</v>
      </c>
      <c r="O3411" s="14">
        <v>0.0</v>
      </c>
      <c r="P3411" s="23">
        <v>0.0</v>
      </c>
      <c r="Q3411" s="22" t="str">
        <f t="shared" ref="Q3411:R3411" si="2033">"+0.00%"</f>
        <v>+0.00%</v>
      </c>
      <c r="R3411" s="18" t="str">
        <f t="shared" si="2033"/>
        <v>+0.00%</v>
      </c>
      <c r="S3411" s="14" t="s">
        <v>285</v>
      </c>
    </row>
    <row r="3412">
      <c r="A3412" s="13">
        <v>45901.0</v>
      </c>
      <c r="B3412" s="14" t="s">
        <v>47</v>
      </c>
      <c r="C3412" s="14" t="s">
        <v>48</v>
      </c>
      <c r="D3412" s="14" t="s">
        <v>116</v>
      </c>
      <c r="E3412" s="14" t="s">
        <v>117</v>
      </c>
      <c r="F3412" s="15" t="s">
        <v>51</v>
      </c>
      <c r="G3412" s="14" t="s">
        <v>161</v>
      </c>
      <c r="H3412" s="14" t="s">
        <v>116</v>
      </c>
      <c r="I3412" s="14" t="s">
        <v>54</v>
      </c>
      <c r="J3412" s="14" t="s">
        <v>200</v>
      </c>
      <c r="K3412" s="14" t="s">
        <v>213</v>
      </c>
      <c r="L3412" s="14" t="s">
        <v>253</v>
      </c>
      <c r="M3412" s="14" t="s">
        <v>389</v>
      </c>
      <c r="N3412" s="14" t="s">
        <v>390</v>
      </c>
      <c r="O3412" s="14">
        <v>99.0</v>
      </c>
      <c r="P3412" s="23">
        <v>0.9987</v>
      </c>
      <c r="Q3412" s="22" t="str">
        <f>"+2.23%"</f>
        <v>+2.23%</v>
      </c>
      <c r="R3412" s="18" t="str">
        <f>"-0.13%"</f>
        <v>-0.13%</v>
      </c>
      <c r="S3412" s="14" t="s">
        <v>2047</v>
      </c>
    </row>
    <row r="3413">
      <c r="A3413" s="13">
        <v>45901.0</v>
      </c>
      <c r="B3413" s="14" t="s">
        <v>47</v>
      </c>
      <c r="C3413" s="14" t="s">
        <v>48</v>
      </c>
      <c r="D3413" s="14" t="s">
        <v>112</v>
      </c>
      <c r="E3413" s="14" t="s">
        <v>113</v>
      </c>
      <c r="F3413" s="15" t="s">
        <v>51</v>
      </c>
      <c r="G3413" s="14" t="s">
        <v>114</v>
      </c>
      <c r="H3413" s="14" t="s">
        <v>112</v>
      </c>
      <c r="I3413" s="14" t="s">
        <v>59</v>
      </c>
      <c r="J3413" s="14" t="s">
        <v>200</v>
      </c>
      <c r="K3413" s="14" t="s">
        <v>227</v>
      </c>
      <c r="L3413" s="14" t="s">
        <v>253</v>
      </c>
      <c r="M3413" s="14" t="s">
        <v>811</v>
      </c>
      <c r="N3413" s="14" t="s">
        <v>812</v>
      </c>
      <c r="O3413" s="14">
        <v>0.0</v>
      </c>
      <c r="P3413" s="23">
        <v>0.0</v>
      </c>
      <c r="Q3413" s="22" t="str">
        <f t="shared" ref="Q3413:R3413" si="2034">"+0.00%"</f>
        <v>+0.00%</v>
      </c>
      <c r="R3413" s="18" t="str">
        <f t="shared" si="2034"/>
        <v>+0.00%</v>
      </c>
      <c r="S3413" s="14" t="s">
        <v>813</v>
      </c>
    </row>
    <row r="3414">
      <c r="A3414" s="13">
        <v>45901.0</v>
      </c>
      <c r="B3414" s="14" t="s">
        <v>47</v>
      </c>
      <c r="C3414" s="14" t="s">
        <v>48</v>
      </c>
      <c r="D3414" s="14" t="s">
        <v>116</v>
      </c>
      <c r="E3414" s="14" t="s">
        <v>117</v>
      </c>
      <c r="F3414" s="15" t="s">
        <v>51</v>
      </c>
      <c r="G3414" s="14" t="s">
        <v>161</v>
      </c>
      <c r="H3414" s="14" t="s">
        <v>116</v>
      </c>
      <c r="I3414" s="14" t="s">
        <v>54</v>
      </c>
      <c r="J3414" s="14" t="s">
        <v>198</v>
      </c>
      <c r="K3414" s="14" t="s">
        <v>212</v>
      </c>
      <c r="L3414" s="14" t="s">
        <v>344</v>
      </c>
      <c r="M3414" s="14" t="s">
        <v>580</v>
      </c>
      <c r="N3414" s="14" t="s">
        <v>581</v>
      </c>
      <c r="O3414" s="14">
        <v>100.0</v>
      </c>
      <c r="P3414" s="21">
        <v>1.0</v>
      </c>
      <c r="Q3414" s="22" t="str">
        <f>"+1"</f>
        <v>+1</v>
      </c>
      <c r="S3414" s="14" t="s">
        <v>281</v>
      </c>
    </row>
    <row r="3415">
      <c r="A3415" s="13">
        <v>45901.0</v>
      </c>
      <c r="B3415" s="14" t="s">
        <v>47</v>
      </c>
      <c r="C3415" s="14" t="s">
        <v>48</v>
      </c>
      <c r="D3415" s="14" t="s">
        <v>112</v>
      </c>
      <c r="E3415" s="14" t="s">
        <v>113</v>
      </c>
      <c r="F3415" s="15" t="s">
        <v>51</v>
      </c>
      <c r="G3415" s="14" t="s">
        <v>114</v>
      </c>
      <c r="H3415" s="14" t="s">
        <v>112</v>
      </c>
      <c r="I3415" s="14" t="s">
        <v>59</v>
      </c>
      <c r="J3415" s="14" t="s">
        <v>200</v>
      </c>
      <c r="K3415" s="14" t="s">
        <v>213</v>
      </c>
      <c r="L3415" s="14" t="s">
        <v>289</v>
      </c>
      <c r="M3415" s="14" t="s">
        <v>684</v>
      </c>
      <c r="N3415" s="14" t="s">
        <v>685</v>
      </c>
      <c r="O3415" s="14">
        <v>0.0</v>
      </c>
      <c r="P3415" s="23">
        <v>0.0</v>
      </c>
      <c r="Q3415" s="22" t="str">
        <f t="shared" ref="Q3415:R3415" si="2035">"+0.00%"</f>
        <v>+0.00%</v>
      </c>
      <c r="R3415" s="18" t="str">
        <f t="shared" si="2035"/>
        <v>+0.00%</v>
      </c>
      <c r="S3415" s="14" t="s">
        <v>285</v>
      </c>
    </row>
    <row r="3416">
      <c r="A3416" s="13">
        <v>45901.0</v>
      </c>
      <c r="B3416" s="14" t="s">
        <v>47</v>
      </c>
      <c r="C3416" s="14" t="s">
        <v>48</v>
      </c>
      <c r="D3416" s="14" t="s">
        <v>60</v>
      </c>
      <c r="E3416" s="14" t="s">
        <v>61</v>
      </c>
      <c r="F3416" s="15" t="s">
        <v>51</v>
      </c>
      <c r="G3416" s="14" t="s">
        <v>62</v>
      </c>
      <c r="H3416" s="14" t="s">
        <v>60</v>
      </c>
      <c r="I3416" s="14" t="s">
        <v>59</v>
      </c>
      <c r="J3416" s="14" t="s">
        <v>200</v>
      </c>
      <c r="K3416" s="14" t="s">
        <v>223</v>
      </c>
      <c r="L3416" s="14" t="s">
        <v>286</v>
      </c>
      <c r="M3416" s="14" t="s">
        <v>656</v>
      </c>
      <c r="N3416" s="14" t="s">
        <v>657</v>
      </c>
      <c r="O3416" s="14">
        <v>0.0</v>
      </c>
      <c r="P3416" s="23">
        <v>0.0</v>
      </c>
      <c r="Q3416" s="22" t="str">
        <f t="shared" ref="Q3416:R3416" si="2036">"+0.00%"</f>
        <v>+0.00%</v>
      </c>
      <c r="R3416" s="18" t="str">
        <f t="shared" si="2036"/>
        <v>+0.00%</v>
      </c>
      <c r="S3416" s="14" t="s">
        <v>285</v>
      </c>
    </row>
    <row r="3417">
      <c r="A3417" s="13">
        <v>45901.0</v>
      </c>
      <c r="B3417" s="14" t="s">
        <v>47</v>
      </c>
      <c r="C3417" s="14" t="s">
        <v>48</v>
      </c>
      <c r="D3417" s="14" t="s">
        <v>140</v>
      </c>
      <c r="E3417" s="14" t="s">
        <v>141</v>
      </c>
      <c r="F3417" s="15" t="s">
        <v>51</v>
      </c>
      <c r="G3417" s="14" t="s">
        <v>142</v>
      </c>
      <c r="H3417" s="14" t="s">
        <v>140</v>
      </c>
      <c r="I3417" s="14" t="s">
        <v>59</v>
      </c>
      <c r="J3417" s="14" t="s">
        <v>200</v>
      </c>
      <c r="K3417" s="14" t="s">
        <v>213</v>
      </c>
      <c r="L3417" s="14" t="s">
        <v>440</v>
      </c>
      <c r="M3417" s="14" t="s">
        <v>441</v>
      </c>
      <c r="N3417" s="14" t="s">
        <v>442</v>
      </c>
      <c r="O3417" s="14">
        <v>0.0</v>
      </c>
      <c r="P3417" s="23">
        <v>0.0</v>
      </c>
      <c r="Q3417" s="22" t="str">
        <f t="shared" ref="Q3417:R3417" si="2037">"+0.00%"</f>
        <v>+0.00%</v>
      </c>
      <c r="R3417" s="18" t="str">
        <f t="shared" si="2037"/>
        <v>+0.00%</v>
      </c>
      <c r="S3417" s="14" t="s">
        <v>285</v>
      </c>
    </row>
    <row r="3418">
      <c r="A3418" s="13">
        <v>45901.0</v>
      </c>
      <c r="B3418" s="14" t="s">
        <v>47</v>
      </c>
      <c r="C3418" s="14" t="s">
        <v>48</v>
      </c>
      <c r="D3418" s="14" t="s">
        <v>60</v>
      </c>
      <c r="E3418" s="14" t="s">
        <v>61</v>
      </c>
      <c r="F3418" s="15" t="s">
        <v>51</v>
      </c>
      <c r="G3418" s="14" t="s">
        <v>62</v>
      </c>
      <c r="H3418" s="14" t="s">
        <v>60</v>
      </c>
      <c r="I3418" s="14" t="s">
        <v>59</v>
      </c>
      <c r="J3418" s="14" t="s">
        <v>200</v>
      </c>
      <c r="K3418" s="14" t="s">
        <v>223</v>
      </c>
      <c r="L3418" s="14" t="s">
        <v>261</v>
      </c>
      <c r="M3418" s="14" t="s">
        <v>566</v>
      </c>
      <c r="N3418" s="14" t="s">
        <v>567</v>
      </c>
      <c r="O3418" s="14">
        <v>0.0</v>
      </c>
      <c r="P3418" s="23">
        <v>0.0</v>
      </c>
      <c r="Q3418" s="22" t="str">
        <f>"-2.70%"</f>
        <v>-2.70%</v>
      </c>
      <c r="R3418" s="18" t="str">
        <f>"-1.85%"</f>
        <v>-1.85%</v>
      </c>
      <c r="S3418" s="14" t="s">
        <v>2048</v>
      </c>
    </row>
    <row r="3419">
      <c r="A3419" s="13">
        <v>45901.0</v>
      </c>
      <c r="B3419" s="14" t="s">
        <v>47</v>
      </c>
      <c r="C3419" s="14" t="s">
        <v>48</v>
      </c>
      <c r="D3419" s="14" t="s">
        <v>165</v>
      </c>
      <c r="E3419" s="14" t="s">
        <v>166</v>
      </c>
      <c r="F3419" s="15" t="s">
        <v>51</v>
      </c>
      <c r="G3419" s="14" t="s">
        <v>167</v>
      </c>
      <c r="H3419" s="14" t="s">
        <v>165</v>
      </c>
      <c r="I3419" s="14" t="s">
        <v>54</v>
      </c>
      <c r="J3419" s="14" t="s">
        <v>198</v>
      </c>
      <c r="K3419" s="14" t="s">
        <v>210</v>
      </c>
      <c r="L3419" s="14" t="s">
        <v>264</v>
      </c>
      <c r="M3419" s="14" t="s">
        <v>930</v>
      </c>
      <c r="N3419" s="14" t="s">
        <v>931</v>
      </c>
      <c r="O3419" s="14">
        <v>0.0</v>
      </c>
      <c r="P3419" s="21">
        <v>0.0</v>
      </c>
      <c r="Q3419" s="22" t="str">
        <f t="shared" ref="Q3419:R3419" si="2038">"+0"</f>
        <v>+0</v>
      </c>
      <c r="R3419" s="18" t="str">
        <f t="shared" si="2038"/>
        <v>+0</v>
      </c>
      <c r="S3419" s="14" t="s">
        <v>277</v>
      </c>
    </row>
    <row r="3420">
      <c r="A3420" s="13">
        <v>45901.0</v>
      </c>
      <c r="B3420" s="14" t="s">
        <v>47</v>
      </c>
      <c r="C3420" s="14" t="s">
        <v>48</v>
      </c>
      <c r="D3420" s="14" t="s">
        <v>49</v>
      </c>
      <c r="E3420" s="14" t="s">
        <v>50</v>
      </c>
      <c r="F3420" s="15" t="s">
        <v>51</v>
      </c>
      <c r="G3420" s="14" t="s">
        <v>52</v>
      </c>
      <c r="H3420" s="14" t="s">
        <v>53</v>
      </c>
      <c r="I3420" s="14" t="s">
        <v>54</v>
      </c>
      <c r="J3420" s="14" t="s">
        <v>200</v>
      </c>
      <c r="K3420" s="14" t="s">
        <v>204</v>
      </c>
      <c r="L3420" s="14" t="s">
        <v>253</v>
      </c>
      <c r="M3420" s="14" t="s">
        <v>793</v>
      </c>
      <c r="N3420" s="14" t="s">
        <v>794</v>
      </c>
      <c r="O3420" s="14">
        <v>1.0</v>
      </c>
      <c r="P3420" s="23">
        <v>0.01</v>
      </c>
      <c r="Q3420" s="22" t="str">
        <f>"+0.00%"</f>
        <v>+0.00%</v>
      </c>
      <c r="R3420" s="18" t="str">
        <f>"-0.24%"</f>
        <v>-0.24%</v>
      </c>
      <c r="S3420" s="14" t="s">
        <v>1232</v>
      </c>
    </row>
    <row r="3421">
      <c r="A3421" s="13">
        <v>45901.0</v>
      </c>
      <c r="B3421" s="14" t="s">
        <v>47</v>
      </c>
      <c r="C3421" s="14" t="s">
        <v>48</v>
      </c>
      <c r="D3421" s="14" t="s">
        <v>49</v>
      </c>
      <c r="E3421" s="14" t="s">
        <v>50</v>
      </c>
      <c r="F3421" s="15" t="s">
        <v>51</v>
      </c>
      <c r="G3421" s="14" t="s">
        <v>52</v>
      </c>
      <c r="H3421" s="14" t="s">
        <v>53</v>
      </c>
      <c r="I3421" s="14" t="s">
        <v>54</v>
      </c>
      <c r="J3421" s="14" t="s">
        <v>199</v>
      </c>
      <c r="K3421" s="14" t="s">
        <v>203</v>
      </c>
      <c r="L3421" s="14" t="s">
        <v>862</v>
      </c>
      <c r="M3421" s="14" t="s">
        <v>862</v>
      </c>
      <c r="N3421" s="14" t="s">
        <v>863</v>
      </c>
      <c r="O3421" s="14">
        <v>0.0</v>
      </c>
      <c r="P3421" s="21">
        <v>0.0</v>
      </c>
      <c r="Q3421" s="22" t="str">
        <f>"+0"</f>
        <v>+0</v>
      </c>
      <c r="R3421" s="18" t="str">
        <f>"-1"</f>
        <v>-1</v>
      </c>
      <c r="S3421" s="14" t="s">
        <v>260</v>
      </c>
    </row>
    <row r="3422">
      <c r="A3422" s="13">
        <v>45901.0</v>
      </c>
      <c r="B3422" s="14" t="s">
        <v>47</v>
      </c>
      <c r="C3422" s="14" t="s">
        <v>48</v>
      </c>
      <c r="D3422" s="14" t="s">
        <v>63</v>
      </c>
      <c r="E3422" s="14" t="s">
        <v>64</v>
      </c>
      <c r="F3422" s="15" t="s">
        <v>51</v>
      </c>
      <c r="G3422" s="14" t="s">
        <v>65</v>
      </c>
      <c r="H3422" s="14" t="s">
        <v>63</v>
      </c>
      <c r="I3422" s="14" t="s">
        <v>54</v>
      </c>
      <c r="J3422" s="14" t="s">
        <v>200</v>
      </c>
      <c r="K3422" s="14" t="s">
        <v>224</v>
      </c>
      <c r="L3422" s="14" t="s">
        <v>427</v>
      </c>
      <c r="M3422" s="14" t="s">
        <v>921</v>
      </c>
      <c r="N3422" s="14" t="s">
        <v>922</v>
      </c>
      <c r="O3422" s="14">
        <v>0.0</v>
      </c>
      <c r="P3422" s="23">
        <v>0.0</v>
      </c>
      <c r="Q3422" s="22" t="str">
        <f t="shared" ref="Q3422:R3422" si="2039">"+0.00%"</f>
        <v>+0.00%</v>
      </c>
      <c r="R3422" s="18" t="str">
        <f t="shared" si="2039"/>
        <v>+0.00%</v>
      </c>
      <c r="S3422" s="14" t="s">
        <v>923</v>
      </c>
    </row>
    <row r="3423">
      <c r="A3423" s="13">
        <v>45901.0</v>
      </c>
      <c r="B3423" s="14" t="s">
        <v>47</v>
      </c>
      <c r="C3423" s="14" t="s">
        <v>48</v>
      </c>
      <c r="D3423" s="14" t="s">
        <v>63</v>
      </c>
      <c r="E3423" s="14" t="s">
        <v>64</v>
      </c>
      <c r="F3423" s="15" t="s">
        <v>51</v>
      </c>
      <c r="G3423" s="14" t="s">
        <v>65</v>
      </c>
      <c r="H3423" s="14" t="s">
        <v>63</v>
      </c>
      <c r="I3423" s="14" t="s">
        <v>54</v>
      </c>
      <c r="J3423" s="14" t="s">
        <v>200</v>
      </c>
      <c r="K3423" s="14" t="s">
        <v>219</v>
      </c>
      <c r="L3423" s="14" t="s">
        <v>253</v>
      </c>
      <c r="M3423" s="14" t="s">
        <v>1914</v>
      </c>
      <c r="N3423" s="14" t="s">
        <v>1915</v>
      </c>
      <c r="O3423" s="14">
        <v>100.0</v>
      </c>
      <c r="P3423" s="23">
        <v>1.0</v>
      </c>
      <c r="Q3423" s="22" t="str">
        <f t="shared" ref="Q3423:R3423" si="2040">"+0.00%"</f>
        <v>+0.00%</v>
      </c>
      <c r="R3423" s="18" t="str">
        <f t="shared" si="2040"/>
        <v>+0.00%</v>
      </c>
      <c r="S3423" s="14" t="s">
        <v>285</v>
      </c>
    </row>
    <row r="3424">
      <c r="A3424" s="13">
        <v>45901.0</v>
      </c>
      <c r="B3424" s="14" t="s">
        <v>47</v>
      </c>
      <c r="C3424" s="14" t="s">
        <v>48</v>
      </c>
      <c r="D3424" s="14" t="s">
        <v>91</v>
      </c>
      <c r="E3424" s="14" t="s">
        <v>92</v>
      </c>
      <c r="F3424" s="14" t="s">
        <v>71</v>
      </c>
      <c r="G3424" s="14">
        <v>5.00008343E8</v>
      </c>
      <c r="H3424" s="14" t="s">
        <v>91</v>
      </c>
      <c r="I3424" s="14" t="s">
        <v>59</v>
      </c>
      <c r="J3424" s="14" t="s">
        <v>200</v>
      </c>
      <c r="K3424" s="14" t="s">
        <v>218</v>
      </c>
      <c r="L3424" s="14" t="s">
        <v>253</v>
      </c>
      <c r="M3424" s="14" t="s">
        <v>1202</v>
      </c>
      <c r="N3424" s="14" t="s">
        <v>1203</v>
      </c>
      <c r="O3424" s="14">
        <v>1.0</v>
      </c>
      <c r="P3424" s="23">
        <v>0.0088</v>
      </c>
      <c r="Q3424" s="22" t="str">
        <f>"-0.03%"</f>
        <v>-0.03%</v>
      </c>
      <c r="R3424" s="18" t="str">
        <f>"-0.11%"</f>
        <v>-0.11%</v>
      </c>
      <c r="S3424" s="14" t="s">
        <v>1345</v>
      </c>
    </row>
    <row r="3425">
      <c r="A3425" s="13">
        <v>45901.0</v>
      </c>
      <c r="B3425" s="14" t="s">
        <v>47</v>
      </c>
      <c r="C3425" s="14" t="s">
        <v>48</v>
      </c>
      <c r="D3425" s="14" t="s">
        <v>91</v>
      </c>
      <c r="E3425" s="14" t="s">
        <v>92</v>
      </c>
      <c r="F3425" s="15" t="s">
        <v>51</v>
      </c>
      <c r="G3425" s="14" t="s">
        <v>163</v>
      </c>
      <c r="H3425" s="14" t="s">
        <v>91</v>
      </c>
      <c r="I3425" s="14" t="s">
        <v>59</v>
      </c>
      <c r="J3425" s="14" t="s">
        <v>200</v>
      </c>
      <c r="K3425" s="14" t="s">
        <v>223</v>
      </c>
      <c r="L3425" s="14" t="s">
        <v>253</v>
      </c>
      <c r="M3425" s="14" t="s">
        <v>366</v>
      </c>
      <c r="N3425" s="14" t="s">
        <v>367</v>
      </c>
      <c r="O3425" s="14">
        <v>53.0</v>
      </c>
      <c r="P3425" s="23">
        <v>0.5361</v>
      </c>
      <c r="Q3425" s="22" t="str">
        <f>"+1.20%"</f>
        <v>+1.20%</v>
      </c>
      <c r="R3425" s="18" t="str">
        <f>"+4.22%"</f>
        <v>+4.22%</v>
      </c>
      <c r="S3425" s="14" t="s">
        <v>2049</v>
      </c>
    </row>
    <row r="3426">
      <c r="A3426" s="13">
        <v>45901.0</v>
      </c>
      <c r="B3426" s="14" t="s">
        <v>47</v>
      </c>
      <c r="C3426" s="14" t="s">
        <v>48</v>
      </c>
      <c r="D3426" s="14" t="s">
        <v>192</v>
      </c>
      <c r="E3426" s="14" t="s">
        <v>193</v>
      </c>
      <c r="F3426" s="15" t="s">
        <v>51</v>
      </c>
      <c r="G3426" s="14" t="s">
        <v>194</v>
      </c>
      <c r="H3426" s="14" t="s">
        <v>192</v>
      </c>
      <c r="I3426" s="14" t="s">
        <v>54</v>
      </c>
      <c r="J3426" s="14" t="s">
        <v>199</v>
      </c>
      <c r="K3426" s="14" t="s">
        <v>203</v>
      </c>
      <c r="L3426" s="14" t="s">
        <v>862</v>
      </c>
      <c r="M3426" s="14" t="s">
        <v>862</v>
      </c>
      <c r="N3426" s="14" t="s">
        <v>863</v>
      </c>
      <c r="O3426" s="14">
        <v>0.0</v>
      </c>
      <c r="P3426" s="21">
        <v>0.0</v>
      </c>
      <c r="Q3426" s="22" t="str">
        <f t="shared" ref="Q3426:R3426" si="2041">"+0"</f>
        <v>+0</v>
      </c>
      <c r="R3426" s="18" t="str">
        <f t="shared" si="2041"/>
        <v>+0</v>
      </c>
      <c r="S3426" s="14" t="s">
        <v>260</v>
      </c>
    </row>
    <row r="3427">
      <c r="A3427" s="13">
        <v>45901.0</v>
      </c>
      <c r="B3427" s="14" t="s">
        <v>47</v>
      </c>
      <c r="C3427" s="14" t="s">
        <v>48</v>
      </c>
      <c r="D3427" s="14" t="s">
        <v>82</v>
      </c>
      <c r="E3427" s="14" t="s">
        <v>83</v>
      </c>
      <c r="F3427" s="15" t="s">
        <v>51</v>
      </c>
      <c r="G3427" s="14" t="s">
        <v>84</v>
      </c>
      <c r="H3427" s="14" t="s">
        <v>82</v>
      </c>
      <c r="I3427" s="14" t="s">
        <v>59</v>
      </c>
      <c r="J3427" s="14" t="s">
        <v>200</v>
      </c>
      <c r="K3427" s="14" t="s">
        <v>213</v>
      </c>
      <c r="L3427" s="14" t="s">
        <v>676</v>
      </c>
      <c r="M3427" s="14" t="s">
        <v>836</v>
      </c>
      <c r="N3427" s="14" t="s">
        <v>837</v>
      </c>
      <c r="O3427" s="14">
        <v>0.0</v>
      </c>
      <c r="P3427" s="23">
        <v>0.0</v>
      </c>
      <c r="Q3427" s="22" t="str">
        <f t="shared" ref="Q3427:R3427" si="2042">"+0.00%"</f>
        <v>+0.00%</v>
      </c>
      <c r="R3427" s="18" t="str">
        <f t="shared" si="2042"/>
        <v>+0.00%</v>
      </c>
      <c r="S3427" s="14" t="s">
        <v>2050</v>
      </c>
    </row>
    <row r="3428">
      <c r="A3428" s="13">
        <v>45901.0</v>
      </c>
      <c r="B3428" s="14" t="s">
        <v>47</v>
      </c>
      <c r="C3428" s="14" t="s">
        <v>48</v>
      </c>
      <c r="D3428" s="14" t="s">
        <v>192</v>
      </c>
      <c r="E3428" s="14" t="s">
        <v>193</v>
      </c>
      <c r="F3428" s="15" t="s">
        <v>51</v>
      </c>
      <c r="G3428" s="14" t="s">
        <v>194</v>
      </c>
      <c r="H3428" s="14" t="s">
        <v>192</v>
      </c>
      <c r="I3428" s="14" t="s">
        <v>54</v>
      </c>
      <c r="J3428" s="14" t="s">
        <v>200</v>
      </c>
      <c r="K3428" s="14" t="s">
        <v>223</v>
      </c>
      <c r="L3428" s="14" t="s">
        <v>440</v>
      </c>
      <c r="M3428" s="14" t="s">
        <v>441</v>
      </c>
      <c r="N3428" s="14" t="s">
        <v>442</v>
      </c>
      <c r="O3428" s="14">
        <v>100.0</v>
      </c>
      <c r="P3428" s="23">
        <v>0.0038</v>
      </c>
      <c r="Q3428" s="22" t="str">
        <f>"-0.06%"</f>
        <v>-0.06%</v>
      </c>
      <c r="R3428" s="18" t="str">
        <f>"+0.34%"</f>
        <v>+0.34%</v>
      </c>
      <c r="S3428" s="14" t="s">
        <v>285</v>
      </c>
    </row>
    <row r="3429">
      <c r="A3429" s="13">
        <v>45901.0</v>
      </c>
      <c r="B3429" s="14" t="s">
        <v>47</v>
      </c>
      <c r="C3429" s="14" t="s">
        <v>48</v>
      </c>
      <c r="D3429" s="14" t="s">
        <v>143</v>
      </c>
      <c r="E3429" s="14" t="s">
        <v>144</v>
      </c>
      <c r="F3429" s="15" t="s">
        <v>51</v>
      </c>
      <c r="G3429" s="14" t="s">
        <v>145</v>
      </c>
      <c r="H3429" s="14" t="s">
        <v>143</v>
      </c>
      <c r="I3429" s="14" t="s">
        <v>59</v>
      </c>
      <c r="J3429" s="14" t="s">
        <v>200</v>
      </c>
      <c r="K3429" s="14" t="s">
        <v>232</v>
      </c>
      <c r="L3429" s="14" t="s">
        <v>304</v>
      </c>
      <c r="M3429" s="14" t="s">
        <v>1012</v>
      </c>
      <c r="N3429" s="14" t="s">
        <v>1013</v>
      </c>
      <c r="O3429" s="14">
        <v>0.0</v>
      </c>
      <c r="P3429" s="23">
        <v>0.0</v>
      </c>
      <c r="Q3429" s="22" t="str">
        <f t="shared" ref="Q3429:R3429" si="2043">"+0.00%"</f>
        <v>+0.00%</v>
      </c>
      <c r="R3429" s="18" t="str">
        <f t="shared" si="2043"/>
        <v>+0.00%</v>
      </c>
      <c r="S3429" s="14" t="s">
        <v>285</v>
      </c>
    </row>
    <row r="3430">
      <c r="A3430" s="13">
        <v>45901.0</v>
      </c>
      <c r="B3430" s="14" t="s">
        <v>47</v>
      </c>
      <c r="C3430" s="14" t="s">
        <v>48</v>
      </c>
      <c r="D3430" s="14" t="s">
        <v>143</v>
      </c>
      <c r="E3430" s="14" t="s">
        <v>144</v>
      </c>
      <c r="F3430" s="15" t="s">
        <v>51</v>
      </c>
      <c r="G3430" s="14" t="s">
        <v>145</v>
      </c>
      <c r="H3430" s="14" t="s">
        <v>143</v>
      </c>
      <c r="I3430" s="14" t="s">
        <v>59</v>
      </c>
      <c r="J3430" s="14" t="s">
        <v>200</v>
      </c>
      <c r="K3430" s="14" t="s">
        <v>232</v>
      </c>
      <c r="L3430" s="14" t="s">
        <v>261</v>
      </c>
      <c r="M3430" s="14" t="s">
        <v>808</v>
      </c>
      <c r="N3430" s="14" t="s">
        <v>809</v>
      </c>
      <c r="O3430" s="14">
        <v>26.0</v>
      </c>
      <c r="P3430" s="23">
        <v>0.2692</v>
      </c>
      <c r="Q3430" s="22" t="str">
        <f>"+0.84%"</f>
        <v>+0.84%</v>
      </c>
      <c r="R3430" s="18" t="str">
        <f>"-8.56%"</f>
        <v>-8.56%</v>
      </c>
      <c r="S3430" s="14" t="s">
        <v>1518</v>
      </c>
    </row>
    <row r="3431">
      <c r="A3431" s="13">
        <v>45901.0</v>
      </c>
      <c r="B3431" s="14" t="s">
        <v>47</v>
      </c>
      <c r="C3431" s="14" t="s">
        <v>48</v>
      </c>
      <c r="D3431" s="14" t="s">
        <v>69</v>
      </c>
      <c r="E3431" s="14" t="s">
        <v>70</v>
      </c>
      <c r="F3431" s="15" t="s">
        <v>51</v>
      </c>
      <c r="G3431" s="14" t="s">
        <v>115</v>
      </c>
      <c r="H3431" s="14" t="s">
        <v>72</v>
      </c>
      <c r="I3431" s="14" t="s">
        <v>54</v>
      </c>
      <c r="J3431" s="14" t="s">
        <v>200</v>
      </c>
      <c r="K3431" s="14" t="s">
        <v>222</v>
      </c>
      <c r="L3431" s="14" t="s">
        <v>337</v>
      </c>
      <c r="M3431" s="14" t="s">
        <v>734</v>
      </c>
      <c r="N3431" s="14" t="s">
        <v>735</v>
      </c>
      <c r="O3431" s="14">
        <v>100.0</v>
      </c>
      <c r="P3431" s="21">
        <v>60749.0</v>
      </c>
      <c r="Q3431" s="22" t="str">
        <f>"-1,649"</f>
        <v>-1,649</v>
      </c>
      <c r="R3431" s="18" t="str">
        <f>"-1,038"</f>
        <v>-1,038</v>
      </c>
      <c r="S3431" s="14" t="s">
        <v>260</v>
      </c>
    </row>
    <row r="3432">
      <c r="A3432" s="13">
        <v>45901.0</v>
      </c>
      <c r="B3432" s="14" t="s">
        <v>47</v>
      </c>
      <c r="C3432" s="14" t="s">
        <v>48</v>
      </c>
      <c r="D3432" s="14" t="s">
        <v>69</v>
      </c>
      <c r="E3432" s="14" t="s">
        <v>70</v>
      </c>
      <c r="F3432" s="15" t="s">
        <v>51</v>
      </c>
      <c r="G3432" s="14" t="s">
        <v>115</v>
      </c>
      <c r="H3432" s="14" t="s">
        <v>72</v>
      </c>
      <c r="I3432" s="14" t="s">
        <v>54</v>
      </c>
      <c r="J3432" s="14" t="s">
        <v>198</v>
      </c>
      <c r="K3432" s="14" t="s">
        <v>210</v>
      </c>
      <c r="L3432" s="14" t="s">
        <v>264</v>
      </c>
      <c r="M3432" s="14" t="s">
        <v>867</v>
      </c>
      <c r="N3432" s="14" t="s">
        <v>868</v>
      </c>
      <c r="O3432" s="14">
        <v>0.0</v>
      </c>
      <c r="P3432" s="21">
        <v>0.0</v>
      </c>
      <c r="Q3432" s="22" t="str">
        <f t="shared" ref="Q3432:R3432" si="2044">"+0"</f>
        <v>+0</v>
      </c>
      <c r="R3432" s="18" t="str">
        <f t="shared" si="2044"/>
        <v>+0</v>
      </c>
      <c r="S3432" s="14" t="s">
        <v>277</v>
      </c>
    </row>
    <row r="3433">
      <c r="A3433" s="13">
        <v>45901.0</v>
      </c>
      <c r="B3433" s="14" t="s">
        <v>47</v>
      </c>
      <c r="C3433" s="14" t="s">
        <v>48</v>
      </c>
      <c r="D3433" s="14" t="s">
        <v>125</v>
      </c>
      <c r="E3433" s="14" t="s">
        <v>126</v>
      </c>
      <c r="F3433" s="15" t="s">
        <v>51</v>
      </c>
      <c r="G3433" s="14" t="s">
        <v>127</v>
      </c>
      <c r="H3433" s="14" t="s">
        <v>125</v>
      </c>
      <c r="I3433" s="14" t="s">
        <v>59</v>
      </c>
      <c r="J3433" s="14" t="s">
        <v>200</v>
      </c>
      <c r="K3433" s="14" t="s">
        <v>232</v>
      </c>
      <c r="L3433" s="14" t="s">
        <v>883</v>
      </c>
      <c r="M3433" s="14" t="s">
        <v>884</v>
      </c>
      <c r="N3433" s="14" t="s">
        <v>885</v>
      </c>
      <c r="O3433" s="14">
        <v>0.0</v>
      </c>
      <c r="P3433" s="23">
        <v>0.0</v>
      </c>
      <c r="Q3433" s="22" t="str">
        <f t="shared" ref="Q3433:R3433" si="2045">"+0.00%"</f>
        <v>+0.00%</v>
      </c>
      <c r="R3433" s="18" t="str">
        <f t="shared" si="2045"/>
        <v>+0.00%</v>
      </c>
      <c r="S3433" s="14" t="s">
        <v>285</v>
      </c>
    </row>
    <row r="3434">
      <c r="A3434" s="13">
        <v>45901.0</v>
      </c>
      <c r="B3434" s="14" t="s">
        <v>47</v>
      </c>
      <c r="C3434" s="14" t="s">
        <v>48</v>
      </c>
      <c r="D3434" s="14" t="s">
        <v>125</v>
      </c>
      <c r="E3434" s="14" t="s">
        <v>126</v>
      </c>
      <c r="F3434" s="15" t="s">
        <v>51</v>
      </c>
      <c r="G3434" s="14" t="s">
        <v>127</v>
      </c>
      <c r="H3434" s="14" t="s">
        <v>125</v>
      </c>
      <c r="I3434" s="14" t="s">
        <v>59</v>
      </c>
      <c r="J3434" s="14" t="s">
        <v>200</v>
      </c>
      <c r="K3434" s="14" t="s">
        <v>232</v>
      </c>
      <c r="L3434" s="14" t="s">
        <v>304</v>
      </c>
      <c r="M3434" s="14" t="s">
        <v>305</v>
      </c>
      <c r="N3434" s="14" t="s">
        <v>306</v>
      </c>
      <c r="O3434" s="14">
        <v>0.0</v>
      </c>
      <c r="P3434" s="21">
        <v>0.0</v>
      </c>
      <c r="Q3434" s="22" t="str">
        <f t="shared" ref="Q3434:R3434" si="2046">"+0"</f>
        <v>+0</v>
      </c>
      <c r="R3434" s="18" t="str">
        <f t="shared" si="2046"/>
        <v>+0</v>
      </c>
      <c r="S3434" s="14" t="s">
        <v>260</v>
      </c>
    </row>
    <row r="3435">
      <c r="A3435" s="13">
        <v>45901.0</v>
      </c>
      <c r="B3435" s="14" t="s">
        <v>47</v>
      </c>
      <c r="C3435" s="14" t="s">
        <v>48</v>
      </c>
      <c r="D3435" s="14" t="s">
        <v>69</v>
      </c>
      <c r="E3435" s="14" t="s">
        <v>70</v>
      </c>
      <c r="F3435" s="15" t="s">
        <v>51</v>
      </c>
      <c r="G3435" s="14" t="s">
        <v>115</v>
      </c>
      <c r="H3435" s="14" t="s">
        <v>72</v>
      </c>
      <c r="I3435" s="14" t="s">
        <v>54</v>
      </c>
      <c r="J3435" s="14" t="s">
        <v>200</v>
      </c>
      <c r="K3435" s="14" t="s">
        <v>213</v>
      </c>
      <c r="L3435" s="14" t="s">
        <v>307</v>
      </c>
      <c r="M3435" s="14" t="s">
        <v>502</v>
      </c>
      <c r="N3435" s="14" t="s">
        <v>503</v>
      </c>
      <c r="O3435" s="14">
        <v>17.0</v>
      </c>
      <c r="P3435" s="23">
        <v>0.1743</v>
      </c>
      <c r="Q3435" s="22" t="str">
        <f>"-5.76%"</f>
        <v>-5.76%</v>
      </c>
      <c r="R3435" s="18" t="str">
        <f>"-5.47%"</f>
        <v>-5.47%</v>
      </c>
      <c r="S3435" s="14" t="s">
        <v>2051</v>
      </c>
    </row>
    <row r="3436">
      <c r="A3436" s="13">
        <v>45901.0</v>
      </c>
      <c r="B3436" s="14" t="s">
        <v>47</v>
      </c>
      <c r="C3436" s="14" t="s">
        <v>48</v>
      </c>
      <c r="D3436" s="14" t="s">
        <v>77</v>
      </c>
      <c r="E3436" s="14" t="s">
        <v>78</v>
      </c>
      <c r="F3436" s="15" t="s">
        <v>51</v>
      </c>
      <c r="G3436" s="14" t="s">
        <v>128</v>
      </c>
      <c r="H3436" s="14" t="s">
        <v>81</v>
      </c>
      <c r="I3436" s="14" t="s">
        <v>59</v>
      </c>
      <c r="J3436" s="14" t="s">
        <v>198</v>
      </c>
      <c r="K3436" s="14" t="s">
        <v>205</v>
      </c>
      <c r="L3436" s="14" t="s">
        <v>274</v>
      </c>
      <c r="M3436" s="14" t="s">
        <v>738</v>
      </c>
      <c r="N3436" s="14" t="s">
        <v>739</v>
      </c>
      <c r="O3436" s="14">
        <v>0.0</v>
      </c>
      <c r="P3436" s="21">
        <v>0.0</v>
      </c>
      <c r="Q3436" s="22" t="str">
        <f t="shared" ref="Q3436:Q3438" si="2047">"+0"</f>
        <v>+0</v>
      </c>
      <c r="S3436" s="14" t="s">
        <v>281</v>
      </c>
    </row>
    <row r="3437">
      <c r="A3437" s="13">
        <v>45901.0</v>
      </c>
      <c r="B3437" s="14" t="s">
        <v>47</v>
      </c>
      <c r="C3437" s="14" t="s">
        <v>48</v>
      </c>
      <c r="D3437" s="14" t="s">
        <v>116</v>
      </c>
      <c r="E3437" s="14" t="s">
        <v>117</v>
      </c>
      <c r="F3437" s="14" t="s">
        <v>111</v>
      </c>
      <c r="G3437" s="14">
        <v>5298600.0</v>
      </c>
      <c r="H3437" s="14" t="s">
        <v>116</v>
      </c>
      <c r="I3437" s="14" t="s">
        <v>59</v>
      </c>
      <c r="J3437" s="14" t="s">
        <v>199</v>
      </c>
      <c r="K3437" s="14" t="s">
        <v>206</v>
      </c>
      <c r="L3437" s="14" t="s">
        <v>569</v>
      </c>
      <c r="M3437" s="14" t="s">
        <v>569</v>
      </c>
      <c r="N3437" s="14" t="s">
        <v>570</v>
      </c>
      <c r="O3437" s="14">
        <v>75.0</v>
      </c>
      <c r="P3437" s="21">
        <v>4.0</v>
      </c>
      <c r="Q3437" s="22" t="str">
        <f t="shared" si="2047"/>
        <v>+0</v>
      </c>
      <c r="R3437" s="18" t="str">
        <f t="shared" ref="R3437:R3438" si="2048">"+0"</f>
        <v>+0</v>
      </c>
      <c r="S3437" s="14" t="s">
        <v>383</v>
      </c>
    </row>
    <row r="3438">
      <c r="A3438" s="13">
        <v>45901.0</v>
      </c>
      <c r="B3438" s="14" t="s">
        <v>47</v>
      </c>
      <c r="C3438" s="14" t="s">
        <v>48</v>
      </c>
      <c r="D3438" s="14" t="s">
        <v>158</v>
      </c>
      <c r="E3438" s="14" t="s">
        <v>159</v>
      </c>
      <c r="F3438" s="15" t="s">
        <v>51</v>
      </c>
      <c r="G3438" s="14" t="s">
        <v>160</v>
      </c>
      <c r="H3438" s="14" t="s">
        <v>158</v>
      </c>
      <c r="I3438" s="14" t="s">
        <v>54</v>
      </c>
      <c r="J3438" s="14" t="s">
        <v>198</v>
      </c>
      <c r="K3438" s="14" t="s">
        <v>212</v>
      </c>
      <c r="L3438" s="14" t="s">
        <v>249</v>
      </c>
      <c r="M3438" s="14" t="s">
        <v>1406</v>
      </c>
      <c r="N3438" s="14" t="s">
        <v>1407</v>
      </c>
      <c r="O3438" s="14">
        <v>0.0</v>
      </c>
      <c r="P3438" s="21">
        <v>0.0</v>
      </c>
      <c r="Q3438" s="22" t="str">
        <f t="shared" si="2047"/>
        <v>+0</v>
      </c>
      <c r="R3438" s="18" t="str">
        <f t="shared" si="2048"/>
        <v>+0</v>
      </c>
      <c r="S3438" s="14" t="s">
        <v>277</v>
      </c>
    </row>
    <row r="3439">
      <c r="A3439" s="13">
        <v>45901.0</v>
      </c>
      <c r="B3439" s="14" t="s">
        <v>47</v>
      </c>
      <c r="C3439" s="14" t="s">
        <v>48</v>
      </c>
      <c r="D3439" s="14" t="s">
        <v>116</v>
      </c>
      <c r="E3439" s="14" t="s">
        <v>117</v>
      </c>
      <c r="F3439" s="15" t="s">
        <v>51</v>
      </c>
      <c r="G3439" s="14" t="s">
        <v>161</v>
      </c>
      <c r="H3439" s="14" t="s">
        <v>116</v>
      </c>
      <c r="I3439" s="14" t="s">
        <v>54</v>
      </c>
      <c r="J3439" s="14" t="s">
        <v>200</v>
      </c>
      <c r="K3439" s="14" t="s">
        <v>213</v>
      </c>
      <c r="L3439" s="14" t="s">
        <v>289</v>
      </c>
      <c r="M3439" s="14" t="s">
        <v>331</v>
      </c>
      <c r="N3439" s="14" t="s">
        <v>332</v>
      </c>
      <c r="O3439" s="14">
        <v>0.0</v>
      </c>
      <c r="P3439" s="23">
        <v>0.0</v>
      </c>
      <c r="Q3439" s="22" t="str">
        <f t="shared" ref="Q3439:R3439" si="2049">"+0.00%"</f>
        <v>+0.00%</v>
      </c>
      <c r="R3439" s="18" t="str">
        <f t="shared" si="2049"/>
        <v>+0.00%</v>
      </c>
      <c r="S3439" s="14" t="s">
        <v>285</v>
      </c>
    </row>
    <row r="3440">
      <c r="A3440" s="13">
        <v>45901.0</v>
      </c>
      <c r="B3440" s="14" t="s">
        <v>47</v>
      </c>
      <c r="C3440" s="14" t="s">
        <v>48</v>
      </c>
      <c r="D3440" s="14" t="s">
        <v>77</v>
      </c>
      <c r="E3440" s="14" t="s">
        <v>78</v>
      </c>
      <c r="F3440" s="15" t="s">
        <v>51</v>
      </c>
      <c r="G3440" s="14" t="s">
        <v>128</v>
      </c>
      <c r="H3440" s="14" t="s">
        <v>81</v>
      </c>
      <c r="I3440" s="14" t="s">
        <v>59</v>
      </c>
      <c r="J3440" s="14" t="s">
        <v>199</v>
      </c>
      <c r="K3440" s="14" t="s">
        <v>206</v>
      </c>
      <c r="L3440" s="14" t="s">
        <v>515</v>
      </c>
      <c r="M3440" s="14" t="s">
        <v>515</v>
      </c>
      <c r="N3440" s="14" t="s">
        <v>516</v>
      </c>
      <c r="O3440" s="14">
        <v>0.0</v>
      </c>
      <c r="P3440" s="21">
        <v>0.0</v>
      </c>
      <c r="Q3440" s="22" t="str">
        <f t="shared" ref="Q3440:R3440" si="2050">"+0"</f>
        <v>+0</v>
      </c>
      <c r="R3440" s="18" t="str">
        <f t="shared" si="2050"/>
        <v>+0</v>
      </c>
      <c r="S3440" s="14" t="s">
        <v>383</v>
      </c>
    </row>
    <row r="3441">
      <c r="A3441" s="13">
        <v>45901.0</v>
      </c>
      <c r="B3441" s="14" t="s">
        <v>47</v>
      </c>
      <c r="C3441" s="14" t="s">
        <v>48</v>
      </c>
      <c r="D3441" s="14" t="s">
        <v>168</v>
      </c>
      <c r="E3441" s="14" t="s">
        <v>169</v>
      </c>
      <c r="F3441" s="15" t="s">
        <v>51</v>
      </c>
      <c r="G3441" s="14" t="s">
        <v>170</v>
      </c>
      <c r="H3441" s="14" t="s">
        <v>168</v>
      </c>
      <c r="I3441" s="14" t="s">
        <v>59</v>
      </c>
      <c r="J3441" s="14" t="s">
        <v>198</v>
      </c>
      <c r="K3441" s="14" t="s">
        <v>205</v>
      </c>
      <c r="L3441" s="14" t="s">
        <v>274</v>
      </c>
      <c r="M3441" s="14" t="s">
        <v>275</v>
      </c>
      <c r="N3441" s="14" t="s">
        <v>276</v>
      </c>
      <c r="O3441" s="14">
        <v>0.0</v>
      </c>
      <c r="P3441" s="21">
        <v>1.0</v>
      </c>
      <c r="Q3441" s="22" t="str">
        <f t="shared" ref="Q3441:Q3449" si="2051">"+0"</f>
        <v>+0</v>
      </c>
      <c r="S3441" s="14" t="s">
        <v>277</v>
      </c>
    </row>
    <row r="3442">
      <c r="A3442" s="13">
        <v>45901.0</v>
      </c>
      <c r="B3442" s="14" t="s">
        <v>47</v>
      </c>
      <c r="C3442" s="14" t="s">
        <v>48</v>
      </c>
      <c r="D3442" s="14" t="s">
        <v>56</v>
      </c>
      <c r="E3442" s="14" t="s">
        <v>57</v>
      </c>
      <c r="F3442" s="15" t="s">
        <v>51</v>
      </c>
      <c r="G3442" s="14" t="s">
        <v>58</v>
      </c>
      <c r="H3442" s="14" t="s">
        <v>56</v>
      </c>
      <c r="I3442" s="14" t="s">
        <v>59</v>
      </c>
      <c r="J3442" s="14" t="s">
        <v>199</v>
      </c>
      <c r="K3442" s="14" t="s">
        <v>206</v>
      </c>
      <c r="L3442" s="14" t="s">
        <v>295</v>
      </c>
      <c r="M3442" s="14" t="s">
        <v>529</v>
      </c>
      <c r="N3442" s="14" t="s">
        <v>530</v>
      </c>
      <c r="O3442" s="14">
        <v>0.0</v>
      </c>
      <c r="P3442" s="21">
        <v>0.0</v>
      </c>
      <c r="Q3442" s="22" t="str">
        <f t="shared" si="2051"/>
        <v>+0</v>
      </c>
      <c r="R3442" s="18" t="str">
        <f t="shared" ref="R3442:R3444" si="2052">"+0"</f>
        <v>+0</v>
      </c>
      <c r="S3442" s="14" t="s">
        <v>260</v>
      </c>
    </row>
    <row r="3443">
      <c r="A3443" s="13">
        <v>45901.0</v>
      </c>
      <c r="B3443" s="14" t="s">
        <v>47</v>
      </c>
      <c r="C3443" s="14" t="s">
        <v>48</v>
      </c>
      <c r="D3443" s="14" t="s">
        <v>181</v>
      </c>
      <c r="E3443" s="14" t="s">
        <v>182</v>
      </c>
      <c r="F3443" s="15" t="s">
        <v>51</v>
      </c>
      <c r="G3443" s="14" t="s">
        <v>183</v>
      </c>
      <c r="H3443" s="14" t="s">
        <v>181</v>
      </c>
      <c r="I3443" s="14" t="s">
        <v>59</v>
      </c>
      <c r="J3443" s="14" t="s">
        <v>199</v>
      </c>
      <c r="K3443" s="14" t="s">
        <v>203</v>
      </c>
      <c r="L3443" s="14" t="s">
        <v>736</v>
      </c>
      <c r="M3443" s="14" t="s">
        <v>736</v>
      </c>
      <c r="N3443" s="14" t="s">
        <v>737</v>
      </c>
      <c r="O3443" s="14">
        <v>0.0</v>
      </c>
      <c r="P3443" s="21">
        <v>0.0</v>
      </c>
      <c r="Q3443" s="22" t="str">
        <f t="shared" si="2051"/>
        <v>+0</v>
      </c>
      <c r="R3443" s="18" t="str">
        <f t="shared" si="2052"/>
        <v>+0</v>
      </c>
      <c r="S3443" s="14" t="s">
        <v>260</v>
      </c>
    </row>
    <row r="3444">
      <c r="A3444" s="13">
        <v>45901.0</v>
      </c>
      <c r="B3444" s="14" t="s">
        <v>47</v>
      </c>
      <c r="C3444" s="14" t="s">
        <v>48</v>
      </c>
      <c r="D3444" s="14" t="s">
        <v>60</v>
      </c>
      <c r="E3444" s="14" t="s">
        <v>61</v>
      </c>
      <c r="F3444" s="15" t="s">
        <v>51</v>
      </c>
      <c r="G3444" s="14" t="s">
        <v>62</v>
      </c>
      <c r="H3444" s="14" t="s">
        <v>60</v>
      </c>
      <c r="I3444" s="14" t="s">
        <v>59</v>
      </c>
      <c r="J3444" s="14" t="s">
        <v>199</v>
      </c>
      <c r="K3444" s="14" t="s">
        <v>206</v>
      </c>
      <c r="L3444" s="14" t="s">
        <v>268</v>
      </c>
      <c r="M3444" s="14" t="s">
        <v>268</v>
      </c>
      <c r="N3444" s="14" t="s">
        <v>269</v>
      </c>
      <c r="O3444" s="14">
        <v>0.0</v>
      </c>
      <c r="P3444" s="21">
        <v>0.0</v>
      </c>
      <c r="Q3444" s="22" t="str">
        <f t="shared" si="2051"/>
        <v>+0</v>
      </c>
      <c r="R3444" s="18" t="str">
        <f t="shared" si="2052"/>
        <v>+0</v>
      </c>
      <c r="S3444" s="14" t="s">
        <v>260</v>
      </c>
    </row>
    <row r="3445">
      <c r="A3445" s="13">
        <v>45901.0</v>
      </c>
      <c r="B3445" s="14" t="s">
        <v>47</v>
      </c>
      <c r="C3445" s="14" t="s">
        <v>48</v>
      </c>
      <c r="D3445" s="14" t="s">
        <v>63</v>
      </c>
      <c r="E3445" s="14" t="s">
        <v>64</v>
      </c>
      <c r="F3445" s="15" t="s">
        <v>51</v>
      </c>
      <c r="G3445" s="14" t="s">
        <v>65</v>
      </c>
      <c r="H3445" s="14" t="s">
        <v>63</v>
      </c>
      <c r="I3445" s="14" t="s">
        <v>54</v>
      </c>
      <c r="J3445" s="14" t="s">
        <v>198</v>
      </c>
      <c r="K3445" s="14" t="s">
        <v>212</v>
      </c>
      <c r="L3445" s="14" t="s">
        <v>344</v>
      </c>
      <c r="M3445" s="14" t="s">
        <v>580</v>
      </c>
      <c r="N3445" s="14" t="s">
        <v>581</v>
      </c>
      <c r="O3445" s="14">
        <v>100.0</v>
      </c>
      <c r="P3445" s="21">
        <v>1.0</v>
      </c>
      <c r="Q3445" s="22" t="str">
        <f t="shared" si="2051"/>
        <v>+0</v>
      </c>
      <c r="S3445" s="14" t="s">
        <v>281</v>
      </c>
    </row>
    <row r="3446">
      <c r="A3446" s="13">
        <v>45901.0</v>
      </c>
      <c r="B3446" s="14" t="s">
        <v>47</v>
      </c>
      <c r="C3446" s="14" t="s">
        <v>48</v>
      </c>
      <c r="D3446" s="14" t="s">
        <v>91</v>
      </c>
      <c r="E3446" s="14" t="s">
        <v>92</v>
      </c>
      <c r="F3446" s="14" t="s">
        <v>71</v>
      </c>
      <c r="G3446" s="14">
        <v>5.10011769E8</v>
      </c>
      <c r="H3446" s="14" t="s">
        <v>91</v>
      </c>
      <c r="I3446" s="14" t="s">
        <v>59</v>
      </c>
      <c r="J3446" s="14" t="s">
        <v>199</v>
      </c>
      <c r="K3446" s="14" t="s">
        <v>206</v>
      </c>
      <c r="L3446" s="14" t="s">
        <v>531</v>
      </c>
      <c r="M3446" s="14" t="s">
        <v>531</v>
      </c>
      <c r="N3446" s="14" t="s">
        <v>532</v>
      </c>
      <c r="O3446" s="14">
        <v>0.0</v>
      </c>
      <c r="P3446" s="21">
        <v>0.0</v>
      </c>
      <c r="Q3446" s="22" t="str">
        <f t="shared" si="2051"/>
        <v>+0</v>
      </c>
      <c r="R3446" s="18" t="str">
        <f t="shared" ref="R3446:R3448" si="2053">"+0"</f>
        <v>+0</v>
      </c>
      <c r="S3446" s="14" t="s">
        <v>260</v>
      </c>
    </row>
    <row r="3447">
      <c r="A3447" s="13">
        <v>45901.0</v>
      </c>
      <c r="B3447" s="14" t="s">
        <v>47</v>
      </c>
      <c r="C3447" s="14" t="s">
        <v>48</v>
      </c>
      <c r="D3447" s="14" t="s">
        <v>91</v>
      </c>
      <c r="E3447" s="14" t="s">
        <v>92</v>
      </c>
      <c r="F3447" s="15" t="s">
        <v>51</v>
      </c>
      <c r="G3447" s="14" t="s">
        <v>163</v>
      </c>
      <c r="H3447" s="14" t="s">
        <v>91</v>
      </c>
      <c r="I3447" s="14" t="s">
        <v>59</v>
      </c>
      <c r="J3447" s="14" t="s">
        <v>200</v>
      </c>
      <c r="K3447" s="14" t="s">
        <v>223</v>
      </c>
      <c r="L3447" s="14" t="s">
        <v>257</v>
      </c>
      <c r="M3447" s="14" t="s">
        <v>258</v>
      </c>
      <c r="N3447" s="14" t="s">
        <v>259</v>
      </c>
      <c r="O3447" s="14">
        <v>100.0</v>
      </c>
      <c r="P3447" s="21">
        <v>69.0</v>
      </c>
      <c r="Q3447" s="22" t="str">
        <f t="shared" si="2051"/>
        <v>+0</v>
      </c>
      <c r="R3447" s="18" t="str">
        <f t="shared" si="2053"/>
        <v>+0</v>
      </c>
      <c r="S3447" s="14" t="s">
        <v>260</v>
      </c>
    </row>
    <row r="3448">
      <c r="A3448" s="13">
        <v>45901.0</v>
      </c>
      <c r="B3448" s="14" t="s">
        <v>47</v>
      </c>
      <c r="C3448" s="14" t="s">
        <v>48</v>
      </c>
      <c r="D3448" s="14" t="s">
        <v>66</v>
      </c>
      <c r="E3448" s="14" t="s">
        <v>67</v>
      </c>
      <c r="F3448" s="15" t="s">
        <v>51</v>
      </c>
      <c r="G3448" s="14" t="s">
        <v>68</v>
      </c>
      <c r="H3448" s="14" t="s">
        <v>66</v>
      </c>
      <c r="I3448" s="14" t="s">
        <v>59</v>
      </c>
      <c r="J3448" s="14" t="s">
        <v>200</v>
      </c>
      <c r="K3448" s="14" t="s">
        <v>231</v>
      </c>
      <c r="L3448" s="14" t="s">
        <v>512</v>
      </c>
      <c r="M3448" s="14" t="s">
        <v>1738</v>
      </c>
      <c r="N3448" s="14" t="s">
        <v>1739</v>
      </c>
      <c r="O3448" s="14">
        <v>0.0</v>
      </c>
      <c r="P3448" s="21">
        <v>0.0</v>
      </c>
      <c r="Q3448" s="22" t="str">
        <f t="shared" si="2051"/>
        <v>+0</v>
      </c>
      <c r="R3448" s="18" t="str">
        <f t="shared" si="2053"/>
        <v>+0</v>
      </c>
      <c r="S3448" s="14" t="s">
        <v>260</v>
      </c>
    </row>
    <row r="3449">
      <c r="A3449" s="13">
        <v>45901.0</v>
      </c>
      <c r="B3449" s="14" t="s">
        <v>47</v>
      </c>
      <c r="C3449" s="14" t="s">
        <v>48</v>
      </c>
      <c r="D3449" s="14" t="s">
        <v>192</v>
      </c>
      <c r="E3449" s="14" t="s">
        <v>193</v>
      </c>
      <c r="F3449" s="15" t="s">
        <v>51</v>
      </c>
      <c r="G3449" s="14" t="s">
        <v>194</v>
      </c>
      <c r="H3449" s="14" t="s">
        <v>192</v>
      </c>
      <c r="I3449" s="14" t="s">
        <v>54</v>
      </c>
      <c r="J3449" s="14" t="s">
        <v>198</v>
      </c>
      <c r="K3449" s="14" t="s">
        <v>210</v>
      </c>
      <c r="L3449" s="14" t="s">
        <v>505</v>
      </c>
      <c r="M3449" s="14" t="s">
        <v>975</v>
      </c>
      <c r="N3449" s="14" t="s">
        <v>976</v>
      </c>
      <c r="O3449" s="14">
        <v>100.0</v>
      </c>
      <c r="P3449" s="21">
        <v>1.0</v>
      </c>
      <c r="Q3449" s="22" t="str">
        <f t="shared" si="2051"/>
        <v>+0</v>
      </c>
      <c r="R3449" s="18" t="str">
        <f>"+1"</f>
        <v>+1</v>
      </c>
      <c r="S3449" s="14" t="s">
        <v>277</v>
      </c>
    </row>
    <row r="3450">
      <c r="A3450" s="13">
        <v>45901.0</v>
      </c>
      <c r="B3450" s="14" t="s">
        <v>47</v>
      </c>
      <c r="C3450" s="14" t="s">
        <v>48</v>
      </c>
      <c r="D3450" s="14" t="s">
        <v>184</v>
      </c>
      <c r="E3450" s="14" t="s">
        <v>185</v>
      </c>
      <c r="F3450" s="15" t="s">
        <v>51</v>
      </c>
      <c r="G3450" s="14" t="s">
        <v>186</v>
      </c>
      <c r="H3450" s="14" t="s">
        <v>187</v>
      </c>
      <c r="I3450" s="14" t="s">
        <v>59</v>
      </c>
      <c r="J3450" s="14" t="s">
        <v>200</v>
      </c>
      <c r="K3450" s="14" t="s">
        <v>224</v>
      </c>
      <c r="L3450" s="14" t="s">
        <v>427</v>
      </c>
      <c r="M3450" s="14" t="s">
        <v>1575</v>
      </c>
      <c r="N3450" s="14" t="s">
        <v>1576</v>
      </c>
      <c r="O3450" s="14">
        <v>0.0</v>
      </c>
      <c r="P3450" s="17"/>
      <c r="Q3450" s="22"/>
      <c r="S3450" s="14" t="s">
        <v>2052</v>
      </c>
    </row>
    <row r="3451">
      <c r="A3451" s="13">
        <v>45901.0</v>
      </c>
      <c r="B3451" s="14" t="s">
        <v>47</v>
      </c>
      <c r="C3451" s="14" t="s">
        <v>48</v>
      </c>
      <c r="D3451" s="14" t="s">
        <v>93</v>
      </c>
      <c r="E3451" s="14" t="s">
        <v>94</v>
      </c>
      <c r="F3451" s="14" t="s">
        <v>71</v>
      </c>
      <c r="G3451" s="14">
        <v>5.36001438E8</v>
      </c>
      <c r="H3451" s="14" t="s">
        <v>95</v>
      </c>
      <c r="I3451" s="14" t="s">
        <v>59</v>
      </c>
      <c r="J3451" s="14" t="s">
        <v>199</v>
      </c>
      <c r="K3451" s="14" t="s">
        <v>206</v>
      </c>
      <c r="L3451" s="14" t="s">
        <v>295</v>
      </c>
      <c r="M3451" s="14" t="s">
        <v>529</v>
      </c>
      <c r="N3451" s="14" t="s">
        <v>530</v>
      </c>
      <c r="O3451" s="14">
        <v>0.0</v>
      </c>
      <c r="P3451" s="21">
        <v>0.0</v>
      </c>
      <c r="Q3451" s="22" t="str">
        <f t="shared" ref="Q3451:R3451" si="2054">"+0"</f>
        <v>+0</v>
      </c>
      <c r="R3451" s="18" t="str">
        <f t="shared" si="2054"/>
        <v>+0</v>
      </c>
      <c r="S3451" s="14" t="s">
        <v>260</v>
      </c>
    </row>
    <row r="3452">
      <c r="A3452" s="13">
        <v>45901.0</v>
      </c>
      <c r="B3452" s="14" t="s">
        <v>47</v>
      </c>
      <c r="C3452" s="14" t="s">
        <v>48</v>
      </c>
      <c r="D3452" s="14" t="s">
        <v>143</v>
      </c>
      <c r="E3452" s="14" t="s">
        <v>144</v>
      </c>
      <c r="F3452" s="15" t="s">
        <v>51</v>
      </c>
      <c r="G3452" s="14" t="s">
        <v>145</v>
      </c>
      <c r="H3452" s="14" t="s">
        <v>143</v>
      </c>
      <c r="I3452" s="14" t="s">
        <v>59</v>
      </c>
      <c r="J3452" s="14" t="s">
        <v>198</v>
      </c>
      <c r="K3452" s="14" t="s">
        <v>207</v>
      </c>
      <c r="L3452" s="14" t="s">
        <v>318</v>
      </c>
      <c r="M3452" s="14" t="s">
        <v>508</v>
      </c>
      <c r="N3452" s="14" t="s">
        <v>509</v>
      </c>
      <c r="O3452" s="14">
        <v>0.0</v>
      </c>
      <c r="P3452" s="21">
        <v>0.0</v>
      </c>
      <c r="Q3452" s="22" t="str">
        <f>"+0"</f>
        <v>+0</v>
      </c>
      <c r="S3452" s="14" t="s">
        <v>281</v>
      </c>
    </row>
    <row r="3453">
      <c r="A3453" s="13">
        <v>45901.0</v>
      </c>
      <c r="B3453" s="14" t="s">
        <v>47</v>
      </c>
      <c r="C3453" s="14" t="s">
        <v>48</v>
      </c>
      <c r="D3453" s="14" t="s">
        <v>77</v>
      </c>
      <c r="E3453" s="14" t="s">
        <v>78</v>
      </c>
      <c r="F3453" s="15" t="s">
        <v>51</v>
      </c>
      <c r="G3453" s="14" t="s">
        <v>128</v>
      </c>
      <c r="H3453" s="14" t="s">
        <v>81</v>
      </c>
      <c r="I3453" s="14" t="s">
        <v>59</v>
      </c>
      <c r="J3453" s="14" t="s">
        <v>199</v>
      </c>
      <c r="K3453" s="14" t="s">
        <v>203</v>
      </c>
      <c r="L3453" s="14" t="s">
        <v>340</v>
      </c>
      <c r="M3453" s="14" t="s">
        <v>340</v>
      </c>
      <c r="N3453" s="14" t="s">
        <v>341</v>
      </c>
      <c r="O3453" s="14">
        <v>100.0</v>
      </c>
      <c r="P3453" s="21">
        <v>6.0</v>
      </c>
      <c r="Q3453" s="22" t="str">
        <f>"+1"</f>
        <v>+1</v>
      </c>
      <c r="R3453" s="18" t="str">
        <f>"+3"</f>
        <v>+3</v>
      </c>
      <c r="S3453" s="14" t="s">
        <v>260</v>
      </c>
    </row>
    <row r="3454">
      <c r="A3454" s="13">
        <v>45901.0</v>
      </c>
      <c r="B3454" s="14" t="s">
        <v>47</v>
      </c>
      <c r="C3454" s="14" t="s">
        <v>48</v>
      </c>
      <c r="D3454" s="14" t="s">
        <v>136</v>
      </c>
      <c r="E3454" s="14" t="s">
        <v>137</v>
      </c>
      <c r="F3454" s="15" t="s">
        <v>51</v>
      </c>
      <c r="G3454" s="14" t="s">
        <v>138</v>
      </c>
      <c r="H3454" s="14" t="s">
        <v>139</v>
      </c>
      <c r="I3454" s="14" t="s">
        <v>59</v>
      </c>
      <c r="J3454" s="14" t="s">
        <v>198</v>
      </c>
      <c r="K3454" s="14" t="s">
        <v>205</v>
      </c>
      <c r="L3454" s="14" t="s">
        <v>274</v>
      </c>
      <c r="M3454" s="14" t="s">
        <v>696</v>
      </c>
      <c r="N3454" s="14" t="s">
        <v>697</v>
      </c>
      <c r="O3454" s="14">
        <v>100.0</v>
      </c>
      <c r="P3454" s="21">
        <v>1.0</v>
      </c>
      <c r="Q3454" s="22" t="str">
        <f>"+0"</f>
        <v>+0</v>
      </c>
      <c r="S3454" s="14" t="s">
        <v>281</v>
      </c>
    </row>
    <row r="3455">
      <c r="A3455" s="13">
        <v>45901.0</v>
      </c>
      <c r="B3455" s="14" t="s">
        <v>47</v>
      </c>
      <c r="C3455" s="14" t="s">
        <v>48</v>
      </c>
      <c r="D3455" s="14" t="s">
        <v>136</v>
      </c>
      <c r="E3455" s="14" t="s">
        <v>137</v>
      </c>
      <c r="F3455" s="15" t="s">
        <v>51</v>
      </c>
      <c r="G3455" s="14" t="s">
        <v>138</v>
      </c>
      <c r="H3455" s="14" t="s">
        <v>139</v>
      </c>
      <c r="I3455" s="14" t="s">
        <v>59</v>
      </c>
      <c r="J3455" s="14" t="s">
        <v>200</v>
      </c>
      <c r="K3455" s="14" t="s">
        <v>224</v>
      </c>
      <c r="L3455" s="14" t="s">
        <v>964</v>
      </c>
      <c r="M3455" s="14" t="s">
        <v>1288</v>
      </c>
      <c r="N3455" s="14" t="s">
        <v>1289</v>
      </c>
      <c r="O3455" s="14">
        <v>0.0</v>
      </c>
      <c r="P3455" s="23">
        <v>0.0</v>
      </c>
      <c r="Q3455" s="22" t="str">
        <f>"+0.00%"</f>
        <v>+0.00%</v>
      </c>
      <c r="S3455" s="14" t="s">
        <v>1764</v>
      </c>
    </row>
    <row r="3456">
      <c r="A3456" s="13">
        <v>45901.0</v>
      </c>
      <c r="B3456" s="14" t="s">
        <v>47</v>
      </c>
      <c r="C3456" s="14" t="s">
        <v>48</v>
      </c>
      <c r="D3456" s="14" t="s">
        <v>192</v>
      </c>
      <c r="E3456" s="14" t="s">
        <v>193</v>
      </c>
      <c r="F3456" s="15" t="s">
        <v>51</v>
      </c>
      <c r="G3456" s="14" t="s">
        <v>194</v>
      </c>
      <c r="H3456" s="14" t="s">
        <v>192</v>
      </c>
      <c r="I3456" s="14" t="s">
        <v>54</v>
      </c>
      <c r="J3456" s="14" t="s">
        <v>198</v>
      </c>
      <c r="K3456" s="14" t="s">
        <v>205</v>
      </c>
      <c r="L3456" s="14" t="s">
        <v>274</v>
      </c>
      <c r="M3456" s="14" t="s">
        <v>738</v>
      </c>
      <c r="N3456" s="14" t="s">
        <v>739</v>
      </c>
      <c r="O3456" s="14">
        <v>0.0</v>
      </c>
      <c r="P3456" s="21">
        <v>0.0</v>
      </c>
      <c r="Q3456" s="22" t="str">
        <f t="shared" ref="Q3456:Q3458" si="2055">"+0"</f>
        <v>+0</v>
      </c>
      <c r="S3456" s="14" t="s">
        <v>281</v>
      </c>
    </row>
    <row r="3457">
      <c r="A3457" s="13">
        <v>45901.0</v>
      </c>
      <c r="B3457" s="14" t="s">
        <v>47</v>
      </c>
      <c r="C3457" s="14" t="s">
        <v>48</v>
      </c>
      <c r="D3457" s="14" t="s">
        <v>93</v>
      </c>
      <c r="E3457" s="14" t="s">
        <v>94</v>
      </c>
      <c r="F3457" s="15" t="s">
        <v>51</v>
      </c>
      <c r="G3457" s="14" t="s">
        <v>191</v>
      </c>
      <c r="H3457" s="14" t="s">
        <v>95</v>
      </c>
      <c r="I3457" s="14" t="s">
        <v>59</v>
      </c>
      <c r="J3457" s="14" t="s">
        <v>199</v>
      </c>
      <c r="K3457" s="14" t="s">
        <v>203</v>
      </c>
      <c r="L3457" s="14" t="s">
        <v>736</v>
      </c>
      <c r="M3457" s="14" t="s">
        <v>736</v>
      </c>
      <c r="N3457" s="14" t="s">
        <v>737</v>
      </c>
      <c r="O3457" s="14">
        <v>0.0</v>
      </c>
      <c r="P3457" s="21">
        <v>0.0</v>
      </c>
      <c r="Q3457" s="22" t="str">
        <f t="shared" si="2055"/>
        <v>+0</v>
      </c>
      <c r="R3457" s="18" t="str">
        <f t="shared" ref="R3457:R3458" si="2056">"+0"</f>
        <v>+0</v>
      </c>
      <c r="S3457" s="14" t="s">
        <v>260</v>
      </c>
    </row>
    <row r="3458">
      <c r="A3458" s="13">
        <v>45901.0</v>
      </c>
      <c r="B3458" s="14" t="s">
        <v>47</v>
      </c>
      <c r="C3458" s="14" t="s">
        <v>48</v>
      </c>
      <c r="D3458" s="14" t="s">
        <v>192</v>
      </c>
      <c r="E3458" s="14" t="s">
        <v>193</v>
      </c>
      <c r="F3458" s="15" t="s">
        <v>51</v>
      </c>
      <c r="G3458" s="14" t="s">
        <v>194</v>
      </c>
      <c r="H3458" s="14" t="s">
        <v>192</v>
      </c>
      <c r="I3458" s="14" t="s">
        <v>54</v>
      </c>
      <c r="J3458" s="14" t="s">
        <v>200</v>
      </c>
      <c r="K3458" s="14" t="s">
        <v>222</v>
      </c>
      <c r="L3458" s="14" t="s">
        <v>253</v>
      </c>
      <c r="M3458" s="14" t="s">
        <v>732</v>
      </c>
      <c r="N3458" s="14" t="s">
        <v>733</v>
      </c>
      <c r="O3458" s="14">
        <v>100.0</v>
      </c>
      <c r="P3458" s="21">
        <v>2.0</v>
      </c>
      <c r="Q3458" s="22" t="str">
        <f t="shared" si="2055"/>
        <v>+0</v>
      </c>
      <c r="R3458" s="18" t="str">
        <f t="shared" si="2056"/>
        <v>+0</v>
      </c>
      <c r="S3458" s="14" t="s">
        <v>450</v>
      </c>
    </row>
    <row r="3459">
      <c r="A3459" s="13">
        <v>45901.0</v>
      </c>
      <c r="B3459" s="14" t="s">
        <v>47</v>
      </c>
      <c r="C3459" s="14" t="s">
        <v>48</v>
      </c>
      <c r="D3459" s="14" t="s">
        <v>66</v>
      </c>
      <c r="E3459" s="14" t="s">
        <v>67</v>
      </c>
      <c r="F3459" s="15" t="s">
        <v>51</v>
      </c>
      <c r="G3459" s="14" t="s">
        <v>68</v>
      </c>
      <c r="H3459" s="14" t="s">
        <v>66</v>
      </c>
      <c r="I3459" s="14" t="s">
        <v>59</v>
      </c>
      <c r="J3459" s="14" t="s">
        <v>199</v>
      </c>
      <c r="K3459" s="14" t="s">
        <v>203</v>
      </c>
      <c r="L3459" s="14" t="s">
        <v>725</v>
      </c>
      <c r="M3459" s="14" t="s">
        <v>725</v>
      </c>
      <c r="N3459" s="14" t="s">
        <v>726</v>
      </c>
      <c r="O3459" s="14">
        <v>0.0</v>
      </c>
      <c r="P3459" s="21">
        <v>0.0</v>
      </c>
      <c r="Q3459" s="22" t="str">
        <f t="shared" ref="Q3459:R3459" si="2057">"-1"</f>
        <v>-1</v>
      </c>
      <c r="R3459" s="18" t="str">
        <f t="shared" si="2057"/>
        <v>-1</v>
      </c>
      <c r="S3459" s="14" t="s">
        <v>260</v>
      </c>
    </row>
    <row r="3460">
      <c r="A3460" s="13">
        <v>45901.0</v>
      </c>
      <c r="B3460" s="14" t="s">
        <v>47</v>
      </c>
      <c r="C3460" s="14" t="s">
        <v>48</v>
      </c>
      <c r="D3460" s="14" t="s">
        <v>143</v>
      </c>
      <c r="E3460" s="14" t="s">
        <v>144</v>
      </c>
      <c r="F3460" s="15" t="s">
        <v>51</v>
      </c>
      <c r="G3460" s="14" t="s">
        <v>145</v>
      </c>
      <c r="H3460" s="14" t="s">
        <v>143</v>
      </c>
      <c r="I3460" s="14" t="s">
        <v>59</v>
      </c>
      <c r="J3460" s="14" t="s">
        <v>200</v>
      </c>
      <c r="K3460" s="14" t="s">
        <v>201</v>
      </c>
      <c r="L3460" s="14" t="s">
        <v>253</v>
      </c>
      <c r="M3460" s="14" t="s">
        <v>538</v>
      </c>
      <c r="N3460" s="14" t="s">
        <v>539</v>
      </c>
      <c r="O3460" s="14">
        <v>1.0</v>
      </c>
      <c r="P3460" s="23">
        <v>0.0029</v>
      </c>
      <c r="Q3460" s="22" t="str">
        <f>"-0.06%"</f>
        <v>-0.06%</v>
      </c>
      <c r="R3460" s="18" t="str">
        <f>"-0.17%"</f>
        <v>-0.17%</v>
      </c>
      <c r="S3460" s="14" t="s">
        <v>1667</v>
      </c>
    </row>
    <row r="3461">
      <c r="A3461" s="13">
        <v>45901.0</v>
      </c>
      <c r="B3461" s="14" t="s">
        <v>47</v>
      </c>
      <c r="C3461" s="14" t="s">
        <v>48</v>
      </c>
      <c r="D3461" s="14" t="s">
        <v>143</v>
      </c>
      <c r="E3461" s="14" t="s">
        <v>144</v>
      </c>
      <c r="F3461" s="15" t="s">
        <v>51</v>
      </c>
      <c r="G3461" s="14" t="s">
        <v>145</v>
      </c>
      <c r="H3461" s="14" t="s">
        <v>143</v>
      </c>
      <c r="I3461" s="14" t="s">
        <v>59</v>
      </c>
      <c r="J3461" s="14" t="s">
        <v>200</v>
      </c>
      <c r="K3461" s="14" t="s">
        <v>224</v>
      </c>
      <c r="L3461" s="14" t="s">
        <v>436</v>
      </c>
      <c r="M3461" s="14" t="s">
        <v>437</v>
      </c>
      <c r="N3461" s="14" t="s">
        <v>438</v>
      </c>
      <c r="O3461" s="14">
        <v>100.0</v>
      </c>
      <c r="P3461" s="23">
        <v>1.0</v>
      </c>
      <c r="Q3461" s="22" t="str">
        <f>"+0.00%"</f>
        <v>+0.00%</v>
      </c>
      <c r="S3461" s="14" t="s">
        <v>2053</v>
      </c>
    </row>
    <row r="3462">
      <c r="A3462" s="13">
        <v>45901.0</v>
      </c>
      <c r="B3462" s="14" t="s">
        <v>47</v>
      </c>
      <c r="C3462" s="14" t="s">
        <v>48</v>
      </c>
      <c r="D3462" s="14" t="s">
        <v>143</v>
      </c>
      <c r="E3462" s="14" t="s">
        <v>144</v>
      </c>
      <c r="F3462" s="15" t="s">
        <v>51</v>
      </c>
      <c r="G3462" s="14" t="s">
        <v>145</v>
      </c>
      <c r="H3462" s="14" t="s">
        <v>143</v>
      </c>
      <c r="I3462" s="14" t="s">
        <v>59</v>
      </c>
      <c r="J3462" s="14" t="s">
        <v>199</v>
      </c>
      <c r="K3462" s="14" t="s">
        <v>206</v>
      </c>
      <c r="L3462" s="14" t="s">
        <v>295</v>
      </c>
      <c r="M3462" s="14" t="s">
        <v>529</v>
      </c>
      <c r="N3462" s="14" t="s">
        <v>530</v>
      </c>
      <c r="O3462" s="14">
        <v>100.0</v>
      </c>
      <c r="P3462" s="21">
        <v>1.0</v>
      </c>
      <c r="Q3462" s="22" t="str">
        <f t="shared" ref="Q3462:R3462" si="2058">"+0"</f>
        <v>+0</v>
      </c>
      <c r="R3462" s="18" t="str">
        <f t="shared" si="2058"/>
        <v>+0</v>
      </c>
      <c r="S3462" s="14" t="s">
        <v>260</v>
      </c>
    </row>
    <row r="3463">
      <c r="A3463" s="13">
        <v>45901.0</v>
      </c>
      <c r="B3463" s="14" t="s">
        <v>47</v>
      </c>
      <c r="C3463" s="14" t="s">
        <v>48</v>
      </c>
      <c r="D3463" s="14" t="s">
        <v>103</v>
      </c>
      <c r="E3463" s="14" t="s">
        <v>104</v>
      </c>
      <c r="F3463" s="15" t="s">
        <v>51</v>
      </c>
      <c r="G3463" s="14" t="s">
        <v>105</v>
      </c>
      <c r="H3463" s="14" t="s">
        <v>106</v>
      </c>
      <c r="I3463" s="14" t="s">
        <v>59</v>
      </c>
      <c r="J3463" s="14" t="s">
        <v>200</v>
      </c>
      <c r="K3463" s="14" t="s">
        <v>232</v>
      </c>
      <c r="L3463" s="14" t="s">
        <v>607</v>
      </c>
      <c r="M3463" s="14" t="s">
        <v>932</v>
      </c>
      <c r="N3463" s="14" t="s">
        <v>933</v>
      </c>
      <c r="O3463" s="14">
        <v>0.0</v>
      </c>
      <c r="P3463" s="23">
        <v>0.0</v>
      </c>
      <c r="Q3463" s="22" t="str">
        <f t="shared" ref="Q3463:R3463" si="2059">"+0.00%"</f>
        <v>+0.00%</v>
      </c>
      <c r="R3463" s="18" t="str">
        <f t="shared" si="2059"/>
        <v>+0.00%</v>
      </c>
      <c r="S3463" s="14" t="s">
        <v>285</v>
      </c>
    </row>
    <row r="3464">
      <c r="A3464" s="13">
        <v>45901.0</v>
      </c>
      <c r="B3464" s="14" t="s">
        <v>47</v>
      </c>
      <c r="C3464" s="14" t="s">
        <v>48</v>
      </c>
      <c r="D3464" s="14" t="s">
        <v>87</v>
      </c>
      <c r="E3464" s="14" t="s">
        <v>88</v>
      </c>
      <c r="F3464" s="15" t="s">
        <v>51</v>
      </c>
      <c r="G3464" s="14" t="s">
        <v>89</v>
      </c>
      <c r="H3464" s="14" t="s">
        <v>90</v>
      </c>
      <c r="I3464" s="14" t="s">
        <v>59</v>
      </c>
      <c r="J3464" s="14" t="s">
        <v>200</v>
      </c>
      <c r="K3464" s="14" t="s">
        <v>246</v>
      </c>
      <c r="L3464" s="14" t="s">
        <v>614</v>
      </c>
      <c r="M3464" s="14" t="s">
        <v>2054</v>
      </c>
      <c r="N3464" s="14" t="s">
        <v>2055</v>
      </c>
      <c r="O3464" s="14">
        <v>0.0</v>
      </c>
      <c r="P3464" s="21">
        <v>0.0</v>
      </c>
      <c r="Q3464" s="22" t="str">
        <f t="shared" ref="Q3464:R3464" si="2060">"+0"</f>
        <v>+0</v>
      </c>
      <c r="R3464" s="18" t="str">
        <f t="shared" si="2060"/>
        <v>+0</v>
      </c>
      <c r="S3464" s="14" t="s">
        <v>260</v>
      </c>
    </row>
    <row r="3465">
      <c r="A3465" s="13">
        <v>45901.0</v>
      </c>
      <c r="B3465" s="14" t="s">
        <v>47</v>
      </c>
      <c r="C3465" s="14" t="s">
        <v>48</v>
      </c>
      <c r="D3465" s="14" t="s">
        <v>136</v>
      </c>
      <c r="E3465" s="14" t="s">
        <v>137</v>
      </c>
      <c r="F3465" s="15" t="s">
        <v>51</v>
      </c>
      <c r="G3465" s="14" t="s">
        <v>138</v>
      </c>
      <c r="H3465" s="14" t="s">
        <v>139</v>
      </c>
      <c r="I3465" s="14" t="s">
        <v>59</v>
      </c>
      <c r="J3465" s="14" t="s">
        <v>200</v>
      </c>
      <c r="K3465" s="14" t="s">
        <v>213</v>
      </c>
      <c r="L3465" s="14" t="s">
        <v>289</v>
      </c>
      <c r="M3465" s="14" t="s">
        <v>384</v>
      </c>
      <c r="N3465" s="14" t="s">
        <v>385</v>
      </c>
      <c r="O3465" s="14">
        <v>85.0</v>
      </c>
      <c r="P3465" s="23">
        <v>0.8582</v>
      </c>
      <c r="Q3465" s="22" t="str">
        <f>"-2.30%"</f>
        <v>-2.30%</v>
      </c>
      <c r="R3465" s="18" t="str">
        <f>"+1.40%"</f>
        <v>+1.40%</v>
      </c>
      <c r="S3465" s="14" t="s">
        <v>2056</v>
      </c>
    </row>
    <row r="3466">
      <c r="A3466" s="13">
        <v>45901.0</v>
      </c>
      <c r="B3466" s="14" t="s">
        <v>47</v>
      </c>
      <c r="C3466" s="14" t="s">
        <v>48</v>
      </c>
      <c r="D3466" s="14" t="s">
        <v>149</v>
      </c>
      <c r="E3466" s="14" t="s">
        <v>150</v>
      </c>
      <c r="F3466" s="15" t="s">
        <v>51</v>
      </c>
      <c r="G3466" s="14" t="s">
        <v>151</v>
      </c>
      <c r="H3466" s="14" t="s">
        <v>152</v>
      </c>
      <c r="I3466" s="14" t="s">
        <v>54</v>
      </c>
      <c r="J3466" s="14" t="s">
        <v>198</v>
      </c>
      <c r="K3466" s="14" t="s">
        <v>210</v>
      </c>
      <c r="L3466" s="14" t="s">
        <v>264</v>
      </c>
      <c r="M3466" s="14" t="s">
        <v>407</v>
      </c>
      <c r="N3466" s="14" t="s">
        <v>408</v>
      </c>
      <c r="O3466" s="14">
        <v>0.0</v>
      </c>
      <c r="P3466" s="21">
        <v>659161.0</v>
      </c>
      <c r="Q3466" s="22" t="str">
        <f>"-197,752"</f>
        <v>-197,752</v>
      </c>
      <c r="R3466" s="18" t="str">
        <f>"-114,931"</f>
        <v>-114,931</v>
      </c>
      <c r="S3466" s="14" t="s">
        <v>2057</v>
      </c>
    </row>
    <row r="3467">
      <c r="A3467" s="13">
        <v>45901.0</v>
      </c>
      <c r="B3467" s="14" t="s">
        <v>47</v>
      </c>
      <c r="C3467" s="14" t="s">
        <v>48</v>
      </c>
      <c r="D3467" s="14" t="s">
        <v>129</v>
      </c>
      <c r="E3467" s="14" t="s">
        <v>130</v>
      </c>
      <c r="F3467" s="15" t="s">
        <v>51</v>
      </c>
      <c r="G3467" s="14" t="s">
        <v>131</v>
      </c>
      <c r="H3467" s="14" t="s">
        <v>129</v>
      </c>
      <c r="I3467" s="14" t="s">
        <v>59</v>
      </c>
      <c r="J3467" s="14" t="s">
        <v>200</v>
      </c>
      <c r="K3467" s="14" t="s">
        <v>222</v>
      </c>
      <c r="L3467" s="14" t="s">
        <v>253</v>
      </c>
      <c r="M3467" s="14" t="s">
        <v>732</v>
      </c>
      <c r="N3467" s="14" t="s">
        <v>733</v>
      </c>
      <c r="O3467" s="14">
        <v>50.0</v>
      </c>
      <c r="P3467" s="21">
        <v>1.0</v>
      </c>
      <c r="Q3467" s="22" t="str">
        <f t="shared" ref="Q3467:R3467" si="2061">"+0"</f>
        <v>+0</v>
      </c>
      <c r="R3467" s="18" t="str">
        <f t="shared" si="2061"/>
        <v>+0</v>
      </c>
      <c r="S3467" s="14" t="s">
        <v>450</v>
      </c>
    </row>
    <row r="3468">
      <c r="A3468" s="13">
        <v>45901.0</v>
      </c>
      <c r="B3468" s="14" t="s">
        <v>47</v>
      </c>
      <c r="C3468" s="14" t="s">
        <v>48</v>
      </c>
      <c r="D3468" s="14" t="s">
        <v>96</v>
      </c>
      <c r="E3468" s="14" t="s">
        <v>97</v>
      </c>
      <c r="F3468" s="15" t="s">
        <v>51</v>
      </c>
      <c r="G3468" s="14" t="s">
        <v>98</v>
      </c>
      <c r="H3468" s="14" t="s">
        <v>96</v>
      </c>
      <c r="I3468" s="14" t="s">
        <v>59</v>
      </c>
      <c r="J3468" s="14" t="s">
        <v>200</v>
      </c>
      <c r="K3468" s="14" t="s">
        <v>223</v>
      </c>
      <c r="L3468" s="14" t="s">
        <v>487</v>
      </c>
      <c r="M3468" s="14" t="s">
        <v>904</v>
      </c>
      <c r="N3468" s="14" t="s">
        <v>905</v>
      </c>
      <c r="O3468" s="14">
        <v>100.0</v>
      </c>
      <c r="P3468" s="21">
        <v>245.0</v>
      </c>
      <c r="Q3468" s="22" t="str">
        <f t="shared" ref="Q3468:R3468" si="2062">"+0"</f>
        <v>+0</v>
      </c>
      <c r="R3468" s="18" t="str">
        <f t="shared" si="2062"/>
        <v>+0</v>
      </c>
      <c r="S3468" s="14" t="s">
        <v>260</v>
      </c>
    </row>
    <row r="3469">
      <c r="A3469" s="13">
        <v>45901.0</v>
      </c>
      <c r="B3469" s="14" t="s">
        <v>47</v>
      </c>
      <c r="C3469" s="14" t="s">
        <v>48</v>
      </c>
      <c r="D3469" s="14" t="s">
        <v>96</v>
      </c>
      <c r="E3469" s="14" t="s">
        <v>97</v>
      </c>
      <c r="F3469" s="15" t="s">
        <v>51</v>
      </c>
      <c r="G3469" s="14" t="s">
        <v>98</v>
      </c>
      <c r="H3469" s="14" t="s">
        <v>96</v>
      </c>
      <c r="I3469" s="14" t="s">
        <v>59</v>
      </c>
      <c r="J3469" s="14" t="s">
        <v>200</v>
      </c>
      <c r="K3469" s="14" t="s">
        <v>223</v>
      </c>
      <c r="L3469" s="14" t="s">
        <v>304</v>
      </c>
      <c r="M3469" s="14" t="s">
        <v>305</v>
      </c>
      <c r="N3469" s="14" t="s">
        <v>306</v>
      </c>
      <c r="O3469" s="14">
        <v>100.0</v>
      </c>
      <c r="P3469" s="21">
        <v>3.0</v>
      </c>
      <c r="Q3469" s="22" t="str">
        <f t="shared" ref="Q3469:R3469" si="2063">"+0"</f>
        <v>+0</v>
      </c>
      <c r="R3469" s="18" t="str">
        <f t="shared" si="2063"/>
        <v>+0</v>
      </c>
      <c r="S3469" s="14" t="s">
        <v>260</v>
      </c>
    </row>
    <row r="3470">
      <c r="A3470" s="13">
        <v>45901.0</v>
      </c>
      <c r="B3470" s="14" t="s">
        <v>47</v>
      </c>
      <c r="C3470" s="14" t="s">
        <v>48</v>
      </c>
      <c r="D3470" s="14" t="s">
        <v>125</v>
      </c>
      <c r="E3470" s="14" t="s">
        <v>126</v>
      </c>
      <c r="F3470" s="15" t="s">
        <v>51</v>
      </c>
      <c r="G3470" s="14" t="s">
        <v>127</v>
      </c>
      <c r="H3470" s="14" t="s">
        <v>125</v>
      </c>
      <c r="I3470" s="14" t="s">
        <v>59</v>
      </c>
      <c r="J3470" s="14" t="s">
        <v>199</v>
      </c>
      <c r="K3470" s="14" t="s">
        <v>203</v>
      </c>
      <c r="L3470" s="14" t="s">
        <v>736</v>
      </c>
      <c r="M3470" s="14" t="s">
        <v>736</v>
      </c>
      <c r="N3470" s="14" t="s">
        <v>737</v>
      </c>
      <c r="O3470" s="14">
        <v>0.0</v>
      </c>
      <c r="P3470" s="21">
        <v>0.0</v>
      </c>
      <c r="Q3470" s="22" t="str">
        <f t="shared" ref="Q3470:R3470" si="2064">"+0"</f>
        <v>+0</v>
      </c>
      <c r="R3470" s="18" t="str">
        <f t="shared" si="2064"/>
        <v>+0</v>
      </c>
      <c r="S3470" s="14" t="s">
        <v>260</v>
      </c>
    </row>
    <row r="3471">
      <c r="A3471" s="13">
        <v>45901.0</v>
      </c>
      <c r="B3471" s="14" t="s">
        <v>47</v>
      </c>
      <c r="C3471" s="14" t="s">
        <v>48</v>
      </c>
      <c r="D3471" s="14" t="s">
        <v>96</v>
      </c>
      <c r="E3471" s="14" t="s">
        <v>97</v>
      </c>
      <c r="F3471" s="15" t="s">
        <v>51</v>
      </c>
      <c r="G3471" s="14" t="s">
        <v>98</v>
      </c>
      <c r="H3471" s="14" t="s">
        <v>96</v>
      </c>
      <c r="I3471" s="14" t="s">
        <v>59</v>
      </c>
      <c r="J3471" s="14" t="s">
        <v>200</v>
      </c>
      <c r="K3471" s="14" t="s">
        <v>223</v>
      </c>
      <c r="L3471" s="14" t="s">
        <v>304</v>
      </c>
      <c r="M3471" s="14" t="s">
        <v>877</v>
      </c>
      <c r="N3471" s="14" t="s">
        <v>878</v>
      </c>
      <c r="O3471" s="14">
        <v>0.0</v>
      </c>
      <c r="P3471" s="23">
        <v>0.0</v>
      </c>
      <c r="Q3471" s="22" t="str">
        <f t="shared" ref="Q3471:R3471" si="2065">"+0.00%"</f>
        <v>+0.00%</v>
      </c>
      <c r="R3471" s="18" t="str">
        <f t="shared" si="2065"/>
        <v>+0.00%</v>
      </c>
      <c r="S3471" s="14" t="s">
        <v>1887</v>
      </c>
    </row>
    <row r="3472">
      <c r="A3472" s="13">
        <v>45901.0</v>
      </c>
      <c r="B3472" s="14" t="s">
        <v>47</v>
      </c>
      <c r="C3472" s="14" t="s">
        <v>48</v>
      </c>
      <c r="D3472" s="14" t="s">
        <v>112</v>
      </c>
      <c r="E3472" s="14" t="s">
        <v>113</v>
      </c>
      <c r="F3472" s="15" t="s">
        <v>51</v>
      </c>
      <c r="G3472" s="14" t="s">
        <v>114</v>
      </c>
      <c r="H3472" s="14" t="s">
        <v>112</v>
      </c>
      <c r="I3472" s="14" t="s">
        <v>59</v>
      </c>
      <c r="J3472" s="14" t="s">
        <v>199</v>
      </c>
      <c r="K3472" s="14" t="s">
        <v>206</v>
      </c>
      <c r="L3472" s="14" t="s">
        <v>569</v>
      </c>
      <c r="M3472" s="14" t="s">
        <v>569</v>
      </c>
      <c r="N3472" s="14" t="s">
        <v>570</v>
      </c>
      <c r="O3472" s="14">
        <v>0.0</v>
      </c>
      <c r="P3472" s="21">
        <v>0.0</v>
      </c>
      <c r="Q3472" s="22" t="str">
        <f t="shared" ref="Q3472:R3472" si="2066">"+0"</f>
        <v>+0</v>
      </c>
      <c r="R3472" s="18" t="str">
        <f t="shared" si="2066"/>
        <v>+0</v>
      </c>
      <c r="S3472" s="14" t="s">
        <v>383</v>
      </c>
    </row>
    <row r="3473">
      <c r="A3473" s="13">
        <v>45901.0</v>
      </c>
      <c r="B3473" s="14" t="s">
        <v>47</v>
      </c>
      <c r="C3473" s="14" t="s">
        <v>48</v>
      </c>
      <c r="D3473" s="14" t="s">
        <v>77</v>
      </c>
      <c r="E3473" s="14" t="s">
        <v>78</v>
      </c>
      <c r="F3473" s="15" t="s">
        <v>51</v>
      </c>
      <c r="G3473" s="14" t="s">
        <v>128</v>
      </c>
      <c r="H3473" s="14" t="s">
        <v>81</v>
      </c>
      <c r="I3473" s="14" t="s">
        <v>59</v>
      </c>
      <c r="J3473" s="14" t="s">
        <v>199</v>
      </c>
      <c r="K3473" s="14" t="s">
        <v>206</v>
      </c>
      <c r="L3473" s="14" t="s">
        <v>295</v>
      </c>
      <c r="M3473" s="14" t="s">
        <v>529</v>
      </c>
      <c r="N3473" s="14" t="s">
        <v>530</v>
      </c>
      <c r="O3473" s="14">
        <v>0.0</v>
      </c>
      <c r="P3473" s="21">
        <v>0.0</v>
      </c>
      <c r="Q3473" s="22" t="str">
        <f t="shared" ref="Q3473:R3473" si="2067">"+0"</f>
        <v>+0</v>
      </c>
      <c r="R3473" s="18" t="str">
        <f t="shared" si="2067"/>
        <v>+0</v>
      </c>
      <c r="S3473" s="14" t="s">
        <v>260</v>
      </c>
    </row>
    <row r="3474">
      <c r="A3474" s="13">
        <v>45901.0</v>
      </c>
      <c r="B3474" s="14" t="s">
        <v>47</v>
      </c>
      <c r="C3474" s="14" t="s">
        <v>48</v>
      </c>
      <c r="D3474" s="14" t="s">
        <v>158</v>
      </c>
      <c r="E3474" s="14" t="s">
        <v>159</v>
      </c>
      <c r="F3474" s="15" t="s">
        <v>51</v>
      </c>
      <c r="G3474" s="14" t="s">
        <v>160</v>
      </c>
      <c r="H3474" s="14" t="s">
        <v>158</v>
      </c>
      <c r="I3474" s="14" t="s">
        <v>54</v>
      </c>
      <c r="J3474" s="14" t="s">
        <v>198</v>
      </c>
      <c r="K3474" s="14" t="s">
        <v>210</v>
      </c>
      <c r="L3474" s="14" t="s">
        <v>264</v>
      </c>
      <c r="M3474" s="14" t="s">
        <v>1802</v>
      </c>
      <c r="N3474" s="14" t="s">
        <v>1803</v>
      </c>
      <c r="O3474" s="14">
        <v>0.0</v>
      </c>
      <c r="P3474" s="21">
        <v>0.0</v>
      </c>
      <c r="Q3474" s="22" t="str">
        <f t="shared" ref="Q3474:R3474" si="2068">"+0"</f>
        <v>+0</v>
      </c>
      <c r="R3474" s="18" t="str">
        <f t="shared" si="2068"/>
        <v>+0</v>
      </c>
      <c r="S3474" s="14" t="s">
        <v>277</v>
      </c>
    </row>
    <row r="3475">
      <c r="A3475" s="13">
        <v>45901.0</v>
      </c>
      <c r="B3475" s="14" t="s">
        <v>47</v>
      </c>
      <c r="C3475" s="14" t="s">
        <v>48</v>
      </c>
      <c r="D3475" s="14" t="s">
        <v>155</v>
      </c>
      <c r="E3475" s="14" t="s">
        <v>156</v>
      </c>
      <c r="F3475" s="15" t="s">
        <v>51</v>
      </c>
      <c r="G3475" s="14" t="s">
        <v>157</v>
      </c>
      <c r="H3475" s="14" t="s">
        <v>155</v>
      </c>
      <c r="I3475" s="14" t="s">
        <v>59</v>
      </c>
      <c r="J3475" s="14" t="s">
        <v>200</v>
      </c>
      <c r="K3475" s="14" t="s">
        <v>223</v>
      </c>
      <c r="L3475" s="14" t="s">
        <v>487</v>
      </c>
      <c r="M3475" s="14" t="s">
        <v>1415</v>
      </c>
      <c r="N3475" s="14" t="s">
        <v>1416</v>
      </c>
      <c r="O3475" s="14">
        <v>0.0</v>
      </c>
      <c r="P3475" s="21">
        <v>0.0</v>
      </c>
      <c r="Q3475" s="22" t="str">
        <f t="shared" ref="Q3475:R3475" si="2069">"+0"</f>
        <v>+0</v>
      </c>
      <c r="R3475" s="18" t="str">
        <f t="shared" si="2069"/>
        <v>+0</v>
      </c>
      <c r="S3475" s="14" t="s">
        <v>260</v>
      </c>
    </row>
    <row r="3476">
      <c r="A3476" s="13">
        <v>45901.0</v>
      </c>
      <c r="B3476" s="14" t="s">
        <v>47</v>
      </c>
      <c r="C3476" s="14" t="s">
        <v>48</v>
      </c>
      <c r="D3476" s="14" t="s">
        <v>168</v>
      </c>
      <c r="E3476" s="14" t="s">
        <v>169</v>
      </c>
      <c r="F3476" s="15" t="s">
        <v>51</v>
      </c>
      <c r="G3476" s="14" t="s">
        <v>170</v>
      </c>
      <c r="H3476" s="14" t="s">
        <v>168</v>
      </c>
      <c r="I3476" s="14" t="s">
        <v>59</v>
      </c>
      <c r="J3476" s="14" t="s">
        <v>200</v>
      </c>
      <c r="K3476" s="14" t="s">
        <v>213</v>
      </c>
      <c r="L3476" s="14" t="s">
        <v>571</v>
      </c>
      <c r="M3476" s="14" t="s">
        <v>578</v>
      </c>
      <c r="N3476" s="14" t="s">
        <v>579</v>
      </c>
      <c r="O3476" s="14">
        <v>0.0</v>
      </c>
      <c r="P3476" s="23">
        <v>0.0</v>
      </c>
      <c r="Q3476" s="22" t="str">
        <f t="shared" ref="Q3476:R3476" si="2070">"+0.00%"</f>
        <v>+0.00%</v>
      </c>
      <c r="R3476" s="18" t="str">
        <f t="shared" si="2070"/>
        <v>+0.00%</v>
      </c>
      <c r="S3476" s="14" t="s">
        <v>285</v>
      </c>
    </row>
    <row r="3477">
      <c r="A3477" s="13">
        <v>45901.0</v>
      </c>
      <c r="B3477" s="14" t="s">
        <v>47</v>
      </c>
      <c r="C3477" s="14" t="s">
        <v>48</v>
      </c>
      <c r="D3477" s="14" t="s">
        <v>168</v>
      </c>
      <c r="E3477" s="14" t="s">
        <v>169</v>
      </c>
      <c r="F3477" s="15" t="s">
        <v>51</v>
      </c>
      <c r="G3477" s="14" t="s">
        <v>170</v>
      </c>
      <c r="H3477" s="14" t="s">
        <v>168</v>
      </c>
      <c r="I3477" s="14" t="s">
        <v>59</v>
      </c>
      <c r="J3477" s="14" t="s">
        <v>200</v>
      </c>
      <c r="K3477" s="14" t="s">
        <v>213</v>
      </c>
      <c r="L3477" s="14" t="s">
        <v>307</v>
      </c>
      <c r="M3477" s="14" t="s">
        <v>561</v>
      </c>
      <c r="N3477" s="14" t="s">
        <v>562</v>
      </c>
      <c r="O3477" s="14">
        <v>0.0</v>
      </c>
      <c r="P3477" s="23">
        <v>0.0</v>
      </c>
      <c r="Q3477" s="22" t="str">
        <f t="shared" ref="Q3477:R3477" si="2071">"+0.00%"</f>
        <v>+0.00%</v>
      </c>
      <c r="R3477" s="18" t="str">
        <f t="shared" si="2071"/>
        <v>+0.00%</v>
      </c>
      <c r="S3477" s="14" t="s">
        <v>285</v>
      </c>
    </row>
    <row r="3478">
      <c r="A3478" s="13">
        <v>45901.0</v>
      </c>
      <c r="B3478" s="14" t="s">
        <v>47</v>
      </c>
      <c r="C3478" s="14" t="s">
        <v>48</v>
      </c>
      <c r="D3478" s="14" t="s">
        <v>140</v>
      </c>
      <c r="E3478" s="14" t="s">
        <v>141</v>
      </c>
      <c r="F3478" s="15" t="s">
        <v>51</v>
      </c>
      <c r="G3478" s="14" t="s">
        <v>142</v>
      </c>
      <c r="H3478" s="14" t="s">
        <v>140</v>
      </c>
      <c r="I3478" s="14" t="s">
        <v>59</v>
      </c>
      <c r="J3478" s="14" t="s">
        <v>200</v>
      </c>
      <c r="K3478" s="14" t="s">
        <v>213</v>
      </c>
      <c r="L3478" s="14" t="s">
        <v>359</v>
      </c>
      <c r="M3478" s="14" t="s">
        <v>628</v>
      </c>
      <c r="N3478" s="14" t="s">
        <v>629</v>
      </c>
      <c r="O3478" s="14">
        <v>100.0</v>
      </c>
      <c r="P3478" s="21">
        <v>1.0</v>
      </c>
      <c r="Q3478" s="22" t="str">
        <f t="shared" ref="Q3478:R3478" si="2072">"+0"</f>
        <v>+0</v>
      </c>
      <c r="R3478" s="18" t="str">
        <f t="shared" si="2072"/>
        <v>+0</v>
      </c>
      <c r="S3478" s="14" t="s">
        <v>260</v>
      </c>
    </row>
    <row r="3479">
      <c r="A3479" s="13">
        <v>45901.0</v>
      </c>
      <c r="B3479" s="14" t="s">
        <v>47</v>
      </c>
      <c r="C3479" s="14" t="s">
        <v>48</v>
      </c>
      <c r="D3479" s="14" t="s">
        <v>155</v>
      </c>
      <c r="E3479" s="14" t="s">
        <v>156</v>
      </c>
      <c r="F3479" s="15" t="s">
        <v>51</v>
      </c>
      <c r="G3479" s="14" t="s">
        <v>157</v>
      </c>
      <c r="H3479" s="14" t="s">
        <v>155</v>
      </c>
      <c r="I3479" s="14" t="s">
        <v>59</v>
      </c>
      <c r="J3479" s="14" t="s">
        <v>200</v>
      </c>
      <c r="K3479" s="14" t="s">
        <v>223</v>
      </c>
      <c r="L3479" s="14" t="s">
        <v>286</v>
      </c>
      <c r="M3479" s="14" t="s">
        <v>644</v>
      </c>
      <c r="N3479" s="14" t="s">
        <v>645</v>
      </c>
      <c r="O3479" s="14">
        <v>0.0</v>
      </c>
      <c r="P3479" s="23">
        <v>-1.0</v>
      </c>
      <c r="Q3479" s="22" t="str">
        <f t="shared" ref="Q3479:R3479" si="2073">"+0.00%"</f>
        <v>+0.00%</v>
      </c>
      <c r="R3479" s="18" t="str">
        <f t="shared" si="2073"/>
        <v>+0.00%</v>
      </c>
      <c r="S3479" s="14" t="s">
        <v>2058</v>
      </c>
    </row>
    <row r="3480">
      <c r="A3480" s="13">
        <v>45901.0</v>
      </c>
      <c r="B3480" s="14" t="s">
        <v>47</v>
      </c>
      <c r="C3480" s="14" t="s">
        <v>48</v>
      </c>
      <c r="D3480" s="14" t="s">
        <v>140</v>
      </c>
      <c r="E3480" s="14" t="s">
        <v>141</v>
      </c>
      <c r="F3480" s="15" t="s">
        <v>51</v>
      </c>
      <c r="G3480" s="14" t="s">
        <v>142</v>
      </c>
      <c r="H3480" s="14" t="s">
        <v>140</v>
      </c>
      <c r="I3480" s="14" t="s">
        <v>59</v>
      </c>
      <c r="J3480" s="14" t="s">
        <v>199</v>
      </c>
      <c r="K3480" s="14" t="s">
        <v>203</v>
      </c>
      <c r="L3480" s="14" t="s">
        <v>342</v>
      </c>
      <c r="M3480" s="14" t="s">
        <v>342</v>
      </c>
      <c r="N3480" s="14" t="s">
        <v>343</v>
      </c>
      <c r="O3480" s="14">
        <v>0.0</v>
      </c>
      <c r="P3480" s="21">
        <v>0.0</v>
      </c>
      <c r="Q3480" s="22" t="str">
        <f t="shared" ref="Q3480:R3480" si="2074">"+0"</f>
        <v>+0</v>
      </c>
      <c r="R3480" s="18" t="str">
        <f t="shared" si="2074"/>
        <v>+0</v>
      </c>
      <c r="S3480" s="14" t="s">
        <v>260</v>
      </c>
    </row>
    <row r="3481">
      <c r="A3481" s="13">
        <v>45901.0</v>
      </c>
      <c r="B3481" s="14" t="s">
        <v>47</v>
      </c>
      <c r="C3481" s="14" t="s">
        <v>48</v>
      </c>
      <c r="D3481" s="14" t="s">
        <v>91</v>
      </c>
      <c r="E3481" s="14" t="s">
        <v>92</v>
      </c>
      <c r="F3481" s="14" t="s">
        <v>146</v>
      </c>
      <c r="G3481" s="14" t="s">
        <v>147</v>
      </c>
      <c r="H3481" s="14" t="s">
        <v>91</v>
      </c>
      <c r="I3481" s="14" t="s">
        <v>107</v>
      </c>
      <c r="J3481" s="14" t="s">
        <v>200</v>
      </c>
      <c r="K3481" s="14" t="s">
        <v>226</v>
      </c>
      <c r="L3481" s="14" t="s">
        <v>672</v>
      </c>
      <c r="M3481" s="14" t="s">
        <v>936</v>
      </c>
      <c r="N3481" s="14" t="s">
        <v>937</v>
      </c>
      <c r="O3481" s="14">
        <v>100.0</v>
      </c>
      <c r="P3481" s="23">
        <v>1.0</v>
      </c>
      <c r="Q3481" s="22" t="str">
        <f t="shared" ref="Q3481:R3481" si="2075">"+0.00%"</f>
        <v>+0.00%</v>
      </c>
      <c r="R3481" s="18" t="str">
        <f t="shared" si="2075"/>
        <v>+0.00%</v>
      </c>
      <c r="S3481" s="14" t="s">
        <v>1861</v>
      </c>
    </row>
    <row r="3482">
      <c r="A3482" s="13">
        <v>45901.0</v>
      </c>
      <c r="B3482" s="14" t="s">
        <v>47</v>
      </c>
      <c r="C3482" s="14" t="s">
        <v>48</v>
      </c>
      <c r="D3482" s="14" t="s">
        <v>99</v>
      </c>
      <c r="E3482" s="14" t="s">
        <v>100</v>
      </c>
      <c r="F3482" s="15" t="s">
        <v>51</v>
      </c>
      <c r="G3482" s="14" t="s">
        <v>101</v>
      </c>
      <c r="H3482" s="14" t="s">
        <v>102</v>
      </c>
      <c r="I3482" s="14" t="s">
        <v>54</v>
      </c>
      <c r="J3482" s="14" t="s">
        <v>198</v>
      </c>
      <c r="K3482" s="14" t="s">
        <v>205</v>
      </c>
      <c r="L3482" s="14" t="s">
        <v>274</v>
      </c>
      <c r="M3482" s="14" t="s">
        <v>696</v>
      </c>
      <c r="N3482" s="14" t="s">
        <v>697</v>
      </c>
      <c r="O3482" s="14">
        <v>100.0</v>
      </c>
      <c r="P3482" s="21">
        <v>1.0</v>
      </c>
      <c r="Q3482" s="22" t="str">
        <f t="shared" ref="Q3482:Q3483" si="2076">"+0"</f>
        <v>+0</v>
      </c>
      <c r="S3482" s="14" t="s">
        <v>281</v>
      </c>
    </row>
    <row r="3483">
      <c r="A3483" s="13">
        <v>45901.0</v>
      </c>
      <c r="B3483" s="14" t="s">
        <v>47</v>
      </c>
      <c r="C3483" s="14" t="s">
        <v>48</v>
      </c>
      <c r="D3483" s="14" t="s">
        <v>91</v>
      </c>
      <c r="E3483" s="14" t="s">
        <v>92</v>
      </c>
      <c r="F3483" s="14" t="s">
        <v>79</v>
      </c>
      <c r="G3483" s="14" t="s">
        <v>164</v>
      </c>
      <c r="H3483" s="14" t="s">
        <v>91</v>
      </c>
      <c r="I3483" s="14" t="s">
        <v>154</v>
      </c>
      <c r="J3483" s="14" t="s">
        <v>199</v>
      </c>
      <c r="K3483" s="14" t="s">
        <v>206</v>
      </c>
      <c r="L3483" s="14" t="s">
        <v>295</v>
      </c>
      <c r="M3483" s="14" t="s">
        <v>461</v>
      </c>
      <c r="N3483" s="14" t="s">
        <v>462</v>
      </c>
      <c r="O3483" s="14">
        <v>0.0</v>
      </c>
      <c r="P3483" s="21">
        <v>0.0</v>
      </c>
      <c r="Q3483" s="22" t="str">
        <f t="shared" si="2076"/>
        <v>+0</v>
      </c>
      <c r="R3483" s="18" t="str">
        <f>"+0"</f>
        <v>+0</v>
      </c>
      <c r="S3483" s="14" t="s">
        <v>260</v>
      </c>
    </row>
    <row r="3484">
      <c r="A3484" s="13">
        <v>45901.0</v>
      </c>
      <c r="B3484" s="14" t="s">
        <v>47</v>
      </c>
      <c r="C3484" s="14" t="s">
        <v>48</v>
      </c>
      <c r="D3484" s="14" t="s">
        <v>63</v>
      </c>
      <c r="E3484" s="14" t="s">
        <v>64</v>
      </c>
      <c r="F3484" s="14" t="s">
        <v>111</v>
      </c>
      <c r="G3484" s="14">
        <v>4916210.0</v>
      </c>
      <c r="H3484" s="14" t="s">
        <v>63</v>
      </c>
      <c r="I3484" s="14" t="s">
        <v>59</v>
      </c>
      <c r="J3484" s="14" t="s">
        <v>199</v>
      </c>
      <c r="K3484" s="14" t="s">
        <v>206</v>
      </c>
      <c r="L3484" s="14" t="s">
        <v>295</v>
      </c>
      <c r="M3484" s="14" t="s">
        <v>986</v>
      </c>
      <c r="N3484" s="14" t="s">
        <v>987</v>
      </c>
      <c r="O3484" s="14">
        <v>0.0</v>
      </c>
      <c r="P3484" s="21">
        <v>0.0</v>
      </c>
      <c r="Q3484" s="22" t="str">
        <f t="shared" ref="Q3484:R3484" si="2077">"-1"</f>
        <v>-1</v>
      </c>
      <c r="R3484" s="18" t="str">
        <f t="shared" si="2077"/>
        <v>-1</v>
      </c>
      <c r="S3484" s="14" t="s">
        <v>260</v>
      </c>
    </row>
    <row r="3485">
      <c r="A3485" s="13">
        <v>45901.0</v>
      </c>
      <c r="B3485" s="14" t="s">
        <v>47</v>
      </c>
      <c r="C3485" s="14" t="s">
        <v>48</v>
      </c>
      <c r="D3485" s="14" t="s">
        <v>99</v>
      </c>
      <c r="E3485" s="14" t="s">
        <v>100</v>
      </c>
      <c r="F3485" s="15" t="s">
        <v>51</v>
      </c>
      <c r="G3485" s="14" t="s">
        <v>101</v>
      </c>
      <c r="H3485" s="14" t="s">
        <v>102</v>
      </c>
      <c r="I3485" s="14" t="s">
        <v>54</v>
      </c>
      <c r="J3485" s="14" t="s">
        <v>198</v>
      </c>
      <c r="K3485" s="14" t="s">
        <v>212</v>
      </c>
      <c r="L3485" s="14" t="s">
        <v>249</v>
      </c>
      <c r="M3485" s="14" t="s">
        <v>604</v>
      </c>
      <c r="N3485" s="14" t="s">
        <v>605</v>
      </c>
      <c r="O3485" s="14">
        <v>0.0</v>
      </c>
      <c r="P3485" s="21">
        <v>0.0</v>
      </c>
      <c r="Q3485" s="22" t="str">
        <f t="shared" ref="Q3485:R3485" si="2078">"+0"</f>
        <v>+0</v>
      </c>
      <c r="R3485" s="18" t="str">
        <f t="shared" si="2078"/>
        <v>+0</v>
      </c>
      <c r="S3485" s="14" t="s">
        <v>277</v>
      </c>
    </row>
    <row r="3486">
      <c r="A3486" s="13">
        <v>45901.0</v>
      </c>
      <c r="B3486" s="14" t="s">
        <v>47</v>
      </c>
      <c r="C3486" s="14" t="s">
        <v>48</v>
      </c>
      <c r="D3486" s="14" t="s">
        <v>63</v>
      </c>
      <c r="E3486" s="14" t="s">
        <v>64</v>
      </c>
      <c r="F3486" s="15" t="s">
        <v>51</v>
      </c>
      <c r="G3486" s="14" t="s">
        <v>65</v>
      </c>
      <c r="H3486" s="14" t="s">
        <v>63</v>
      </c>
      <c r="I3486" s="14" t="s">
        <v>54</v>
      </c>
      <c r="J3486" s="14" t="s">
        <v>200</v>
      </c>
      <c r="K3486" s="14" t="s">
        <v>213</v>
      </c>
      <c r="L3486" s="14" t="s">
        <v>591</v>
      </c>
      <c r="M3486" s="14" t="s">
        <v>592</v>
      </c>
      <c r="N3486" s="14" t="s">
        <v>1048</v>
      </c>
      <c r="O3486" s="14">
        <v>100.0</v>
      </c>
      <c r="P3486" s="23">
        <v>3.0E-4</v>
      </c>
      <c r="Q3486" s="22" t="str">
        <f t="shared" ref="Q3486:R3486" si="2079">"+0.02%"</f>
        <v>+0.02%</v>
      </c>
      <c r="R3486" s="18" t="str">
        <f t="shared" si="2079"/>
        <v>+0.02%</v>
      </c>
      <c r="S3486" s="14" t="s">
        <v>285</v>
      </c>
    </row>
    <row r="3487">
      <c r="A3487" s="13">
        <v>45901.0</v>
      </c>
      <c r="B3487" s="14" t="s">
        <v>47</v>
      </c>
      <c r="C3487" s="14" t="s">
        <v>48</v>
      </c>
      <c r="D3487" s="14" t="s">
        <v>66</v>
      </c>
      <c r="E3487" s="14" t="s">
        <v>67</v>
      </c>
      <c r="F3487" s="15" t="s">
        <v>51</v>
      </c>
      <c r="G3487" s="14" t="s">
        <v>68</v>
      </c>
      <c r="H3487" s="14" t="s">
        <v>66</v>
      </c>
      <c r="I3487" s="14" t="s">
        <v>59</v>
      </c>
      <c r="J3487" s="14" t="s">
        <v>198</v>
      </c>
      <c r="K3487" s="14" t="s">
        <v>205</v>
      </c>
      <c r="L3487" s="14" t="s">
        <v>274</v>
      </c>
      <c r="M3487" s="14" t="s">
        <v>482</v>
      </c>
      <c r="N3487" s="14" t="s">
        <v>483</v>
      </c>
      <c r="O3487" s="14">
        <v>100.0</v>
      </c>
      <c r="P3487" s="21">
        <v>8.0</v>
      </c>
      <c r="Q3487" s="22" t="str">
        <f t="shared" ref="Q3487:Q3489" si="2080">"+0"</f>
        <v>+0</v>
      </c>
      <c r="S3487" s="14" t="s">
        <v>484</v>
      </c>
    </row>
    <row r="3488">
      <c r="A3488" s="13">
        <v>45901.0</v>
      </c>
      <c r="B3488" s="14" t="s">
        <v>47</v>
      </c>
      <c r="C3488" s="14" t="s">
        <v>48</v>
      </c>
      <c r="D3488" s="14" t="s">
        <v>192</v>
      </c>
      <c r="E3488" s="14" t="s">
        <v>193</v>
      </c>
      <c r="F3488" s="15" t="s">
        <v>51</v>
      </c>
      <c r="G3488" s="14" t="s">
        <v>194</v>
      </c>
      <c r="H3488" s="14" t="s">
        <v>192</v>
      </c>
      <c r="I3488" s="14" t="s">
        <v>54</v>
      </c>
      <c r="J3488" s="14" t="s">
        <v>199</v>
      </c>
      <c r="K3488" s="14" t="s">
        <v>208</v>
      </c>
      <c r="L3488" s="14" t="s">
        <v>412</v>
      </c>
      <c r="M3488" s="14" t="s">
        <v>412</v>
      </c>
      <c r="N3488" s="14" t="s">
        <v>413</v>
      </c>
      <c r="O3488" s="14">
        <v>100.0</v>
      </c>
      <c r="P3488" s="21">
        <v>17.0</v>
      </c>
      <c r="Q3488" s="22" t="str">
        <f t="shared" si="2080"/>
        <v>+0</v>
      </c>
      <c r="R3488" s="18" t="str">
        <f>"+3"</f>
        <v>+3</v>
      </c>
      <c r="S3488" s="14" t="s">
        <v>260</v>
      </c>
    </row>
    <row r="3489">
      <c r="A3489" s="13">
        <v>45901.0</v>
      </c>
      <c r="B3489" s="14" t="s">
        <v>47</v>
      </c>
      <c r="C3489" s="14" t="s">
        <v>48</v>
      </c>
      <c r="D3489" s="14" t="s">
        <v>136</v>
      </c>
      <c r="E3489" s="14" t="s">
        <v>137</v>
      </c>
      <c r="F3489" s="15" t="s">
        <v>51</v>
      </c>
      <c r="G3489" s="14" t="s">
        <v>138</v>
      </c>
      <c r="H3489" s="14" t="s">
        <v>139</v>
      </c>
      <c r="I3489" s="14" t="s">
        <v>59</v>
      </c>
      <c r="J3489" s="14" t="s">
        <v>198</v>
      </c>
      <c r="K3489" s="14" t="s">
        <v>210</v>
      </c>
      <c r="L3489" s="14" t="s">
        <v>278</v>
      </c>
      <c r="M3489" s="14" t="s">
        <v>279</v>
      </c>
      <c r="N3489" s="14" t="s">
        <v>280</v>
      </c>
      <c r="O3489" s="14">
        <v>100.0</v>
      </c>
      <c r="P3489" s="21">
        <v>0.0</v>
      </c>
      <c r="Q3489" s="22" t="str">
        <f t="shared" si="2080"/>
        <v>+0</v>
      </c>
      <c r="R3489" s="18" t="str">
        <f>"+0"</f>
        <v>+0</v>
      </c>
      <c r="S3489" s="14" t="s">
        <v>281</v>
      </c>
    </row>
    <row r="3490">
      <c r="A3490" s="13">
        <v>45901.0</v>
      </c>
      <c r="B3490" s="14" t="s">
        <v>47</v>
      </c>
      <c r="C3490" s="14" t="s">
        <v>48</v>
      </c>
      <c r="D3490" s="14" t="s">
        <v>149</v>
      </c>
      <c r="E3490" s="14" t="s">
        <v>150</v>
      </c>
      <c r="F3490" s="15" t="s">
        <v>51</v>
      </c>
      <c r="G3490" s="14" t="s">
        <v>151</v>
      </c>
      <c r="H3490" s="14" t="s">
        <v>152</v>
      </c>
      <c r="I3490" s="14" t="s">
        <v>54</v>
      </c>
      <c r="J3490" s="14" t="s">
        <v>200</v>
      </c>
      <c r="K3490" s="14" t="s">
        <v>231</v>
      </c>
      <c r="L3490" s="14" t="s">
        <v>751</v>
      </c>
      <c r="M3490" s="14" t="s">
        <v>2059</v>
      </c>
      <c r="N3490" s="14" t="s">
        <v>2060</v>
      </c>
      <c r="O3490" s="14">
        <v>0.0</v>
      </c>
      <c r="P3490" s="23">
        <v>0.0</v>
      </c>
      <c r="Q3490" s="22" t="str">
        <f t="shared" ref="Q3490:R3490" si="2081">"+0.00%"</f>
        <v>+0.00%</v>
      </c>
      <c r="R3490" s="18" t="str">
        <f t="shared" si="2081"/>
        <v>+0.00%</v>
      </c>
      <c r="S3490" s="14" t="s">
        <v>2061</v>
      </c>
    </row>
    <row r="3491">
      <c r="A3491" s="13">
        <v>45901.0</v>
      </c>
      <c r="B3491" s="14" t="s">
        <v>47</v>
      </c>
      <c r="C3491" s="14" t="s">
        <v>48</v>
      </c>
      <c r="D3491" s="14" t="s">
        <v>171</v>
      </c>
      <c r="E3491" s="14" t="s">
        <v>172</v>
      </c>
      <c r="F3491" s="15" t="s">
        <v>51</v>
      </c>
      <c r="G3491" s="14" t="s">
        <v>173</v>
      </c>
      <c r="H3491" s="14" t="s">
        <v>171</v>
      </c>
      <c r="I3491" s="14" t="s">
        <v>59</v>
      </c>
      <c r="J3491" s="14" t="s">
        <v>200</v>
      </c>
      <c r="K3491" s="14" t="s">
        <v>213</v>
      </c>
      <c r="L3491" s="14" t="s">
        <v>257</v>
      </c>
      <c r="M3491" s="14" t="s">
        <v>298</v>
      </c>
      <c r="N3491" s="14" t="s">
        <v>299</v>
      </c>
      <c r="O3491" s="14">
        <v>0.0</v>
      </c>
      <c r="P3491" s="23">
        <v>0.0</v>
      </c>
      <c r="Q3491" s="22" t="str">
        <f t="shared" ref="Q3491:R3491" si="2082">"+0.00%"</f>
        <v>+0.00%</v>
      </c>
      <c r="R3491" s="18" t="str">
        <f t="shared" si="2082"/>
        <v>+0.00%</v>
      </c>
      <c r="S3491" s="14" t="s">
        <v>2062</v>
      </c>
    </row>
    <row r="3492">
      <c r="A3492" s="13">
        <v>45901.0</v>
      </c>
      <c r="B3492" s="14" t="s">
        <v>47</v>
      </c>
      <c r="C3492" s="14" t="s">
        <v>48</v>
      </c>
      <c r="D3492" s="14" t="s">
        <v>77</v>
      </c>
      <c r="E3492" s="14" t="s">
        <v>78</v>
      </c>
      <c r="F3492" s="15" t="s">
        <v>51</v>
      </c>
      <c r="G3492" s="14" t="s">
        <v>128</v>
      </c>
      <c r="H3492" s="14" t="s">
        <v>81</v>
      </c>
      <c r="I3492" s="14" t="s">
        <v>59</v>
      </c>
      <c r="J3492" s="14" t="s">
        <v>200</v>
      </c>
      <c r="K3492" s="14" t="s">
        <v>216</v>
      </c>
      <c r="L3492" s="14" t="s">
        <v>779</v>
      </c>
      <c r="M3492" s="14" t="s">
        <v>1584</v>
      </c>
      <c r="N3492" s="14" t="s">
        <v>1585</v>
      </c>
      <c r="O3492" s="14">
        <v>0.0</v>
      </c>
      <c r="P3492" s="21">
        <v>0.0</v>
      </c>
      <c r="Q3492" s="22" t="str">
        <f t="shared" ref="Q3492:R3492" si="2083">"+0"</f>
        <v>+0</v>
      </c>
      <c r="R3492" s="18" t="str">
        <f t="shared" si="2083"/>
        <v>+0</v>
      </c>
      <c r="S3492" s="14" t="s">
        <v>260</v>
      </c>
    </row>
    <row r="3493">
      <c r="A3493" s="13">
        <v>45901.0</v>
      </c>
      <c r="B3493" s="14" t="s">
        <v>47</v>
      </c>
      <c r="C3493" s="14" t="s">
        <v>48</v>
      </c>
      <c r="D3493" s="14" t="s">
        <v>112</v>
      </c>
      <c r="E3493" s="14" t="s">
        <v>113</v>
      </c>
      <c r="F3493" s="15" t="s">
        <v>51</v>
      </c>
      <c r="G3493" s="14" t="s">
        <v>114</v>
      </c>
      <c r="H3493" s="14" t="s">
        <v>112</v>
      </c>
      <c r="I3493" s="14" t="s">
        <v>59</v>
      </c>
      <c r="J3493" s="14" t="s">
        <v>198</v>
      </c>
      <c r="K3493" s="14" t="s">
        <v>205</v>
      </c>
      <c r="L3493" s="14" t="s">
        <v>274</v>
      </c>
      <c r="M3493" s="14" t="s">
        <v>466</v>
      </c>
      <c r="N3493" s="14" t="s">
        <v>467</v>
      </c>
      <c r="O3493" s="14">
        <v>100.0</v>
      </c>
      <c r="P3493" s="21">
        <v>1.0</v>
      </c>
      <c r="Q3493" s="22" t="str">
        <f t="shared" ref="Q3493:Q3494" si="2084">"+0"</f>
        <v>+0</v>
      </c>
      <c r="S3493" s="14" t="s">
        <v>281</v>
      </c>
    </row>
    <row r="3494">
      <c r="A3494" s="13">
        <v>45901.0</v>
      </c>
      <c r="B3494" s="14" t="s">
        <v>47</v>
      </c>
      <c r="C3494" s="14" t="s">
        <v>48</v>
      </c>
      <c r="D3494" s="14" t="s">
        <v>168</v>
      </c>
      <c r="E3494" s="14" t="s">
        <v>169</v>
      </c>
      <c r="F3494" s="15" t="s">
        <v>51</v>
      </c>
      <c r="G3494" s="14" t="s">
        <v>170</v>
      </c>
      <c r="H3494" s="14" t="s">
        <v>168</v>
      </c>
      <c r="I3494" s="14" t="s">
        <v>59</v>
      </c>
      <c r="J3494" s="14" t="s">
        <v>199</v>
      </c>
      <c r="K3494" s="14" t="s">
        <v>206</v>
      </c>
      <c r="L3494" s="14" t="s">
        <v>295</v>
      </c>
      <c r="M3494" s="14" t="s">
        <v>651</v>
      </c>
      <c r="N3494" s="14" t="s">
        <v>652</v>
      </c>
      <c r="O3494" s="14">
        <v>0.0</v>
      </c>
      <c r="P3494" s="21">
        <v>0.0</v>
      </c>
      <c r="Q3494" s="22" t="str">
        <f t="shared" si="2084"/>
        <v>+0</v>
      </c>
      <c r="R3494" s="18" t="str">
        <f>"+0"</f>
        <v>+0</v>
      </c>
      <c r="S3494" s="14" t="s">
        <v>260</v>
      </c>
    </row>
    <row r="3495">
      <c r="A3495" s="13">
        <v>45901.0</v>
      </c>
      <c r="B3495" s="14" t="s">
        <v>47</v>
      </c>
      <c r="C3495" s="14" t="s">
        <v>48</v>
      </c>
      <c r="D3495" s="14" t="s">
        <v>56</v>
      </c>
      <c r="E3495" s="14" t="s">
        <v>57</v>
      </c>
      <c r="F3495" s="15" t="s">
        <v>51</v>
      </c>
      <c r="G3495" s="14" t="s">
        <v>58</v>
      </c>
      <c r="H3495" s="14" t="s">
        <v>56</v>
      </c>
      <c r="I3495" s="14" t="s">
        <v>59</v>
      </c>
      <c r="J3495" s="14" t="s">
        <v>200</v>
      </c>
      <c r="K3495" s="14" t="s">
        <v>223</v>
      </c>
      <c r="L3495" s="14" t="s">
        <v>304</v>
      </c>
      <c r="M3495" s="14" t="s">
        <v>662</v>
      </c>
      <c r="N3495" s="14" t="s">
        <v>663</v>
      </c>
      <c r="O3495" s="14">
        <v>76.0</v>
      </c>
      <c r="P3495" s="23">
        <v>0.5203</v>
      </c>
      <c r="Q3495" s="22" t="str">
        <f>"+38.46%"</f>
        <v>+38.46%</v>
      </c>
      <c r="R3495" s="18" t="str">
        <f>"-47.97%"</f>
        <v>-47.97%</v>
      </c>
      <c r="S3495" s="14" t="s">
        <v>2063</v>
      </c>
    </row>
    <row r="3496">
      <c r="A3496" s="13">
        <v>45901.0</v>
      </c>
      <c r="B3496" s="14" t="s">
        <v>47</v>
      </c>
      <c r="C3496" s="14" t="s">
        <v>48</v>
      </c>
      <c r="D3496" s="14" t="s">
        <v>165</v>
      </c>
      <c r="E3496" s="14" t="s">
        <v>166</v>
      </c>
      <c r="F3496" s="15" t="s">
        <v>51</v>
      </c>
      <c r="G3496" s="14" t="s">
        <v>167</v>
      </c>
      <c r="H3496" s="14" t="s">
        <v>165</v>
      </c>
      <c r="I3496" s="14" t="s">
        <v>54</v>
      </c>
      <c r="J3496" s="14" t="s">
        <v>200</v>
      </c>
      <c r="K3496" s="14" t="s">
        <v>211</v>
      </c>
      <c r="L3496" s="14" t="s">
        <v>889</v>
      </c>
      <c r="M3496" s="14" t="s">
        <v>890</v>
      </c>
      <c r="N3496" s="14" t="s">
        <v>891</v>
      </c>
      <c r="O3496" s="14">
        <v>0.0</v>
      </c>
      <c r="P3496" s="23">
        <v>-1.0</v>
      </c>
      <c r="Q3496" s="22" t="str">
        <f t="shared" ref="Q3496:R3496" si="2085">"+0.00%"</f>
        <v>+0.00%</v>
      </c>
      <c r="R3496" s="18" t="str">
        <f t="shared" si="2085"/>
        <v>+0.00%</v>
      </c>
      <c r="S3496" s="14" t="s">
        <v>2064</v>
      </c>
    </row>
    <row r="3497">
      <c r="A3497" s="13">
        <v>45901.0</v>
      </c>
      <c r="B3497" s="14" t="s">
        <v>47</v>
      </c>
      <c r="C3497" s="14" t="s">
        <v>48</v>
      </c>
      <c r="D3497" s="14" t="s">
        <v>118</v>
      </c>
      <c r="E3497" s="14" t="s">
        <v>119</v>
      </c>
      <c r="F3497" s="15" t="s">
        <v>51</v>
      </c>
      <c r="G3497" s="14" t="s">
        <v>120</v>
      </c>
      <c r="H3497" s="14" t="s">
        <v>118</v>
      </c>
      <c r="I3497" s="14" t="s">
        <v>59</v>
      </c>
      <c r="J3497" s="14" t="s">
        <v>200</v>
      </c>
      <c r="K3497" s="14" t="s">
        <v>227</v>
      </c>
      <c r="L3497" s="14" t="s">
        <v>721</v>
      </c>
      <c r="M3497" s="14" t="s">
        <v>748</v>
      </c>
      <c r="N3497" s="14" t="s">
        <v>749</v>
      </c>
      <c r="O3497" s="14">
        <v>0.0</v>
      </c>
      <c r="P3497" s="23">
        <v>-1.0</v>
      </c>
      <c r="Q3497" s="22" t="str">
        <f t="shared" ref="Q3497:R3497" si="2086">"+0.00%"</f>
        <v>+0.00%</v>
      </c>
      <c r="R3497" s="18" t="str">
        <f t="shared" si="2086"/>
        <v>+0.00%</v>
      </c>
      <c r="S3497" s="14" t="s">
        <v>750</v>
      </c>
    </row>
    <row r="3498">
      <c r="A3498" s="13">
        <v>45901.0</v>
      </c>
      <c r="B3498" s="14" t="s">
        <v>47</v>
      </c>
      <c r="C3498" s="14" t="s">
        <v>48</v>
      </c>
      <c r="D3498" s="14" t="s">
        <v>63</v>
      </c>
      <c r="E3498" s="14" t="s">
        <v>64</v>
      </c>
      <c r="F3498" s="15" t="s">
        <v>51</v>
      </c>
      <c r="G3498" s="14" t="s">
        <v>65</v>
      </c>
      <c r="H3498" s="14" t="s">
        <v>63</v>
      </c>
      <c r="I3498" s="14" t="s">
        <v>54</v>
      </c>
      <c r="J3498" s="14" t="s">
        <v>198</v>
      </c>
      <c r="K3498" s="14" t="s">
        <v>205</v>
      </c>
      <c r="L3498" s="14" t="s">
        <v>274</v>
      </c>
      <c r="M3498" s="14" t="s">
        <v>2065</v>
      </c>
      <c r="N3498" s="14" t="s">
        <v>2066</v>
      </c>
      <c r="O3498" s="14">
        <v>0.0</v>
      </c>
      <c r="P3498" s="21">
        <v>0.0</v>
      </c>
      <c r="Q3498" s="22" t="str">
        <f t="shared" ref="Q3498:Q3500" si="2087">"+0"</f>
        <v>+0</v>
      </c>
      <c r="S3498" s="14" t="s">
        <v>281</v>
      </c>
    </row>
    <row r="3499">
      <c r="A3499" s="13">
        <v>45901.0</v>
      </c>
      <c r="B3499" s="14" t="s">
        <v>47</v>
      </c>
      <c r="C3499" s="14" t="s">
        <v>48</v>
      </c>
      <c r="D3499" s="14" t="s">
        <v>91</v>
      </c>
      <c r="E3499" s="14" t="s">
        <v>92</v>
      </c>
      <c r="F3499" s="14" t="s">
        <v>71</v>
      </c>
      <c r="G3499" s="14">
        <v>5.00008612E8</v>
      </c>
      <c r="H3499" s="14" t="s">
        <v>91</v>
      </c>
      <c r="I3499" s="14" t="s">
        <v>59</v>
      </c>
      <c r="J3499" s="14" t="s">
        <v>199</v>
      </c>
      <c r="K3499" s="14" t="s">
        <v>208</v>
      </c>
      <c r="L3499" s="14" t="s">
        <v>412</v>
      </c>
      <c r="M3499" s="14" t="s">
        <v>412</v>
      </c>
      <c r="N3499" s="14" t="s">
        <v>413</v>
      </c>
      <c r="O3499" s="14">
        <v>100.0</v>
      </c>
      <c r="P3499" s="21">
        <v>12.0</v>
      </c>
      <c r="Q3499" s="22" t="str">
        <f t="shared" si="2087"/>
        <v>+0</v>
      </c>
      <c r="R3499" s="18" t="str">
        <f>"+0"</f>
        <v>+0</v>
      </c>
      <c r="S3499" s="14" t="s">
        <v>260</v>
      </c>
    </row>
    <row r="3500">
      <c r="A3500" s="13">
        <v>45901.0</v>
      </c>
      <c r="B3500" s="14" t="s">
        <v>47</v>
      </c>
      <c r="C3500" s="14" t="s">
        <v>48</v>
      </c>
      <c r="D3500" s="14" t="s">
        <v>63</v>
      </c>
      <c r="E3500" s="14" t="s">
        <v>64</v>
      </c>
      <c r="F3500" s="15" t="s">
        <v>51</v>
      </c>
      <c r="G3500" s="14" t="s">
        <v>65</v>
      </c>
      <c r="H3500" s="14" t="s">
        <v>63</v>
      </c>
      <c r="I3500" s="14" t="s">
        <v>54</v>
      </c>
      <c r="J3500" s="14" t="s">
        <v>198</v>
      </c>
      <c r="K3500" s="14" t="s">
        <v>205</v>
      </c>
      <c r="L3500" s="14" t="s">
        <v>274</v>
      </c>
      <c r="M3500" s="14" t="s">
        <v>425</v>
      </c>
      <c r="N3500" s="14" t="s">
        <v>426</v>
      </c>
      <c r="O3500" s="14">
        <v>0.0</v>
      </c>
      <c r="P3500" s="21">
        <v>0.0</v>
      </c>
      <c r="Q3500" s="22" t="str">
        <f t="shared" si="2087"/>
        <v>+0</v>
      </c>
      <c r="S3500" s="14" t="s">
        <v>281</v>
      </c>
    </row>
    <row r="3501">
      <c r="A3501" s="13">
        <v>45901.0</v>
      </c>
      <c r="B3501" s="14" t="s">
        <v>47</v>
      </c>
      <c r="C3501" s="14" t="s">
        <v>48</v>
      </c>
      <c r="D3501" s="14" t="s">
        <v>91</v>
      </c>
      <c r="E3501" s="14" t="s">
        <v>92</v>
      </c>
      <c r="F3501" s="14" t="s">
        <v>71</v>
      </c>
      <c r="G3501" s="14">
        <v>5.00008612E8</v>
      </c>
      <c r="H3501" s="14" t="s">
        <v>91</v>
      </c>
      <c r="I3501" s="14" t="s">
        <v>59</v>
      </c>
      <c r="J3501" s="14" t="s">
        <v>199</v>
      </c>
      <c r="K3501" s="14" t="s">
        <v>206</v>
      </c>
      <c r="L3501" s="14" t="s">
        <v>295</v>
      </c>
      <c r="M3501" s="14" t="s">
        <v>986</v>
      </c>
      <c r="N3501" s="14" t="s">
        <v>987</v>
      </c>
      <c r="O3501" s="14">
        <v>0.0</v>
      </c>
      <c r="P3501" s="21">
        <v>0.0</v>
      </c>
      <c r="Q3501" s="22" t="str">
        <f t="shared" ref="Q3501:R3501" si="2088">"-6"</f>
        <v>-6</v>
      </c>
      <c r="R3501" s="18" t="str">
        <f t="shared" si="2088"/>
        <v>-6</v>
      </c>
      <c r="S3501" s="14" t="s">
        <v>260</v>
      </c>
    </row>
    <row r="3502">
      <c r="A3502" s="13">
        <v>45901.0</v>
      </c>
      <c r="B3502" s="14" t="s">
        <v>47</v>
      </c>
      <c r="C3502" s="14" t="s">
        <v>48</v>
      </c>
      <c r="D3502" s="14" t="s">
        <v>63</v>
      </c>
      <c r="E3502" s="14" t="s">
        <v>64</v>
      </c>
      <c r="F3502" s="14" t="s">
        <v>111</v>
      </c>
      <c r="G3502" s="14">
        <v>4916210.0</v>
      </c>
      <c r="H3502" s="14" t="s">
        <v>63</v>
      </c>
      <c r="I3502" s="14" t="s">
        <v>59</v>
      </c>
      <c r="J3502" s="14" t="s">
        <v>200</v>
      </c>
      <c r="K3502" s="14" t="s">
        <v>221</v>
      </c>
      <c r="L3502" s="14" t="s">
        <v>253</v>
      </c>
      <c r="M3502" s="14" t="s">
        <v>2067</v>
      </c>
      <c r="N3502" s="14" t="s">
        <v>2068</v>
      </c>
      <c r="O3502" s="14">
        <v>52.0</v>
      </c>
      <c r="P3502" s="23">
        <v>0.5293</v>
      </c>
      <c r="Q3502" s="22" t="str">
        <f>"+0.28%"</f>
        <v>+0.28%</v>
      </c>
      <c r="R3502" s="18" t="str">
        <f>"+0.88%"</f>
        <v>+0.88%</v>
      </c>
      <c r="S3502" s="14" t="s">
        <v>1903</v>
      </c>
    </row>
    <row r="3503">
      <c r="A3503" s="13">
        <v>45901.0</v>
      </c>
      <c r="B3503" s="14" t="s">
        <v>47</v>
      </c>
      <c r="C3503" s="14" t="s">
        <v>48</v>
      </c>
      <c r="D3503" s="14" t="s">
        <v>82</v>
      </c>
      <c r="E3503" s="14" t="s">
        <v>83</v>
      </c>
      <c r="F3503" s="15" t="s">
        <v>51</v>
      </c>
      <c r="G3503" s="14" t="s">
        <v>84</v>
      </c>
      <c r="H3503" s="14" t="s">
        <v>82</v>
      </c>
      <c r="I3503" s="14" t="s">
        <v>59</v>
      </c>
      <c r="J3503" s="14" t="s">
        <v>200</v>
      </c>
      <c r="K3503" s="14" t="s">
        <v>227</v>
      </c>
      <c r="L3503" s="14" t="s">
        <v>253</v>
      </c>
      <c r="M3503" s="14" t="s">
        <v>811</v>
      </c>
      <c r="N3503" s="14" t="s">
        <v>812</v>
      </c>
      <c r="O3503" s="14">
        <v>100.0</v>
      </c>
      <c r="P3503" s="23">
        <v>1.0</v>
      </c>
      <c r="Q3503" s="22" t="str">
        <f t="shared" ref="Q3503:R3503" si="2089">"+0.00%"</f>
        <v>+0.00%</v>
      </c>
      <c r="R3503" s="18" t="str">
        <f t="shared" si="2089"/>
        <v>+0.00%</v>
      </c>
      <c r="S3503" s="14" t="s">
        <v>2069</v>
      </c>
    </row>
    <row r="3504">
      <c r="A3504" s="13">
        <v>45901.0</v>
      </c>
      <c r="B3504" s="14" t="s">
        <v>47</v>
      </c>
      <c r="C3504" s="14" t="s">
        <v>48</v>
      </c>
      <c r="D3504" s="14" t="s">
        <v>192</v>
      </c>
      <c r="E3504" s="14" t="s">
        <v>193</v>
      </c>
      <c r="F3504" s="15" t="s">
        <v>51</v>
      </c>
      <c r="G3504" s="14" t="s">
        <v>194</v>
      </c>
      <c r="H3504" s="14" t="s">
        <v>192</v>
      </c>
      <c r="I3504" s="14" t="s">
        <v>54</v>
      </c>
      <c r="J3504" s="14" t="s">
        <v>198</v>
      </c>
      <c r="K3504" s="14" t="s">
        <v>210</v>
      </c>
      <c r="L3504" s="14" t="s">
        <v>458</v>
      </c>
      <c r="M3504" s="14" t="s">
        <v>1439</v>
      </c>
      <c r="N3504" s="14" t="s">
        <v>1440</v>
      </c>
      <c r="O3504" s="14">
        <v>0.0</v>
      </c>
      <c r="P3504" s="21">
        <v>0.0</v>
      </c>
      <c r="Q3504" s="22" t="str">
        <f t="shared" ref="Q3504:R3504" si="2090">"+0"</f>
        <v>+0</v>
      </c>
      <c r="R3504" s="18" t="str">
        <f t="shared" si="2090"/>
        <v>+0</v>
      </c>
      <c r="S3504" s="14" t="s">
        <v>277</v>
      </c>
    </row>
    <row r="3505">
      <c r="A3505" s="13">
        <v>45901.0</v>
      </c>
      <c r="B3505" s="14" t="s">
        <v>47</v>
      </c>
      <c r="C3505" s="14" t="s">
        <v>48</v>
      </c>
      <c r="D3505" s="14" t="s">
        <v>66</v>
      </c>
      <c r="E3505" s="14" t="s">
        <v>67</v>
      </c>
      <c r="F3505" s="15" t="s">
        <v>51</v>
      </c>
      <c r="G3505" s="14" t="s">
        <v>68</v>
      </c>
      <c r="H3505" s="14" t="s">
        <v>66</v>
      </c>
      <c r="I3505" s="14" t="s">
        <v>59</v>
      </c>
      <c r="J3505" s="14" t="s">
        <v>200</v>
      </c>
      <c r="K3505" s="14" t="s">
        <v>223</v>
      </c>
      <c r="L3505" s="14" t="s">
        <v>607</v>
      </c>
      <c r="M3505" s="14" t="s">
        <v>692</v>
      </c>
      <c r="N3505" s="14" t="s">
        <v>693</v>
      </c>
      <c r="O3505" s="14">
        <v>0.0</v>
      </c>
      <c r="P3505" s="23">
        <v>0.0</v>
      </c>
      <c r="Q3505" s="22" t="str">
        <f t="shared" ref="Q3505:R3505" si="2091">"+0.00%"</f>
        <v>+0.00%</v>
      </c>
      <c r="R3505" s="18" t="str">
        <f t="shared" si="2091"/>
        <v>+0.00%</v>
      </c>
      <c r="S3505" s="14" t="s">
        <v>285</v>
      </c>
    </row>
    <row r="3506">
      <c r="A3506" s="13">
        <v>45901.0</v>
      </c>
      <c r="B3506" s="14" t="s">
        <v>47</v>
      </c>
      <c r="C3506" s="14" t="s">
        <v>48</v>
      </c>
      <c r="D3506" s="14" t="s">
        <v>87</v>
      </c>
      <c r="E3506" s="14" t="s">
        <v>88</v>
      </c>
      <c r="F3506" s="15" t="s">
        <v>51</v>
      </c>
      <c r="G3506" s="14" t="s">
        <v>89</v>
      </c>
      <c r="H3506" s="14" t="s">
        <v>90</v>
      </c>
      <c r="I3506" s="14" t="s">
        <v>59</v>
      </c>
      <c r="J3506" s="14" t="s">
        <v>200</v>
      </c>
      <c r="K3506" s="14" t="s">
        <v>219</v>
      </c>
      <c r="L3506" s="14" t="s">
        <v>253</v>
      </c>
      <c r="M3506" s="14" t="s">
        <v>1614</v>
      </c>
      <c r="N3506" s="14" t="s">
        <v>1615</v>
      </c>
      <c r="O3506" s="14">
        <v>100.0</v>
      </c>
      <c r="P3506" s="23">
        <v>1.0</v>
      </c>
      <c r="Q3506" s="22" t="str">
        <f t="shared" ref="Q3506:R3506" si="2092">"+0.00%"</f>
        <v>+0.00%</v>
      </c>
      <c r="R3506" s="18" t="str">
        <f t="shared" si="2092"/>
        <v>+0.00%</v>
      </c>
      <c r="S3506" s="14" t="s">
        <v>285</v>
      </c>
    </row>
    <row r="3507">
      <c r="A3507" s="13">
        <v>45901.0</v>
      </c>
      <c r="B3507" s="14" t="s">
        <v>47</v>
      </c>
      <c r="C3507" s="14" t="s">
        <v>48</v>
      </c>
      <c r="D3507" s="14" t="s">
        <v>171</v>
      </c>
      <c r="E3507" s="14" t="s">
        <v>172</v>
      </c>
      <c r="F3507" s="15" t="s">
        <v>51</v>
      </c>
      <c r="G3507" s="14" t="s">
        <v>173</v>
      </c>
      <c r="H3507" s="14" t="s">
        <v>171</v>
      </c>
      <c r="I3507" s="14" t="s">
        <v>59</v>
      </c>
      <c r="J3507" s="14" t="s">
        <v>199</v>
      </c>
      <c r="K3507" s="14" t="s">
        <v>203</v>
      </c>
      <c r="L3507" s="14" t="s">
        <v>725</v>
      </c>
      <c r="M3507" s="14" t="s">
        <v>725</v>
      </c>
      <c r="N3507" s="14" t="s">
        <v>726</v>
      </c>
      <c r="O3507" s="14">
        <v>0.0</v>
      </c>
      <c r="P3507" s="21">
        <v>0.0</v>
      </c>
      <c r="Q3507" s="22" t="str">
        <f t="shared" ref="Q3507:R3507" si="2093">"+0"</f>
        <v>+0</v>
      </c>
      <c r="R3507" s="18" t="str">
        <f t="shared" si="2093"/>
        <v>+0</v>
      </c>
      <c r="S3507" s="14" t="s">
        <v>260</v>
      </c>
    </row>
    <row r="3508">
      <c r="A3508" s="13">
        <v>45901.0</v>
      </c>
      <c r="B3508" s="14" t="s">
        <v>47</v>
      </c>
      <c r="C3508" s="14" t="s">
        <v>48</v>
      </c>
      <c r="D3508" s="14" t="s">
        <v>149</v>
      </c>
      <c r="E3508" s="14" t="s">
        <v>150</v>
      </c>
      <c r="F3508" s="15" t="s">
        <v>51</v>
      </c>
      <c r="G3508" s="14" t="s">
        <v>151</v>
      </c>
      <c r="H3508" s="14" t="s">
        <v>152</v>
      </c>
      <c r="I3508" s="14" t="s">
        <v>54</v>
      </c>
      <c r="J3508" s="14" t="s">
        <v>200</v>
      </c>
      <c r="K3508" s="14" t="s">
        <v>211</v>
      </c>
      <c r="L3508" s="14" t="s">
        <v>889</v>
      </c>
      <c r="M3508" s="14" t="s">
        <v>890</v>
      </c>
      <c r="N3508" s="14" t="s">
        <v>891</v>
      </c>
      <c r="O3508" s="14">
        <v>40.0</v>
      </c>
      <c r="P3508" s="23">
        <v>-0.1832</v>
      </c>
      <c r="Q3508" s="22" t="str">
        <f>"-11.05%"</f>
        <v>-11.05%</v>
      </c>
      <c r="R3508" s="18" t="str">
        <f>"-47.39%"</f>
        <v>-47.39%</v>
      </c>
      <c r="S3508" s="14" t="s">
        <v>2070</v>
      </c>
    </row>
    <row r="3509">
      <c r="A3509" s="13">
        <v>45901.0</v>
      </c>
      <c r="B3509" s="14" t="s">
        <v>47</v>
      </c>
      <c r="C3509" s="14" t="s">
        <v>48</v>
      </c>
      <c r="D3509" s="14" t="s">
        <v>129</v>
      </c>
      <c r="E3509" s="14" t="s">
        <v>130</v>
      </c>
      <c r="F3509" s="15" t="s">
        <v>51</v>
      </c>
      <c r="G3509" s="14" t="s">
        <v>131</v>
      </c>
      <c r="H3509" s="14" t="s">
        <v>129</v>
      </c>
      <c r="I3509" s="14" t="s">
        <v>59</v>
      </c>
      <c r="J3509" s="14" t="s">
        <v>200</v>
      </c>
      <c r="K3509" s="14" t="s">
        <v>213</v>
      </c>
      <c r="L3509" s="14" t="s">
        <v>359</v>
      </c>
      <c r="M3509" s="14" t="s">
        <v>628</v>
      </c>
      <c r="N3509" s="14" t="s">
        <v>629</v>
      </c>
      <c r="O3509" s="14">
        <v>100.0</v>
      </c>
      <c r="P3509" s="21">
        <v>120.0</v>
      </c>
      <c r="Q3509" s="22" t="str">
        <f t="shared" ref="Q3509:R3509" si="2094">"+0"</f>
        <v>+0</v>
      </c>
      <c r="R3509" s="18" t="str">
        <f t="shared" si="2094"/>
        <v>+0</v>
      </c>
      <c r="S3509" s="14" t="s">
        <v>260</v>
      </c>
    </row>
    <row r="3510">
      <c r="A3510" s="13">
        <v>45901.0</v>
      </c>
      <c r="B3510" s="14" t="s">
        <v>47</v>
      </c>
      <c r="C3510" s="14" t="s">
        <v>48</v>
      </c>
      <c r="D3510" s="14" t="s">
        <v>136</v>
      </c>
      <c r="E3510" s="14" t="s">
        <v>137</v>
      </c>
      <c r="F3510" s="15" t="s">
        <v>51</v>
      </c>
      <c r="G3510" s="14" t="s">
        <v>138</v>
      </c>
      <c r="H3510" s="14" t="s">
        <v>139</v>
      </c>
      <c r="I3510" s="14" t="s">
        <v>59</v>
      </c>
      <c r="J3510" s="14" t="s">
        <v>200</v>
      </c>
      <c r="K3510" s="14" t="s">
        <v>224</v>
      </c>
      <c r="L3510" s="14" t="s">
        <v>392</v>
      </c>
      <c r="M3510" s="14" t="s">
        <v>826</v>
      </c>
      <c r="N3510" s="14" t="s">
        <v>827</v>
      </c>
      <c r="O3510" s="14">
        <v>0.0</v>
      </c>
      <c r="P3510" s="23">
        <v>0.0</v>
      </c>
      <c r="Q3510" s="22" t="str">
        <f>"+0.00%"</f>
        <v>+0.00%</v>
      </c>
      <c r="S3510" s="14" t="s">
        <v>2071</v>
      </c>
    </row>
    <row r="3511">
      <c r="A3511" s="13">
        <v>45901.0</v>
      </c>
      <c r="B3511" s="14" t="s">
        <v>47</v>
      </c>
      <c r="C3511" s="14" t="s">
        <v>48</v>
      </c>
      <c r="D3511" s="14" t="s">
        <v>149</v>
      </c>
      <c r="E3511" s="14" t="s">
        <v>150</v>
      </c>
      <c r="F3511" s="15" t="s">
        <v>51</v>
      </c>
      <c r="G3511" s="14" t="s">
        <v>151</v>
      </c>
      <c r="H3511" s="14" t="s">
        <v>152</v>
      </c>
      <c r="I3511" s="14" t="s">
        <v>54</v>
      </c>
      <c r="J3511" s="14" t="s">
        <v>198</v>
      </c>
      <c r="K3511" s="14" t="s">
        <v>210</v>
      </c>
      <c r="L3511" s="14" t="s">
        <v>458</v>
      </c>
      <c r="M3511" s="14" t="s">
        <v>1939</v>
      </c>
      <c r="N3511" s="14" t="s">
        <v>1940</v>
      </c>
      <c r="O3511" s="14">
        <v>0.0</v>
      </c>
      <c r="P3511" s="21">
        <v>0.0</v>
      </c>
      <c r="Q3511" s="22" t="str">
        <f t="shared" ref="Q3511:R3511" si="2095">"+0"</f>
        <v>+0</v>
      </c>
      <c r="R3511" s="18" t="str">
        <f t="shared" si="2095"/>
        <v>+0</v>
      </c>
      <c r="S3511" s="14" t="s">
        <v>277</v>
      </c>
    </row>
    <row r="3512">
      <c r="A3512" s="13">
        <v>45901.0</v>
      </c>
      <c r="B3512" s="14" t="s">
        <v>47</v>
      </c>
      <c r="C3512" s="14" t="s">
        <v>48</v>
      </c>
      <c r="D3512" s="14" t="s">
        <v>149</v>
      </c>
      <c r="E3512" s="14" t="s">
        <v>150</v>
      </c>
      <c r="F3512" s="15" t="s">
        <v>51</v>
      </c>
      <c r="G3512" s="14" t="s">
        <v>151</v>
      </c>
      <c r="H3512" s="14" t="s">
        <v>152</v>
      </c>
      <c r="I3512" s="14" t="s">
        <v>54</v>
      </c>
      <c r="J3512" s="14" t="s">
        <v>200</v>
      </c>
      <c r="K3512" s="14" t="s">
        <v>224</v>
      </c>
      <c r="L3512" s="14" t="s">
        <v>427</v>
      </c>
      <c r="M3512" s="14" t="s">
        <v>769</v>
      </c>
      <c r="N3512" s="14" t="s">
        <v>770</v>
      </c>
      <c r="O3512" s="14">
        <v>0.0</v>
      </c>
      <c r="P3512" s="23">
        <v>0.0</v>
      </c>
      <c r="Q3512" s="22" t="str">
        <f t="shared" ref="Q3512:R3512" si="2096">"+0.00%"</f>
        <v>+0.00%</v>
      </c>
      <c r="R3512" s="18" t="str">
        <f t="shared" si="2096"/>
        <v>+0.00%</v>
      </c>
      <c r="S3512" s="14" t="s">
        <v>771</v>
      </c>
    </row>
    <row r="3513">
      <c r="A3513" s="13">
        <v>45901.0</v>
      </c>
      <c r="B3513" s="14" t="s">
        <v>47</v>
      </c>
      <c r="C3513" s="14" t="s">
        <v>48</v>
      </c>
      <c r="D3513" s="14" t="s">
        <v>69</v>
      </c>
      <c r="E3513" s="14" t="s">
        <v>70</v>
      </c>
      <c r="F3513" s="15" t="s">
        <v>51</v>
      </c>
      <c r="G3513" s="14" t="s">
        <v>115</v>
      </c>
      <c r="H3513" s="14" t="s">
        <v>72</v>
      </c>
      <c r="I3513" s="14" t="s">
        <v>54</v>
      </c>
      <c r="J3513" s="14" t="s">
        <v>200</v>
      </c>
      <c r="K3513" s="14" t="s">
        <v>213</v>
      </c>
      <c r="L3513" s="14" t="s">
        <v>253</v>
      </c>
      <c r="M3513" s="14" t="s">
        <v>389</v>
      </c>
      <c r="N3513" s="14" t="s">
        <v>390</v>
      </c>
      <c r="O3513" s="14">
        <v>99.0</v>
      </c>
      <c r="P3513" s="23">
        <v>0.9991</v>
      </c>
      <c r="Q3513" s="22" t="str">
        <f t="shared" ref="Q3513:R3513" si="2097">"-0.09%"</f>
        <v>-0.09%</v>
      </c>
      <c r="R3513" s="18" t="str">
        <f t="shared" si="2097"/>
        <v>-0.09%</v>
      </c>
      <c r="S3513" s="14" t="s">
        <v>2072</v>
      </c>
    </row>
    <row r="3514">
      <c r="A3514" s="13">
        <v>45901.0</v>
      </c>
      <c r="B3514" s="14" t="s">
        <v>47</v>
      </c>
      <c r="C3514" s="14" t="s">
        <v>48</v>
      </c>
      <c r="D3514" s="14" t="s">
        <v>85</v>
      </c>
      <c r="E3514" s="14" t="s">
        <v>86</v>
      </c>
      <c r="F3514" s="15" t="s">
        <v>51</v>
      </c>
      <c r="G3514" s="14" t="s">
        <v>148</v>
      </c>
      <c r="H3514" s="14" t="s">
        <v>85</v>
      </c>
      <c r="I3514" s="14" t="s">
        <v>59</v>
      </c>
      <c r="J3514" s="14" t="s">
        <v>200</v>
      </c>
      <c r="K3514" s="14" t="s">
        <v>213</v>
      </c>
      <c r="L3514" s="14" t="s">
        <v>307</v>
      </c>
      <c r="M3514" s="14" t="s">
        <v>533</v>
      </c>
      <c r="N3514" s="14" t="s">
        <v>534</v>
      </c>
      <c r="O3514" s="14">
        <v>21.0</v>
      </c>
      <c r="P3514" s="23">
        <v>0.2145</v>
      </c>
      <c r="Q3514" s="22" t="str">
        <f>"-0.38%"</f>
        <v>-0.38%</v>
      </c>
      <c r="R3514" s="18" t="str">
        <f>"-1.18%"</f>
        <v>-1.18%</v>
      </c>
      <c r="S3514" s="14" t="s">
        <v>1310</v>
      </c>
    </row>
    <row r="3515">
      <c r="A3515" s="13">
        <v>45901.0</v>
      </c>
      <c r="B3515" s="14" t="s">
        <v>47</v>
      </c>
      <c r="C3515" s="14" t="s">
        <v>48</v>
      </c>
      <c r="D3515" s="14" t="s">
        <v>69</v>
      </c>
      <c r="E3515" s="14" t="s">
        <v>70</v>
      </c>
      <c r="F3515" s="15" t="s">
        <v>51</v>
      </c>
      <c r="G3515" s="14" t="s">
        <v>115</v>
      </c>
      <c r="H3515" s="14" t="s">
        <v>72</v>
      </c>
      <c r="I3515" s="14" t="s">
        <v>54</v>
      </c>
      <c r="J3515" s="14" t="s">
        <v>198</v>
      </c>
      <c r="K3515" s="14" t="s">
        <v>205</v>
      </c>
      <c r="L3515" s="14" t="s">
        <v>274</v>
      </c>
      <c r="M3515" s="14" t="s">
        <v>466</v>
      </c>
      <c r="N3515" s="14" t="s">
        <v>467</v>
      </c>
      <c r="O3515" s="14">
        <v>100.0</v>
      </c>
      <c r="P3515" s="21">
        <v>1.0</v>
      </c>
      <c r="Q3515" s="22" t="str">
        <f t="shared" ref="Q3515:Q3517" si="2098">"+0"</f>
        <v>+0</v>
      </c>
      <c r="S3515" s="14" t="s">
        <v>281</v>
      </c>
    </row>
    <row r="3516">
      <c r="A3516" s="13">
        <v>45901.0</v>
      </c>
      <c r="B3516" s="14" t="s">
        <v>47</v>
      </c>
      <c r="C3516" s="14" t="s">
        <v>48</v>
      </c>
      <c r="D3516" s="14" t="s">
        <v>77</v>
      </c>
      <c r="E3516" s="14" t="s">
        <v>78</v>
      </c>
      <c r="F3516" s="15" t="s">
        <v>51</v>
      </c>
      <c r="G3516" s="14" t="s">
        <v>128</v>
      </c>
      <c r="H3516" s="14" t="s">
        <v>81</v>
      </c>
      <c r="I3516" s="14" t="s">
        <v>59</v>
      </c>
      <c r="J3516" s="14" t="s">
        <v>198</v>
      </c>
      <c r="K3516" s="14" t="s">
        <v>207</v>
      </c>
      <c r="L3516" s="14" t="s">
        <v>318</v>
      </c>
      <c r="M3516" s="14" t="s">
        <v>319</v>
      </c>
      <c r="N3516" s="14" t="s">
        <v>320</v>
      </c>
      <c r="O3516" s="14">
        <v>0.0</v>
      </c>
      <c r="P3516" s="21">
        <v>0.0</v>
      </c>
      <c r="Q3516" s="22" t="str">
        <f t="shared" si="2098"/>
        <v>+0</v>
      </c>
      <c r="S3516" s="14" t="s">
        <v>281</v>
      </c>
    </row>
    <row r="3517">
      <c r="A3517" s="13">
        <v>45901.0</v>
      </c>
      <c r="B3517" s="14" t="s">
        <v>47</v>
      </c>
      <c r="C3517" s="14" t="s">
        <v>48</v>
      </c>
      <c r="D3517" s="14" t="s">
        <v>108</v>
      </c>
      <c r="E3517" s="14" t="s">
        <v>109</v>
      </c>
      <c r="F3517" s="14" t="s">
        <v>79</v>
      </c>
      <c r="G3517" s="14" t="s">
        <v>153</v>
      </c>
      <c r="H3517" s="14" t="s">
        <v>108</v>
      </c>
      <c r="I3517" s="14" t="s">
        <v>154</v>
      </c>
      <c r="J3517" s="14" t="s">
        <v>199</v>
      </c>
      <c r="K3517" s="14" t="s">
        <v>203</v>
      </c>
      <c r="L3517" s="14" t="s">
        <v>431</v>
      </c>
      <c r="M3517" s="14" t="s">
        <v>431</v>
      </c>
      <c r="N3517" s="14" t="s">
        <v>432</v>
      </c>
      <c r="O3517" s="14">
        <v>0.0</v>
      </c>
      <c r="P3517" s="21">
        <v>0.0</v>
      </c>
      <c r="Q3517" s="22" t="str">
        <f t="shared" si="2098"/>
        <v>+0</v>
      </c>
      <c r="S3517" s="14" t="s">
        <v>260</v>
      </c>
    </row>
    <row r="3518">
      <c r="A3518" s="13">
        <v>45901.0</v>
      </c>
      <c r="B3518" s="14" t="s">
        <v>47</v>
      </c>
      <c r="C3518" s="14" t="s">
        <v>48</v>
      </c>
      <c r="D3518" s="14" t="s">
        <v>108</v>
      </c>
      <c r="E3518" s="14" t="s">
        <v>109</v>
      </c>
      <c r="F3518" s="14" t="s">
        <v>146</v>
      </c>
      <c r="G3518" s="14" t="s">
        <v>180</v>
      </c>
      <c r="H3518" s="14" t="s">
        <v>108</v>
      </c>
      <c r="I3518" s="14" t="s">
        <v>59</v>
      </c>
      <c r="J3518" s="14" t="s">
        <v>200</v>
      </c>
      <c r="K3518" s="14" t="s">
        <v>226</v>
      </c>
      <c r="L3518" s="14" t="s">
        <v>672</v>
      </c>
      <c r="M3518" s="14" t="s">
        <v>2073</v>
      </c>
      <c r="N3518" s="14" t="s">
        <v>2074</v>
      </c>
      <c r="O3518" s="14">
        <v>100.0</v>
      </c>
      <c r="P3518" s="21">
        <v>2.0</v>
      </c>
      <c r="Q3518" s="22" t="str">
        <f>"+2"</f>
        <v>+2</v>
      </c>
      <c r="S3518" s="14" t="s">
        <v>260</v>
      </c>
    </row>
    <row r="3519">
      <c r="A3519" s="13">
        <v>45901.0</v>
      </c>
      <c r="B3519" s="14" t="s">
        <v>47</v>
      </c>
      <c r="C3519" s="14" t="s">
        <v>48</v>
      </c>
      <c r="D3519" s="14" t="s">
        <v>112</v>
      </c>
      <c r="E3519" s="14" t="s">
        <v>113</v>
      </c>
      <c r="F3519" s="15" t="s">
        <v>51</v>
      </c>
      <c r="G3519" s="14" t="s">
        <v>114</v>
      </c>
      <c r="H3519" s="14" t="s">
        <v>112</v>
      </c>
      <c r="I3519" s="14" t="s">
        <v>59</v>
      </c>
      <c r="J3519" s="14" t="s">
        <v>200</v>
      </c>
      <c r="K3519" s="14" t="s">
        <v>227</v>
      </c>
      <c r="L3519" s="14" t="s">
        <v>721</v>
      </c>
      <c r="M3519" s="14" t="s">
        <v>748</v>
      </c>
      <c r="N3519" s="14" t="s">
        <v>749</v>
      </c>
      <c r="O3519" s="14">
        <v>0.0</v>
      </c>
      <c r="P3519" s="23">
        <v>-1.0</v>
      </c>
      <c r="Q3519" s="22" t="str">
        <f t="shared" ref="Q3519:R3519" si="2099">"+0.00%"</f>
        <v>+0.00%</v>
      </c>
      <c r="R3519" s="18" t="str">
        <f t="shared" si="2099"/>
        <v>+0.00%</v>
      </c>
      <c r="S3519" s="14" t="s">
        <v>750</v>
      </c>
    </row>
    <row r="3520">
      <c r="A3520" s="13">
        <v>45901.0</v>
      </c>
      <c r="B3520" s="14" t="s">
        <v>47</v>
      </c>
      <c r="C3520" s="14" t="s">
        <v>48</v>
      </c>
      <c r="D3520" s="14" t="s">
        <v>116</v>
      </c>
      <c r="E3520" s="14" t="s">
        <v>117</v>
      </c>
      <c r="F3520" s="14" t="s">
        <v>111</v>
      </c>
      <c r="G3520" s="14">
        <v>5298600.0</v>
      </c>
      <c r="H3520" s="14" t="s">
        <v>116</v>
      </c>
      <c r="I3520" s="14" t="s">
        <v>59</v>
      </c>
      <c r="J3520" s="14" t="s">
        <v>200</v>
      </c>
      <c r="K3520" s="14" t="s">
        <v>221</v>
      </c>
      <c r="L3520" s="14" t="s">
        <v>253</v>
      </c>
      <c r="M3520" s="14" t="s">
        <v>727</v>
      </c>
      <c r="N3520" s="14" t="s">
        <v>728</v>
      </c>
      <c r="O3520" s="14">
        <v>75.0</v>
      </c>
      <c r="P3520" s="23">
        <v>0.7592</v>
      </c>
      <c r="Q3520" s="22" t="str">
        <f>"+0.11%"</f>
        <v>+0.11%</v>
      </c>
      <c r="R3520" s="18" t="str">
        <f>"+0.05%"</f>
        <v>+0.05%</v>
      </c>
      <c r="S3520" s="14" t="s">
        <v>2075</v>
      </c>
    </row>
    <row r="3521">
      <c r="A3521" s="13">
        <v>45901.0</v>
      </c>
      <c r="B3521" s="14" t="s">
        <v>47</v>
      </c>
      <c r="C3521" s="14" t="s">
        <v>48</v>
      </c>
      <c r="D3521" s="14" t="s">
        <v>77</v>
      </c>
      <c r="E3521" s="14" t="s">
        <v>78</v>
      </c>
      <c r="F3521" s="15" t="s">
        <v>51</v>
      </c>
      <c r="G3521" s="14" t="s">
        <v>128</v>
      </c>
      <c r="H3521" s="14" t="s">
        <v>81</v>
      </c>
      <c r="I3521" s="14" t="s">
        <v>59</v>
      </c>
      <c r="J3521" s="14" t="s">
        <v>198</v>
      </c>
      <c r="K3521" s="14" t="s">
        <v>205</v>
      </c>
      <c r="L3521" s="14" t="s">
        <v>274</v>
      </c>
      <c r="M3521" s="14" t="s">
        <v>767</v>
      </c>
      <c r="N3521" s="14" t="s">
        <v>768</v>
      </c>
      <c r="O3521" s="14">
        <v>100.0</v>
      </c>
      <c r="P3521" s="21">
        <v>1.0</v>
      </c>
      <c r="Q3521" s="22" t="str">
        <f t="shared" ref="Q3521:Q3523" si="2100">"+0"</f>
        <v>+0</v>
      </c>
      <c r="S3521" s="14" t="s">
        <v>281</v>
      </c>
    </row>
    <row r="3522">
      <c r="A3522" s="13">
        <v>45901.0</v>
      </c>
      <c r="B3522" s="14" t="s">
        <v>47</v>
      </c>
      <c r="C3522" s="14" t="s">
        <v>48</v>
      </c>
      <c r="D3522" s="14" t="s">
        <v>158</v>
      </c>
      <c r="E3522" s="14" t="s">
        <v>159</v>
      </c>
      <c r="F3522" s="15" t="s">
        <v>51</v>
      </c>
      <c r="G3522" s="14" t="s">
        <v>160</v>
      </c>
      <c r="H3522" s="14" t="s">
        <v>158</v>
      </c>
      <c r="I3522" s="14" t="s">
        <v>54</v>
      </c>
      <c r="J3522" s="14" t="s">
        <v>200</v>
      </c>
      <c r="K3522" s="14" t="s">
        <v>222</v>
      </c>
      <c r="L3522" s="14" t="s">
        <v>1158</v>
      </c>
      <c r="M3522" s="14" t="s">
        <v>1159</v>
      </c>
      <c r="N3522" s="14" t="s">
        <v>1160</v>
      </c>
      <c r="O3522" s="14">
        <v>0.0</v>
      </c>
      <c r="P3522" s="21">
        <v>0.0</v>
      </c>
      <c r="Q3522" s="22" t="str">
        <f t="shared" si="2100"/>
        <v>+0</v>
      </c>
      <c r="R3522" s="18" t="str">
        <f>"+0"</f>
        <v>+0</v>
      </c>
      <c r="S3522" s="14" t="s">
        <v>260</v>
      </c>
    </row>
    <row r="3523">
      <c r="A3523" s="13">
        <v>45901.0</v>
      </c>
      <c r="B3523" s="14" t="s">
        <v>47</v>
      </c>
      <c r="C3523" s="14" t="s">
        <v>48</v>
      </c>
      <c r="D3523" s="14" t="s">
        <v>181</v>
      </c>
      <c r="E3523" s="14" t="s">
        <v>182</v>
      </c>
      <c r="F3523" s="15" t="s">
        <v>51</v>
      </c>
      <c r="G3523" s="14" t="s">
        <v>183</v>
      </c>
      <c r="H3523" s="14" t="s">
        <v>181</v>
      </c>
      <c r="I3523" s="14" t="s">
        <v>59</v>
      </c>
      <c r="J3523" s="14" t="s">
        <v>198</v>
      </c>
      <c r="K3523" s="14" t="s">
        <v>205</v>
      </c>
      <c r="L3523" s="14" t="s">
        <v>274</v>
      </c>
      <c r="M3523" s="14" t="s">
        <v>575</v>
      </c>
      <c r="N3523" s="14" t="s">
        <v>576</v>
      </c>
      <c r="O3523" s="14">
        <v>100.0</v>
      </c>
      <c r="P3523" s="21">
        <v>90.0</v>
      </c>
      <c r="Q3523" s="22" t="str">
        <f t="shared" si="2100"/>
        <v>+0</v>
      </c>
      <c r="S3523" s="14" t="s">
        <v>577</v>
      </c>
    </row>
    <row r="3524">
      <c r="A3524" s="13">
        <v>45901.0</v>
      </c>
      <c r="B3524" s="14" t="s">
        <v>47</v>
      </c>
      <c r="C3524" s="14" t="s">
        <v>48</v>
      </c>
      <c r="D3524" s="14" t="s">
        <v>121</v>
      </c>
      <c r="E3524" s="14" t="s">
        <v>122</v>
      </c>
      <c r="F3524" s="15" t="s">
        <v>51</v>
      </c>
      <c r="G3524" s="14" t="s">
        <v>123</v>
      </c>
      <c r="H3524" s="14" t="s">
        <v>124</v>
      </c>
      <c r="I3524" s="14" t="s">
        <v>59</v>
      </c>
      <c r="J3524" s="14" t="s">
        <v>200</v>
      </c>
      <c r="K3524" s="14" t="s">
        <v>232</v>
      </c>
      <c r="L3524" s="14" t="s">
        <v>883</v>
      </c>
      <c r="M3524" s="14" t="s">
        <v>884</v>
      </c>
      <c r="N3524" s="14" t="s">
        <v>885</v>
      </c>
      <c r="O3524" s="14">
        <v>100.0</v>
      </c>
      <c r="P3524" s="23">
        <v>0.4615</v>
      </c>
      <c r="Q3524" s="22" t="str">
        <f>"+23.93%"</f>
        <v>+23.93%</v>
      </c>
      <c r="R3524" s="18" t="str">
        <f>"-17.48%"</f>
        <v>-17.48%</v>
      </c>
      <c r="S3524" s="14" t="s">
        <v>285</v>
      </c>
    </row>
    <row r="3525">
      <c r="A3525" s="13">
        <v>45901.0</v>
      </c>
      <c r="B3525" s="14" t="s">
        <v>47</v>
      </c>
      <c r="C3525" s="14" t="s">
        <v>48</v>
      </c>
      <c r="D3525" s="14" t="s">
        <v>56</v>
      </c>
      <c r="E3525" s="14" t="s">
        <v>57</v>
      </c>
      <c r="F3525" s="15" t="s">
        <v>51</v>
      </c>
      <c r="G3525" s="14" t="s">
        <v>58</v>
      </c>
      <c r="H3525" s="14" t="s">
        <v>56</v>
      </c>
      <c r="I3525" s="14" t="s">
        <v>59</v>
      </c>
      <c r="J3525" s="14" t="s">
        <v>200</v>
      </c>
      <c r="K3525" s="14" t="s">
        <v>223</v>
      </c>
      <c r="L3525" s="14" t="s">
        <v>286</v>
      </c>
      <c r="M3525" s="14" t="s">
        <v>588</v>
      </c>
      <c r="N3525" s="14" t="s">
        <v>589</v>
      </c>
      <c r="O3525" s="14">
        <v>100.0</v>
      </c>
      <c r="P3525" s="23">
        <v>0.44</v>
      </c>
      <c r="Q3525" s="22" t="str">
        <f>"+9.00%"</f>
        <v>+9.00%</v>
      </c>
      <c r="R3525" s="18" t="str">
        <f>"+2.33%"</f>
        <v>+2.33%</v>
      </c>
      <c r="S3525" s="14" t="s">
        <v>285</v>
      </c>
    </row>
    <row r="3526">
      <c r="A3526" s="13">
        <v>45901.0</v>
      </c>
      <c r="B3526" s="14" t="s">
        <v>47</v>
      </c>
      <c r="C3526" s="14" t="s">
        <v>48</v>
      </c>
      <c r="D3526" s="14" t="s">
        <v>165</v>
      </c>
      <c r="E3526" s="14" t="s">
        <v>166</v>
      </c>
      <c r="F3526" s="15" t="s">
        <v>51</v>
      </c>
      <c r="G3526" s="14" t="s">
        <v>167</v>
      </c>
      <c r="H3526" s="14" t="s">
        <v>165</v>
      </c>
      <c r="I3526" s="14" t="s">
        <v>54</v>
      </c>
      <c r="J3526" s="14" t="s">
        <v>198</v>
      </c>
      <c r="K3526" s="14" t="s">
        <v>210</v>
      </c>
      <c r="L3526" s="14" t="s">
        <v>264</v>
      </c>
      <c r="M3526" s="14" t="s">
        <v>918</v>
      </c>
      <c r="N3526" s="14" t="s">
        <v>919</v>
      </c>
      <c r="O3526" s="14">
        <v>0.0</v>
      </c>
      <c r="P3526" s="21">
        <v>0.0</v>
      </c>
      <c r="Q3526" s="22" t="str">
        <f t="shared" ref="Q3526:R3526" si="2101">"+0"</f>
        <v>+0</v>
      </c>
      <c r="R3526" s="18" t="str">
        <f t="shared" si="2101"/>
        <v>+0</v>
      </c>
      <c r="S3526" s="14" t="s">
        <v>277</v>
      </c>
    </row>
    <row r="3527">
      <c r="A3527" s="13">
        <v>45901.0</v>
      </c>
      <c r="B3527" s="14" t="s">
        <v>47</v>
      </c>
      <c r="C3527" s="14" t="s">
        <v>48</v>
      </c>
      <c r="D3527" s="14" t="s">
        <v>165</v>
      </c>
      <c r="E3527" s="14" t="s">
        <v>166</v>
      </c>
      <c r="F3527" s="15" t="s">
        <v>51</v>
      </c>
      <c r="G3527" s="14" t="s">
        <v>167</v>
      </c>
      <c r="H3527" s="14" t="s">
        <v>165</v>
      </c>
      <c r="I3527" s="14" t="s">
        <v>54</v>
      </c>
      <c r="J3527" s="14" t="s">
        <v>198</v>
      </c>
      <c r="K3527" s="14" t="s">
        <v>212</v>
      </c>
      <c r="L3527" s="14" t="s">
        <v>249</v>
      </c>
      <c r="M3527" s="14" t="s">
        <v>1346</v>
      </c>
      <c r="N3527" s="14" t="s">
        <v>1347</v>
      </c>
      <c r="O3527" s="14">
        <v>0.0</v>
      </c>
      <c r="P3527" s="21">
        <v>0.0</v>
      </c>
      <c r="Q3527" s="22" t="str">
        <f t="shared" ref="Q3527:R3527" si="2102">"+0"</f>
        <v>+0</v>
      </c>
      <c r="R3527" s="18" t="str">
        <f t="shared" si="2102"/>
        <v>+0</v>
      </c>
      <c r="S3527" s="14" t="s">
        <v>277</v>
      </c>
    </row>
    <row r="3528">
      <c r="A3528" s="13">
        <v>45901.0</v>
      </c>
      <c r="B3528" s="14" t="s">
        <v>47</v>
      </c>
      <c r="C3528" s="14" t="s">
        <v>48</v>
      </c>
      <c r="D3528" s="14" t="s">
        <v>63</v>
      </c>
      <c r="E3528" s="14" t="s">
        <v>64</v>
      </c>
      <c r="F3528" s="15" t="s">
        <v>51</v>
      </c>
      <c r="G3528" s="14" t="s">
        <v>65</v>
      </c>
      <c r="H3528" s="14" t="s">
        <v>63</v>
      </c>
      <c r="I3528" s="14" t="s">
        <v>54</v>
      </c>
      <c r="J3528" s="14" t="s">
        <v>200</v>
      </c>
      <c r="K3528" s="14" t="s">
        <v>224</v>
      </c>
      <c r="L3528" s="14" t="s">
        <v>594</v>
      </c>
      <c r="M3528" s="14" t="s">
        <v>1795</v>
      </c>
      <c r="N3528" s="14" t="s">
        <v>1796</v>
      </c>
      <c r="O3528" s="14">
        <v>3.0</v>
      </c>
      <c r="P3528" s="23">
        <v>0.0357</v>
      </c>
      <c r="Q3528" s="22" t="str">
        <f>"+3.57%"</f>
        <v>+3.57%</v>
      </c>
      <c r="R3528" s="18" t="str">
        <f>"-0.97%"</f>
        <v>-0.97%</v>
      </c>
      <c r="S3528" s="14" t="s">
        <v>2076</v>
      </c>
    </row>
    <row r="3529">
      <c r="A3529" s="13">
        <v>45901.0</v>
      </c>
      <c r="B3529" s="14" t="s">
        <v>47</v>
      </c>
      <c r="C3529" s="14" t="s">
        <v>48</v>
      </c>
      <c r="D3529" s="14" t="s">
        <v>99</v>
      </c>
      <c r="E3529" s="14" t="s">
        <v>100</v>
      </c>
      <c r="F3529" s="15" t="s">
        <v>51</v>
      </c>
      <c r="G3529" s="14" t="s">
        <v>101</v>
      </c>
      <c r="H3529" s="14" t="s">
        <v>102</v>
      </c>
      <c r="I3529" s="14" t="s">
        <v>54</v>
      </c>
      <c r="J3529" s="14" t="s">
        <v>198</v>
      </c>
      <c r="K3529" s="14" t="s">
        <v>210</v>
      </c>
      <c r="L3529" s="14" t="s">
        <v>458</v>
      </c>
      <c r="M3529" s="14" t="s">
        <v>742</v>
      </c>
      <c r="N3529" s="14" t="s">
        <v>743</v>
      </c>
      <c r="O3529" s="14">
        <v>0.0</v>
      </c>
      <c r="P3529" s="21">
        <v>0.0</v>
      </c>
      <c r="Q3529" s="22" t="str">
        <f t="shared" ref="Q3529:R3529" si="2103">"+0"</f>
        <v>+0</v>
      </c>
      <c r="R3529" s="18" t="str">
        <f t="shared" si="2103"/>
        <v>+0</v>
      </c>
      <c r="S3529" s="14" t="s">
        <v>277</v>
      </c>
    </row>
    <row r="3530">
      <c r="A3530" s="13">
        <v>45901.0</v>
      </c>
      <c r="B3530" s="14" t="s">
        <v>47</v>
      </c>
      <c r="C3530" s="14" t="s">
        <v>48</v>
      </c>
      <c r="D3530" s="14" t="s">
        <v>63</v>
      </c>
      <c r="E3530" s="14" t="s">
        <v>64</v>
      </c>
      <c r="F3530" s="15" t="s">
        <v>51</v>
      </c>
      <c r="G3530" s="14" t="s">
        <v>65</v>
      </c>
      <c r="H3530" s="14" t="s">
        <v>63</v>
      </c>
      <c r="I3530" s="14" t="s">
        <v>54</v>
      </c>
      <c r="J3530" s="14" t="s">
        <v>200</v>
      </c>
      <c r="K3530" s="14" t="s">
        <v>227</v>
      </c>
      <c r="L3530" s="14" t="s">
        <v>270</v>
      </c>
      <c r="M3530" s="14" t="s">
        <v>417</v>
      </c>
      <c r="N3530" s="14" t="s">
        <v>418</v>
      </c>
      <c r="O3530" s="14">
        <v>5.0</v>
      </c>
      <c r="P3530" s="21">
        <v>2.0</v>
      </c>
      <c r="Q3530" s="22" t="str">
        <f>"-2"</f>
        <v>-2</v>
      </c>
      <c r="R3530" s="18" t="str">
        <f>"-1"</f>
        <v>-1</v>
      </c>
      <c r="S3530" s="14" t="s">
        <v>260</v>
      </c>
    </row>
    <row r="3531">
      <c r="A3531" s="13">
        <v>45901.0</v>
      </c>
      <c r="B3531" s="14" t="s">
        <v>47</v>
      </c>
      <c r="C3531" s="14" t="s">
        <v>48</v>
      </c>
      <c r="D3531" s="14" t="s">
        <v>99</v>
      </c>
      <c r="E3531" s="14" t="s">
        <v>100</v>
      </c>
      <c r="F3531" s="15" t="s">
        <v>51</v>
      </c>
      <c r="G3531" s="14" t="s">
        <v>101</v>
      </c>
      <c r="H3531" s="14" t="s">
        <v>102</v>
      </c>
      <c r="I3531" s="14" t="s">
        <v>54</v>
      </c>
      <c r="J3531" s="14" t="s">
        <v>198</v>
      </c>
      <c r="K3531" s="14" t="s">
        <v>210</v>
      </c>
      <c r="L3531" s="14" t="s">
        <v>264</v>
      </c>
      <c r="M3531" s="14" t="s">
        <v>910</v>
      </c>
      <c r="N3531" s="14" t="s">
        <v>911</v>
      </c>
      <c r="O3531" s="14">
        <v>0.0</v>
      </c>
      <c r="P3531" s="21">
        <v>0.0</v>
      </c>
      <c r="Q3531" s="22" t="str">
        <f t="shared" ref="Q3531:R3531" si="2104">"+0"</f>
        <v>+0</v>
      </c>
      <c r="R3531" s="18" t="str">
        <f t="shared" si="2104"/>
        <v>+0</v>
      </c>
      <c r="S3531" s="14" t="s">
        <v>277</v>
      </c>
    </row>
    <row r="3532">
      <c r="A3532" s="13">
        <v>45901.0</v>
      </c>
      <c r="B3532" s="14" t="s">
        <v>47</v>
      </c>
      <c r="C3532" s="14" t="s">
        <v>48</v>
      </c>
      <c r="D3532" s="14" t="s">
        <v>118</v>
      </c>
      <c r="E3532" s="14" t="s">
        <v>119</v>
      </c>
      <c r="F3532" s="15" t="s">
        <v>51</v>
      </c>
      <c r="G3532" s="14" t="s">
        <v>120</v>
      </c>
      <c r="H3532" s="14" t="s">
        <v>118</v>
      </c>
      <c r="I3532" s="14" t="s">
        <v>59</v>
      </c>
      <c r="J3532" s="14" t="s">
        <v>199</v>
      </c>
      <c r="K3532" s="14" t="s">
        <v>206</v>
      </c>
      <c r="L3532" s="14" t="s">
        <v>515</v>
      </c>
      <c r="M3532" s="14" t="s">
        <v>515</v>
      </c>
      <c r="N3532" s="14" t="s">
        <v>516</v>
      </c>
      <c r="O3532" s="14">
        <v>0.0</v>
      </c>
      <c r="P3532" s="21">
        <v>0.0</v>
      </c>
      <c r="Q3532" s="22" t="str">
        <f t="shared" ref="Q3532:R3532" si="2105">"+0"</f>
        <v>+0</v>
      </c>
      <c r="R3532" s="18" t="str">
        <f t="shared" si="2105"/>
        <v>+0</v>
      </c>
      <c r="S3532" s="14" t="s">
        <v>383</v>
      </c>
    </row>
    <row r="3533">
      <c r="A3533" s="13">
        <v>45901.0</v>
      </c>
      <c r="B3533" s="14" t="s">
        <v>47</v>
      </c>
      <c r="C3533" s="14" t="s">
        <v>48</v>
      </c>
      <c r="D3533" s="14" t="s">
        <v>63</v>
      </c>
      <c r="E3533" s="14" t="s">
        <v>64</v>
      </c>
      <c r="F3533" s="15" t="s">
        <v>51</v>
      </c>
      <c r="G3533" s="14" t="s">
        <v>65</v>
      </c>
      <c r="H3533" s="14" t="s">
        <v>63</v>
      </c>
      <c r="I3533" s="14" t="s">
        <v>54</v>
      </c>
      <c r="J3533" s="14" t="s">
        <v>199</v>
      </c>
      <c r="K3533" s="14" t="s">
        <v>206</v>
      </c>
      <c r="L3533" s="14" t="s">
        <v>381</v>
      </c>
      <c r="M3533" s="14" t="s">
        <v>381</v>
      </c>
      <c r="N3533" s="14" t="s">
        <v>382</v>
      </c>
      <c r="O3533" s="14">
        <v>0.0</v>
      </c>
      <c r="P3533" s="21">
        <v>0.0</v>
      </c>
      <c r="Q3533" s="22" t="str">
        <f t="shared" ref="Q3533:R3533" si="2106">"+0"</f>
        <v>+0</v>
      </c>
      <c r="R3533" s="18" t="str">
        <f t="shared" si="2106"/>
        <v>+0</v>
      </c>
      <c r="S3533" s="14" t="s">
        <v>383</v>
      </c>
    </row>
    <row r="3534">
      <c r="A3534" s="13">
        <v>45901.0</v>
      </c>
      <c r="B3534" s="14" t="s">
        <v>47</v>
      </c>
      <c r="C3534" s="14" t="s">
        <v>48</v>
      </c>
      <c r="D3534" s="14" t="s">
        <v>82</v>
      </c>
      <c r="E3534" s="14" t="s">
        <v>83</v>
      </c>
      <c r="F3534" s="15" t="s">
        <v>51</v>
      </c>
      <c r="G3534" s="14" t="s">
        <v>84</v>
      </c>
      <c r="H3534" s="14" t="s">
        <v>82</v>
      </c>
      <c r="I3534" s="14" t="s">
        <v>59</v>
      </c>
      <c r="J3534" s="14" t="s">
        <v>200</v>
      </c>
      <c r="K3534" s="14" t="s">
        <v>227</v>
      </c>
      <c r="L3534" s="14" t="s">
        <v>270</v>
      </c>
      <c r="M3534" s="14" t="s">
        <v>321</v>
      </c>
      <c r="N3534" s="14" t="s">
        <v>322</v>
      </c>
      <c r="O3534" s="14">
        <v>0.0</v>
      </c>
      <c r="P3534" s="23">
        <v>-1.0</v>
      </c>
      <c r="Q3534" s="22" t="str">
        <f>"-66.67%"</f>
        <v>-66.67%</v>
      </c>
      <c r="R3534" s="18" t="str">
        <f>"-60.00%"</f>
        <v>-60.00%</v>
      </c>
      <c r="S3534" s="14" t="s">
        <v>323</v>
      </c>
    </row>
    <row r="3535">
      <c r="A3535" s="13">
        <v>45901.0</v>
      </c>
      <c r="B3535" s="14" t="s">
        <v>47</v>
      </c>
      <c r="C3535" s="14" t="s">
        <v>48</v>
      </c>
      <c r="D3535" s="14" t="s">
        <v>82</v>
      </c>
      <c r="E3535" s="14" t="s">
        <v>83</v>
      </c>
      <c r="F3535" s="15" t="s">
        <v>51</v>
      </c>
      <c r="G3535" s="14" t="s">
        <v>84</v>
      </c>
      <c r="H3535" s="14" t="s">
        <v>82</v>
      </c>
      <c r="I3535" s="14" t="s">
        <v>59</v>
      </c>
      <c r="J3535" s="14" t="s">
        <v>200</v>
      </c>
      <c r="K3535" s="14" t="s">
        <v>213</v>
      </c>
      <c r="L3535" s="14" t="s">
        <v>440</v>
      </c>
      <c r="M3535" s="14" t="s">
        <v>510</v>
      </c>
      <c r="N3535" s="14" t="s">
        <v>511</v>
      </c>
      <c r="O3535" s="14">
        <v>0.0</v>
      </c>
      <c r="P3535" s="23">
        <v>0.0</v>
      </c>
      <c r="Q3535" s="22" t="str">
        <f t="shared" ref="Q3535:R3535" si="2107">"+0.00%"</f>
        <v>+0.00%</v>
      </c>
      <c r="R3535" s="18" t="str">
        <f t="shared" si="2107"/>
        <v>+0.00%</v>
      </c>
      <c r="S3535" s="14" t="s">
        <v>285</v>
      </c>
    </row>
    <row r="3536">
      <c r="A3536" s="13">
        <v>45901.0</v>
      </c>
      <c r="B3536" s="14" t="s">
        <v>47</v>
      </c>
      <c r="C3536" s="14" t="s">
        <v>48</v>
      </c>
      <c r="D3536" s="14" t="s">
        <v>184</v>
      </c>
      <c r="E3536" s="14" t="s">
        <v>185</v>
      </c>
      <c r="F3536" s="15" t="s">
        <v>51</v>
      </c>
      <c r="G3536" s="14" t="s">
        <v>186</v>
      </c>
      <c r="H3536" s="14" t="s">
        <v>187</v>
      </c>
      <c r="I3536" s="14" t="s">
        <v>59</v>
      </c>
      <c r="J3536" s="14" t="s">
        <v>200</v>
      </c>
      <c r="K3536" s="14" t="s">
        <v>224</v>
      </c>
      <c r="L3536" s="14" t="s">
        <v>594</v>
      </c>
      <c r="M3536" s="14" t="s">
        <v>1795</v>
      </c>
      <c r="N3536" s="14" t="s">
        <v>1796</v>
      </c>
      <c r="O3536" s="14">
        <v>0.0</v>
      </c>
      <c r="P3536" s="17"/>
      <c r="Q3536" s="22"/>
      <c r="S3536" s="14" t="s">
        <v>2077</v>
      </c>
    </row>
    <row r="3537">
      <c r="A3537" s="13">
        <v>45901.0</v>
      </c>
      <c r="B3537" s="14" t="s">
        <v>47</v>
      </c>
      <c r="C3537" s="14" t="s">
        <v>48</v>
      </c>
      <c r="D3537" s="14" t="s">
        <v>143</v>
      </c>
      <c r="E3537" s="14" t="s">
        <v>144</v>
      </c>
      <c r="F3537" s="15" t="s">
        <v>51</v>
      </c>
      <c r="G3537" s="14" t="s">
        <v>145</v>
      </c>
      <c r="H3537" s="14" t="s">
        <v>143</v>
      </c>
      <c r="I3537" s="14" t="s">
        <v>59</v>
      </c>
      <c r="J3537" s="14" t="s">
        <v>198</v>
      </c>
      <c r="K3537" s="14" t="s">
        <v>205</v>
      </c>
      <c r="L3537" s="14" t="s">
        <v>274</v>
      </c>
      <c r="M3537" s="14" t="s">
        <v>767</v>
      </c>
      <c r="N3537" s="14" t="s">
        <v>768</v>
      </c>
      <c r="O3537" s="14">
        <v>100.0</v>
      </c>
      <c r="P3537" s="21">
        <v>1.0</v>
      </c>
      <c r="Q3537" s="22" t="str">
        <f t="shared" ref="Q3537:Q3538" si="2108">"+0"</f>
        <v>+0</v>
      </c>
      <c r="S3537" s="14" t="s">
        <v>281</v>
      </c>
    </row>
    <row r="3538">
      <c r="A3538" s="13">
        <v>45901.0</v>
      </c>
      <c r="B3538" s="14" t="s">
        <v>47</v>
      </c>
      <c r="C3538" s="14" t="s">
        <v>48</v>
      </c>
      <c r="D3538" s="14" t="s">
        <v>132</v>
      </c>
      <c r="E3538" s="14" t="s">
        <v>133</v>
      </c>
      <c r="F3538" s="15" t="s">
        <v>51</v>
      </c>
      <c r="G3538" s="14" t="s">
        <v>134</v>
      </c>
      <c r="H3538" s="14" t="s">
        <v>135</v>
      </c>
      <c r="I3538" s="14" t="s">
        <v>59</v>
      </c>
      <c r="J3538" s="14" t="s">
        <v>200</v>
      </c>
      <c r="K3538" s="14" t="s">
        <v>227</v>
      </c>
      <c r="L3538" s="14" t="s">
        <v>328</v>
      </c>
      <c r="M3538" s="14" t="s">
        <v>329</v>
      </c>
      <c r="N3538" s="14" t="s">
        <v>330</v>
      </c>
      <c r="O3538" s="14">
        <v>0.0</v>
      </c>
      <c r="P3538" s="21">
        <v>0.0</v>
      </c>
      <c r="Q3538" s="22" t="str">
        <f t="shared" si="2108"/>
        <v>+0</v>
      </c>
      <c r="R3538" s="18" t="str">
        <f>"+0"</f>
        <v>+0</v>
      </c>
      <c r="S3538" s="14" t="s">
        <v>260</v>
      </c>
    </row>
    <row r="3539">
      <c r="A3539" s="13">
        <v>45901.0</v>
      </c>
      <c r="B3539" s="14" t="s">
        <v>47</v>
      </c>
      <c r="C3539" s="14" t="s">
        <v>48</v>
      </c>
      <c r="D3539" s="14" t="s">
        <v>73</v>
      </c>
      <c r="E3539" s="14" t="s">
        <v>74</v>
      </c>
      <c r="F3539" s="15" t="s">
        <v>51</v>
      </c>
      <c r="G3539" s="14" t="s">
        <v>75</v>
      </c>
      <c r="H3539" s="14" t="s">
        <v>76</v>
      </c>
      <c r="I3539" s="14" t="s">
        <v>59</v>
      </c>
      <c r="J3539" s="14" t="s">
        <v>200</v>
      </c>
      <c r="K3539" s="14" t="s">
        <v>229</v>
      </c>
      <c r="L3539" s="14" t="s">
        <v>253</v>
      </c>
      <c r="M3539" s="14" t="s">
        <v>552</v>
      </c>
      <c r="N3539" s="14" t="s">
        <v>553</v>
      </c>
      <c r="O3539" s="14">
        <v>0.0</v>
      </c>
      <c r="P3539" s="17"/>
      <c r="Q3539" s="22"/>
      <c r="S3539" s="14" t="s">
        <v>2078</v>
      </c>
    </row>
    <row r="3540">
      <c r="A3540" s="13">
        <v>45901.0</v>
      </c>
      <c r="B3540" s="14" t="s">
        <v>47</v>
      </c>
      <c r="C3540" s="14" t="s">
        <v>48</v>
      </c>
      <c r="D3540" s="14" t="s">
        <v>149</v>
      </c>
      <c r="E3540" s="14" t="s">
        <v>150</v>
      </c>
      <c r="F3540" s="15" t="s">
        <v>51</v>
      </c>
      <c r="G3540" s="14" t="s">
        <v>151</v>
      </c>
      <c r="H3540" s="14" t="s">
        <v>152</v>
      </c>
      <c r="I3540" s="14" t="s">
        <v>54</v>
      </c>
      <c r="J3540" s="14" t="s">
        <v>200</v>
      </c>
      <c r="K3540" s="14" t="s">
        <v>231</v>
      </c>
      <c r="L3540" s="14" t="s">
        <v>512</v>
      </c>
      <c r="M3540" s="14" t="s">
        <v>1117</v>
      </c>
      <c r="N3540" s="14" t="s">
        <v>1118</v>
      </c>
      <c r="O3540" s="14">
        <v>0.0</v>
      </c>
      <c r="P3540" s="21">
        <v>0.0</v>
      </c>
      <c r="Q3540" s="22" t="str">
        <f t="shared" ref="Q3540:R3540" si="2109">"+0"</f>
        <v>+0</v>
      </c>
      <c r="R3540" s="18" t="str">
        <f t="shared" si="2109"/>
        <v>+0</v>
      </c>
      <c r="S3540" s="14" t="s">
        <v>260</v>
      </c>
    </row>
    <row r="3541">
      <c r="A3541" s="13">
        <v>45901.0</v>
      </c>
      <c r="B3541" s="14" t="s">
        <v>47</v>
      </c>
      <c r="C3541" s="14" t="s">
        <v>48</v>
      </c>
      <c r="D3541" s="14" t="s">
        <v>136</v>
      </c>
      <c r="E3541" s="14" t="s">
        <v>137</v>
      </c>
      <c r="F3541" s="15" t="s">
        <v>51</v>
      </c>
      <c r="G3541" s="14" t="s">
        <v>138</v>
      </c>
      <c r="H3541" s="14" t="s">
        <v>139</v>
      </c>
      <c r="I3541" s="14" t="s">
        <v>59</v>
      </c>
      <c r="J3541" s="14" t="s">
        <v>200</v>
      </c>
      <c r="K3541" s="14" t="s">
        <v>204</v>
      </c>
      <c r="L3541" s="14" t="s">
        <v>253</v>
      </c>
      <c r="M3541" s="14" t="s">
        <v>844</v>
      </c>
      <c r="N3541" s="14" t="s">
        <v>845</v>
      </c>
      <c r="O3541" s="14">
        <v>0.0</v>
      </c>
      <c r="P3541" s="17"/>
      <c r="Q3541" s="22"/>
      <c r="S3541" s="14" t="s">
        <v>846</v>
      </c>
    </row>
    <row r="3542">
      <c r="A3542" s="13">
        <v>45901.0</v>
      </c>
      <c r="B3542" s="14" t="s">
        <v>47</v>
      </c>
      <c r="C3542" s="14" t="s">
        <v>48</v>
      </c>
      <c r="D3542" s="14" t="s">
        <v>129</v>
      </c>
      <c r="E3542" s="14" t="s">
        <v>130</v>
      </c>
      <c r="F3542" s="15" t="s">
        <v>51</v>
      </c>
      <c r="G3542" s="14" t="s">
        <v>131</v>
      </c>
      <c r="H3542" s="14" t="s">
        <v>129</v>
      </c>
      <c r="I3542" s="14" t="s">
        <v>59</v>
      </c>
      <c r="J3542" s="14" t="s">
        <v>200</v>
      </c>
      <c r="K3542" s="14" t="s">
        <v>231</v>
      </c>
      <c r="L3542" s="14" t="s">
        <v>512</v>
      </c>
      <c r="M3542" s="14" t="s">
        <v>1399</v>
      </c>
      <c r="N3542" s="14" t="s">
        <v>1400</v>
      </c>
      <c r="O3542" s="14">
        <v>0.0</v>
      </c>
      <c r="P3542" s="21">
        <v>0.0</v>
      </c>
      <c r="Q3542" s="22" t="str">
        <f t="shared" ref="Q3542:R3542" si="2110">"+0"</f>
        <v>+0</v>
      </c>
      <c r="R3542" s="18" t="str">
        <f t="shared" si="2110"/>
        <v>+0</v>
      </c>
      <c r="S3542" s="14" t="s">
        <v>260</v>
      </c>
    </row>
    <row r="3543">
      <c r="A3543" s="13">
        <v>45901.0</v>
      </c>
      <c r="B3543" s="14" t="s">
        <v>47</v>
      </c>
      <c r="C3543" s="14" t="s">
        <v>48</v>
      </c>
      <c r="D3543" s="14" t="s">
        <v>85</v>
      </c>
      <c r="E3543" s="14" t="s">
        <v>86</v>
      </c>
      <c r="F3543" s="14" t="s">
        <v>71</v>
      </c>
      <c r="G3543" s="14">
        <v>88285.0</v>
      </c>
      <c r="H3543" s="14" t="s">
        <v>85</v>
      </c>
      <c r="I3543" s="14" t="s">
        <v>59</v>
      </c>
      <c r="J3543" s="14" t="s">
        <v>199</v>
      </c>
      <c r="K3543" s="14" t="s">
        <v>206</v>
      </c>
      <c r="L3543" s="14" t="s">
        <v>295</v>
      </c>
      <c r="M3543" s="14" t="s">
        <v>296</v>
      </c>
      <c r="N3543" s="14" t="s">
        <v>297</v>
      </c>
      <c r="O3543" s="14">
        <v>0.0</v>
      </c>
      <c r="P3543" s="21">
        <v>0.0</v>
      </c>
      <c r="Q3543" s="22" t="str">
        <f t="shared" ref="Q3543:R3543" si="2111">"+0"</f>
        <v>+0</v>
      </c>
      <c r="R3543" s="18" t="str">
        <f t="shared" si="2111"/>
        <v>+0</v>
      </c>
      <c r="S3543" s="14" t="s">
        <v>260</v>
      </c>
    </row>
    <row r="3544">
      <c r="A3544" s="13">
        <v>45901.0</v>
      </c>
      <c r="B3544" s="14" t="s">
        <v>47</v>
      </c>
      <c r="C3544" s="14" t="s">
        <v>48</v>
      </c>
      <c r="D3544" s="14" t="s">
        <v>158</v>
      </c>
      <c r="E3544" s="14" t="s">
        <v>159</v>
      </c>
      <c r="F3544" s="15" t="s">
        <v>51</v>
      </c>
      <c r="G3544" s="14" t="s">
        <v>160</v>
      </c>
      <c r="H3544" s="14" t="s">
        <v>158</v>
      </c>
      <c r="I3544" s="14" t="s">
        <v>54</v>
      </c>
      <c r="J3544" s="14" t="s">
        <v>200</v>
      </c>
      <c r="K3544" s="14" t="s">
        <v>224</v>
      </c>
      <c r="L3544" s="14" t="s">
        <v>427</v>
      </c>
      <c r="M3544" s="14" t="s">
        <v>769</v>
      </c>
      <c r="N3544" s="14" t="s">
        <v>770</v>
      </c>
      <c r="O3544" s="14">
        <v>0.0</v>
      </c>
      <c r="P3544" s="17"/>
      <c r="Q3544" s="22"/>
      <c r="S3544" s="14" t="s">
        <v>771</v>
      </c>
    </row>
    <row r="3545">
      <c r="A3545" s="13">
        <v>45901.0</v>
      </c>
      <c r="B3545" s="14" t="s">
        <v>47</v>
      </c>
      <c r="C3545" s="14" t="s">
        <v>48</v>
      </c>
      <c r="D3545" s="14" t="s">
        <v>158</v>
      </c>
      <c r="E3545" s="14" t="s">
        <v>159</v>
      </c>
      <c r="F3545" s="15" t="s">
        <v>51</v>
      </c>
      <c r="G3545" s="14" t="s">
        <v>160</v>
      </c>
      <c r="H3545" s="14" t="s">
        <v>158</v>
      </c>
      <c r="I3545" s="14" t="s">
        <v>54</v>
      </c>
      <c r="J3545" s="14" t="s">
        <v>198</v>
      </c>
      <c r="K3545" s="14" t="s">
        <v>212</v>
      </c>
      <c r="L3545" s="14" t="s">
        <v>249</v>
      </c>
      <c r="M3545" s="14" t="s">
        <v>250</v>
      </c>
      <c r="N3545" s="14" t="s">
        <v>251</v>
      </c>
      <c r="O3545" s="14">
        <v>30.0</v>
      </c>
      <c r="P3545" s="21">
        <v>172.0</v>
      </c>
      <c r="Q3545" s="22" t="str">
        <f>"-1,467"</f>
        <v>-1,467</v>
      </c>
      <c r="R3545" s="18" t="str">
        <f>"-1,788"</f>
        <v>-1,788</v>
      </c>
      <c r="S3545" s="14" t="s">
        <v>1965</v>
      </c>
    </row>
    <row r="3546">
      <c r="A3546" s="13">
        <v>45901.0</v>
      </c>
      <c r="B3546" s="14" t="s">
        <v>47</v>
      </c>
      <c r="C3546" s="14" t="s">
        <v>48</v>
      </c>
      <c r="D3546" s="14" t="s">
        <v>116</v>
      </c>
      <c r="E3546" s="14" t="s">
        <v>117</v>
      </c>
      <c r="F3546" s="14" t="s">
        <v>111</v>
      </c>
      <c r="G3546" s="14">
        <v>5298600.0</v>
      </c>
      <c r="H3546" s="14" t="s">
        <v>116</v>
      </c>
      <c r="I3546" s="14" t="s">
        <v>59</v>
      </c>
      <c r="J3546" s="14" t="s">
        <v>199</v>
      </c>
      <c r="K3546" s="14" t="s">
        <v>203</v>
      </c>
      <c r="L3546" s="14" t="s">
        <v>340</v>
      </c>
      <c r="M3546" s="14" t="s">
        <v>340</v>
      </c>
      <c r="N3546" s="14" t="s">
        <v>341</v>
      </c>
      <c r="O3546" s="14">
        <v>0.0</v>
      </c>
      <c r="P3546" s="21">
        <v>0.0</v>
      </c>
      <c r="Q3546" s="22" t="str">
        <f t="shared" ref="Q3546:R3546" si="2112">"+0"</f>
        <v>+0</v>
      </c>
      <c r="R3546" s="18" t="str">
        <f t="shared" si="2112"/>
        <v>+0</v>
      </c>
      <c r="S3546" s="14" t="s">
        <v>260</v>
      </c>
    </row>
    <row r="3547">
      <c r="A3547" s="13">
        <v>45901.0</v>
      </c>
      <c r="B3547" s="14" t="s">
        <v>47</v>
      </c>
      <c r="C3547" s="14" t="s">
        <v>48</v>
      </c>
      <c r="D3547" s="14" t="s">
        <v>77</v>
      </c>
      <c r="E3547" s="14" t="s">
        <v>78</v>
      </c>
      <c r="F3547" s="14" t="s">
        <v>79</v>
      </c>
      <c r="G3547" s="14" t="s">
        <v>80</v>
      </c>
      <c r="H3547" s="14" t="s">
        <v>81</v>
      </c>
      <c r="J3547" s="14" t="s">
        <v>199</v>
      </c>
      <c r="K3547" s="14" t="s">
        <v>206</v>
      </c>
      <c r="L3547" s="14" t="s">
        <v>268</v>
      </c>
      <c r="M3547" s="14" t="s">
        <v>268</v>
      </c>
      <c r="N3547" s="14" t="s">
        <v>269</v>
      </c>
      <c r="O3547" s="14">
        <v>0.0</v>
      </c>
      <c r="P3547" s="21">
        <v>0.0</v>
      </c>
      <c r="Q3547" s="22" t="str">
        <f t="shared" ref="Q3547:R3547" si="2113">"+0"</f>
        <v>+0</v>
      </c>
      <c r="R3547" s="18" t="str">
        <f t="shared" si="2113"/>
        <v>+0</v>
      </c>
      <c r="S3547" s="14" t="s">
        <v>260</v>
      </c>
    </row>
    <row r="3548">
      <c r="A3548" s="13">
        <v>45901.0</v>
      </c>
      <c r="B3548" s="14" t="s">
        <v>47</v>
      </c>
      <c r="C3548" s="14" t="s">
        <v>48</v>
      </c>
      <c r="D3548" s="14" t="s">
        <v>116</v>
      </c>
      <c r="E3548" s="14" t="s">
        <v>117</v>
      </c>
      <c r="F3548" s="15" t="s">
        <v>51</v>
      </c>
      <c r="G3548" s="14" t="s">
        <v>161</v>
      </c>
      <c r="H3548" s="14" t="s">
        <v>116</v>
      </c>
      <c r="I3548" s="14" t="s">
        <v>54</v>
      </c>
      <c r="J3548" s="14" t="s">
        <v>200</v>
      </c>
      <c r="K3548" s="14" t="s">
        <v>201</v>
      </c>
      <c r="L3548" s="14" t="s">
        <v>253</v>
      </c>
      <c r="M3548" s="14" t="s">
        <v>585</v>
      </c>
      <c r="N3548" s="14" t="s">
        <v>586</v>
      </c>
      <c r="O3548" s="14">
        <v>1.0</v>
      </c>
      <c r="P3548" s="23">
        <v>0.0162</v>
      </c>
      <c r="Q3548" s="22" t="str">
        <f>"-0.35%"</f>
        <v>-0.35%</v>
      </c>
      <c r="R3548" s="18" t="str">
        <f>"-0.54%"</f>
        <v>-0.54%</v>
      </c>
      <c r="S3548" s="14" t="s">
        <v>1156</v>
      </c>
    </row>
    <row r="3549">
      <c r="A3549" s="13">
        <v>45901.0</v>
      </c>
      <c r="B3549" s="14" t="s">
        <v>47</v>
      </c>
      <c r="C3549" s="14" t="s">
        <v>48</v>
      </c>
      <c r="D3549" s="14" t="s">
        <v>108</v>
      </c>
      <c r="E3549" s="14" t="s">
        <v>109</v>
      </c>
      <c r="F3549" s="15" t="s">
        <v>51</v>
      </c>
      <c r="G3549" s="14" t="s">
        <v>110</v>
      </c>
      <c r="H3549" s="14" t="s">
        <v>108</v>
      </c>
      <c r="I3549" s="14" t="s">
        <v>59</v>
      </c>
      <c r="J3549" s="14" t="s">
        <v>200</v>
      </c>
      <c r="K3549" s="14" t="s">
        <v>227</v>
      </c>
      <c r="L3549" s="14" t="s">
        <v>721</v>
      </c>
      <c r="M3549" s="14" t="s">
        <v>722</v>
      </c>
      <c r="N3549" s="14" t="s">
        <v>723</v>
      </c>
      <c r="O3549" s="14">
        <v>67.0</v>
      </c>
      <c r="P3549" s="23">
        <v>0.35</v>
      </c>
      <c r="Q3549" s="22" t="str">
        <f>"+27.31%"</f>
        <v>+27.31%</v>
      </c>
      <c r="R3549" s="18" t="str">
        <f>"+35.00%"</f>
        <v>+35.00%</v>
      </c>
      <c r="S3549" s="14" t="s">
        <v>724</v>
      </c>
    </row>
    <row r="3550">
      <c r="A3550" s="13">
        <v>45901.0</v>
      </c>
      <c r="B3550" s="14" t="s">
        <v>47</v>
      </c>
      <c r="C3550" s="14" t="s">
        <v>48</v>
      </c>
      <c r="D3550" s="14" t="s">
        <v>108</v>
      </c>
      <c r="E3550" s="14" t="s">
        <v>109</v>
      </c>
      <c r="F3550" s="15" t="s">
        <v>51</v>
      </c>
      <c r="G3550" s="14" t="s">
        <v>110</v>
      </c>
      <c r="H3550" s="14" t="s">
        <v>108</v>
      </c>
      <c r="I3550" s="14" t="s">
        <v>59</v>
      </c>
      <c r="J3550" s="14" t="s">
        <v>200</v>
      </c>
      <c r="K3550" s="14" t="s">
        <v>227</v>
      </c>
      <c r="L3550" s="14" t="s">
        <v>721</v>
      </c>
      <c r="M3550" s="14" t="s">
        <v>748</v>
      </c>
      <c r="N3550" s="14" t="s">
        <v>749</v>
      </c>
      <c r="O3550" s="14">
        <v>0.0</v>
      </c>
      <c r="P3550" s="23">
        <v>-1.0</v>
      </c>
      <c r="Q3550" s="22" t="str">
        <f>"-40.00%"</f>
        <v>-40.00%</v>
      </c>
      <c r="R3550" s="18" t="str">
        <f>"-100.00%"</f>
        <v>-100.00%</v>
      </c>
      <c r="S3550" s="14" t="s">
        <v>750</v>
      </c>
    </row>
    <row r="3551">
      <c r="A3551" s="13">
        <v>45901.0</v>
      </c>
      <c r="B3551" s="14" t="s">
        <v>47</v>
      </c>
      <c r="C3551" s="14" t="s">
        <v>48</v>
      </c>
      <c r="D3551" s="14" t="s">
        <v>174</v>
      </c>
      <c r="E3551" s="14" t="s">
        <v>175</v>
      </c>
      <c r="F3551" s="15" t="s">
        <v>51</v>
      </c>
      <c r="G3551" s="14" t="s">
        <v>176</v>
      </c>
      <c r="H3551" s="14" t="s">
        <v>174</v>
      </c>
      <c r="I3551" s="14" t="s">
        <v>59</v>
      </c>
      <c r="J3551" s="14" t="s">
        <v>200</v>
      </c>
      <c r="K3551" s="14" t="s">
        <v>202</v>
      </c>
      <c r="L3551" s="14" t="s">
        <v>253</v>
      </c>
      <c r="M3551" s="14" t="s">
        <v>874</v>
      </c>
      <c r="N3551" s="14" t="s">
        <v>875</v>
      </c>
      <c r="O3551" s="14">
        <v>9.0</v>
      </c>
      <c r="P3551" s="23">
        <v>0.0943</v>
      </c>
      <c r="Q3551" s="22" t="str">
        <f>"-0.94%"</f>
        <v>-0.94%</v>
      </c>
      <c r="R3551" s="18" t="str">
        <f>"-0.64%"</f>
        <v>-0.64%</v>
      </c>
      <c r="S3551" s="14" t="s">
        <v>2079</v>
      </c>
    </row>
    <row r="3552">
      <c r="A3552" s="13">
        <v>45901.0</v>
      </c>
      <c r="B3552" s="14" t="s">
        <v>47</v>
      </c>
      <c r="C3552" s="14" t="s">
        <v>48</v>
      </c>
      <c r="D3552" s="14" t="s">
        <v>155</v>
      </c>
      <c r="E3552" s="14" t="s">
        <v>156</v>
      </c>
      <c r="F3552" s="15" t="s">
        <v>51</v>
      </c>
      <c r="G3552" s="14" t="s">
        <v>157</v>
      </c>
      <c r="H3552" s="14" t="s">
        <v>155</v>
      </c>
      <c r="I3552" s="14" t="s">
        <v>59</v>
      </c>
      <c r="J3552" s="14" t="s">
        <v>200</v>
      </c>
      <c r="K3552" s="14" t="s">
        <v>223</v>
      </c>
      <c r="L3552" s="14" t="s">
        <v>261</v>
      </c>
      <c r="M3552" s="14" t="s">
        <v>814</v>
      </c>
      <c r="N3552" s="14" t="s">
        <v>815</v>
      </c>
      <c r="O3552" s="14">
        <v>0.0</v>
      </c>
      <c r="P3552" s="23">
        <v>-1.0</v>
      </c>
      <c r="Q3552" s="22" t="str">
        <f t="shared" ref="Q3552:R3552" si="2114">"+0.00%"</f>
        <v>+0.00%</v>
      </c>
      <c r="R3552" s="18" t="str">
        <f t="shared" si="2114"/>
        <v>+0.00%</v>
      </c>
      <c r="S3552" s="14" t="s">
        <v>2080</v>
      </c>
    </row>
    <row r="3553">
      <c r="A3553" s="13">
        <v>45901.0</v>
      </c>
      <c r="B3553" s="14" t="s">
        <v>47</v>
      </c>
      <c r="C3553" s="14" t="s">
        <v>48</v>
      </c>
      <c r="D3553" s="14" t="s">
        <v>121</v>
      </c>
      <c r="E3553" s="14" t="s">
        <v>122</v>
      </c>
      <c r="F3553" s="15" t="s">
        <v>51</v>
      </c>
      <c r="G3553" s="14" t="s">
        <v>123</v>
      </c>
      <c r="H3553" s="14" t="s">
        <v>124</v>
      </c>
      <c r="I3553" s="14" t="s">
        <v>59</v>
      </c>
      <c r="J3553" s="14" t="s">
        <v>198</v>
      </c>
      <c r="K3553" s="14" t="s">
        <v>212</v>
      </c>
      <c r="L3553" s="14" t="s">
        <v>249</v>
      </c>
      <c r="M3553" s="14" t="s">
        <v>598</v>
      </c>
      <c r="N3553" s="14" t="s">
        <v>599</v>
      </c>
      <c r="O3553" s="14">
        <v>26.0</v>
      </c>
      <c r="P3553" s="21">
        <v>870.0</v>
      </c>
      <c r="Q3553" s="22" t="str">
        <f>"-29"</f>
        <v>-29</v>
      </c>
      <c r="R3553" s="18" t="str">
        <f>"+0"</f>
        <v>+0</v>
      </c>
      <c r="S3553" s="14" t="s">
        <v>2081</v>
      </c>
    </row>
    <row r="3554">
      <c r="A3554" s="13">
        <v>45901.0</v>
      </c>
      <c r="B3554" s="14" t="s">
        <v>47</v>
      </c>
      <c r="C3554" s="14" t="s">
        <v>48</v>
      </c>
      <c r="D3554" s="14" t="s">
        <v>155</v>
      </c>
      <c r="E3554" s="14" t="s">
        <v>156</v>
      </c>
      <c r="F3554" s="15" t="s">
        <v>51</v>
      </c>
      <c r="G3554" s="14" t="s">
        <v>157</v>
      </c>
      <c r="H3554" s="14" t="s">
        <v>155</v>
      </c>
      <c r="I3554" s="14" t="s">
        <v>59</v>
      </c>
      <c r="J3554" s="14" t="s">
        <v>199</v>
      </c>
      <c r="K3554" s="14" t="s">
        <v>203</v>
      </c>
      <c r="L3554" s="14" t="s">
        <v>342</v>
      </c>
      <c r="M3554" s="14" t="s">
        <v>342</v>
      </c>
      <c r="N3554" s="14" t="s">
        <v>343</v>
      </c>
      <c r="O3554" s="14">
        <v>0.0</v>
      </c>
      <c r="P3554" s="21">
        <v>0.0</v>
      </c>
      <c r="Q3554" s="22" t="str">
        <f t="shared" ref="Q3554:R3554" si="2115">"+0"</f>
        <v>+0</v>
      </c>
      <c r="R3554" s="18" t="str">
        <f t="shared" si="2115"/>
        <v>+0</v>
      </c>
      <c r="S3554" s="14" t="s">
        <v>260</v>
      </c>
    </row>
    <row r="3555">
      <c r="A3555" s="13">
        <v>45901.0</v>
      </c>
      <c r="B3555" s="14" t="s">
        <v>47</v>
      </c>
      <c r="C3555" s="14" t="s">
        <v>48</v>
      </c>
      <c r="D3555" s="14" t="s">
        <v>118</v>
      </c>
      <c r="E3555" s="14" t="s">
        <v>119</v>
      </c>
      <c r="F3555" s="15" t="s">
        <v>51</v>
      </c>
      <c r="G3555" s="14" t="s">
        <v>120</v>
      </c>
      <c r="H3555" s="14" t="s">
        <v>118</v>
      </c>
      <c r="I3555" s="14" t="s">
        <v>59</v>
      </c>
      <c r="J3555" s="14" t="s">
        <v>200</v>
      </c>
      <c r="K3555" s="14" t="s">
        <v>213</v>
      </c>
      <c r="L3555" s="14" t="s">
        <v>253</v>
      </c>
      <c r="M3555" s="14" t="s">
        <v>552</v>
      </c>
      <c r="N3555" s="14" t="s">
        <v>553</v>
      </c>
      <c r="O3555" s="14">
        <v>21.0</v>
      </c>
      <c r="P3555" s="23">
        <v>0.2193</v>
      </c>
      <c r="Q3555" s="22" t="str">
        <f>"+0.17%"</f>
        <v>+0.17%</v>
      </c>
      <c r="R3555" s="18" t="str">
        <f>"-0.86%"</f>
        <v>-0.86%</v>
      </c>
      <c r="S3555" s="14" t="s">
        <v>2082</v>
      </c>
    </row>
    <row r="3556">
      <c r="A3556" s="13">
        <v>45901.0</v>
      </c>
      <c r="B3556" s="14" t="s">
        <v>47</v>
      </c>
      <c r="C3556" s="14" t="s">
        <v>48</v>
      </c>
      <c r="D3556" s="14" t="s">
        <v>99</v>
      </c>
      <c r="E3556" s="14" t="s">
        <v>100</v>
      </c>
      <c r="F3556" s="15" t="s">
        <v>51</v>
      </c>
      <c r="G3556" s="14" t="s">
        <v>101</v>
      </c>
      <c r="H3556" s="14" t="s">
        <v>102</v>
      </c>
      <c r="I3556" s="14" t="s">
        <v>54</v>
      </c>
      <c r="J3556" s="14" t="s">
        <v>198</v>
      </c>
      <c r="K3556" s="14" t="s">
        <v>210</v>
      </c>
      <c r="L3556" s="14" t="s">
        <v>505</v>
      </c>
      <c r="M3556" s="14" t="s">
        <v>831</v>
      </c>
      <c r="N3556" s="14" t="s">
        <v>832</v>
      </c>
      <c r="O3556" s="14">
        <v>0.0</v>
      </c>
      <c r="P3556" s="21">
        <v>0.0</v>
      </c>
      <c r="Q3556" s="22" t="str">
        <f t="shared" ref="Q3556:R3556" si="2116">"+0"</f>
        <v>+0</v>
      </c>
      <c r="R3556" s="18" t="str">
        <f t="shared" si="2116"/>
        <v>+0</v>
      </c>
      <c r="S3556" s="14" t="s">
        <v>277</v>
      </c>
    </row>
    <row r="3557">
      <c r="A3557" s="13">
        <v>45901.0</v>
      </c>
      <c r="B3557" s="14" t="s">
        <v>47</v>
      </c>
      <c r="C3557" s="14" t="s">
        <v>48</v>
      </c>
      <c r="D3557" s="14" t="s">
        <v>99</v>
      </c>
      <c r="E3557" s="14" t="s">
        <v>100</v>
      </c>
      <c r="F3557" s="15" t="s">
        <v>51</v>
      </c>
      <c r="G3557" s="14" t="s">
        <v>101</v>
      </c>
      <c r="H3557" s="14" t="s">
        <v>102</v>
      </c>
      <c r="I3557" s="14" t="s">
        <v>54</v>
      </c>
      <c r="J3557" s="14" t="s">
        <v>199</v>
      </c>
      <c r="K3557" s="14" t="s">
        <v>206</v>
      </c>
      <c r="L3557" s="14" t="s">
        <v>381</v>
      </c>
      <c r="M3557" s="14" t="s">
        <v>381</v>
      </c>
      <c r="N3557" s="14" t="s">
        <v>382</v>
      </c>
      <c r="O3557" s="14">
        <v>0.0</v>
      </c>
      <c r="P3557" s="21">
        <v>0.0</v>
      </c>
      <c r="Q3557" s="22" t="str">
        <f t="shared" ref="Q3557:R3557" si="2117">"+0"</f>
        <v>+0</v>
      </c>
      <c r="R3557" s="18" t="str">
        <f t="shared" si="2117"/>
        <v>+0</v>
      </c>
      <c r="S3557" s="14" t="s">
        <v>383</v>
      </c>
    </row>
    <row r="3558">
      <c r="A3558" s="13">
        <v>45901.0</v>
      </c>
      <c r="B3558" s="14" t="s">
        <v>47</v>
      </c>
      <c r="C3558" s="14" t="s">
        <v>48</v>
      </c>
      <c r="D3558" s="14" t="s">
        <v>82</v>
      </c>
      <c r="E3558" s="14" t="s">
        <v>83</v>
      </c>
      <c r="F3558" s="15" t="s">
        <v>51</v>
      </c>
      <c r="G3558" s="14" t="s">
        <v>84</v>
      </c>
      <c r="H3558" s="14" t="s">
        <v>82</v>
      </c>
      <c r="I3558" s="14" t="s">
        <v>59</v>
      </c>
      <c r="J3558" s="14" t="s">
        <v>199</v>
      </c>
      <c r="K3558" s="14" t="s">
        <v>208</v>
      </c>
      <c r="L3558" s="14" t="s">
        <v>412</v>
      </c>
      <c r="M3558" s="14" t="s">
        <v>412</v>
      </c>
      <c r="N3558" s="14" t="s">
        <v>413</v>
      </c>
      <c r="O3558" s="14">
        <v>0.0</v>
      </c>
      <c r="P3558" s="21">
        <v>0.0</v>
      </c>
      <c r="Q3558" s="22" t="str">
        <f t="shared" ref="Q3558:R3558" si="2118">"+0"</f>
        <v>+0</v>
      </c>
      <c r="R3558" s="18" t="str">
        <f t="shared" si="2118"/>
        <v>+0</v>
      </c>
      <c r="S3558" s="14" t="s">
        <v>260</v>
      </c>
    </row>
    <row r="3559">
      <c r="A3559" s="13">
        <v>45901.0</v>
      </c>
      <c r="B3559" s="14" t="s">
        <v>47</v>
      </c>
      <c r="C3559" s="14" t="s">
        <v>48</v>
      </c>
      <c r="D3559" s="14" t="s">
        <v>192</v>
      </c>
      <c r="E3559" s="14" t="s">
        <v>193</v>
      </c>
      <c r="F3559" s="15" t="s">
        <v>51</v>
      </c>
      <c r="G3559" s="14" t="s">
        <v>194</v>
      </c>
      <c r="H3559" s="14" t="s">
        <v>192</v>
      </c>
      <c r="I3559" s="14" t="s">
        <v>54</v>
      </c>
      <c r="J3559" s="14" t="s">
        <v>200</v>
      </c>
      <c r="K3559" s="14" t="s">
        <v>222</v>
      </c>
      <c r="L3559" s="14" t="s">
        <v>301</v>
      </c>
      <c r="M3559" s="14" t="s">
        <v>302</v>
      </c>
      <c r="N3559" s="14" t="s">
        <v>303</v>
      </c>
      <c r="O3559" s="14">
        <v>0.0</v>
      </c>
      <c r="P3559" s="21">
        <v>0.0</v>
      </c>
      <c r="Q3559" s="22" t="str">
        <f t="shared" ref="Q3559:R3559" si="2119">"+0"</f>
        <v>+0</v>
      </c>
      <c r="R3559" s="18" t="str">
        <f t="shared" si="2119"/>
        <v>+0</v>
      </c>
      <c r="S3559" s="14" t="s">
        <v>260</v>
      </c>
    </row>
    <row r="3560">
      <c r="A3560" s="13">
        <v>45901.0</v>
      </c>
      <c r="B3560" s="14" t="s">
        <v>47</v>
      </c>
      <c r="C3560" s="14" t="s">
        <v>48</v>
      </c>
      <c r="D3560" s="14" t="s">
        <v>93</v>
      </c>
      <c r="E3560" s="14" t="s">
        <v>94</v>
      </c>
      <c r="F3560" s="14" t="s">
        <v>71</v>
      </c>
      <c r="G3560" s="14">
        <v>5.36001438E8</v>
      </c>
      <c r="H3560" s="14" t="s">
        <v>95</v>
      </c>
      <c r="I3560" s="14" t="s">
        <v>59</v>
      </c>
      <c r="J3560" s="14" t="s">
        <v>200</v>
      </c>
      <c r="K3560" s="14" t="s">
        <v>218</v>
      </c>
      <c r="L3560" s="14" t="s">
        <v>253</v>
      </c>
      <c r="M3560" s="14" t="s">
        <v>463</v>
      </c>
      <c r="N3560" s="14" t="s">
        <v>464</v>
      </c>
      <c r="O3560" s="14">
        <v>1.0</v>
      </c>
      <c r="P3560" s="23">
        <v>0.0038</v>
      </c>
      <c r="Q3560" s="22" t="str">
        <f>"+0.04%"</f>
        <v>+0.04%</v>
      </c>
      <c r="R3560" s="18" t="str">
        <f>"+0.09%"</f>
        <v>+0.09%</v>
      </c>
      <c r="S3560" s="14" t="s">
        <v>1658</v>
      </c>
    </row>
    <row r="3561">
      <c r="A3561" s="13">
        <v>45901.0</v>
      </c>
      <c r="B3561" s="14" t="s">
        <v>47</v>
      </c>
      <c r="C3561" s="14" t="s">
        <v>48</v>
      </c>
      <c r="D3561" s="14" t="s">
        <v>192</v>
      </c>
      <c r="E3561" s="14" t="s">
        <v>193</v>
      </c>
      <c r="F3561" s="15" t="s">
        <v>51</v>
      </c>
      <c r="G3561" s="14" t="s">
        <v>194</v>
      </c>
      <c r="H3561" s="14" t="s">
        <v>192</v>
      </c>
      <c r="I3561" s="14" t="s">
        <v>54</v>
      </c>
      <c r="J3561" s="14" t="s">
        <v>200</v>
      </c>
      <c r="K3561" s="14" t="s">
        <v>223</v>
      </c>
      <c r="L3561" s="14" t="s">
        <v>571</v>
      </c>
      <c r="M3561" s="14" t="s">
        <v>572</v>
      </c>
      <c r="N3561" s="14" t="s">
        <v>573</v>
      </c>
      <c r="O3561" s="14">
        <v>0.0</v>
      </c>
      <c r="P3561" s="23">
        <v>0.0</v>
      </c>
      <c r="Q3561" s="22" t="str">
        <f t="shared" ref="Q3561:R3561" si="2120">"+0.00%"</f>
        <v>+0.00%</v>
      </c>
      <c r="R3561" s="18" t="str">
        <f t="shared" si="2120"/>
        <v>+0.00%</v>
      </c>
      <c r="S3561" s="14" t="s">
        <v>285</v>
      </c>
    </row>
    <row r="3562">
      <c r="A3562" s="13">
        <v>45901.0</v>
      </c>
      <c r="B3562" s="14" t="s">
        <v>47</v>
      </c>
      <c r="C3562" s="14" t="s">
        <v>48</v>
      </c>
      <c r="D3562" s="14" t="s">
        <v>132</v>
      </c>
      <c r="E3562" s="14" t="s">
        <v>133</v>
      </c>
      <c r="F3562" s="15" t="s">
        <v>51</v>
      </c>
      <c r="G3562" s="14" t="s">
        <v>134</v>
      </c>
      <c r="H3562" s="14" t="s">
        <v>135</v>
      </c>
      <c r="I3562" s="14" t="s">
        <v>59</v>
      </c>
      <c r="J3562" s="14" t="s">
        <v>198</v>
      </c>
      <c r="K3562" s="14" t="s">
        <v>212</v>
      </c>
      <c r="L3562" s="14" t="s">
        <v>344</v>
      </c>
      <c r="M3562" s="14" t="s">
        <v>580</v>
      </c>
      <c r="N3562" s="14" t="s">
        <v>581</v>
      </c>
      <c r="O3562" s="14">
        <v>100.0</v>
      </c>
      <c r="P3562" s="21">
        <v>1.0</v>
      </c>
      <c r="Q3562" s="22" t="str">
        <f>"+1"</f>
        <v>+1</v>
      </c>
      <c r="S3562" s="14" t="s">
        <v>281</v>
      </c>
    </row>
    <row r="3563">
      <c r="A3563" s="13">
        <v>45901.0</v>
      </c>
      <c r="B3563" s="14" t="s">
        <v>47</v>
      </c>
      <c r="C3563" s="14" t="s">
        <v>48</v>
      </c>
      <c r="D3563" s="14" t="s">
        <v>143</v>
      </c>
      <c r="E3563" s="14" t="s">
        <v>144</v>
      </c>
      <c r="F3563" s="15" t="s">
        <v>51</v>
      </c>
      <c r="G3563" s="14" t="s">
        <v>145</v>
      </c>
      <c r="H3563" s="14" t="s">
        <v>143</v>
      </c>
      <c r="I3563" s="14" t="s">
        <v>59</v>
      </c>
      <c r="J3563" s="14" t="s">
        <v>198</v>
      </c>
      <c r="K3563" s="14" t="s">
        <v>205</v>
      </c>
      <c r="L3563" s="14" t="s">
        <v>274</v>
      </c>
      <c r="M3563" s="14" t="s">
        <v>738</v>
      </c>
      <c r="N3563" s="14" t="s">
        <v>739</v>
      </c>
      <c r="O3563" s="14">
        <v>0.0</v>
      </c>
      <c r="P3563" s="21">
        <v>0.0</v>
      </c>
      <c r="Q3563" s="22" t="str">
        <f t="shared" ref="Q3563:Q3564" si="2121">"+0"</f>
        <v>+0</v>
      </c>
      <c r="S3563" s="14" t="s">
        <v>281</v>
      </c>
    </row>
    <row r="3564">
      <c r="A3564" s="13">
        <v>45901.0</v>
      </c>
      <c r="B3564" s="14" t="s">
        <v>47</v>
      </c>
      <c r="C3564" s="14" t="s">
        <v>48</v>
      </c>
      <c r="D3564" s="14" t="s">
        <v>129</v>
      </c>
      <c r="E3564" s="14" t="s">
        <v>130</v>
      </c>
      <c r="F3564" s="15" t="s">
        <v>51</v>
      </c>
      <c r="G3564" s="14" t="s">
        <v>131</v>
      </c>
      <c r="H3564" s="14" t="s">
        <v>129</v>
      </c>
      <c r="I3564" s="14" t="s">
        <v>59</v>
      </c>
      <c r="J3564" s="14" t="s">
        <v>200</v>
      </c>
      <c r="K3564" s="14" t="s">
        <v>231</v>
      </c>
      <c r="L3564" s="14" t="s">
        <v>512</v>
      </c>
      <c r="M3564" s="14" t="s">
        <v>719</v>
      </c>
      <c r="N3564" s="14" t="s">
        <v>720</v>
      </c>
      <c r="O3564" s="14">
        <v>0.0</v>
      </c>
      <c r="P3564" s="21">
        <v>0.0</v>
      </c>
      <c r="Q3564" s="22" t="str">
        <f t="shared" si="2121"/>
        <v>+0</v>
      </c>
      <c r="R3564" s="18" t="str">
        <f>"+0"</f>
        <v>+0</v>
      </c>
      <c r="S3564" s="14" t="s">
        <v>260</v>
      </c>
    </row>
    <row r="3565">
      <c r="A3565" s="13">
        <v>45901.0</v>
      </c>
      <c r="B3565" s="14" t="s">
        <v>47</v>
      </c>
      <c r="C3565" s="14" t="s">
        <v>48</v>
      </c>
      <c r="D3565" s="14" t="s">
        <v>125</v>
      </c>
      <c r="E3565" s="14" t="s">
        <v>126</v>
      </c>
      <c r="F3565" s="15" t="s">
        <v>51</v>
      </c>
      <c r="G3565" s="14" t="s">
        <v>127</v>
      </c>
      <c r="H3565" s="14" t="s">
        <v>125</v>
      </c>
      <c r="I3565" s="14" t="s">
        <v>59</v>
      </c>
      <c r="J3565" s="14" t="s">
        <v>200</v>
      </c>
      <c r="K3565" s="14" t="s">
        <v>232</v>
      </c>
      <c r="L3565" s="14" t="s">
        <v>261</v>
      </c>
      <c r="M3565" s="14" t="s">
        <v>864</v>
      </c>
      <c r="N3565" s="14" t="s">
        <v>865</v>
      </c>
      <c r="O3565" s="14">
        <v>0.0</v>
      </c>
      <c r="P3565" s="23">
        <v>0.0</v>
      </c>
      <c r="Q3565" s="22" t="str">
        <f t="shared" ref="Q3565:R3565" si="2122">"+0.00%"</f>
        <v>+0.00%</v>
      </c>
      <c r="R3565" s="18" t="str">
        <f t="shared" si="2122"/>
        <v>+0.00%</v>
      </c>
      <c r="S3565" s="14" t="s">
        <v>285</v>
      </c>
    </row>
    <row r="3566">
      <c r="A3566" s="13">
        <v>45901.0</v>
      </c>
      <c r="B3566" s="14" t="s">
        <v>47</v>
      </c>
      <c r="C3566" s="14" t="s">
        <v>48</v>
      </c>
      <c r="D3566" s="14" t="s">
        <v>96</v>
      </c>
      <c r="E3566" s="14" t="s">
        <v>97</v>
      </c>
      <c r="F3566" s="15" t="s">
        <v>51</v>
      </c>
      <c r="G3566" s="14" t="s">
        <v>98</v>
      </c>
      <c r="H3566" s="14" t="s">
        <v>96</v>
      </c>
      <c r="I3566" s="14" t="s">
        <v>59</v>
      </c>
      <c r="J3566" s="14" t="s">
        <v>200</v>
      </c>
      <c r="K3566" s="14" t="s">
        <v>223</v>
      </c>
      <c r="L3566" s="14" t="s">
        <v>487</v>
      </c>
      <c r="M3566" s="14" t="s">
        <v>670</v>
      </c>
      <c r="N3566" s="14" t="s">
        <v>671</v>
      </c>
      <c r="O3566" s="14">
        <v>0.0</v>
      </c>
      <c r="P3566" s="21">
        <v>0.0</v>
      </c>
      <c r="Q3566" s="22" t="str">
        <f t="shared" ref="Q3566:R3566" si="2123">"+0"</f>
        <v>+0</v>
      </c>
      <c r="R3566" s="18" t="str">
        <f t="shared" si="2123"/>
        <v>+0</v>
      </c>
      <c r="S3566" s="14" t="s">
        <v>260</v>
      </c>
    </row>
    <row r="3567">
      <c r="A3567" s="13">
        <v>45901.0</v>
      </c>
      <c r="B3567" s="14" t="s">
        <v>47</v>
      </c>
      <c r="C3567" s="14" t="s">
        <v>48</v>
      </c>
      <c r="D3567" s="14" t="s">
        <v>96</v>
      </c>
      <c r="E3567" s="14" t="s">
        <v>97</v>
      </c>
      <c r="F3567" s="15" t="s">
        <v>51</v>
      </c>
      <c r="G3567" s="14" t="s">
        <v>98</v>
      </c>
      <c r="H3567" s="14" t="s">
        <v>96</v>
      </c>
      <c r="I3567" s="14" t="s">
        <v>59</v>
      </c>
      <c r="J3567" s="14" t="s">
        <v>199</v>
      </c>
      <c r="K3567" s="14" t="s">
        <v>206</v>
      </c>
      <c r="L3567" s="14" t="s">
        <v>295</v>
      </c>
      <c r="M3567" s="14" t="s">
        <v>296</v>
      </c>
      <c r="N3567" s="14" t="s">
        <v>297</v>
      </c>
      <c r="O3567" s="14">
        <v>0.0</v>
      </c>
      <c r="P3567" s="21">
        <v>0.0</v>
      </c>
      <c r="Q3567" s="22" t="str">
        <f t="shared" ref="Q3567:R3567" si="2124">"+0"</f>
        <v>+0</v>
      </c>
      <c r="R3567" s="18" t="str">
        <f t="shared" si="2124"/>
        <v>+0</v>
      </c>
      <c r="S3567" s="14" t="s">
        <v>260</v>
      </c>
    </row>
    <row r="3568">
      <c r="A3568" s="13">
        <v>45901.0</v>
      </c>
      <c r="B3568" s="14" t="s">
        <v>47</v>
      </c>
      <c r="C3568" s="14" t="s">
        <v>48</v>
      </c>
      <c r="D3568" s="14" t="s">
        <v>125</v>
      </c>
      <c r="E3568" s="14" t="s">
        <v>126</v>
      </c>
      <c r="F3568" s="15" t="s">
        <v>51</v>
      </c>
      <c r="G3568" s="14" t="s">
        <v>127</v>
      </c>
      <c r="H3568" s="14" t="s">
        <v>125</v>
      </c>
      <c r="I3568" s="14" t="s">
        <v>59</v>
      </c>
      <c r="J3568" s="14" t="s">
        <v>199</v>
      </c>
      <c r="K3568" s="14" t="s">
        <v>206</v>
      </c>
      <c r="L3568" s="14" t="s">
        <v>569</v>
      </c>
      <c r="M3568" s="14" t="s">
        <v>569</v>
      </c>
      <c r="N3568" s="14" t="s">
        <v>570</v>
      </c>
      <c r="O3568" s="14">
        <v>100.0</v>
      </c>
      <c r="P3568" s="21">
        <v>5.0</v>
      </c>
      <c r="Q3568" s="22" t="str">
        <f>"+0"</f>
        <v>+0</v>
      </c>
      <c r="R3568" s="18" t="str">
        <f>"+4"</f>
        <v>+4</v>
      </c>
      <c r="S3568" s="14" t="s">
        <v>383</v>
      </c>
    </row>
    <row r="3569">
      <c r="A3569" s="13">
        <v>45901.0</v>
      </c>
      <c r="B3569" s="14" t="s">
        <v>47</v>
      </c>
      <c r="C3569" s="14" t="s">
        <v>48</v>
      </c>
      <c r="D3569" s="14" t="s">
        <v>69</v>
      </c>
      <c r="E3569" s="14" t="s">
        <v>70</v>
      </c>
      <c r="F3569" s="15" t="s">
        <v>51</v>
      </c>
      <c r="G3569" s="14" t="s">
        <v>115</v>
      </c>
      <c r="H3569" s="14" t="s">
        <v>72</v>
      </c>
      <c r="I3569" s="14" t="s">
        <v>54</v>
      </c>
      <c r="J3569" s="14" t="s">
        <v>199</v>
      </c>
      <c r="K3569" s="14" t="s">
        <v>206</v>
      </c>
      <c r="L3569" s="14" t="s">
        <v>295</v>
      </c>
      <c r="M3569" s="14" t="s">
        <v>986</v>
      </c>
      <c r="N3569" s="14" t="s">
        <v>987</v>
      </c>
      <c r="O3569" s="14">
        <v>0.0</v>
      </c>
      <c r="P3569" s="21">
        <v>0.0</v>
      </c>
      <c r="Q3569" s="22" t="str">
        <f t="shared" ref="Q3569:R3569" si="2125">"-1"</f>
        <v>-1</v>
      </c>
      <c r="R3569" s="18" t="str">
        <f t="shared" si="2125"/>
        <v>-1</v>
      </c>
      <c r="S3569" s="14" t="s">
        <v>260</v>
      </c>
    </row>
    <row r="3570">
      <c r="A3570" s="13">
        <v>45901.0</v>
      </c>
      <c r="B3570" s="14" t="s">
        <v>47</v>
      </c>
      <c r="C3570" s="14" t="s">
        <v>48</v>
      </c>
      <c r="D3570" s="14" t="s">
        <v>96</v>
      </c>
      <c r="E3570" s="14" t="s">
        <v>97</v>
      </c>
      <c r="F3570" s="15" t="s">
        <v>51</v>
      </c>
      <c r="G3570" s="14" t="s">
        <v>98</v>
      </c>
      <c r="H3570" s="14" t="s">
        <v>96</v>
      </c>
      <c r="I3570" s="14" t="s">
        <v>59</v>
      </c>
      <c r="J3570" s="14" t="s">
        <v>200</v>
      </c>
      <c r="K3570" s="14" t="s">
        <v>223</v>
      </c>
      <c r="L3570" s="14" t="s">
        <v>307</v>
      </c>
      <c r="M3570" s="14" t="s">
        <v>856</v>
      </c>
      <c r="N3570" s="14" t="s">
        <v>857</v>
      </c>
      <c r="O3570" s="14">
        <v>0.0</v>
      </c>
      <c r="P3570" s="23">
        <v>0.0</v>
      </c>
      <c r="Q3570" s="22" t="str">
        <f t="shared" ref="Q3570:R3570" si="2126">"+0.00%"</f>
        <v>+0.00%</v>
      </c>
      <c r="R3570" s="18" t="str">
        <f t="shared" si="2126"/>
        <v>+0.00%</v>
      </c>
      <c r="S3570" s="14" t="s">
        <v>285</v>
      </c>
    </row>
    <row r="3571">
      <c r="A3571" s="13">
        <v>45901.0</v>
      </c>
      <c r="B3571" s="14" t="s">
        <v>47</v>
      </c>
      <c r="C3571" s="14" t="s">
        <v>48</v>
      </c>
      <c r="D3571" s="14" t="s">
        <v>125</v>
      </c>
      <c r="E3571" s="14" t="s">
        <v>126</v>
      </c>
      <c r="F3571" s="15" t="s">
        <v>51</v>
      </c>
      <c r="G3571" s="14" t="s">
        <v>127</v>
      </c>
      <c r="H3571" s="14" t="s">
        <v>125</v>
      </c>
      <c r="I3571" s="14" t="s">
        <v>59</v>
      </c>
      <c r="J3571" s="14" t="s">
        <v>200</v>
      </c>
      <c r="K3571" s="14" t="s">
        <v>232</v>
      </c>
      <c r="L3571" s="14" t="s">
        <v>710</v>
      </c>
      <c r="M3571" s="14" t="s">
        <v>806</v>
      </c>
      <c r="N3571" s="14" t="s">
        <v>807</v>
      </c>
      <c r="O3571" s="14">
        <v>0.0</v>
      </c>
      <c r="P3571" s="23">
        <v>0.0</v>
      </c>
      <c r="Q3571" s="22" t="str">
        <f t="shared" ref="Q3571:R3571" si="2127">"+0.00%"</f>
        <v>+0.00%</v>
      </c>
      <c r="R3571" s="18" t="str">
        <f t="shared" si="2127"/>
        <v>+0.00%</v>
      </c>
      <c r="S3571" s="14" t="s">
        <v>285</v>
      </c>
    </row>
    <row r="3572">
      <c r="A3572" s="13">
        <v>45901.0</v>
      </c>
      <c r="B3572" s="14" t="s">
        <v>47</v>
      </c>
      <c r="C3572" s="14" t="s">
        <v>48</v>
      </c>
      <c r="D3572" s="14" t="s">
        <v>116</v>
      </c>
      <c r="E3572" s="14" t="s">
        <v>117</v>
      </c>
      <c r="F3572" s="15" t="s">
        <v>51</v>
      </c>
      <c r="G3572" s="14" t="s">
        <v>161</v>
      </c>
      <c r="H3572" s="14" t="s">
        <v>116</v>
      </c>
      <c r="I3572" s="14" t="s">
        <v>54</v>
      </c>
      <c r="J3572" s="14" t="s">
        <v>200</v>
      </c>
      <c r="K3572" s="14" t="s">
        <v>213</v>
      </c>
      <c r="L3572" s="14" t="s">
        <v>257</v>
      </c>
      <c r="M3572" s="14" t="s">
        <v>298</v>
      </c>
      <c r="N3572" s="14" t="s">
        <v>299</v>
      </c>
      <c r="O3572" s="14">
        <v>1.0</v>
      </c>
      <c r="P3572" s="23">
        <v>0.0137</v>
      </c>
      <c r="Q3572" s="22" t="str">
        <f>"+0.61%"</f>
        <v>+0.61%</v>
      </c>
      <c r="R3572" s="18" t="str">
        <f>"+0.02%"</f>
        <v>+0.02%</v>
      </c>
      <c r="S3572" s="14" t="s">
        <v>2083</v>
      </c>
    </row>
    <row r="3573">
      <c r="A3573" s="13">
        <v>45901.0</v>
      </c>
      <c r="B3573" s="14" t="s">
        <v>47</v>
      </c>
      <c r="C3573" s="14" t="s">
        <v>48</v>
      </c>
      <c r="D3573" s="14" t="s">
        <v>77</v>
      </c>
      <c r="E3573" s="14" t="s">
        <v>78</v>
      </c>
      <c r="F3573" s="15" t="s">
        <v>51</v>
      </c>
      <c r="G3573" s="14" t="s">
        <v>128</v>
      </c>
      <c r="H3573" s="14" t="s">
        <v>81</v>
      </c>
      <c r="I3573" s="14" t="s">
        <v>59</v>
      </c>
      <c r="J3573" s="14" t="s">
        <v>200</v>
      </c>
      <c r="K3573" s="14" t="s">
        <v>223</v>
      </c>
      <c r="L3573" s="14" t="s">
        <v>286</v>
      </c>
      <c r="M3573" s="14" t="s">
        <v>588</v>
      </c>
      <c r="N3573" s="14" t="s">
        <v>589</v>
      </c>
      <c r="O3573" s="14">
        <v>0.0</v>
      </c>
      <c r="P3573" s="23">
        <v>0.0</v>
      </c>
      <c r="Q3573" s="22" t="str">
        <f t="shared" ref="Q3573:R3573" si="2128">"+0.00%"</f>
        <v>+0.00%</v>
      </c>
      <c r="R3573" s="18" t="str">
        <f t="shared" si="2128"/>
        <v>+0.00%</v>
      </c>
      <c r="S3573" s="14" t="s">
        <v>285</v>
      </c>
    </row>
    <row r="3574">
      <c r="A3574" s="13">
        <v>45901.0</v>
      </c>
      <c r="B3574" s="14" t="s">
        <v>47</v>
      </c>
      <c r="C3574" s="14" t="s">
        <v>48</v>
      </c>
      <c r="D3574" s="14" t="s">
        <v>60</v>
      </c>
      <c r="E3574" s="14" t="s">
        <v>61</v>
      </c>
      <c r="F3574" s="15" t="s">
        <v>51</v>
      </c>
      <c r="G3574" s="14" t="s">
        <v>62</v>
      </c>
      <c r="H3574" s="14" t="s">
        <v>60</v>
      </c>
      <c r="I3574" s="14" t="s">
        <v>59</v>
      </c>
      <c r="J3574" s="14" t="s">
        <v>198</v>
      </c>
      <c r="K3574" s="14" t="s">
        <v>205</v>
      </c>
      <c r="L3574" s="14" t="s">
        <v>274</v>
      </c>
      <c r="M3574" s="14" t="s">
        <v>696</v>
      </c>
      <c r="N3574" s="14" t="s">
        <v>697</v>
      </c>
      <c r="O3574" s="14">
        <v>100.0</v>
      </c>
      <c r="P3574" s="21">
        <v>1.0</v>
      </c>
      <c r="Q3574" s="22" t="str">
        <f>"+0"</f>
        <v>+0</v>
      </c>
      <c r="S3574" s="14" t="s">
        <v>281</v>
      </c>
    </row>
    <row r="3575">
      <c r="A3575" s="13">
        <v>45901.0</v>
      </c>
      <c r="B3575" s="14" t="s">
        <v>47</v>
      </c>
      <c r="C3575" s="14" t="s">
        <v>48</v>
      </c>
      <c r="D3575" s="14" t="s">
        <v>60</v>
      </c>
      <c r="E3575" s="14" t="s">
        <v>61</v>
      </c>
      <c r="F3575" s="15" t="s">
        <v>51</v>
      </c>
      <c r="G3575" s="14" t="s">
        <v>62</v>
      </c>
      <c r="H3575" s="14" t="s">
        <v>60</v>
      </c>
      <c r="I3575" s="14" t="s">
        <v>59</v>
      </c>
      <c r="J3575" s="14" t="s">
        <v>200</v>
      </c>
      <c r="K3575" s="14" t="s">
        <v>223</v>
      </c>
      <c r="L3575" s="14" t="s">
        <v>571</v>
      </c>
      <c r="M3575" s="14" t="s">
        <v>572</v>
      </c>
      <c r="N3575" s="14" t="s">
        <v>573</v>
      </c>
      <c r="O3575" s="14">
        <v>0.0</v>
      </c>
      <c r="P3575" s="23">
        <v>0.0</v>
      </c>
      <c r="Q3575" s="22" t="str">
        <f t="shared" ref="Q3575:R3575" si="2129">"+0.00%"</f>
        <v>+0.00%</v>
      </c>
      <c r="R3575" s="18" t="str">
        <f t="shared" si="2129"/>
        <v>+0.00%</v>
      </c>
      <c r="S3575" s="14" t="s">
        <v>285</v>
      </c>
    </row>
    <row r="3576">
      <c r="A3576" s="13">
        <v>45901.0</v>
      </c>
      <c r="B3576" s="14" t="s">
        <v>47</v>
      </c>
      <c r="C3576" s="14" t="s">
        <v>48</v>
      </c>
      <c r="D3576" s="14" t="s">
        <v>60</v>
      </c>
      <c r="E3576" s="14" t="s">
        <v>61</v>
      </c>
      <c r="F3576" s="15" t="s">
        <v>51</v>
      </c>
      <c r="G3576" s="14" t="s">
        <v>62</v>
      </c>
      <c r="H3576" s="14" t="s">
        <v>60</v>
      </c>
      <c r="I3576" s="14" t="s">
        <v>59</v>
      </c>
      <c r="J3576" s="14" t="s">
        <v>198</v>
      </c>
      <c r="K3576" s="14" t="s">
        <v>205</v>
      </c>
      <c r="L3576" s="14" t="s">
        <v>274</v>
      </c>
      <c r="M3576" s="14" t="s">
        <v>767</v>
      </c>
      <c r="N3576" s="14" t="s">
        <v>768</v>
      </c>
      <c r="O3576" s="14">
        <v>100.0</v>
      </c>
      <c r="P3576" s="21">
        <v>1.0</v>
      </c>
      <c r="Q3576" s="22" t="str">
        <f>"+0"</f>
        <v>+0</v>
      </c>
      <c r="S3576" s="14" t="s">
        <v>281</v>
      </c>
    </row>
    <row r="3577">
      <c r="A3577" s="13">
        <v>45901.0</v>
      </c>
      <c r="B3577" s="14" t="s">
        <v>47</v>
      </c>
      <c r="C3577" s="14" t="s">
        <v>48</v>
      </c>
      <c r="D3577" s="14" t="s">
        <v>49</v>
      </c>
      <c r="E3577" s="14" t="s">
        <v>50</v>
      </c>
      <c r="F3577" s="15" t="s">
        <v>51</v>
      </c>
      <c r="G3577" s="14" t="s">
        <v>52</v>
      </c>
      <c r="H3577" s="14" t="s">
        <v>53</v>
      </c>
      <c r="I3577" s="14" t="s">
        <v>54</v>
      </c>
      <c r="J3577" s="14" t="s">
        <v>200</v>
      </c>
      <c r="K3577" s="14" t="s">
        <v>213</v>
      </c>
      <c r="L3577" s="14" t="s">
        <v>571</v>
      </c>
      <c r="M3577" s="14" t="s">
        <v>578</v>
      </c>
      <c r="N3577" s="14" t="s">
        <v>579</v>
      </c>
      <c r="O3577" s="14">
        <v>100.0</v>
      </c>
      <c r="P3577" s="23">
        <v>6.0E-4</v>
      </c>
      <c r="Q3577" s="22" t="str">
        <f t="shared" ref="Q3577:R3577" si="2130">"+0.03%"</f>
        <v>+0.03%</v>
      </c>
      <c r="R3577" s="18" t="str">
        <f t="shared" si="2130"/>
        <v>+0.03%</v>
      </c>
      <c r="S3577" s="14" t="s">
        <v>285</v>
      </c>
    </row>
    <row r="3578">
      <c r="A3578" s="13">
        <v>45901.0</v>
      </c>
      <c r="B3578" s="14" t="s">
        <v>47</v>
      </c>
      <c r="C3578" s="14" t="s">
        <v>48</v>
      </c>
      <c r="D3578" s="14" t="s">
        <v>165</v>
      </c>
      <c r="E3578" s="14" t="s">
        <v>166</v>
      </c>
      <c r="F3578" s="15" t="s">
        <v>51</v>
      </c>
      <c r="G3578" s="14" t="s">
        <v>167</v>
      </c>
      <c r="H3578" s="14" t="s">
        <v>165</v>
      </c>
      <c r="I3578" s="14" t="s">
        <v>54</v>
      </c>
      <c r="J3578" s="14" t="s">
        <v>200</v>
      </c>
      <c r="K3578" s="14" t="s">
        <v>213</v>
      </c>
      <c r="L3578" s="14" t="s">
        <v>289</v>
      </c>
      <c r="M3578" s="14" t="s">
        <v>290</v>
      </c>
      <c r="N3578" s="14" t="s">
        <v>291</v>
      </c>
      <c r="O3578" s="14">
        <v>0.0</v>
      </c>
      <c r="P3578" s="23">
        <v>0.0</v>
      </c>
      <c r="Q3578" s="22" t="str">
        <f t="shared" ref="Q3578:R3578" si="2131">"+0.00%"</f>
        <v>+0.00%</v>
      </c>
      <c r="R3578" s="18" t="str">
        <f t="shared" si="2131"/>
        <v>+0.00%</v>
      </c>
      <c r="S3578" s="14" t="s">
        <v>285</v>
      </c>
    </row>
    <row r="3579">
      <c r="A3579" s="13">
        <v>45901.0</v>
      </c>
      <c r="B3579" s="14" t="s">
        <v>47</v>
      </c>
      <c r="C3579" s="14" t="s">
        <v>48</v>
      </c>
      <c r="D3579" s="14" t="s">
        <v>91</v>
      </c>
      <c r="E3579" s="14" t="s">
        <v>92</v>
      </c>
      <c r="F3579" s="15" t="s">
        <v>51</v>
      </c>
      <c r="G3579" s="14" t="s">
        <v>163</v>
      </c>
      <c r="H3579" s="14" t="s">
        <v>91</v>
      </c>
      <c r="I3579" s="14" t="s">
        <v>59</v>
      </c>
      <c r="J3579" s="14" t="s">
        <v>200</v>
      </c>
      <c r="K3579" s="14" t="s">
        <v>223</v>
      </c>
      <c r="L3579" s="14" t="s">
        <v>253</v>
      </c>
      <c r="M3579" s="14" t="s">
        <v>552</v>
      </c>
      <c r="N3579" s="14" t="s">
        <v>553</v>
      </c>
      <c r="O3579" s="14">
        <v>33.0</v>
      </c>
      <c r="P3579" s="23">
        <v>0.3316</v>
      </c>
      <c r="Q3579" s="22" t="str">
        <f>"-1.35%"</f>
        <v>-1.35%</v>
      </c>
      <c r="R3579" s="18" t="str">
        <f>"+0.14%"</f>
        <v>+0.14%</v>
      </c>
      <c r="S3579" s="14" t="s">
        <v>2084</v>
      </c>
    </row>
    <row r="3580">
      <c r="A3580" s="13">
        <v>45901.0</v>
      </c>
      <c r="B3580" s="14" t="s">
        <v>47</v>
      </c>
      <c r="C3580" s="14" t="s">
        <v>48</v>
      </c>
      <c r="D3580" s="14" t="s">
        <v>63</v>
      </c>
      <c r="E3580" s="14" t="s">
        <v>64</v>
      </c>
      <c r="F3580" s="15" t="s">
        <v>51</v>
      </c>
      <c r="G3580" s="14" t="s">
        <v>65</v>
      </c>
      <c r="H3580" s="14" t="s">
        <v>63</v>
      </c>
      <c r="I3580" s="14" t="s">
        <v>54</v>
      </c>
      <c r="J3580" s="14" t="s">
        <v>198</v>
      </c>
      <c r="K3580" s="14" t="s">
        <v>210</v>
      </c>
      <c r="L3580" s="14" t="s">
        <v>264</v>
      </c>
      <c r="M3580" s="14" t="s">
        <v>804</v>
      </c>
      <c r="N3580" s="14" t="s">
        <v>805</v>
      </c>
      <c r="O3580" s="14">
        <v>0.0</v>
      </c>
      <c r="P3580" s="21">
        <v>0.0</v>
      </c>
      <c r="Q3580" s="22" t="str">
        <f>"-2"</f>
        <v>-2</v>
      </c>
      <c r="R3580" s="18" t="str">
        <f>"+0"</f>
        <v>+0</v>
      </c>
      <c r="S3580" s="14" t="s">
        <v>277</v>
      </c>
    </row>
    <row r="3581">
      <c r="A3581" s="13">
        <v>45901.0</v>
      </c>
      <c r="B3581" s="14" t="s">
        <v>47</v>
      </c>
      <c r="C3581" s="14" t="s">
        <v>48</v>
      </c>
      <c r="D3581" s="14" t="s">
        <v>63</v>
      </c>
      <c r="E3581" s="14" t="s">
        <v>64</v>
      </c>
      <c r="F3581" s="15" t="s">
        <v>51</v>
      </c>
      <c r="G3581" s="14" t="s">
        <v>65</v>
      </c>
      <c r="H3581" s="14" t="s">
        <v>63</v>
      </c>
      <c r="I3581" s="14" t="s">
        <v>54</v>
      </c>
      <c r="J3581" s="14" t="s">
        <v>200</v>
      </c>
      <c r="K3581" s="14" t="s">
        <v>215</v>
      </c>
      <c r="L3581" s="14" t="s">
        <v>253</v>
      </c>
      <c r="M3581" s="14" t="s">
        <v>1972</v>
      </c>
      <c r="N3581" s="14" t="s">
        <v>1973</v>
      </c>
      <c r="O3581" s="14">
        <v>1.0</v>
      </c>
      <c r="P3581" s="23">
        <v>0.0</v>
      </c>
      <c r="Q3581" s="22" t="str">
        <f t="shared" ref="Q3581:R3581" si="2132">"-0.00%"</f>
        <v>-0.00%</v>
      </c>
      <c r="R3581" s="18" t="str">
        <f t="shared" si="2132"/>
        <v>-0.00%</v>
      </c>
      <c r="S3581" s="14" t="s">
        <v>971</v>
      </c>
    </row>
    <row r="3582">
      <c r="A3582" s="13">
        <v>45901.0</v>
      </c>
      <c r="B3582" s="14" t="s">
        <v>47</v>
      </c>
      <c r="C3582" s="14" t="s">
        <v>48</v>
      </c>
      <c r="D3582" s="14" t="s">
        <v>158</v>
      </c>
      <c r="E3582" s="14" t="s">
        <v>159</v>
      </c>
      <c r="F3582" s="15" t="s">
        <v>51</v>
      </c>
      <c r="G3582" s="14" t="s">
        <v>160</v>
      </c>
      <c r="H3582" s="14" t="s">
        <v>158</v>
      </c>
      <c r="I3582" s="14" t="s">
        <v>54</v>
      </c>
      <c r="J3582" s="14" t="s">
        <v>199</v>
      </c>
      <c r="K3582" s="14" t="s">
        <v>203</v>
      </c>
      <c r="L3582" s="14" t="s">
        <v>1183</v>
      </c>
      <c r="M3582" s="14" t="s">
        <v>1184</v>
      </c>
      <c r="N3582" s="14" t="s">
        <v>1185</v>
      </c>
      <c r="O3582" s="14">
        <v>0.0</v>
      </c>
      <c r="P3582" s="23">
        <v>0.0</v>
      </c>
      <c r="Q3582" s="22" t="str">
        <f t="shared" ref="Q3582:R3582" si="2133">"+0.00%"</f>
        <v>+0.00%</v>
      </c>
      <c r="R3582" s="18" t="str">
        <f t="shared" si="2133"/>
        <v>+0.00%</v>
      </c>
      <c r="S3582" s="14" t="s">
        <v>371</v>
      </c>
    </row>
    <row r="3583">
      <c r="A3583" s="13">
        <v>45901.0</v>
      </c>
      <c r="B3583" s="14" t="s">
        <v>47</v>
      </c>
      <c r="C3583" s="14" t="s">
        <v>48</v>
      </c>
      <c r="D3583" s="14" t="s">
        <v>82</v>
      </c>
      <c r="E3583" s="14" t="s">
        <v>83</v>
      </c>
      <c r="F3583" s="15" t="s">
        <v>51</v>
      </c>
      <c r="G3583" s="14" t="s">
        <v>84</v>
      </c>
      <c r="H3583" s="14" t="s">
        <v>82</v>
      </c>
      <c r="I3583" s="14" t="s">
        <v>59</v>
      </c>
      <c r="J3583" s="14" t="s">
        <v>200</v>
      </c>
      <c r="K3583" s="14" t="s">
        <v>227</v>
      </c>
      <c r="L3583" s="14" t="s">
        <v>270</v>
      </c>
      <c r="M3583" s="14" t="s">
        <v>271</v>
      </c>
      <c r="N3583" s="14" t="s">
        <v>272</v>
      </c>
      <c r="O3583" s="14">
        <v>0.0</v>
      </c>
      <c r="P3583" s="23">
        <v>-1.0</v>
      </c>
      <c r="Q3583" s="22" t="str">
        <f t="shared" ref="Q3583:R3583" si="2134">"+0.00%"</f>
        <v>+0.00%</v>
      </c>
      <c r="R3583" s="18" t="str">
        <f t="shared" si="2134"/>
        <v>+0.00%</v>
      </c>
      <c r="S3583" s="14" t="s">
        <v>273</v>
      </c>
    </row>
    <row r="3584">
      <c r="A3584" s="13">
        <v>45901.0</v>
      </c>
      <c r="B3584" s="14" t="s">
        <v>47</v>
      </c>
      <c r="C3584" s="14" t="s">
        <v>48</v>
      </c>
      <c r="D3584" s="14" t="s">
        <v>82</v>
      </c>
      <c r="E3584" s="14" t="s">
        <v>83</v>
      </c>
      <c r="F3584" s="15" t="s">
        <v>51</v>
      </c>
      <c r="G3584" s="14" t="s">
        <v>84</v>
      </c>
      <c r="H3584" s="14" t="s">
        <v>82</v>
      </c>
      <c r="I3584" s="14" t="s">
        <v>59</v>
      </c>
      <c r="J3584" s="14" t="s">
        <v>200</v>
      </c>
      <c r="K3584" s="14" t="s">
        <v>204</v>
      </c>
      <c r="L3584" s="14" t="s">
        <v>253</v>
      </c>
      <c r="M3584" s="14" t="s">
        <v>490</v>
      </c>
      <c r="N3584" s="14" t="s">
        <v>491</v>
      </c>
      <c r="O3584" s="14">
        <v>0.0</v>
      </c>
      <c r="P3584" s="23">
        <v>0.0</v>
      </c>
      <c r="Q3584" s="22" t="str">
        <f t="shared" ref="Q3584:R3584" si="2135">"+0.00%"</f>
        <v>+0.00%</v>
      </c>
      <c r="R3584" s="18" t="str">
        <f t="shared" si="2135"/>
        <v>+0.00%</v>
      </c>
      <c r="S3584" s="14" t="s">
        <v>492</v>
      </c>
    </row>
    <row r="3585">
      <c r="A3585" s="13">
        <v>45901.0</v>
      </c>
      <c r="B3585" s="14" t="s">
        <v>47</v>
      </c>
      <c r="C3585" s="14" t="s">
        <v>48</v>
      </c>
      <c r="D3585" s="14" t="s">
        <v>103</v>
      </c>
      <c r="E3585" s="14" t="s">
        <v>104</v>
      </c>
      <c r="F3585" s="15" t="s">
        <v>51</v>
      </c>
      <c r="G3585" s="14" t="s">
        <v>105</v>
      </c>
      <c r="H3585" s="14" t="s">
        <v>106</v>
      </c>
      <c r="I3585" s="14" t="s">
        <v>59</v>
      </c>
      <c r="J3585" s="14" t="s">
        <v>200</v>
      </c>
      <c r="K3585" s="14" t="s">
        <v>232</v>
      </c>
      <c r="L3585" s="14" t="s">
        <v>607</v>
      </c>
      <c r="M3585" s="14" t="s">
        <v>692</v>
      </c>
      <c r="N3585" s="14" t="s">
        <v>693</v>
      </c>
      <c r="O3585" s="14">
        <v>0.0</v>
      </c>
      <c r="P3585" s="23">
        <v>0.0</v>
      </c>
      <c r="Q3585" s="22" t="str">
        <f t="shared" ref="Q3585:R3585" si="2136">"+0.00%"</f>
        <v>+0.00%</v>
      </c>
      <c r="R3585" s="18" t="str">
        <f t="shared" si="2136"/>
        <v>+0.00%</v>
      </c>
      <c r="S3585" s="14" t="s">
        <v>285</v>
      </c>
    </row>
    <row r="3586">
      <c r="A3586" s="13">
        <v>45901.0</v>
      </c>
      <c r="B3586" s="14" t="s">
        <v>47</v>
      </c>
      <c r="C3586" s="14" t="s">
        <v>48</v>
      </c>
      <c r="D3586" s="14" t="s">
        <v>73</v>
      </c>
      <c r="E3586" s="14" t="s">
        <v>74</v>
      </c>
      <c r="F3586" s="15" t="s">
        <v>51</v>
      </c>
      <c r="G3586" s="14" t="s">
        <v>75</v>
      </c>
      <c r="H3586" s="14" t="s">
        <v>76</v>
      </c>
      <c r="I3586" s="14" t="s">
        <v>59</v>
      </c>
      <c r="J3586" s="14" t="s">
        <v>199</v>
      </c>
      <c r="K3586" s="14" t="s">
        <v>206</v>
      </c>
      <c r="L3586" s="14" t="s">
        <v>531</v>
      </c>
      <c r="M3586" s="14" t="s">
        <v>531</v>
      </c>
      <c r="N3586" s="14" t="s">
        <v>532</v>
      </c>
      <c r="O3586" s="14">
        <v>0.0</v>
      </c>
      <c r="P3586" s="21">
        <v>0.0</v>
      </c>
      <c r="Q3586" s="22" t="str">
        <f t="shared" ref="Q3586:R3586" si="2137">"+0"</f>
        <v>+0</v>
      </c>
      <c r="R3586" s="18" t="str">
        <f t="shared" si="2137"/>
        <v>+0</v>
      </c>
      <c r="S3586" s="14" t="s">
        <v>260</v>
      </c>
    </row>
    <row r="3587">
      <c r="A3587" s="13">
        <v>45901.0</v>
      </c>
      <c r="B3587" s="14" t="s">
        <v>47</v>
      </c>
      <c r="C3587" s="14" t="s">
        <v>48</v>
      </c>
      <c r="D3587" s="14" t="s">
        <v>103</v>
      </c>
      <c r="E3587" s="14" t="s">
        <v>104</v>
      </c>
      <c r="F3587" s="15" t="s">
        <v>51</v>
      </c>
      <c r="G3587" s="14" t="s">
        <v>105</v>
      </c>
      <c r="H3587" s="14" t="s">
        <v>106</v>
      </c>
      <c r="I3587" s="14" t="s">
        <v>59</v>
      </c>
      <c r="J3587" s="14" t="s">
        <v>200</v>
      </c>
      <c r="K3587" s="14" t="s">
        <v>232</v>
      </c>
      <c r="L3587" s="14" t="s">
        <v>304</v>
      </c>
      <c r="M3587" s="14" t="s">
        <v>662</v>
      </c>
      <c r="N3587" s="14" t="s">
        <v>663</v>
      </c>
      <c r="O3587" s="14">
        <v>12.0</v>
      </c>
      <c r="P3587" s="23">
        <v>-0.7447</v>
      </c>
      <c r="Q3587" s="22" t="str">
        <f>"-174.47%"</f>
        <v>-174.47%</v>
      </c>
      <c r="R3587" s="18" t="str">
        <f>"+25.53%"</f>
        <v>+25.53%</v>
      </c>
      <c r="S3587" s="14" t="s">
        <v>2085</v>
      </c>
    </row>
    <row r="3588">
      <c r="A3588" s="13">
        <v>45901.0</v>
      </c>
      <c r="B3588" s="14" t="s">
        <v>47</v>
      </c>
      <c r="C3588" s="14" t="s">
        <v>48</v>
      </c>
      <c r="D3588" s="14" t="s">
        <v>132</v>
      </c>
      <c r="E3588" s="14" t="s">
        <v>133</v>
      </c>
      <c r="F3588" s="15" t="s">
        <v>51</v>
      </c>
      <c r="G3588" s="14" t="s">
        <v>134</v>
      </c>
      <c r="H3588" s="14" t="s">
        <v>135</v>
      </c>
      <c r="I3588" s="14" t="s">
        <v>59</v>
      </c>
      <c r="J3588" s="14" t="s">
        <v>198</v>
      </c>
      <c r="K3588" s="14" t="s">
        <v>210</v>
      </c>
      <c r="L3588" s="14" t="s">
        <v>264</v>
      </c>
      <c r="M3588" s="14" t="s">
        <v>470</v>
      </c>
      <c r="N3588" s="14" t="s">
        <v>471</v>
      </c>
      <c r="O3588" s="14">
        <v>100.0</v>
      </c>
      <c r="P3588" s="21">
        <v>0.0</v>
      </c>
      <c r="Q3588" s="22" t="str">
        <f t="shared" ref="Q3588:R3588" si="2138">"+0"</f>
        <v>+0</v>
      </c>
      <c r="R3588" s="18" t="str">
        <f t="shared" si="2138"/>
        <v>+0</v>
      </c>
      <c r="S3588" s="14" t="s">
        <v>281</v>
      </c>
    </row>
    <row r="3589">
      <c r="A3589" s="13">
        <v>45901.0</v>
      </c>
      <c r="B3589" s="14" t="s">
        <v>47</v>
      </c>
      <c r="C3589" s="14" t="s">
        <v>48</v>
      </c>
      <c r="D3589" s="14" t="s">
        <v>87</v>
      </c>
      <c r="E3589" s="14" t="s">
        <v>88</v>
      </c>
      <c r="F3589" s="15" t="s">
        <v>51</v>
      </c>
      <c r="G3589" s="14" t="s">
        <v>89</v>
      </c>
      <c r="H3589" s="14" t="s">
        <v>90</v>
      </c>
      <c r="I3589" s="14" t="s">
        <v>59</v>
      </c>
      <c r="J3589" s="14" t="s">
        <v>200</v>
      </c>
      <c r="K3589" s="14" t="s">
        <v>223</v>
      </c>
      <c r="L3589" s="14" t="s">
        <v>607</v>
      </c>
      <c r="M3589" s="14" t="s">
        <v>1312</v>
      </c>
      <c r="N3589" s="14" t="s">
        <v>1313</v>
      </c>
      <c r="O3589" s="14">
        <v>0.0</v>
      </c>
      <c r="P3589" s="23">
        <v>0.0</v>
      </c>
      <c r="Q3589" s="22" t="str">
        <f t="shared" ref="Q3589:R3589" si="2139">"+0.00%"</f>
        <v>+0.00%</v>
      </c>
      <c r="R3589" s="18" t="str">
        <f t="shared" si="2139"/>
        <v>+0.00%</v>
      </c>
      <c r="S3589" s="14" t="s">
        <v>285</v>
      </c>
    </row>
    <row r="3590">
      <c r="A3590" s="13">
        <v>45901.0</v>
      </c>
      <c r="B3590" s="14" t="s">
        <v>47</v>
      </c>
      <c r="C3590" s="14" t="s">
        <v>48</v>
      </c>
      <c r="D3590" s="14" t="s">
        <v>129</v>
      </c>
      <c r="E3590" s="14" t="s">
        <v>130</v>
      </c>
      <c r="F3590" s="15" t="s">
        <v>51</v>
      </c>
      <c r="G3590" s="14" t="s">
        <v>131</v>
      </c>
      <c r="H3590" s="14" t="s">
        <v>129</v>
      </c>
      <c r="I3590" s="14" t="s">
        <v>59</v>
      </c>
      <c r="J3590" s="14" t="s">
        <v>200</v>
      </c>
      <c r="K3590" s="14" t="s">
        <v>202</v>
      </c>
      <c r="L3590" s="14" t="s">
        <v>253</v>
      </c>
      <c r="M3590" s="14" t="s">
        <v>874</v>
      </c>
      <c r="N3590" s="14" t="s">
        <v>875</v>
      </c>
      <c r="O3590" s="14">
        <v>96.0</v>
      </c>
      <c r="P3590" s="23">
        <v>0.9637</v>
      </c>
      <c r="Q3590" s="22" t="str">
        <f>"+2.29%"</f>
        <v>+2.29%</v>
      </c>
      <c r="R3590" s="18" t="str">
        <f>"+0.38%"</f>
        <v>+0.38%</v>
      </c>
      <c r="S3590" s="14" t="s">
        <v>1885</v>
      </c>
    </row>
    <row r="3591">
      <c r="A3591" s="13">
        <v>45901.0</v>
      </c>
      <c r="B3591" s="14" t="s">
        <v>47</v>
      </c>
      <c r="C3591" s="14" t="s">
        <v>48</v>
      </c>
      <c r="D3591" s="14" t="s">
        <v>87</v>
      </c>
      <c r="E3591" s="14" t="s">
        <v>88</v>
      </c>
      <c r="F3591" s="15" t="s">
        <v>51</v>
      </c>
      <c r="G3591" s="14" t="s">
        <v>89</v>
      </c>
      <c r="H3591" s="14" t="s">
        <v>90</v>
      </c>
      <c r="I3591" s="14" t="s">
        <v>59</v>
      </c>
      <c r="J3591" s="14" t="s">
        <v>200</v>
      </c>
      <c r="K3591" s="14" t="s">
        <v>227</v>
      </c>
      <c r="L3591" s="14" t="s">
        <v>721</v>
      </c>
      <c r="M3591" s="14" t="s">
        <v>748</v>
      </c>
      <c r="N3591" s="14" t="s">
        <v>749</v>
      </c>
      <c r="O3591" s="14">
        <v>0.0</v>
      </c>
      <c r="P3591" s="23">
        <v>-1.0</v>
      </c>
      <c r="Q3591" s="22" t="str">
        <f t="shared" ref="Q3591:R3591" si="2140">"+0.00%"</f>
        <v>+0.00%</v>
      </c>
      <c r="R3591" s="18" t="str">
        <f t="shared" si="2140"/>
        <v>+0.00%</v>
      </c>
      <c r="S3591" s="14" t="s">
        <v>750</v>
      </c>
    </row>
    <row r="3592">
      <c r="A3592" s="13">
        <v>45901.0</v>
      </c>
      <c r="B3592" s="14" t="s">
        <v>47</v>
      </c>
      <c r="C3592" s="14" t="s">
        <v>48</v>
      </c>
      <c r="D3592" s="14" t="s">
        <v>129</v>
      </c>
      <c r="E3592" s="14" t="s">
        <v>130</v>
      </c>
      <c r="F3592" s="15" t="s">
        <v>51</v>
      </c>
      <c r="G3592" s="14" t="s">
        <v>131</v>
      </c>
      <c r="H3592" s="14" t="s">
        <v>129</v>
      </c>
      <c r="I3592" s="14" t="s">
        <v>59</v>
      </c>
      <c r="J3592" s="14" t="s">
        <v>200</v>
      </c>
      <c r="K3592" s="14" t="s">
        <v>201</v>
      </c>
      <c r="L3592" s="14" t="s">
        <v>253</v>
      </c>
      <c r="M3592" s="14" t="s">
        <v>409</v>
      </c>
      <c r="N3592" s="14" t="s">
        <v>410</v>
      </c>
      <c r="O3592" s="14">
        <v>3.0</v>
      </c>
      <c r="P3592" s="23">
        <v>0.0343</v>
      </c>
      <c r="Q3592" s="22" t="str">
        <f>"-0.02%"</f>
        <v>-0.02%</v>
      </c>
      <c r="R3592" s="18" t="str">
        <f>"-0.31%"</f>
        <v>-0.31%</v>
      </c>
      <c r="S3592" s="14" t="s">
        <v>898</v>
      </c>
    </row>
    <row r="3593">
      <c r="A3593" s="13">
        <v>45901.0</v>
      </c>
      <c r="B3593" s="14" t="s">
        <v>47</v>
      </c>
      <c r="C3593" s="14" t="s">
        <v>48</v>
      </c>
      <c r="D3593" s="14" t="s">
        <v>125</v>
      </c>
      <c r="E3593" s="14" t="s">
        <v>126</v>
      </c>
      <c r="F3593" s="15" t="s">
        <v>51</v>
      </c>
      <c r="G3593" s="14" t="s">
        <v>127</v>
      </c>
      <c r="H3593" s="14" t="s">
        <v>125</v>
      </c>
      <c r="I3593" s="14" t="s">
        <v>59</v>
      </c>
      <c r="J3593" s="14" t="s">
        <v>199</v>
      </c>
      <c r="K3593" s="14" t="s">
        <v>206</v>
      </c>
      <c r="L3593" s="14" t="s">
        <v>295</v>
      </c>
      <c r="M3593" s="14" t="s">
        <v>651</v>
      </c>
      <c r="N3593" s="14" t="s">
        <v>652</v>
      </c>
      <c r="O3593" s="14">
        <v>0.0</v>
      </c>
      <c r="P3593" s="21">
        <v>0.0</v>
      </c>
      <c r="Q3593" s="22" t="str">
        <f t="shared" ref="Q3593:R3593" si="2141">"+0"</f>
        <v>+0</v>
      </c>
      <c r="R3593" s="18" t="str">
        <f t="shared" si="2141"/>
        <v>+0</v>
      </c>
      <c r="S3593" s="14" t="s">
        <v>260</v>
      </c>
    </row>
    <row r="3594">
      <c r="A3594" s="13">
        <v>45901.0</v>
      </c>
      <c r="B3594" s="14" t="s">
        <v>47</v>
      </c>
      <c r="C3594" s="14" t="s">
        <v>48</v>
      </c>
      <c r="D3594" s="14" t="s">
        <v>85</v>
      </c>
      <c r="E3594" s="14" t="s">
        <v>86</v>
      </c>
      <c r="F3594" s="15" t="s">
        <v>51</v>
      </c>
      <c r="G3594" s="14" t="s">
        <v>148</v>
      </c>
      <c r="H3594" s="14" t="s">
        <v>85</v>
      </c>
      <c r="I3594" s="14" t="s">
        <v>59</v>
      </c>
      <c r="J3594" s="14" t="s">
        <v>198</v>
      </c>
      <c r="K3594" s="14" t="s">
        <v>210</v>
      </c>
      <c r="L3594" s="14" t="s">
        <v>505</v>
      </c>
      <c r="M3594" s="14" t="s">
        <v>506</v>
      </c>
      <c r="N3594" s="14" t="s">
        <v>507</v>
      </c>
      <c r="O3594" s="14">
        <v>0.0</v>
      </c>
      <c r="P3594" s="21">
        <v>30.0</v>
      </c>
      <c r="Q3594" s="22" t="str">
        <f>"-121"</f>
        <v>-121</v>
      </c>
      <c r="R3594" s="18" t="str">
        <f>"+19"</f>
        <v>+19</v>
      </c>
      <c r="S3594" s="14" t="s">
        <v>1321</v>
      </c>
    </row>
    <row r="3595">
      <c r="A3595" s="13">
        <v>45901.0</v>
      </c>
      <c r="B3595" s="14" t="s">
        <v>47</v>
      </c>
      <c r="C3595" s="14" t="s">
        <v>48</v>
      </c>
      <c r="D3595" s="14" t="s">
        <v>69</v>
      </c>
      <c r="E3595" s="14" t="s">
        <v>70</v>
      </c>
      <c r="F3595" s="15" t="s">
        <v>51</v>
      </c>
      <c r="G3595" s="14" t="s">
        <v>115</v>
      </c>
      <c r="H3595" s="14" t="s">
        <v>72</v>
      </c>
      <c r="I3595" s="14" t="s">
        <v>54</v>
      </c>
      <c r="J3595" s="14" t="s">
        <v>198</v>
      </c>
      <c r="K3595" s="14" t="s">
        <v>210</v>
      </c>
      <c r="L3595" s="14" t="s">
        <v>505</v>
      </c>
      <c r="M3595" s="14" t="s">
        <v>975</v>
      </c>
      <c r="N3595" s="14" t="s">
        <v>976</v>
      </c>
      <c r="O3595" s="14">
        <v>0.0</v>
      </c>
      <c r="P3595" s="21">
        <v>0.0</v>
      </c>
      <c r="Q3595" s="22" t="str">
        <f t="shared" ref="Q3595:R3595" si="2142">"+0"</f>
        <v>+0</v>
      </c>
      <c r="R3595" s="18" t="str">
        <f t="shared" si="2142"/>
        <v>+0</v>
      </c>
      <c r="S3595" s="14" t="s">
        <v>277</v>
      </c>
    </row>
    <row r="3596">
      <c r="A3596" s="13">
        <v>45901.0</v>
      </c>
      <c r="B3596" s="14" t="s">
        <v>47</v>
      </c>
      <c r="C3596" s="14" t="s">
        <v>48</v>
      </c>
      <c r="D3596" s="14" t="s">
        <v>125</v>
      </c>
      <c r="E3596" s="14" t="s">
        <v>126</v>
      </c>
      <c r="F3596" s="15" t="s">
        <v>51</v>
      </c>
      <c r="G3596" s="14" t="s">
        <v>127</v>
      </c>
      <c r="H3596" s="14" t="s">
        <v>125</v>
      </c>
      <c r="I3596" s="14" t="s">
        <v>59</v>
      </c>
      <c r="J3596" s="14" t="s">
        <v>199</v>
      </c>
      <c r="K3596" s="14" t="s">
        <v>203</v>
      </c>
      <c r="L3596" s="14" t="s">
        <v>725</v>
      </c>
      <c r="M3596" s="14" t="s">
        <v>725</v>
      </c>
      <c r="N3596" s="14" t="s">
        <v>726</v>
      </c>
      <c r="O3596" s="14">
        <v>0.0</v>
      </c>
      <c r="P3596" s="21">
        <v>0.0</v>
      </c>
      <c r="Q3596" s="22" t="str">
        <f t="shared" ref="Q3596:R3596" si="2143">"+0"</f>
        <v>+0</v>
      </c>
      <c r="R3596" s="18" t="str">
        <f t="shared" si="2143"/>
        <v>+0</v>
      </c>
      <c r="S3596" s="14" t="s">
        <v>260</v>
      </c>
    </row>
    <row r="3597">
      <c r="A3597" s="13">
        <v>45901.0</v>
      </c>
      <c r="B3597" s="14" t="s">
        <v>47</v>
      </c>
      <c r="C3597" s="14" t="s">
        <v>48</v>
      </c>
      <c r="D3597" s="14" t="s">
        <v>125</v>
      </c>
      <c r="E3597" s="14" t="s">
        <v>126</v>
      </c>
      <c r="F3597" s="15" t="s">
        <v>51</v>
      </c>
      <c r="G3597" s="14" t="s">
        <v>127</v>
      </c>
      <c r="H3597" s="14" t="s">
        <v>125</v>
      </c>
      <c r="I3597" s="14" t="s">
        <v>59</v>
      </c>
      <c r="J3597" s="14" t="s">
        <v>200</v>
      </c>
      <c r="K3597" s="14" t="s">
        <v>224</v>
      </c>
      <c r="L3597" s="14" t="s">
        <v>453</v>
      </c>
      <c r="M3597" s="14" t="s">
        <v>454</v>
      </c>
      <c r="N3597" s="14" t="s">
        <v>455</v>
      </c>
      <c r="O3597" s="14">
        <v>0.0</v>
      </c>
      <c r="P3597" s="17"/>
      <c r="Q3597" s="22"/>
      <c r="S3597" s="14" t="s">
        <v>371</v>
      </c>
    </row>
    <row r="3598">
      <c r="A3598" s="13">
        <v>45901.0</v>
      </c>
      <c r="B3598" s="14" t="s">
        <v>47</v>
      </c>
      <c r="C3598" s="14" t="s">
        <v>48</v>
      </c>
      <c r="D3598" s="14" t="s">
        <v>85</v>
      </c>
      <c r="E3598" s="14" t="s">
        <v>86</v>
      </c>
      <c r="F3598" s="15" t="s">
        <v>51</v>
      </c>
      <c r="G3598" s="14" t="s">
        <v>148</v>
      </c>
      <c r="H3598" s="14" t="s">
        <v>85</v>
      </c>
      <c r="I3598" s="14" t="s">
        <v>59</v>
      </c>
      <c r="J3598" s="14" t="s">
        <v>200</v>
      </c>
      <c r="K3598" s="14" t="s">
        <v>204</v>
      </c>
      <c r="L3598" s="14" t="s">
        <v>253</v>
      </c>
      <c r="M3598" s="14" t="s">
        <v>844</v>
      </c>
      <c r="N3598" s="14" t="s">
        <v>845</v>
      </c>
      <c r="O3598" s="14">
        <v>0.0</v>
      </c>
      <c r="P3598" s="17"/>
      <c r="Q3598" s="22"/>
      <c r="S3598" s="14" t="s">
        <v>846</v>
      </c>
    </row>
    <row r="3599">
      <c r="A3599" s="13">
        <v>45901.0</v>
      </c>
      <c r="B3599" s="14" t="s">
        <v>47</v>
      </c>
      <c r="C3599" s="14" t="s">
        <v>48</v>
      </c>
      <c r="D3599" s="14" t="s">
        <v>112</v>
      </c>
      <c r="E3599" s="14" t="s">
        <v>113</v>
      </c>
      <c r="F3599" s="15" t="s">
        <v>51</v>
      </c>
      <c r="G3599" s="14" t="s">
        <v>114</v>
      </c>
      <c r="H3599" s="14" t="s">
        <v>112</v>
      </c>
      <c r="I3599" s="14" t="s">
        <v>59</v>
      </c>
      <c r="J3599" s="14" t="s">
        <v>200</v>
      </c>
      <c r="K3599" s="14" t="s">
        <v>213</v>
      </c>
      <c r="L3599" s="14" t="s">
        <v>253</v>
      </c>
      <c r="M3599" s="14" t="s">
        <v>366</v>
      </c>
      <c r="N3599" s="14" t="s">
        <v>367</v>
      </c>
      <c r="O3599" s="14">
        <v>98.0</v>
      </c>
      <c r="P3599" s="23">
        <v>0.9868</v>
      </c>
      <c r="Q3599" s="22" t="str">
        <f t="shared" ref="Q3599:Q3600" si="2144">"+0.00%"</f>
        <v>+0.00%</v>
      </c>
      <c r="R3599" s="18" t="str">
        <f>"+0.26%"</f>
        <v>+0.26%</v>
      </c>
      <c r="S3599" s="14" t="s">
        <v>2086</v>
      </c>
    </row>
    <row r="3600">
      <c r="A3600" s="13">
        <v>45901.0</v>
      </c>
      <c r="B3600" s="14" t="s">
        <v>47</v>
      </c>
      <c r="C3600" s="14" t="s">
        <v>48</v>
      </c>
      <c r="D3600" s="14" t="s">
        <v>77</v>
      </c>
      <c r="E3600" s="14" t="s">
        <v>78</v>
      </c>
      <c r="F3600" s="15" t="s">
        <v>51</v>
      </c>
      <c r="G3600" s="14" t="s">
        <v>128</v>
      </c>
      <c r="H3600" s="14" t="s">
        <v>81</v>
      </c>
      <c r="I3600" s="14" t="s">
        <v>59</v>
      </c>
      <c r="J3600" s="14" t="s">
        <v>200</v>
      </c>
      <c r="K3600" s="14" t="s">
        <v>223</v>
      </c>
      <c r="L3600" s="14" t="s">
        <v>363</v>
      </c>
      <c r="M3600" s="14" t="s">
        <v>364</v>
      </c>
      <c r="N3600" s="14" t="s">
        <v>365</v>
      </c>
      <c r="O3600" s="14">
        <v>0.0</v>
      </c>
      <c r="P3600" s="23">
        <v>0.0</v>
      </c>
      <c r="Q3600" s="22" t="str">
        <f t="shared" si="2144"/>
        <v>+0.00%</v>
      </c>
      <c r="R3600" s="18" t="str">
        <f>"+0.00%"</f>
        <v>+0.00%</v>
      </c>
      <c r="S3600" s="14" t="s">
        <v>285</v>
      </c>
    </row>
    <row r="3601">
      <c r="A3601" s="13">
        <v>45901.0</v>
      </c>
      <c r="B3601" s="14" t="s">
        <v>47</v>
      </c>
      <c r="C3601" s="14" t="s">
        <v>48</v>
      </c>
      <c r="D3601" s="14" t="s">
        <v>116</v>
      </c>
      <c r="E3601" s="14" t="s">
        <v>117</v>
      </c>
      <c r="F3601" s="15" t="s">
        <v>51</v>
      </c>
      <c r="G3601" s="14" t="s">
        <v>161</v>
      </c>
      <c r="H3601" s="14" t="s">
        <v>116</v>
      </c>
      <c r="I3601" s="14" t="s">
        <v>54</v>
      </c>
      <c r="J3601" s="14" t="s">
        <v>198</v>
      </c>
      <c r="K3601" s="14" t="s">
        <v>210</v>
      </c>
      <c r="L3601" s="14" t="s">
        <v>264</v>
      </c>
      <c r="M3601" s="14" t="s">
        <v>1369</v>
      </c>
      <c r="N3601" s="14" t="s">
        <v>1370</v>
      </c>
      <c r="O3601" s="14">
        <v>0.0</v>
      </c>
      <c r="P3601" s="21">
        <v>0.0</v>
      </c>
      <c r="Q3601" s="22" t="str">
        <f t="shared" ref="Q3601:R3601" si="2145">"+0"</f>
        <v>+0</v>
      </c>
      <c r="R3601" s="18" t="str">
        <f t="shared" si="2145"/>
        <v>+0</v>
      </c>
      <c r="S3601" s="14" t="s">
        <v>277</v>
      </c>
    </row>
    <row r="3602">
      <c r="A3602" s="13">
        <v>45901.0</v>
      </c>
      <c r="B3602" s="14" t="s">
        <v>47</v>
      </c>
      <c r="C3602" s="14" t="s">
        <v>48</v>
      </c>
      <c r="D3602" s="14" t="s">
        <v>112</v>
      </c>
      <c r="E3602" s="14" t="s">
        <v>113</v>
      </c>
      <c r="F3602" s="15" t="s">
        <v>51</v>
      </c>
      <c r="G3602" s="14" t="s">
        <v>114</v>
      </c>
      <c r="H3602" s="14" t="s">
        <v>112</v>
      </c>
      <c r="I3602" s="14" t="s">
        <v>59</v>
      </c>
      <c r="J3602" s="14" t="s">
        <v>198</v>
      </c>
      <c r="K3602" s="14" t="s">
        <v>210</v>
      </c>
      <c r="L3602" s="14" t="s">
        <v>264</v>
      </c>
      <c r="M3602" s="14" t="s">
        <v>407</v>
      </c>
      <c r="N3602" s="14" t="s">
        <v>408</v>
      </c>
      <c r="O3602" s="14">
        <v>100.0</v>
      </c>
      <c r="P3602" s="21">
        <v>0.0</v>
      </c>
      <c r="Q3602" s="22" t="str">
        <f t="shared" ref="Q3602:R3602" si="2146">"+0"</f>
        <v>+0</v>
      </c>
      <c r="R3602" s="18" t="str">
        <f t="shared" si="2146"/>
        <v>+0</v>
      </c>
      <c r="S3602" s="14" t="s">
        <v>281</v>
      </c>
    </row>
    <row r="3603">
      <c r="A3603" s="13">
        <v>45901.0</v>
      </c>
      <c r="B3603" s="14" t="s">
        <v>47</v>
      </c>
      <c r="C3603" s="14" t="s">
        <v>48</v>
      </c>
      <c r="D3603" s="14" t="s">
        <v>155</v>
      </c>
      <c r="E3603" s="14" t="s">
        <v>156</v>
      </c>
      <c r="F3603" s="15" t="s">
        <v>51</v>
      </c>
      <c r="G3603" s="14" t="s">
        <v>157</v>
      </c>
      <c r="H3603" s="14" t="s">
        <v>155</v>
      </c>
      <c r="I3603" s="14" t="s">
        <v>59</v>
      </c>
      <c r="J3603" s="14" t="s">
        <v>198</v>
      </c>
      <c r="K3603" s="14" t="s">
        <v>205</v>
      </c>
      <c r="L3603" s="14" t="s">
        <v>274</v>
      </c>
      <c r="M3603" s="14" t="s">
        <v>354</v>
      </c>
      <c r="N3603" s="14" t="s">
        <v>355</v>
      </c>
      <c r="O3603" s="14">
        <v>28.0</v>
      </c>
      <c r="P3603" s="21">
        <v>10.0</v>
      </c>
      <c r="Q3603" s="22" t="str">
        <f>"+0"</f>
        <v>+0</v>
      </c>
      <c r="S3603" s="14" t="s">
        <v>356</v>
      </c>
    </row>
    <row r="3604">
      <c r="A3604" s="13">
        <v>45901.0</v>
      </c>
      <c r="B3604" s="14" t="s">
        <v>47</v>
      </c>
      <c r="C3604" s="14" t="s">
        <v>48</v>
      </c>
      <c r="D3604" s="14" t="s">
        <v>140</v>
      </c>
      <c r="E3604" s="14" t="s">
        <v>141</v>
      </c>
      <c r="F3604" s="15" t="s">
        <v>51</v>
      </c>
      <c r="G3604" s="14" t="s">
        <v>142</v>
      </c>
      <c r="H3604" s="14" t="s">
        <v>140</v>
      </c>
      <c r="I3604" s="14" t="s">
        <v>59</v>
      </c>
      <c r="J3604" s="14" t="s">
        <v>200</v>
      </c>
      <c r="K3604" s="14" t="s">
        <v>213</v>
      </c>
      <c r="L3604" s="14" t="s">
        <v>289</v>
      </c>
      <c r="M3604" s="14" t="s">
        <v>331</v>
      </c>
      <c r="N3604" s="14" t="s">
        <v>332</v>
      </c>
      <c r="O3604" s="14">
        <v>0.0</v>
      </c>
      <c r="P3604" s="23">
        <v>0.0</v>
      </c>
      <c r="Q3604" s="22" t="str">
        <f t="shared" ref="Q3604:R3604" si="2147">"+0.00%"</f>
        <v>+0.00%</v>
      </c>
      <c r="R3604" s="18" t="str">
        <f t="shared" si="2147"/>
        <v>+0.00%</v>
      </c>
      <c r="S3604" s="14" t="s">
        <v>285</v>
      </c>
    </row>
    <row r="3605">
      <c r="A3605" s="13">
        <v>45901.0</v>
      </c>
      <c r="B3605" s="14" t="s">
        <v>47</v>
      </c>
      <c r="C3605" s="14" t="s">
        <v>48</v>
      </c>
      <c r="D3605" s="14" t="s">
        <v>155</v>
      </c>
      <c r="E3605" s="14" t="s">
        <v>156</v>
      </c>
      <c r="F3605" s="15" t="s">
        <v>51</v>
      </c>
      <c r="G3605" s="14" t="s">
        <v>157</v>
      </c>
      <c r="H3605" s="14" t="s">
        <v>155</v>
      </c>
      <c r="I3605" s="14" t="s">
        <v>59</v>
      </c>
      <c r="J3605" s="14" t="s">
        <v>198</v>
      </c>
      <c r="K3605" s="14" t="s">
        <v>205</v>
      </c>
      <c r="L3605" s="14" t="s">
        <v>274</v>
      </c>
      <c r="M3605" s="14" t="s">
        <v>466</v>
      </c>
      <c r="N3605" s="14" t="s">
        <v>467</v>
      </c>
      <c r="O3605" s="14">
        <v>0.0</v>
      </c>
      <c r="P3605" s="21">
        <v>0.0</v>
      </c>
      <c r="Q3605" s="22" t="str">
        <f>"+0"</f>
        <v>+0</v>
      </c>
      <c r="S3605" s="14" t="s">
        <v>281</v>
      </c>
    </row>
    <row r="3606">
      <c r="A3606" s="13">
        <v>45901.0</v>
      </c>
      <c r="B3606" s="14" t="s">
        <v>47</v>
      </c>
      <c r="C3606" s="14" t="s">
        <v>48</v>
      </c>
      <c r="D3606" s="14" t="s">
        <v>49</v>
      </c>
      <c r="E3606" s="14" t="s">
        <v>50</v>
      </c>
      <c r="F3606" s="15" t="s">
        <v>51</v>
      </c>
      <c r="G3606" s="14" t="s">
        <v>52</v>
      </c>
      <c r="H3606" s="14" t="s">
        <v>53</v>
      </c>
      <c r="I3606" s="14" t="s">
        <v>54</v>
      </c>
      <c r="J3606" s="14" t="s">
        <v>200</v>
      </c>
      <c r="K3606" s="14" t="s">
        <v>222</v>
      </c>
      <c r="L3606" s="14" t="s">
        <v>337</v>
      </c>
      <c r="M3606" s="14" t="s">
        <v>338</v>
      </c>
      <c r="N3606" s="14" t="s">
        <v>339</v>
      </c>
      <c r="O3606" s="14">
        <v>100.0</v>
      </c>
      <c r="P3606" s="21">
        <v>7.0</v>
      </c>
      <c r="Q3606" s="22" t="str">
        <f t="shared" ref="Q3606:R3606" si="2148">"+7"</f>
        <v>+7</v>
      </c>
      <c r="R3606" s="18" t="str">
        <f t="shared" si="2148"/>
        <v>+7</v>
      </c>
      <c r="S3606" s="14" t="s">
        <v>260</v>
      </c>
    </row>
    <row r="3607">
      <c r="A3607" s="13">
        <v>45901.0</v>
      </c>
      <c r="B3607" s="14" t="s">
        <v>47</v>
      </c>
      <c r="C3607" s="14" t="s">
        <v>48</v>
      </c>
      <c r="D3607" s="14" t="s">
        <v>165</v>
      </c>
      <c r="E3607" s="14" t="s">
        <v>166</v>
      </c>
      <c r="F3607" s="15" t="s">
        <v>51</v>
      </c>
      <c r="G3607" s="14" t="s">
        <v>167</v>
      </c>
      <c r="H3607" s="14" t="s">
        <v>165</v>
      </c>
      <c r="I3607" s="14" t="s">
        <v>54</v>
      </c>
      <c r="J3607" s="14" t="s">
        <v>198</v>
      </c>
      <c r="K3607" s="14" t="s">
        <v>210</v>
      </c>
      <c r="L3607" s="14" t="s">
        <v>264</v>
      </c>
      <c r="M3607" s="14" t="s">
        <v>313</v>
      </c>
      <c r="N3607" s="14" t="s">
        <v>314</v>
      </c>
      <c r="O3607" s="14">
        <v>0.0</v>
      </c>
      <c r="P3607" s="21">
        <v>0.0</v>
      </c>
      <c r="Q3607" s="22" t="str">
        <f t="shared" ref="Q3607:R3607" si="2149">"+0"</f>
        <v>+0</v>
      </c>
      <c r="R3607" s="18" t="str">
        <f t="shared" si="2149"/>
        <v>+0</v>
      </c>
      <c r="S3607" s="14" t="s">
        <v>277</v>
      </c>
    </row>
    <row r="3608">
      <c r="A3608" s="13">
        <v>45901.0</v>
      </c>
      <c r="B3608" s="14" t="s">
        <v>47</v>
      </c>
      <c r="C3608" s="14" t="s">
        <v>48</v>
      </c>
      <c r="D3608" s="14" t="s">
        <v>177</v>
      </c>
      <c r="E3608" s="14" t="s">
        <v>178</v>
      </c>
      <c r="F3608" s="14" t="s">
        <v>146</v>
      </c>
      <c r="G3608" s="14" t="s">
        <v>179</v>
      </c>
      <c r="H3608" s="14" t="s">
        <v>177</v>
      </c>
      <c r="I3608" s="14" t="s">
        <v>107</v>
      </c>
      <c r="J3608" s="14" t="s">
        <v>199</v>
      </c>
      <c r="K3608" s="14" t="s">
        <v>208</v>
      </c>
      <c r="L3608" s="14" t="s">
        <v>412</v>
      </c>
      <c r="M3608" s="14" t="s">
        <v>412</v>
      </c>
      <c r="N3608" s="14" t="s">
        <v>413</v>
      </c>
      <c r="O3608" s="14">
        <v>0.0</v>
      </c>
      <c r="P3608" s="21">
        <v>0.0</v>
      </c>
      <c r="Q3608" s="22" t="str">
        <f t="shared" ref="Q3608:R3608" si="2150">"+0"</f>
        <v>+0</v>
      </c>
      <c r="R3608" s="18" t="str">
        <f t="shared" si="2150"/>
        <v>+0</v>
      </c>
      <c r="S3608" s="14" t="s">
        <v>260</v>
      </c>
    </row>
    <row r="3609">
      <c r="A3609" s="13">
        <v>45901.0</v>
      </c>
      <c r="B3609" s="14" t="s">
        <v>47</v>
      </c>
      <c r="C3609" s="14" t="s">
        <v>48</v>
      </c>
      <c r="D3609" s="14" t="s">
        <v>177</v>
      </c>
      <c r="E3609" s="14" t="s">
        <v>178</v>
      </c>
      <c r="F3609" s="14" t="s">
        <v>146</v>
      </c>
      <c r="G3609" s="14" t="s">
        <v>179</v>
      </c>
      <c r="H3609" s="14" t="s">
        <v>177</v>
      </c>
      <c r="I3609" s="14" t="s">
        <v>107</v>
      </c>
      <c r="J3609" s="14" t="s">
        <v>200</v>
      </c>
      <c r="K3609" s="14" t="s">
        <v>226</v>
      </c>
      <c r="L3609" s="14" t="s">
        <v>698</v>
      </c>
      <c r="M3609" s="14" t="s">
        <v>699</v>
      </c>
      <c r="N3609" s="14" t="s">
        <v>700</v>
      </c>
      <c r="O3609" s="14">
        <v>100.0</v>
      </c>
      <c r="P3609" s="23">
        <v>1.0</v>
      </c>
      <c r="Q3609" s="22" t="str">
        <f t="shared" ref="Q3609:R3609" si="2151">"+0.00%"</f>
        <v>+0.00%</v>
      </c>
      <c r="R3609" s="18" t="str">
        <f t="shared" si="2151"/>
        <v>+0.00%</v>
      </c>
      <c r="S3609" s="14" t="s">
        <v>701</v>
      </c>
    </row>
    <row r="3610">
      <c r="A3610" s="13">
        <v>45901.0</v>
      </c>
      <c r="B3610" s="14" t="s">
        <v>47</v>
      </c>
      <c r="C3610" s="14" t="s">
        <v>48</v>
      </c>
      <c r="D3610" s="14" t="s">
        <v>91</v>
      </c>
      <c r="E3610" s="14" t="s">
        <v>92</v>
      </c>
      <c r="F3610" s="15" t="s">
        <v>51</v>
      </c>
      <c r="G3610" s="14" t="s">
        <v>163</v>
      </c>
      <c r="H3610" s="14" t="s">
        <v>91</v>
      </c>
      <c r="I3610" s="14" t="s">
        <v>59</v>
      </c>
      <c r="J3610" s="14" t="s">
        <v>198</v>
      </c>
      <c r="K3610" s="14" t="s">
        <v>205</v>
      </c>
      <c r="L3610" s="14" t="s">
        <v>274</v>
      </c>
      <c r="M3610" s="14" t="s">
        <v>448</v>
      </c>
      <c r="N3610" s="14" t="s">
        <v>449</v>
      </c>
      <c r="O3610" s="14">
        <v>100.0</v>
      </c>
      <c r="P3610" s="21">
        <v>24.0</v>
      </c>
      <c r="Q3610" s="22" t="str">
        <f>"+0"</f>
        <v>+0</v>
      </c>
      <c r="S3610" s="14" t="s">
        <v>450</v>
      </c>
    </row>
    <row r="3611">
      <c r="A3611" s="13">
        <v>45901.0</v>
      </c>
      <c r="B3611" s="14" t="s">
        <v>47</v>
      </c>
      <c r="C3611" s="14" t="s">
        <v>48</v>
      </c>
      <c r="D3611" s="14" t="s">
        <v>91</v>
      </c>
      <c r="E3611" s="14" t="s">
        <v>92</v>
      </c>
      <c r="F3611" s="14" t="s">
        <v>71</v>
      </c>
      <c r="G3611" s="14">
        <v>5.10011769E8</v>
      </c>
      <c r="H3611" s="14" t="s">
        <v>91</v>
      </c>
      <c r="I3611" s="14" t="s">
        <v>59</v>
      </c>
      <c r="J3611" s="14" t="s">
        <v>199</v>
      </c>
      <c r="K3611" s="14" t="s">
        <v>208</v>
      </c>
      <c r="L3611" s="14" t="s">
        <v>352</v>
      </c>
      <c r="M3611" s="14" t="s">
        <v>352</v>
      </c>
      <c r="N3611" s="14" t="s">
        <v>353</v>
      </c>
      <c r="O3611" s="14">
        <v>100.0</v>
      </c>
      <c r="P3611" s="21">
        <v>6.0</v>
      </c>
      <c r="Q3611" s="22" t="str">
        <f t="shared" ref="Q3611:R3611" si="2152">"+1"</f>
        <v>+1</v>
      </c>
      <c r="R3611" s="18" t="str">
        <f t="shared" si="2152"/>
        <v>+1</v>
      </c>
      <c r="S3611" s="14" t="s">
        <v>260</v>
      </c>
    </row>
    <row r="3612">
      <c r="A3612" s="13">
        <v>45901.0</v>
      </c>
      <c r="B3612" s="14" t="s">
        <v>47</v>
      </c>
      <c r="C3612" s="14" t="s">
        <v>48</v>
      </c>
      <c r="D3612" s="14" t="s">
        <v>91</v>
      </c>
      <c r="E3612" s="14" t="s">
        <v>92</v>
      </c>
      <c r="F3612" s="14" t="s">
        <v>71</v>
      </c>
      <c r="G3612" s="14">
        <v>5.10011769E8</v>
      </c>
      <c r="H3612" s="14" t="s">
        <v>91</v>
      </c>
      <c r="I3612" s="14" t="s">
        <v>59</v>
      </c>
      <c r="J3612" s="14" t="s">
        <v>199</v>
      </c>
      <c r="K3612" s="14" t="s">
        <v>203</v>
      </c>
      <c r="L3612" s="14" t="s">
        <v>601</v>
      </c>
      <c r="M3612" s="14" t="s">
        <v>601</v>
      </c>
      <c r="N3612" s="14" t="s">
        <v>602</v>
      </c>
      <c r="O3612" s="14">
        <v>0.0</v>
      </c>
      <c r="P3612" s="21">
        <v>0.0</v>
      </c>
      <c r="Q3612" s="22" t="str">
        <f t="shared" ref="Q3612:R3612" si="2153">"+0"</f>
        <v>+0</v>
      </c>
      <c r="R3612" s="18" t="str">
        <f t="shared" si="2153"/>
        <v>+0</v>
      </c>
      <c r="S3612" s="14" t="s">
        <v>260</v>
      </c>
    </row>
    <row r="3613">
      <c r="A3613" s="13">
        <v>45901.0</v>
      </c>
      <c r="B3613" s="14" t="s">
        <v>47</v>
      </c>
      <c r="C3613" s="14" t="s">
        <v>48</v>
      </c>
      <c r="D3613" s="14" t="s">
        <v>184</v>
      </c>
      <c r="E3613" s="14" t="s">
        <v>185</v>
      </c>
      <c r="F3613" s="15" t="s">
        <v>51</v>
      </c>
      <c r="G3613" s="14" t="s">
        <v>186</v>
      </c>
      <c r="H3613" s="14" t="s">
        <v>187</v>
      </c>
      <c r="I3613" s="14" t="s">
        <v>59</v>
      </c>
      <c r="J3613" s="14" t="s">
        <v>198</v>
      </c>
      <c r="K3613" s="14" t="s">
        <v>205</v>
      </c>
      <c r="L3613" s="14" t="s">
        <v>274</v>
      </c>
      <c r="M3613" s="14" t="s">
        <v>767</v>
      </c>
      <c r="N3613" s="14" t="s">
        <v>768</v>
      </c>
      <c r="O3613" s="14">
        <v>100.0</v>
      </c>
      <c r="P3613" s="21">
        <v>1.0</v>
      </c>
      <c r="Q3613" s="22" t="str">
        <f>"+0"</f>
        <v>+0</v>
      </c>
      <c r="S3613" s="14" t="s">
        <v>281</v>
      </c>
    </row>
    <row r="3614">
      <c r="A3614" s="13">
        <v>45901.0</v>
      </c>
      <c r="B3614" s="14" t="s">
        <v>47</v>
      </c>
      <c r="C3614" s="14" t="s">
        <v>48</v>
      </c>
      <c r="D3614" s="14" t="s">
        <v>184</v>
      </c>
      <c r="E3614" s="14" t="s">
        <v>185</v>
      </c>
      <c r="F3614" s="15" t="s">
        <v>51</v>
      </c>
      <c r="G3614" s="14" t="s">
        <v>186</v>
      </c>
      <c r="H3614" s="14" t="s">
        <v>187</v>
      </c>
      <c r="I3614" s="14" t="s">
        <v>59</v>
      </c>
      <c r="J3614" s="14" t="s">
        <v>200</v>
      </c>
      <c r="K3614" s="14" t="s">
        <v>202</v>
      </c>
      <c r="L3614" s="14" t="s">
        <v>253</v>
      </c>
      <c r="M3614" s="14" t="s">
        <v>347</v>
      </c>
      <c r="N3614" s="14" t="s">
        <v>348</v>
      </c>
      <c r="O3614" s="14">
        <v>0.0</v>
      </c>
      <c r="P3614" s="23">
        <v>0.0</v>
      </c>
      <c r="Q3614" s="22" t="str">
        <f t="shared" ref="Q3614:R3614" si="2154">"+0.00%"</f>
        <v>+0.00%</v>
      </c>
      <c r="R3614" s="18" t="str">
        <f t="shared" si="2154"/>
        <v>+0.00%</v>
      </c>
      <c r="S3614" s="14" t="s">
        <v>603</v>
      </c>
    </row>
    <row r="3615">
      <c r="A3615" s="13">
        <v>45901.0</v>
      </c>
      <c r="B3615" s="14" t="s">
        <v>47</v>
      </c>
      <c r="C3615" s="14" t="s">
        <v>48</v>
      </c>
      <c r="D3615" s="14" t="s">
        <v>132</v>
      </c>
      <c r="E3615" s="14" t="s">
        <v>133</v>
      </c>
      <c r="F3615" s="15" t="s">
        <v>51</v>
      </c>
      <c r="G3615" s="14" t="s">
        <v>134</v>
      </c>
      <c r="H3615" s="14" t="s">
        <v>135</v>
      </c>
      <c r="I3615" s="14" t="s">
        <v>59</v>
      </c>
      <c r="J3615" s="14" t="s">
        <v>199</v>
      </c>
      <c r="K3615" s="14" t="s">
        <v>206</v>
      </c>
      <c r="L3615" s="14" t="s">
        <v>515</v>
      </c>
      <c r="M3615" s="14" t="s">
        <v>515</v>
      </c>
      <c r="N3615" s="14" t="s">
        <v>516</v>
      </c>
      <c r="O3615" s="14">
        <v>0.0</v>
      </c>
      <c r="P3615" s="21">
        <v>0.0</v>
      </c>
      <c r="Q3615" s="22" t="str">
        <f t="shared" ref="Q3615:R3615" si="2155">"+0"</f>
        <v>+0</v>
      </c>
      <c r="R3615" s="18" t="str">
        <f t="shared" si="2155"/>
        <v>+0</v>
      </c>
      <c r="S3615" s="14" t="s">
        <v>383</v>
      </c>
    </row>
    <row r="3616">
      <c r="A3616" s="13">
        <v>45901.0</v>
      </c>
      <c r="B3616" s="14" t="s">
        <v>47</v>
      </c>
      <c r="C3616" s="14" t="s">
        <v>48</v>
      </c>
      <c r="D3616" s="14" t="s">
        <v>149</v>
      </c>
      <c r="E3616" s="14" t="s">
        <v>150</v>
      </c>
      <c r="F3616" s="15" t="s">
        <v>51</v>
      </c>
      <c r="G3616" s="14" t="s">
        <v>151</v>
      </c>
      <c r="H3616" s="14" t="s">
        <v>152</v>
      </c>
      <c r="I3616" s="14" t="s">
        <v>54</v>
      </c>
      <c r="J3616" s="14" t="s">
        <v>200</v>
      </c>
      <c r="K3616" s="14" t="s">
        <v>227</v>
      </c>
      <c r="L3616" s="14" t="s">
        <v>270</v>
      </c>
      <c r="M3616" s="14" t="s">
        <v>321</v>
      </c>
      <c r="N3616" s="14" t="s">
        <v>322</v>
      </c>
      <c r="O3616" s="14">
        <v>51.0</v>
      </c>
      <c r="P3616" s="23">
        <v>0.0202</v>
      </c>
      <c r="Q3616" s="22" t="str">
        <f>"-1.25%"</f>
        <v>-1.25%</v>
      </c>
      <c r="R3616" s="18" t="str">
        <f>"-10.48%"</f>
        <v>-10.48%</v>
      </c>
      <c r="S3616" s="14" t="s">
        <v>323</v>
      </c>
    </row>
    <row r="3617">
      <c r="A3617" s="13">
        <v>45901.0</v>
      </c>
      <c r="B3617" s="14" t="s">
        <v>47</v>
      </c>
      <c r="C3617" s="14" t="s">
        <v>48</v>
      </c>
      <c r="D3617" s="14" t="s">
        <v>87</v>
      </c>
      <c r="E3617" s="14" t="s">
        <v>88</v>
      </c>
      <c r="F3617" s="15" t="s">
        <v>51</v>
      </c>
      <c r="G3617" s="14" t="s">
        <v>89</v>
      </c>
      <c r="H3617" s="14" t="s">
        <v>90</v>
      </c>
      <c r="I3617" s="14" t="s">
        <v>59</v>
      </c>
      <c r="J3617" s="14" t="s">
        <v>200</v>
      </c>
      <c r="K3617" s="14" t="s">
        <v>223</v>
      </c>
      <c r="L3617" s="14" t="s">
        <v>289</v>
      </c>
      <c r="M3617" s="14" t="s">
        <v>290</v>
      </c>
      <c r="N3617" s="14" t="s">
        <v>291</v>
      </c>
      <c r="O3617" s="14">
        <v>0.0</v>
      </c>
      <c r="P3617" s="23">
        <v>0.0</v>
      </c>
      <c r="Q3617" s="22" t="str">
        <f t="shared" ref="Q3617:R3617" si="2156">"+0.00%"</f>
        <v>+0.00%</v>
      </c>
      <c r="R3617" s="18" t="str">
        <f t="shared" si="2156"/>
        <v>+0.00%</v>
      </c>
      <c r="S3617" s="14" t="s">
        <v>285</v>
      </c>
    </row>
    <row r="3618">
      <c r="A3618" s="13">
        <v>45901.0</v>
      </c>
      <c r="B3618" s="14" t="s">
        <v>47</v>
      </c>
      <c r="C3618" s="14" t="s">
        <v>48</v>
      </c>
      <c r="D3618" s="14" t="s">
        <v>149</v>
      </c>
      <c r="E3618" s="14" t="s">
        <v>150</v>
      </c>
      <c r="F3618" s="15" t="s">
        <v>51</v>
      </c>
      <c r="G3618" s="14" t="s">
        <v>151</v>
      </c>
      <c r="H3618" s="14" t="s">
        <v>152</v>
      </c>
      <c r="I3618" s="14" t="s">
        <v>54</v>
      </c>
      <c r="J3618" s="14" t="s">
        <v>198</v>
      </c>
      <c r="K3618" s="14" t="s">
        <v>210</v>
      </c>
      <c r="L3618" s="14" t="s">
        <v>264</v>
      </c>
      <c r="M3618" s="14" t="s">
        <v>989</v>
      </c>
      <c r="N3618" s="14" t="s">
        <v>990</v>
      </c>
      <c r="O3618" s="14">
        <v>0.0</v>
      </c>
      <c r="P3618" s="21">
        <v>0.0</v>
      </c>
      <c r="Q3618" s="22" t="str">
        <f t="shared" ref="Q3618:R3618" si="2157">"+0"</f>
        <v>+0</v>
      </c>
      <c r="R3618" s="18" t="str">
        <f t="shared" si="2157"/>
        <v>+0</v>
      </c>
      <c r="S3618" s="14" t="s">
        <v>277</v>
      </c>
    </row>
    <row r="3619">
      <c r="A3619" s="13">
        <v>45901.0</v>
      </c>
      <c r="B3619" s="14" t="s">
        <v>47</v>
      </c>
      <c r="C3619" s="14" t="s">
        <v>48</v>
      </c>
      <c r="D3619" s="14" t="s">
        <v>171</v>
      </c>
      <c r="E3619" s="14" t="s">
        <v>172</v>
      </c>
      <c r="F3619" s="15" t="s">
        <v>51</v>
      </c>
      <c r="G3619" s="14" t="s">
        <v>173</v>
      </c>
      <c r="H3619" s="14" t="s">
        <v>171</v>
      </c>
      <c r="I3619" s="14" t="s">
        <v>59</v>
      </c>
      <c r="J3619" s="14" t="s">
        <v>198</v>
      </c>
      <c r="K3619" s="14" t="s">
        <v>210</v>
      </c>
      <c r="L3619" s="14" t="s">
        <v>458</v>
      </c>
      <c r="M3619" s="14" t="s">
        <v>459</v>
      </c>
      <c r="N3619" s="14" t="s">
        <v>460</v>
      </c>
      <c r="O3619" s="14">
        <v>100.0</v>
      </c>
      <c r="P3619" s="21">
        <v>0.0</v>
      </c>
      <c r="Q3619" s="22" t="str">
        <f t="shared" ref="Q3619:R3619" si="2158">"+0"</f>
        <v>+0</v>
      </c>
      <c r="R3619" s="18" t="str">
        <f t="shared" si="2158"/>
        <v>+0</v>
      </c>
      <c r="S3619" s="14" t="s">
        <v>281</v>
      </c>
    </row>
    <row r="3620">
      <c r="A3620" s="13">
        <v>45901.0</v>
      </c>
      <c r="B3620" s="14" t="s">
        <v>47</v>
      </c>
      <c r="C3620" s="14" t="s">
        <v>48</v>
      </c>
      <c r="D3620" s="14" t="s">
        <v>129</v>
      </c>
      <c r="E3620" s="14" t="s">
        <v>130</v>
      </c>
      <c r="F3620" s="15" t="s">
        <v>51</v>
      </c>
      <c r="G3620" s="14" t="s">
        <v>131</v>
      </c>
      <c r="H3620" s="14" t="s">
        <v>129</v>
      </c>
      <c r="I3620" s="14" t="s">
        <v>59</v>
      </c>
      <c r="J3620" s="14" t="s">
        <v>200</v>
      </c>
      <c r="K3620" s="14" t="s">
        <v>213</v>
      </c>
      <c r="L3620" s="14" t="s">
        <v>307</v>
      </c>
      <c r="M3620" s="14" t="s">
        <v>308</v>
      </c>
      <c r="N3620" s="14" t="s">
        <v>309</v>
      </c>
      <c r="O3620" s="14">
        <v>0.0</v>
      </c>
      <c r="P3620" s="23">
        <v>0.0</v>
      </c>
      <c r="Q3620" s="22" t="str">
        <f t="shared" ref="Q3620:R3620" si="2159">"+0.00%"</f>
        <v>+0.00%</v>
      </c>
      <c r="R3620" s="18" t="str">
        <f t="shared" si="2159"/>
        <v>+0.00%</v>
      </c>
      <c r="S3620" s="14" t="s">
        <v>285</v>
      </c>
    </row>
    <row r="3621">
      <c r="A3621" s="13">
        <v>45901.0</v>
      </c>
      <c r="B3621" s="14" t="s">
        <v>47</v>
      </c>
      <c r="C3621" s="14" t="s">
        <v>48</v>
      </c>
      <c r="D3621" s="14" t="s">
        <v>85</v>
      </c>
      <c r="E3621" s="14" t="s">
        <v>86</v>
      </c>
      <c r="F3621" s="15" t="s">
        <v>51</v>
      </c>
      <c r="G3621" s="14" t="s">
        <v>148</v>
      </c>
      <c r="H3621" s="14" t="s">
        <v>85</v>
      </c>
      <c r="I3621" s="14" t="s">
        <v>59</v>
      </c>
      <c r="J3621" s="14" t="s">
        <v>200</v>
      </c>
      <c r="K3621" s="14" t="s">
        <v>201</v>
      </c>
      <c r="L3621" s="14" t="s">
        <v>253</v>
      </c>
      <c r="M3621" s="14" t="s">
        <v>1411</v>
      </c>
      <c r="N3621" s="14" t="s">
        <v>1412</v>
      </c>
      <c r="O3621" s="14">
        <v>12.0</v>
      </c>
      <c r="P3621" s="23">
        <v>0.1219</v>
      </c>
      <c r="Q3621" s="22" t="str">
        <f>"-1.71%"</f>
        <v>-1.71%</v>
      </c>
      <c r="R3621" s="18" t="str">
        <f>"-8.94%"</f>
        <v>-8.94%</v>
      </c>
      <c r="S3621" s="14" t="s">
        <v>2087</v>
      </c>
    </row>
    <row r="3622">
      <c r="A3622" s="13">
        <v>45901.0</v>
      </c>
      <c r="B3622" s="14" t="s">
        <v>47</v>
      </c>
      <c r="C3622" s="14" t="s">
        <v>48</v>
      </c>
      <c r="D3622" s="14" t="s">
        <v>85</v>
      </c>
      <c r="E3622" s="14" t="s">
        <v>86</v>
      </c>
      <c r="F3622" s="15" t="s">
        <v>51</v>
      </c>
      <c r="G3622" s="14" t="s">
        <v>148</v>
      </c>
      <c r="H3622" s="14" t="s">
        <v>85</v>
      </c>
      <c r="I3622" s="14" t="s">
        <v>59</v>
      </c>
      <c r="J3622" s="14" t="s">
        <v>200</v>
      </c>
      <c r="K3622" s="14" t="s">
        <v>213</v>
      </c>
      <c r="L3622" s="14" t="s">
        <v>571</v>
      </c>
      <c r="M3622" s="14" t="s">
        <v>578</v>
      </c>
      <c r="N3622" s="14" t="s">
        <v>579</v>
      </c>
      <c r="O3622" s="14">
        <v>0.0</v>
      </c>
      <c r="P3622" s="23">
        <v>0.0</v>
      </c>
      <c r="Q3622" s="22" t="str">
        <f>"-1.18%"</f>
        <v>-1.18%</v>
      </c>
      <c r="R3622" s="18" t="str">
        <f>"-0.56%"</f>
        <v>-0.56%</v>
      </c>
      <c r="S3622" s="14" t="s">
        <v>285</v>
      </c>
    </row>
    <row r="3623">
      <c r="A3623" s="13">
        <v>45901.0</v>
      </c>
      <c r="B3623" s="14" t="s">
        <v>47</v>
      </c>
      <c r="C3623" s="14" t="s">
        <v>48</v>
      </c>
      <c r="D3623" s="14" t="s">
        <v>125</v>
      </c>
      <c r="E3623" s="14" t="s">
        <v>126</v>
      </c>
      <c r="F3623" s="15" t="s">
        <v>51</v>
      </c>
      <c r="G3623" s="14" t="s">
        <v>127</v>
      </c>
      <c r="H3623" s="14" t="s">
        <v>125</v>
      </c>
      <c r="I3623" s="14" t="s">
        <v>59</v>
      </c>
      <c r="J3623" s="14" t="s">
        <v>198</v>
      </c>
      <c r="K3623" s="14" t="s">
        <v>205</v>
      </c>
      <c r="L3623" s="14" t="s">
        <v>274</v>
      </c>
      <c r="M3623" s="14" t="s">
        <v>275</v>
      </c>
      <c r="N3623" s="14" t="s">
        <v>276</v>
      </c>
      <c r="O3623" s="14">
        <v>0.0</v>
      </c>
      <c r="P3623" s="21">
        <v>1.0</v>
      </c>
      <c r="Q3623" s="22" t="str">
        <f>"+0"</f>
        <v>+0</v>
      </c>
      <c r="S3623" s="14" t="s">
        <v>277</v>
      </c>
    </row>
    <row r="3624">
      <c r="A3624" s="13">
        <v>45901.0</v>
      </c>
      <c r="B3624" s="14" t="s">
        <v>47</v>
      </c>
      <c r="C3624" s="14" t="s">
        <v>48</v>
      </c>
      <c r="D3624" s="14" t="s">
        <v>125</v>
      </c>
      <c r="E3624" s="14" t="s">
        <v>126</v>
      </c>
      <c r="F3624" s="15" t="s">
        <v>51</v>
      </c>
      <c r="G3624" s="14" t="s">
        <v>127</v>
      </c>
      <c r="H3624" s="14" t="s">
        <v>125</v>
      </c>
      <c r="I3624" s="14" t="s">
        <v>59</v>
      </c>
      <c r="J3624" s="14" t="s">
        <v>200</v>
      </c>
      <c r="K3624" s="14" t="s">
        <v>232</v>
      </c>
      <c r="L3624" s="14" t="s">
        <v>363</v>
      </c>
      <c r="M3624" s="14" t="s">
        <v>1043</v>
      </c>
      <c r="N3624" s="14" t="s">
        <v>1044</v>
      </c>
      <c r="O3624" s="14">
        <v>0.0</v>
      </c>
      <c r="P3624" s="23">
        <v>0.0</v>
      </c>
      <c r="Q3624" s="22" t="str">
        <f t="shared" ref="Q3624:R3624" si="2160">"+0.00%"</f>
        <v>+0.00%</v>
      </c>
      <c r="R3624" s="18" t="str">
        <f t="shared" si="2160"/>
        <v>+0.00%</v>
      </c>
      <c r="S3624" s="14" t="s">
        <v>285</v>
      </c>
    </row>
    <row r="3625">
      <c r="A3625" s="13">
        <v>45901.0</v>
      </c>
      <c r="B3625" s="14" t="s">
        <v>47</v>
      </c>
      <c r="C3625" s="14" t="s">
        <v>48</v>
      </c>
      <c r="D3625" s="14" t="s">
        <v>69</v>
      </c>
      <c r="E3625" s="14" t="s">
        <v>70</v>
      </c>
      <c r="F3625" s="15" t="s">
        <v>51</v>
      </c>
      <c r="G3625" s="14" t="s">
        <v>115</v>
      </c>
      <c r="H3625" s="14" t="s">
        <v>72</v>
      </c>
      <c r="I3625" s="14" t="s">
        <v>54</v>
      </c>
      <c r="J3625" s="14" t="s">
        <v>200</v>
      </c>
      <c r="K3625" s="14" t="s">
        <v>213</v>
      </c>
      <c r="L3625" s="14" t="s">
        <v>676</v>
      </c>
      <c r="M3625" s="14" t="s">
        <v>677</v>
      </c>
      <c r="N3625" s="14" t="s">
        <v>678</v>
      </c>
      <c r="O3625" s="14">
        <v>0.0</v>
      </c>
      <c r="P3625" s="23">
        <v>0.0</v>
      </c>
      <c r="Q3625" s="22" t="str">
        <f t="shared" ref="Q3625:R3625" si="2161">"+0.00%"</f>
        <v>+0.00%</v>
      </c>
      <c r="R3625" s="18" t="str">
        <f t="shared" si="2161"/>
        <v>+0.00%</v>
      </c>
      <c r="S3625" s="14" t="s">
        <v>285</v>
      </c>
    </row>
    <row r="3626">
      <c r="A3626" s="13">
        <v>45901.0</v>
      </c>
      <c r="B3626" s="14" t="s">
        <v>47</v>
      </c>
      <c r="C3626" s="14" t="s">
        <v>48</v>
      </c>
      <c r="D3626" s="14" t="s">
        <v>69</v>
      </c>
      <c r="E3626" s="14" t="s">
        <v>70</v>
      </c>
      <c r="F3626" s="15" t="s">
        <v>51</v>
      </c>
      <c r="G3626" s="14" t="s">
        <v>115</v>
      </c>
      <c r="H3626" s="14" t="s">
        <v>72</v>
      </c>
      <c r="I3626" s="14" t="s">
        <v>54</v>
      </c>
      <c r="J3626" s="14" t="s">
        <v>199</v>
      </c>
      <c r="K3626" s="14" t="s">
        <v>203</v>
      </c>
      <c r="L3626" s="14" t="s">
        <v>862</v>
      </c>
      <c r="M3626" s="14" t="s">
        <v>862</v>
      </c>
      <c r="N3626" s="14" t="s">
        <v>863</v>
      </c>
      <c r="O3626" s="14">
        <v>100.0</v>
      </c>
      <c r="P3626" s="21">
        <v>1.0</v>
      </c>
      <c r="Q3626" s="22" t="str">
        <f t="shared" ref="Q3626:R3626" si="2162">"+0"</f>
        <v>+0</v>
      </c>
      <c r="R3626" s="18" t="str">
        <f t="shared" si="2162"/>
        <v>+0</v>
      </c>
      <c r="S3626" s="14" t="s">
        <v>260</v>
      </c>
    </row>
    <row r="3627">
      <c r="A3627" s="13">
        <v>45901.0</v>
      </c>
      <c r="B3627" s="14" t="s">
        <v>47</v>
      </c>
      <c r="C3627" s="14" t="s">
        <v>48</v>
      </c>
      <c r="D3627" s="14" t="s">
        <v>77</v>
      </c>
      <c r="E3627" s="14" t="s">
        <v>78</v>
      </c>
      <c r="F3627" s="15" t="s">
        <v>51</v>
      </c>
      <c r="G3627" s="14" t="s">
        <v>128</v>
      </c>
      <c r="H3627" s="14" t="s">
        <v>81</v>
      </c>
      <c r="I3627" s="14" t="s">
        <v>59</v>
      </c>
      <c r="J3627" s="14" t="s">
        <v>198</v>
      </c>
      <c r="K3627" s="14" t="s">
        <v>210</v>
      </c>
      <c r="L3627" s="14" t="s">
        <v>278</v>
      </c>
      <c r="M3627" s="14" t="s">
        <v>443</v>
      </c>
      <c r="N3627" s="14" t="s">
        <v>444</v>
      </c>
      <c r="O3627" s="14">
        <v>0.0</v>
      </c>
      <c r="P3627" s="21">
        <v>1502.0</v>
      </c>
      <c r="Q3627" s="22" t="str">
        <f>"-268"</f>
        <v>-268</v>
      </c>
      <c r="R3627" s="18" t="str">
        <f>"-274"</f>
        <v>-274</v>
      </c>
      <c r="S3627" s="14" t="s">
        <v>2088</v>
      </c>
    </row>
    <row r="3628">
      <c r="A3628" s="13">
        <v>45901.0</v>
      </c>
      <c r="B3628" s="14" t="s">
        <v>47</v>
      </c>
      <c r="C3628" s="14" t="s">
        <v>48</v>
      </c>
      <c r="D3628" s="14" t="s">
        <v>77</v>
      </c>
      <c r="E3628" s="14" t="s">
        <v>78</v>
      </c>
      <c r="F3628" s="15" t="s">
        <v>51</v>
      </c>
      <c r="G3628" s="14" t="s">
        <v>128</v>
      </c>
      <c r="H3628" s="14" t="s">
        <v>81</v>
      </c>
      <c r="I3628" s="14" t="s">
        <v>59</v>
      </c>
      <c r="J3628" s="14" t="s">
        <v>200</v>
      </c>
      <c r="K3628" s="14" t="s">
        <v>223</v>
      </c>
      <c r="L3628" s="14" t="s">
        <v>607</v>
      </c>
      <c r="M3628" s="14" t="s">
        <v>932</v>
      </c>
      <c r="N3628" s="14" t="s">
        <v>933</v>
      </c>
      <c r="O3628" s="14">
        <v>0.0</v>
      </c>
      <c r="P3628" s="23">
        <v>0.0</v>
      </c>
      <c r="Q3628" s="22" t="str">
        <f t="shared" ref="Q3628:R3628" si="2163">"+0.00%"</f>
        <v>+0.00%</v>
      </c>
      <c r="R3628" s="18" t="str">
        <f t="shared" si="2163"/>
        <v>+0.00%</v>
      </c>
      <c r="S3628" s="14" t="s">
        <v>285</v>
      </c>
    </row>
    <row r="3629">
      <c r="A3629" s="13">
        <v>45901.0</v>
      </c>
      <c r="B3629" s="14" t="s">
        <v>47</v>
      </c>
      <c r="C3629" s="14" t="s">
        <v>48</v>
      </c>
      <c r="D3629" s="14" t="s">
        <v>112</v>
      </c>
      <c r="E3629" s="14" t="s">
        <v>113</v>
      </c>
      <c r="F3629" s="15" t="s">
        <v>51</v>
      </c>
      <c r="G3629" s="14" t="s">
        <v>114</v>
      </c>
      <c r="H3629" s="14" t="s">
        <v>112</v>
      </c>
      <c r="I3629" s="14" t="s">
        <v>59</v>
      </c>
      <c r="J3629" s="14" t="s">
        <v>200</v>
      </c>
      <c r="K3629" s="14" t="s">
        <v>227</v>
      </c>
      <c r="L3629" s="14" t="s">
        <v>253</v>
      </c>
      <c r="M3629" s="14" t="s">
        <v>254</v>
      </c>
      <c r="N3629" s="14" t="s">
        <v>255</v>
      </c>
      <c r="O3629" s="14">
        <v>0.0</v>
      </c>
      <c r="P3629" s="23">
        <v>0.0</v>
      </c>
      <c r="Q3629" s="22" t="str">
        <f t="shared" ref="Q3629:R3629" si="2164">"+0.00%"</f>
        <v>+0.00%</v>
      </c>
      <c r="R3629" s="18" t="str">
        <f t="shared" si="2164"/>
        <v>+0.00%</v>
      </c>
      <c r="S3629" s="14" t="s">
        <v>399</v>
      </c>
    </row>
    <row r="3630">
      <c r="A3630" s="13">
        <v>45901.0</v>
      </c>
      <c r="B3630" s="14" t="s">
        <v>47</v>
      </c>
      <c r="C3630" s="14" t="s">
        <v>48</v>
      </c>
      <c r="D3630" s="14" t="s">
        <v>174</v>
      </c>
      <c r="E3630" s="14" t="s">
        <v>175</v>
      </c>
      <c r="F3630" s="15" t="s">
        <v>51</v>
      </c>
      <c r="G3630" s="14" t="s">
        <v>176</v>
      </c>
      <c r="H3630" s="14" t="s">
        <v>174</v>
      </c>
      <c r="I3630" s="14" t="s">
        <v>59</v>
      </c>
      <c r="J3630" s="14" t="s">
        <v>198</v>
      </c>
      <c r="K3630" s="14" t="s">
        <v>205</v>
      </c>
      <c r="L3630" s="14" t="s">
        <v>274</v>
      </c>
      <c r="M3630" s="14" t="s">
        <v>696</v>
      </c>
      <c r="N3630" s="14" t="s">
        <v>697</v>
      </c>
      <c r="O3630" s="14">
        <v>100.0</v>
      </c>
      <c r="P3630" s="21">
        <v>1.0</v>
      </c>
      <c r="Q3630" s="22" t="str">
        <f t="shared" ref="Q3630:Q3631" si="2165">"+0"</f>
        <v>+0</v>
      </c>
      <c r="S3630" s="14" t="s">
        <v>281</v>
      </c>
    </row>
    <row r="3631">
      <c r="A3631" s="13">
        <v>45901.0</v>
      </c>
      <c r="B3631" s="14" t="s">
        <v>47</v>
      </c>
      <c r="C3631" s="14" t="s">
        <v>48</v>
      </c>
      <c r="D3631" s="14" t="s">
        <v>77</v>
      </c>
      <c r="E3631" s="14" t="s">
        <v>78</v>
      </c>
      <c r="F3631" s="15" t="s">
        <v>51</v>
      </c>
      <c r="G3631" s="14" t="s">
        <v>128</v>
      </c>
      <c r="H3631" s="14" t="s">
        <v>81</v>
      </c>
      <c r="I3631" s="14" t="s">
        <v>59</v>
      </c>
      <c r="J3631" s="14" t="s">
        <v>200</v>
      </c>
      <c r="K3631" s="14" t="s">
        <v>223</v>
      </c>
      <c r="L3631" s="14" t="s">
        <v>363</v>
      </c>
      <c r="M3631" s="14" t="s">
        <v>842</v>
      </c>
      <c r="N3631" s="14" t="s">
        <v>843</v>
      </c>
      <c r="O3631" s="14">
        <v>100.0</v>
      </c>
      <c r="P3631" s="21">
        <v>62.0</v>
      </c>
      <c r="Q3631" s="22" t="str">
        <f t="shared" si="2165"/>
        <v>+0</v>
      </c>
      <c r="R3631" s="18" t="str">
        <f>"+0"</f>
        <v>+0</v>
      </c>
      <c r="S3631" s="14" t="s">
        <v>260</v>
      </c>
    </row>
    <row r="3632">
      <c r="A3632" s="13">
        <v>45901.0</v>
      </c>
      <c r="B3632" s="14" t="s">
        <v>47</v>
      </c>
      <c r="C3632" s="14" t="s">
        <v>48</v>
      </c>
      <c r="D3632" s="14" t="s">
        <v>158</v>
      </c>
      <c r="E3632" s="14" t="s">
        <v>159</v>
      </c>
      <c r="F3632" s="15" t="s">
        <v>51</v>
      </c>
      <c r="G3632" s="14" t="s">
        <v>160</v>
      </c>
      <c r="H3632" s="14" t="s">
        <v>158</v>
      </c>
      <c r="I3632" s="14" t="s">
        <v>54</v>
      </c>
      <c r="J3632" s="14" t="s">
        <v>198</v>
      </c>
      <c r="K3632" s="14" t="s">
        <v>210</v>
      </c>
      <c r="L3632" s="14" t="s">
        <v>278</v>
      </c>
      <c r="M3632" s="14" t="s">
        <v>839</v>
      </c>
      <c r="N3632" s="14" t="s">
        <v>840</v>
      </c>
      <c r="O3632" s="14">
        <v>43.0</v>
      </c>
      <c r="P3632" s="21">
        <v>1392.0</v>
      </c>
      <c r="Q3632" s="22" t="str">
        <f>"+342"</f>
        <v>+342</v>
      </c>
      <c r="R3632" s="18" t="str">
        <f>"+430"</f>
        <v>+430</v>
      </c>
      <c r="S3632" s="14" t="s">
        <v>2089</v>
      </c>
    </row>
    <row r="3633">
      <c r="A3633" s="13">
        <v>45901.0</v>
      </c>
      <c r="B3633" s="14" t="s">
        <v>47</v>
      </c>
      <c r="C3633" s="14" t="s">
        <v>48</v>
      </c>
      <c r="D3633" s="14" t="s">
        <v>77</v>
      </c>
      <c r="E3633" s="14" t="s">
        <v>78</v>
      </c>
      <c r="F3633" s="15" t="s">
        <v>51</v>
      </c>
      <c r="G3633" s="14" t="s">
        <v>128</v>
      </c>
      <c r="H3633" s="14" t="s">
        <v>81</v>
      </c>
      <c r="I3633" s="14" t="s">
        <v>59</v>
      </c>
      <c r="J3633" s="14" t="s">
        <v>200</v>
      </c>
      <c r="K3633" s="14" t="s">
        <v>216</v>
      </c>
      <c r="L3633" s="14" t="s">
        <v>2090</v>
      </c>
      <c r="M3633" s="14" t="s">
        <v>2091</v>
      </c>
      <c r="N3633" s="14" t="s">
        <v>2092</v>
      </c>
      <c r="O3633" s="14">
        <v>0.0</v>
      </c>
      <c r="P3633" s="21">
        <v>0.0</v>
      </c>
      <c r="Q3633" s="22" t="str">
        <f t="shared" ref="Q3633:R3633" si="2166">"+0"</f>
        <v>+0</v>
      </c>
      <c r="R3633" s="18" t="str">
        <f t="shared" si="2166"/>
        <v>+0</v>
      </c>
      <c r="S3633" s="14" t="s">
        <v>327</v>
      </c>
    </row>
    <row r="3634">
      <c r="A3634" s="13">
        <v>45901.0</v>
      </c>
      <c r="B3634" s="14" t="s">
        <v>47</v>
      </c>
      <c r="C3634" s="14" t="s">
        <v>48</v>
      </c>
      <c r="D3634" s="14" t="s">
        <v>108</v>
      </c>
      <c r="E3634" s="14" t="s">
        <v>109</v>
      </c>
      <c r="F3634" s="15" t="s">
        <v>51</v>
      </c>
      <c r="G3634" s="14" t="s">
        <v>110</v>
      </c>
      <c r="H3634" s="14" t="s">
        <v>108</v>
      </c>
      <c r="I3634" s="14" t="s">
        <v>59</v>
      </c>
      <c r="J3634" s="14" t="s">
        <v>200</v>
      </c>
      <c r="K3634" s="14" t="s">
        <v>243</v>
      </c>
      <c r="L3634" s="14" t="s">
        <v>253</v>
      </c>
      <c r="M3634" s="14" t="s">
        <v>366</v>
      </c>
      <c r="N3634" s="14" t="s">
        <v>367</v>
      </c>
      <c r="O3634" s="14">
        <v>0.0</v>
      </c>
      <c r="P3634" s="23">
        <v>0.0</v>
      </c>
      <c r="Q3634" s="22" t="str">
        <f t="shared" ref="Q3634:R3634" si="2167">"+0.00%"</f>
        <v>+0.00%</v>
      </c>
      <c r="R3634" s="18" t="str">
        <f t="shared" si="2167"/>
        <v>+0.00%</v>
      </c>
      <c r="S3634" s="14" t="s">
        <v>2093</v>
      </c>
    </row>
    <row r="3635">
      <c r="A3635" s="13">
        <v>45901.0</v>
      </c>
      <c r="B3635" s="14" t="s">
        <v>47</v>
      </c>
      <c r="C3635" s="14" t="s">
        <v>48</v>
      </c>
      <c r="D3635" s="14" t="s">
        <v>77</v>
      </c>
      <c r="E3635" s="14" t="s">
        <v>78</v>
      </c>
      <c r="F3635" s="15" t="s">
        <v>51</v>
      </c>
      <c r="G3635" s="14" t="s">
        <v>128</v>
      </c>
      <c r="H3635" s="14" t="s">
        <v>81</v>
      </c>
      <c r="I3635" s="14" t="s">
        <v>59</v>
      </c>
      <c r="J3635" s="14" t="s">
        <v>200</v>
      </c>
      <c r="K3635" s="14" t="s">
        <v>216</v>
      </c>
      <c r="L3635" s="14" t="s">
        <v>779</v>
      </c>
      <c r="M3635" s="14" t="s">
        <v>2094</v>
      </c>
      <c r="N3635" s="14" t="s">
        <v>2095</v>
      </c>
      <c r="O3635" s="14">
        <v>0.0</v>
      </c>
      <c r="P3635" s="21">
        <v>0.0</v>
      </c>
      <c r="Q3635" s="22" t="str">
        <f t="shared" ref="Q3635:R3635" si="2168">"+0"</f>
        <v>+0</v>
      </c>
      <c r="R3635" s="18" t="str">
        <f t="shared" si="2168"/>
        <v>+0</v>
      </c>
      <c r="S3635" s="14" t="s">
        <v>260</v>
      </c>
    </row>
    <row r="3636">
      <c r="A3636" s="13">
        <v>45901.0</v>
      </c>
      <c r="B3636" s="14" t="s">
        <v>47</v>
      </c>
      <c r="C3636" s="14" t="s">
        <v>48</v>
      </c>
      <c r="D3636" s="14" t="s">
        <v>60</v>
      </c>
      <c r="E3636" s="14" t="s">
        <v>61</v>
      </c>
      <c r="F3636" s="15" t="s">
        <v>51</v>
      </c>
      <c r="G3636" s="14" t="s">
        <v>62</v>
      </c>
      <c r="H3636" s="14" t="s">
        <v>60</v>
      </c>
      <c r="I3636" s="14" t="s">
        <v>59</v>
      </c>
      <c r="J3636" s="14" t="s">
        <v>200</v>
      </c>
      <c r="K3636" s="14" t="s">
        <v>216</v>
      </c>
      <c r="L3636" s="14" t="s">
        <v>1113</v>
      </c>
      <c r="M3636" s="14" t="s">
        <v>1114</v>
      </c>
      <c r="N3636" s="14" t="s">
        <v>1115</v>
      </c>
      <c r="O3636" s="14">
        <v>0.0</v>
      </c>
      <c r="P3636" s="21">
        <v>0.0</v>
      </c>
      <c r="Q3636" s="22" t="str">
        <f>"+0"</f>
        <v>+0</v>
      </c>
      <c r="R3636" s="18" t="str">
        <f>"-1"</f>
        <v>-1</v>
      </c>
      <c r="S3636" s="14" t="s">
        <v>260</v>
      </c>
    </row>
    <row r="3637">
      <c r="A3637" s="13">
        <v>45901.0</v>
      </c>
      <c r="B3637" s="14" t="s">
        <v>47</v>
      </c>
      <c r="C3637" s="14" t="s">
        <v>48</v>
      </c>
      <c r="D3637" s="14" t="s">
        <v>121</v>
      </c>
      <c r="E3637" s="14" t="s">
        <v>122</v>
      </c>
      <c r="F3637" s="15" t="s">
        <v>51</v>
      </c>
      <c r="G3637" s="14" t="s">
        <v>123</v>
      </c>
      <c r="H3637" s="14" t="s">
        <v>124</v>
      </c>
      <c r="I3637" s="14" t="s">
        <v>59</v>
      </c>
      <c r="J3637" s="14" t="s">
        <v>200</v>
      </c>
      <c r="K3637" s="14" t="s">
        <v>232</v>
      </c>
      <c r="L3637" s="14" t="s">
        <v>363</v>
      </c>
      <c r="M3637" s="14" t="s">
        <v>1634</v>
      </c>
      <c r="N3637" s="14" t="s">
        <v>1635</v>
      </c>
      <c r="O3637" s="14">
        <v>0.0</v>
      </c>
      <c r="P3637" s="23">
        <v>0.0</v>
      </c>
      <c r="Q3637" s="22" t="str">
        <f t="shared" ref="Q3637:R3637" si="2169">"+0.00%"</f>
        <v>+0.00%</v>
      </c>
      <c r="R3637" s="18" t="str">
        <f t="shared" si="2169"/>
        <v>+0.00%</v>
      </c>
      <c r="S3637" s="14" t="s">
        <v>285</v>
      </c>
    </row>
    <row r="3638">
      <c r="A3638" s="13">
        <v>45901.0</v>
      </c>
      <c r="B3638" s="14" t="s">
        <v>47</v>
      </c>
      <c r="C3638" s="14" t="s">
        <v>48</v>
      </c>
      <c r="D3638" s="14" t="s">
        <v>56</v>
      </c>
      <c r="E3638" s="14" t="s">
        <v>57</v>
      </c>
      <c r="F3638" s="15" t="s">
        <v>51</v>
      </c>
      <c r="G3638" s="14" t="s">
        <v>58</v>
      </c>
      <c r="H3638" s="14" t="s">
        <v>56</v>
      </c>
      <c r="I3638" s="14" t="s">
        <v>59</v>
      </c>
      <c r="J3638" s="14" t="s">
        <v>200</v>
      </c>
      <c r="K3638" s="14" t="s">
        <v>223</v>
      </c>
      <c r="L3638" s="14" t="s">
        <v>710</v>
      </c>
      <c r="M3638" s="14" t="s">
        <v>711</v>
      </c>
      <c r="N3638" s="14" t="s">
        <v>712</v>
      </c>
      <c r="O3638" s="14">
        <v>0.0</v>
      </c>
      <c r="P3638" s="23">
        <v>0.0</v>
      </c>
      <c r="Q3638" s="22" t="str">
        <f t="shared" ref="Q3638:R3638" si="2170">"+0.00%"</f>
        <v>+0.00%</v>
      </c>
      <c r="R3638" s="18" t="str">
        <f t="shared" si="2170"/>
        <v>+0.00%</v>
      </c>
      <c r="S3638" s="14" t="s">
        <v>285</v>
      </c>
    </row>
    <row r="3639">
      <c r="A3639" s="13">
        <v>45901.0</v>
      </c>
      <c r="B3639" s="14" t="s">
        <v>47</v>
      </c>
      <c r="C3639" s="14" t="s">
        <v>48</v>
      </c>
      <c r="D3639" s="14" t="s">
        <v>165</v>
      </c>
      <c r="E3639" s="14" t="s">
        <v>166</v>
      </c>
      <c r="F3639" s="15" t="s">
        <v>51</v>
      </c>
      <c r="G3639" s="14" t="s">
        <v>167</v>
      </c>
      <c r="H3639" s="14" t="s">
        <v>165</v>
      </c>
      <c r="I3639" s="14" t="s">
        <v>54</v>
      </c>
      <c r="J3639" s="14" t="s">
        <v>200</v>
      </c>
      <c r="K3639" s="14" t="s">
        <v>227</v>
      </c>
      <c r="L3639" s="14" t="s">
        <v>253</v>
      </c>
      <c r="M3639" s="14" t="s">
        <v>849</v>
      </c>
      <c r="N3639" s="14" t="s">
        <v>850</v>
      </c>
      <c r="O3639" s="14">
        <v>100.0</v>
      </c>
      <c r="P3639" s="23">
        <v>1.0</v>
      </c>
      <c r="Q3639" s="22" t="str">
        <f t="shared" ref="Q3639:R3639" si="2171">"+0.00%"</f>
        <v>+0.00%</v>
      </c>
      <c r="R3639" s="18" t="str">
        <f t="shared" si="2171"/>
        <v>+0.00%</v>
      </c>
      <c r="S3639" s="14" t="s">
        <v>851</v>
      </c>
    </row>
    <row r="3640">
      <c r="A3640" s="13">
        <v>45901.0</v>
      </c>
      <c r="B3640" s="14" t="s">
        <v>47</v>
      </c>
      <c r="C3640" s="14" t="s">
        <v>48</v>
      </c>
      <c r="D3640" s="14" t="s">
        <v>49</v>
      </c>
      <c r="E3640" s="14" t="s">
        <v>50</v>
      </c>
      <c r="F3640" s="15" t="s">
        <v>51</v>
      </c>
      <c r="G3640" s="14" t="s">
        <v>52</v>
      </c>
      <c r="H3640" s="14" t="s">
        <v>53</v>
      </c>
      <c r="I3640" s="14" t="s">
        <v>54</v>
      </c>
      <c r="J3640" s="14" t="s">
        <v>200</v>
      </c>
      <c r="K3640" s="14" t="s">
        <v>224</v>
      </c>
      <c r="L3640" s="14" t="s">
        <v>392</v>
      </c>
      <c r="M3640" s="14" t="s">
        <v>393</v>
      </c>
      <c r="N3640" s="14" t="s">
        <v>394</v>
      </c>
      <c r="O3640" s="14">
        <v>11.0</v>
      </c>
      <c r="P3640" s="23">
        <v>0.1111</v>
      </c>
      <c r="Q3640" s="22" t="str">
        <f>"-38.89%"</f>
        <v>-38.89%</v>
      </c>
      <c r="R3640" s="18" t="str">
        <f>"-3.17%"</f>
        <v>-3.17%</v>
      </c>
      <c r="S3640" s="14" t="s">
        <v>2096</v>
      </c>
    </row>
    <row r="3641">
      <c r="A3641" s="13">
        <v>45901.0</v>
      </c>
      <c r="B3641" s="14" t="s">
        <v>47</v>
      </c>
      <c r="C3641" s="14" t="s">
        <v>48</v>
      </c>
      <c r="D3641" s="14" t="s">
        <v>49</v>
      </c>
      <c r="E3641" s="14" t="s">
        <v>50</v>
      </c>
      <c r="F3641" s="15" t="s">
        <v>51</v>
      </c>
      <c r="G3641" s="14" t="s">
        <v>52</v>
      </c>
      <c r="H3641" s="14" t="s">
        <v>53</v>
      </c>
      <c r="I3641" s="14" t="s">
        <v>54</v>
      </c>
      <c r="J3641" s="14" t="s">
        <v>198</v>
      </c>
      <c r="K3641" s="14" t="s">
        <v>210</v>
      </c>
      <c r="L3641" s="14" t="s">
        <v>264</v>
      </c>
      <c r="M3641" s="14" t="s">
        <v>1068</v>
      </c>
      <c r="N3641" s="14" t="s">
        <v>1069</v>
      </c>
      <c r="O3641" s="14">
        <v>0.0</v>
      </c>
      <c r="P3641" s="21">
        <v>0.0</v>
      </c>
      <c r="Q3641" s="22" t="str">
        <f t="shared" ref="Q3641:R3641" si="2172">"+0"</f>
        <v>+0</v>
      </c>
      <c r="R3641" s="18" t="str">
        <f t="shared" si="2172"/>
        <v>+0</v>
      </c>
      <c r="S3641" s="14" t="s">
        <v>277</v>
      </c>
    </row>
    <row r="3642">
      <c r="A3642" s="13">
        <v>45901.0</v>
      </c>
      <c r="B3642" s="14" t="s">
        <v>47</v>
      </c>
      <c r="C3642" s="14" t="s">
        <v>48</v>
      </c>
      <c r="D3642" s="14" t="s">
        <v>165</v>
      </c>
      <c r="E3642" s="14" t="s">
        <v>166</v>
      </c>
      <c r="F3642" s="15" t="s">
        <v>51</v>
      </c>
      <c r="G3642" s="14" t="s">
        <v>167</v>
      </c>
      <c r="H3642" s="14" t="s">
        <v>165</v>
      </c>
      <c r="I3642" s="14" t="s">
        <v>54</v>
      </c>
      <c r="J3642" s="14" t="s">
        <v>198</v>
      </c>
      <c r="K3642" s="14" t="s">
        <v>210</v>
      </c>
      <c r="L3642" s="14" t="s">
        <v>264</v>
      </c>
      <c r="M3642" s="14" t="s">
        <v>1283</v>
      </c>
      <c r="N3642" s="14" t="s">
        <v>1284</v>
      </c>
      <c r="O3642" s="14">
        <v>0.0</v>
      </c>
      <c r="P3642" s="21">
        <v>0.0</v>
      </c>
      <c r="Q3642" s="22" t="str">
        <f t="shared" ref="Q3642:R3642" si="2173">"+0"</f>
        <v>+0</v>
      </c>
      <c r="R3642" s="18" t="str">
        <f t="shared" si="2173"/>
        <v>+0</v>
      </c>
      <c r="S3642" s="14" t="s">
        <v>277</v>
      </c>
    </row>
    <row r="3643">
      <c r="A3643" s="13">
        <v>45901.0</v>
      </c>
      <c r="B3643" s="14" t="s">
        <v>47</v>
      </c>
      <c r="C3643" s="14" t="s">
        <v>48</v>
      </c>
      <c r="D3643" s="14" t="s">
        <v>49</v>
      </c>
      <c r="E3643" s="14" t="s">
        <v>50</v>
      </c>
      <c r="F3643" s="15" t="s">
        <v>51</v>
      </c>
      <c r="G3643" s="14" t="s">
        <v>52</v>
      </c>
      <c r="H3643" s="14" t="s">
        <v>53</v>
      </c>
      <c r="I3643" s="14" t="s">
        <v>54</v>
      </c>
      <c r="J3643" s="14" t="s">
        <v>200</v>
      </c>
      <c r="K3643" s="14" t="s">
        <v>204</v>
      </c>
      <c r="L3643" s="14" t="s">
        <v>253</v>
      </c>
      <c r="M3643" s="14" t="s">
        <v>844</v>
      </c>
      <c r="N3643" s="14" t="s">
        <v>845</v>
      </c>
      <c r="O3643" s="14">
        <v>0.0</v>
      </c>
      <c r="P3643" s="17"/>
      <c r="Q3643" s="22"/>
      <c r="S3643" s="14" t="s">
        <v>846</v>
      </c>
    </row>
    <row r="3644">
      <c r="A3644" s="13">
        <v>45901.0</v>
      </c>
      <c r="B3644" s="14" t="s">
        <v>47</v>
      </c>
      <c r="C3644" s="14" t="s">
        <v>48</v>
      </c>
      <c r="D3644" s="14" t="s">
        <v>99</v>
      </c>
      <c r="E3644" s="14" t="s">
        <v>100</v>
      </c>
      <c r="F3644" s="15" t="s">
        <v>51</v>
      </c>
      <c r="G3644" s="14" t="s">
        <v>101</v>
      </c>
      <c r="H3644" s="14" t="s">
        <v>102</v>
      </c>
      <c r="I3644" s="14" t="s">
        <v>54</v>
      </c>
      <c r="J3644" s="14" t="s">
        <v>198</v>
      </c>
      <c r="K3644" s="14" t="s">
        <v>210</v>
      </c>
      <c r="L3644" s="14" t="s">
        <v>264</v>
      </c>
      <c r="M3644" s="14" t="s">
        <v>1068</v>
      </c>
      <c r="N3644" s="14" t="s">
        <v>1069</v>
      </c>
      <c r="O3644" s="14">
        <v>0.0</v>
      </c>
      <c r="P3644" s="21">
        <v>0.0</v>
      </c>
      <c r="Q3644" s="22" t="str">
        <f t="shared" ref="Q3644:R3644" si="2174">"+0"</f>
        <v>+0</v>
      </c>
      <c r="R3644" s="18" t="str">
        <f t="shared" si="2174"/>
        <v>+0</v>
      </c>
      <c r="S3644" s="14" t="s">
        <v>277</v>
      </c>
    </row>
    <row r="3645">
      <c r="A3645" s="13">
        <v>45901.0</v>
      </c>
      <c r="B3645" s="14" t="s">
        <v>47</v>
      </c>
      <c r="C3645" s="14" t="s">
        <v>48</v>
      </c>
      <c r="D3645" s="14" t="s">
        <v>91</v>
      </c>
      <c r="E3645" s="14" t="s">
        <v>92</v>
      </c>
      <c r="F3645" s="14" t="s">
        <v>71</v>
      </c>
      <c r="G3645" s="14">
        <v>5.10000484E8</v>
      </c>
      <c r="H3645" s="14" t="s">
        <v>91</v>
      </c>
      <c r="I3645" s="14" t="s">
        <v>54</v>
      </c>
      <c r="J3645" s="14" t="s">
        <v>200</v>
      </c>
      <c r="K3645" s="14" t="s">
        <v>218</v>
      </c>
      <c r="L3645" s="14" t="s">
        <v>253</v>
      </c>
      <c r="M3645" s="14" t="s">
        <v>463</v>
      </c>
      <c r="N3645" s="14" t="s">
        <v>464</v>
      </c>
      <c r="O3645" s="14">
        <v>7.0</v>
      </c>
      <c r="P3645" s="23">
        <v>0.0797</v>
      </c>
      <c r="Q3645" s="22" t="str">
        <f>"+0.33%"</f>
        <v>+0.33%</v>
      </c>
      <c r="R3645" s="18" t="str">
        <f>"+0.96%"</f>
        <v>+0.96%</v>
      </c>
      <c r="S3645" s="14" t="s">
        <v>2082</v>
      </c>
    </row>
    <row r="3646">
      <c r="A3646" s="13">
        <v>45901.0</v>
      </c>
      <c r="B3646" s="14" t="s">
        <v>47</v>
      </c>
      <c r="C3646" s="14" t="s">
        <v>48</v>
      </c>
      <c r="D3646" s="14" t="s">
        <v>177</v>
      </c>
      <c r="E3646" s="14" t="s">
        <v>178</v>
      </c>
      <c r="F3646" s="14" t="s">
        <v>146</v>
      </c>
      <c r="G3646" s="14" t="s">
        <v>179</v>
      </c>
      <c r="H3646" s="14" t="s">
        <v>177</v>
      </c>
      <c r="I3646" s="14" t="s">
        <v>107</v>
      </c>
      <c r="J3646" s="14" t="s">
        <v>200</v>
      </c>
      <c r="K3646" s="14" t="s">
        <v>226</v>
      </c>
      <c r="L3646" s="14" t="s">
        <v>672</v>
      </c>
      <c r="M3646" s="14" t="s">
        <v>2073</v>
      </c>
      <c r="N3646" s="14" t="s">
        <v>2074</v>
      </c>
      <c r="O3646" s="14">
        <v>0.0</v>
      </c>
      <c r="P3646" s="21">
        <v>0.0</v>
      </c>
      <c r="Q3646" s="22" t="str">
        <f t="shared" ref="Q3646:R3646" si="2175">"+0"</f>
        <v>+0</v>
      </c>
      <c r="R3646" s="18" t="str">
        <f t="shared" si="2175"/>
        <v>+0</v>
      </c>
      <c r="S3646" s="14" t="s">
        <v>260</v>
      </c>
    </row>
    <row r="3647">
      <c r="A3647" s="13">
        <v>45901.0</v>
      </c>
      <c r="B3647" s="14" t="s">
        <v>47</v>
      </c>
      <c r="C3647" s="14" t="s">
        <v>48</v>
      </c>
      <c r="D3647" s="14" t="s">
        <v>99</v>
      </c>
      <c r="E3647" s="14" t="s">
        <v>100</v>
      </c>
      <c r="F3647" s="15" t="s">
        <v>51</v>
      </c>
      <c r="G3647" s="14" t="s">
        <v>101</v>
      </c>
      <c r="H3647" s="14" t="s">
        <v>102</v>
      </c>
      <c r="I3647" s="14" t="s">
        <v>54</v>
      </c>
      <c r="J3647" s="14" t="s">
        <v>198</v>
      </c>
      <c r="K3647" s="14" t="s">
        <v>210</v>
      </c>
      <c r="L3647" s="14" t="s">
        <v>458</v>
      </c>
      <c r="M3647" s="14" t="s">
        <v>1401</v>
      </c>
      <c r="N3647" s="14" t="s">
        <v>1402</v>
      </c>
      <c r="O3647" s="14">
        <v>0.0</v>
      </c>
      <c r="P3647" s="21">
        <v>0.0</v>
      </c>
      <c r="Q3647" s="22" t="str">
        <f t="shared" ref="Q3647:R3647" si="2176">"+0"</f>
        <v>+0</v>
      </c>
      <c r="R3647" s="18" t="str">
        <f t="shared" si="2176"/>
        <v>+0</v>
      </c>
      <c r="S3647" s="14" t="s">
        <v>277</v>
      </c>
    </row>
    <row r="3648">
      <c r="A3648" s="13">
        <v>45901.0</v>
      </c>
      <c r="B3648" s="14" t="s">
        <v>47</v>
      </c>
      <c r="C3648" s="14" t="s">
        <v>48</v>
      </c>
      <c r="D3648" s="14" t="s">
        <v>99</v>
      </c>
      <c r="E3648" s="14" t="s">
        <v>100</v>
      </c>
      <c r="F3648" s="15" t="s">
        <v>51</v>
      </c>
      <c r="G3648" s="14" t="s">
        <v>101</v>
      </c>
      <c r="H3648" s="14" t="s">
        <v>102</v>
      </c>
      <c r="I3648" s="14" t="s">
        <v>54</v>
      </c>
      <c r="J3648" s="14" t="s">
        <v>198</v>
      </c>
      <c r="K3648" s="14" t="s">
        <v>210</v>
      </c>
      <c r="L3648" s="14" t="s">
        <v>264</v>
      </c>
      <c r="M3648" s="14" t="s">
        <v>405</v>
      </c>
      <c r="N3648" s="14" t="s">
        <v>406</v>
      </c>
      <c r="O3648" s="14">
        <v>0.0</v>
      </c>
      <c r="P3648" s="21">
        <v>0.0</v>
      </c>
      <c r="Q3648" s="22" t="str">
        <f t="shared" ref="Q3648:R3648" si="2177">"+0"</f>
        <v>+0</v>
      </c>
      <c r="R3648" s="18" t="str">
        <f t="shared" si="2177"/>
        <v>+0</v>
      </c>
      <c r="S3648" s="14" t="s">
        <v>277</v>
      </c>
    </row>
    <row r="3649">
      <c r="A3649" s="13">
        <v>45901.0</v>
      </c>
      <c r="B3649" s="14" t="s">
        <v>47</v>
      </c>
      <c r="C3649" s="14" t="s">
        <v>48</v>
      </c>
      <c r="D3649" s="14" t="s">
        <v>149</v>
      </c>
      <c r="E3649" s="14" t="s">
        <v>150</v>
      </c>
      <c r="F3649" s="15" t="s">
        <v>51</v>
      </c>
      <c r="G3649" s="14" t="s">
        <v>151</v>
      </c>
      <c r="H3649" s="14" t="s">
        <v>152</v>
      </c>
      <c r="I3649" s="14" t="s">
        <v>54</v>
      </c>
      <c r="J3649" s="14" t="s">
        <v>200</v>
      </c>
      <c r="K3649" s="14" t="s">
        <v>223</v>
      </c>
      <c r="L3649" s="14" t="s">
        <v>261</v>
      </c>
      <c r="M3649" s="14" t="s">
        <v>566</v>
      </c>
      <c r="N3649" s="14" t="s">
        <v>567</v>
      </c>
      <c r="O3649" s="14">
        <v>18.0</v>
      </c>
      <c r="P3649" s="23">
        <v>0.1895</v>
      </c>
      <c r="Q3649" s="22" t="str">
        <f>"+0.26%"</f>
        <v>+0.26%</v>
      </c>
      <c r="R3649" s="18" t="str">
        <f>"+0.52%"</f>
        <v>+0.52%</v>
      </c>
      <c r="S3649" s="14" t="s">
        <v>2097</v>
      </c>
    </row>
    <row r="3650">
      <c r="A3650" s="13">
        <v>45901.0</v>
      </c>
      <c r="B3650" s="14" t="s">
        <v>47</v>
      </c>
      <c r="C3650" s="14" t="s">
        <v>48</v>
      </c>
      <c r="D3650" s="14" t="s">
        <v>87</v>
      </c>
      <c r="E3650" s="14" t="s">
        <v>88</v>
      </c>
      <c r="F3650" s="15" t="s">
        <v>51</v>
      </c>
      <c r="G3650" s="14" t="s">
        <v>89</v>
      </c>
      <c r="H3650" s="14" t="s">
        <v>90</v>
      </c>
      <c r="I3650" s="14" t="s">
        <v>59</v>
      </c>
      <c r="J3650" s="14" t="s">
        <v>200</v>
      </c>
      <c r="K3650" s="14" t="s">
        <v>223</v>
      </c>
      <c r="L3650" s="14" t="s">
        <v>710</v>
      </c>
      <c r="M3650" s="14" t="s">
        <v>806</v>
      </c>
      <c r="N3650" s="14" t="s">
        <v>807</v>
      </c>
      <c r="O3650" s="14">
        <v>0.0</v>
      </c>
      <c r="P3650" s="23">
        <v>0.0</v>
      </c>
      <c r="Q3650" s="22" t="str">
        <f t="shared" ref="Q3650:R3650" si="2178">"+0.00%"</f>
        <v>+0.00%</v>
      </c>
      <c r="R3650" s="18" t="str">
        <f t="shared" si="2178"/>
        <v>+0.00%</v>
      </c>
      <c r="S3650" s="14" t="s">
        <v>285</v>
      </c>
    </row>
    <row r="3651">
      <c r="A3651" s="13">
        <v>45901.0</v>
      </c>
      <c r="B3651" s="14" t="s">
        <v>47</v>
      </c>
      <c r="C3651" s="14" t="s">
        <v>48</v>
      </c>
      <c r="D3651" s="14" t="s">
        <v>192</v>
      </c>
      <c r="E3651" s="14" t="s">
        <v>193</v>
      </c>
      <c r="F3651" s="15" t="s">
        <v>51</v>
      </c>
      <c r="G3651" s="14" t="s">
        <v>194</v>
      </c>
      <c r="H3651" s="14" t="s">
        <v>192</v>
      </c>
      <c r="I3651" s="14" t="s">
        <v>54</v>
      </c>
      <c r="J3651" s="14" t="s">
        <v>200</v>
      </c>
      <c r="K3651" s="14" t="s">
        <v>231</v>
      </c>
      <c r="L3651" s="14" t="s">
        <v>751</v>
      </c>
      <c r="M3651" s="14" t="s">
        <v>1051</v>
      </c>
      <c r="N3651" s="14" t="s">
        <v>1052</v>
      </c>
      <c r="O3651" s="14">
        <v>0.0</v>
      </c>
      <c r="P3651" s="21">
        <v>0.0</v>
      </c>
      <c r="Q3651" s="22" t="str">
        <f t="shared" ref="Q3651:R3651" si="2179">"+0"</f>
        <v>+0</v>
      </c>
      <c r="R3651" s="18" t="str">
        <f t="shared" si="2179"/>
        <v>+0</v>
      </c>
      <c r="S3651" s="14" t="s">
        <v>260</v>
      </c>
    </row>
    <row r="3652">
      <c r="A3652" s="13">
        <v>45901.0</v>
      </c>
      <c r="B3652" s="14" t="s">
        <v>47</v>
      </c>
      <c r="C3652" s="14" t="s">
        <v>48</v>
      </c>
      <c r="D3652" s="14" t="s">
        <v>85</v>
      </c>
      <c r="E3652" s="14" t="s">
        <v>86</v>
      </c>
      <c r="F3652" s="15" t="s">
        <v>51</v>
      </c>
      <c r="G3652" s="14" t="s">
        <v>148</v>
      </c>
      <c r="H3652" s="14" t="s">
        <v>85</v>
      </c>
      <c r="I3652" s="14" t="s">
        <v>59</v>
      </c>
      <c r="J3652" s="14" t="s">
        <v>198</v>
      </c>
      <c r="K3652" s="14" t="s">
        <v>205</v>
      </c>
      <c r="L3652" s="14" t="s">
        <v>274</v>
      </c>
      <c r="M3652" s="14" t="s">
        <v>473</v>
      </c>
      <c r="N3652" s="14" t="s">
        <v>474</v>
      </c>
      <c r="O3652" s="14">
        <v>28.0</v>
      </c>
      <c r="P3652" s="21">
        <v>0.0</v>
      </c>
      <c r="Q3652" s="22" t="str">
        <f t="shared" ref="Q3652:Q3653" si="2180">"+0"</f>
        <v>+0</v>
      </c>
      <c r="S3652" s="14" t="s">
        <v>475</v>
      </c>
    </row>
    <row r="3653">
      <c r="A3653" s="13">
        <v>45901.0</v>
      </c>
      <c r="B3653" s="14" t="s">
        <v>47</v>
      </c>
      <c r="C3653" s="14" t="s">
        <v>48</v>
      </c>
      <c r="D3653" s="14" t="s">
        <v>60</v>
      </c>
      <c r="E3653" s="14" t="s">
        <v>61</v>
      </c>
      <c r="F3653" s="15" t="s">
        <v>51</v>
      </c>
      <c r="G3653" s="14" t="s">
        <v>62</v>
      </c>
      <c r="H3653" s="14" t="s">
        <v>60</v>
      </c>
      <c r="I3653" s="14" t="s">
        <v>59</v>
      </c>
      <c r="J3653" s="14" t="s">
        <v>199</v>
      </c>
      <c r="K3653" s="14" t="s">
        <v>206</v>
      </c>
      <c r="L3653" s="14" t="s">
        <v>295</v>
      </c>
      <c r="M3653" s="14" t="s">
        <v>529</v>
      </c>
      <c r="N3653" s="14" t="s">
        <v>530</v>
      </c>
      <c r="O3653" s="14">
        <v>100.0</v>
      </c>
      <c r="P3653" s="21">
        <v>1.0</v>
      </c>
      <c r="Q3653" s="22" t="str">
        <f t="shared" si="2180"/>
        <v>+0</v>
      </c>
      <c r="R3653" s="18" t="str">
        <f>"+0"</f>
        <v>+0</v>
      </c>
      <c r="S3653" s="14" t="s">
        <v>260</v>
      </c>
    </row>
    <row r="3654">
      <c r="A3654" s="13">
        <v>45901.0</v>
      </c>
      <c r="B3654" s="14" t="s">
        <v>47</v>
      </c>
      <c r="C3654" s="14" t="s">
        <v>48</v>
      </c>
      <c r="D3654" s="14" t="s">
        <v>63</v>
      </c>
      <c r="E3654" s="14" t="s">
        <v>64</v>
      </c>
      <c r="F3654" s="15" t="s">
        <v>51</v>
      </c>
      <c r="G3654" s="14" t="s">
        <v>65</v>
      </c>
      <c r="H3654" s="14" t="s">
        <v>63</v>
      </c>
      <c r="I3654" s="14" t="s">
        <v>54</v>
      </c>
      <c r="J3654" s="14" t="s">
        <v>200</v>
      </c>
      <c r="K3654" s="14" t="s">
        <v>245</v>
      </c>
      <c r="L3654" s="14" t="s">
        <v>253</v>
      </c>
      <c r="M3654" s="14" t="s">
        <v>1700</v>
      </c>
      <c r="N3654" s="14" t="s">
        <v>1701</v>
      </c>
      <c r="O3654" s="14">
        <v>1.0</v>
      </c>
      <c r="P3654" s="23">
        <v>0.0095</v>
      </c>
      <c r="Q3654" s="22" t="str">
        <f>"+0.41%"</f>
        <v>+0.41%</v>
      </c>
      <c r="R3654" s="18" t="str">
        <f>"+0.92%"</f>
        <v>+0.92%</v>
      </c>
      <c r="S3654" s="14" t="s">
        <v>2098</v>
      </c>
    </row>
    <row r="3655">
      <c r="A3655" s="13">
        <v>45901.0</v>
      </c>
      <c r="B3655" s="14" t="s">
        <v>47</v>
      </c>
      <c r="C3655" s="14" t="s">
        <v>48</v>
      </c>
      <c r="D3655" s="14" t="s">
        <v>192</v>
      </c>
      <c r="E3655" s="14" t="s">
        <v>193</v>
      </c>
      <c r="F3655" s="15" t="s">
        <v>51</v>
      </c>
      <c r="G3655" s="14" t="s">
        <v>194</v>
      </c>
      <c r="H3655" s="14" t="s">
        <v>192</v>
      </c>
      <c r="I3655" s="14" t="s">
        <v>54</v>
      </c>
      <c r="J3655" s="14" t="s">
        <v>200</v>
      </c>
      <c r="K3655" s="14" t="s">
        <v>223</v>
      </c>
      <c r="L3655" s="14" t="s">
        <v>363</v>
      </c>
      <c r="M3655" s="14" t="s">
        <v>379</v>
      </c>
      <c r="N3655" s="14" t="s">
        <v>380</v>
      </c>
      <c r="O3655" s="14">
        <v>0.0</v>
      </c>
      <c r="P3655" s="21">
        <v>0.0</v>
      </c>
      <c r="Q3655" s="22" t="str">
        <f t="shared" ref="Q3655:R3655" si="2181">"+0"</f>
        <v>+0</v>
      </c>
      <c r="R3655" s="18" t="str">
        <f t="shared" si="2181"/>
        <v>+0</v>
      </c>
      <c r="S3655" s="14" t="s">
        <v>260</v>
      </c>
    </row>
    <row r="3656">
      <c r="A3656" s="13">
        <v>45901.0</v>
      </c>
      <c r="B3656" s="14" t="s">
        <v>47</v>
      </c>
      <c r="C3656" s="14" t="s">
        <v>48</v>
      </c>
      <c r="D3656" s="14" t="s">
        <v>192</v>
      </c>
      <c r="E3656" s="14" t="s">
        <v>193</v>
      </c>
      <c r="F3656" s="15" t="s">
        <v>51</v>
      </c>
      <c r="G3656" s="14" t="s">
        <v>194</v>
      </c>
      <c r="H3656" s="14" t="s">
        <v>192</v>
      </c>
      <c r="I3656" s="14" t="s">
        <v>54</v>
      </c>
      <c r="J3656" s="14" t="s">
        <v>199</v>
      </c>
      <c r="K3656" s="14" t="s">
        <v>206</v>
      </c>
      <c r="L3656" s="14" t="s">
        <v>268</v>
      </c>
      <c r="M3656" s="14" t="s">
        <v>268</v>
      </c>
      <c r="N3656" s="14" t="s">
        <v>269</v>
      </c>
      <c r="O3656" s="14">
        <v>80.0</v>
      </c>
      <c r="P3656" s="21">
        <v>2.0</v>
      </c>
      <c r="Q3656" s="22" t="str">
        <f t="shared" ref="Q3656:R3656" si="2182">"+1"</f>
        <v>+1</v>
      </c>
      <c r="R3656" s="18" t="str">
        <f t="shared" si="2182"/>
        <v>+1</v>
      </c>
      <c r="S3656" s="14" t="s">
        <v>260</v>
      </c>
    </row>
    <row r="3657">
      <c r="A3657" s="13">
        <v>45901.0</v>
      </c>
      <c r="B3657" s="14" t="s">
        <v>47</v>
      </c>
      <c r="C3657" s="14" t="s">
        <v>48</v>
      </c>
      <c r="D3657" s="14" t="s">
        <v>192</v>
      </c>
      <c r="E3657" s="14" t="s">
        <v>193</v>
      </c>
      <c r="F3657" s="15" t="s">
        <v>51</v>
      </c>
      <c r="G3657" s="14" t="s">
        <v>194</v>
      </c>
      <c r="H3657" s="14" t="s">
        <v>192</v>
      </c>
      <c r="I3657" s="14" t="s">
        <v>54</v>
      </c>
      <c r="J3657" s="14" t="s">
        <v>200</v>
      </c>
      <c r="K3657" s="14" t="s">
        <v>231</v>
      </c>
      <c r="L3657" s="14" t="s">
        <v>512</v>
      </c>
      <c r="M3657" s="14" t="s">
        <v>1327</v>
      </c>
      <c r="N3657" s="14" t="s">
        <v>1328</v>
      </c>
      <c r="O3657" s="14">
        <v>0.0</v>
      </c>
      <c r="P3657" s="21">
        <v>0.0</v>
      </c>
      <c r="Q3657" s="22" t="str">
        <f t="shared" ref="Q3657:R3657" si="2183">"+0"</f>
        <v>+0</v>
      </c>
      <c r="R3657" s="18" t="str">
        <f t="shared" si="2183"/>
        <v>+0</v>
      </c>
      <c r="S3657" s="14" t="s">
        <v>260</v>
      </c>
    </row>
    <row r="3658">
      <c r="A3658" s="13">
        <v>45901.0</v>
      </c>
      <c r="B3658" s="14" t="s">
        <v>47</v>
      </c>
      <c r="C3658" s="14" t="s">
        <v>48</v>
      </c>
      <c r="D3658" s="14" t="s">
        <v>192</v>
      </c>
      <c r="E3658" s="14" t="s">
        <v>193</v>
      </c>
      <c r="F3658" s="15" t="s">
        <v>51</v>
      </c>
      <c r="G3658" s="14" t="s">
        <v>194</v>
      </c>
      <c r="H3658" s="14" t="s">
        <v>192</v>
      </c>
      <c r="I3658" s="14" t="s">
        <v>54</v>
      </c>
      <c r="J3658" s="14" t="s">
        <v>198</v>
      </c>
      <c r="K3658" s="14" t="s">
        <v>210</v>
      </c>
      <c r="L3658" s="14" t="s">
        <v>264</v>
      </c>
      <c r="M3658" s="14" t="s">
        <v>1274</v>
      </c>
      <c r="N3658" s="14" t="s">
        <v>1275</v>
      </c>
      <c r="O3658" s="14">
        <v>0.0</v>
      </c>
      <c r="P3658" s="21">
        <v>0.0</v>
      </c>
      <c r="Q3658" s="22" t="str">
        <f t="shared" ref="Q3658:R3658" si="2184">"+0"</f>
        <v>+0</v>
      </c>
      <c r="R3658" s="18" t="str">
        <f t="shared" si="2184"/>
        <v>+0</v>
      </c>
      <c r="S3658" s="14" t="s">
        <v>277</v>
      </c>
    </row>
    <row r="3659">
      <c r="A3659" s="13">
        <v>45901.0</v>
      </c>
      <c r="B3659" s="14" t="s">
        <v>47</v>
      </c>
      <c r="C3659" s="14" t="s">
        <v>48</v>
      </c>
      <c r="D3659" s="14" t="s">
        <v>192</v>
      </c>
      <c r="E3659" s="14" t="s">
        <v>193</v>
      </c>
      <c r="F3659" s="15" t="s">
        <v>51</v>
      </c>
      <c r="G3659" s="14" t="s">
        <v>194</v>
      </c>
      <c r="H3659" s="14" t="s">
        <v>192</v>
      </c>
      <c r="I3659" s="14" t="s">
        <v>54</v>
      </c>
      <c r="J3659" s="14" t="s">
        <v>199</v>
      </c>
      <c r="K3659" s="14" t="s">
        <v>206</v>
      </c>
      <c r="L3659" s="14" t="s">
        <v>295</v>
      </c>
      <c r="M3659" s="14" t="s">
        <v>651</v>
      </c>
      <c r="N3659" s="14" t="s">
        <v>652</v>
      </c>
      <c r="O3659" s="14">
        <v>0.0</v>
      </c>
      <c r="P3659" s="21">
        <v>0.0</v>
      </c>
      <c r="Q3659" s="22" t="str">
        <f t="shared" ref="Q3659:R3659" si="2185">"+0"</f>
        <v>+0</v>
      </c>
      <c r="R3659" s="18" t="str">
        <f t="shared" si="2185"/>
        <v>+0</v>
      </c>
      <c r="S3659" s="14" t="s">
        <v>260</v>
      </c>
    </row>
    <row r="3660">
      <c r="A3660" s="13">
        <v>45901.0</v>
      </c>
      <c r="B3660" s="14" t="s">
        <v>47</v>
      </c>
      <c r="C3660" s="14" t="s">
        <v>48</v>
      </c>
      <c r="D3660" s="14" t="s">
        <v>93</v>
      </c>
      <c r="E3660" s="14" t="s">
        <v>94</v>
      </c>
      <c r="F3660" s="14" t="s">
        <v>71</v>
      </c>
      <c r="G3660" s="14">
        <v>5.36001438E8</v>
      </c>
      <c r="H3660" s="14" t="s">
        <v>95</v>
      </c>
      <c r="I3660" s="14" t="s">
        <v>59</v>
      </c>
      <c r="J3660" s="14" t="s">
        <v>200</v>
      </c>
      <c r="K3660" s="14" t="s">
        <v>220</v>
      </c>
      <c r="L3660" s="14" t="s">
        <v>253</v>
      </c>
      <c r="M3660" s="14" t="s">
        <v>1449</v>
      </c>
      <c r="N3660" s="14" t="s">
        <v>1450</v>
      </c>
      <c r="O3660" s="14">
        <v>1.0</v>
      </c>
      <c r="P3660" s="23">
        <v>0.0177</v>
      </c>
      <c r="Q3660" s="22" t="str">
        <f t="shared" ref="Q3660:Q3661" si="2186">"+0.00%"</f>
        <v>+0.00%</v>
      </c>
      <c r="R3660" s="18" t="str">
        <f>"+0.02%"</f>
        <v>+0.02%</v>
      </c>
      <c r="S3660" s="14" t="s">
        <v>2099</v>
      </c>
    </row>
    <row r="3661">
      <c r="A3661" s="13">
        <v>45901.0</v>
      </c>
      <c r="B3661" s="14" t="s">
        <v>47</v>
      </c>
      <c r="C3661" s="14" t="s">
        <v>48</v>
      </c>
      <c r="D3661" s="14" t="s">
        <v>82</v>
      </c>
      <c r="E3661" s="14" t="s">
        <v>83</v>
      </c>
      <c r="F3661" s="15" t="s">
        <v>51</v>
      </c>
      <c r="G3661" s="14" t="s">
        <v>84</v>
      </c>
      <c r="H3661" s="14" t="s">
        <v>82</v>
      </c>
      <c r="I3661" s="14" t="s">
        <v>59</v>
      </c>
      <c r="J3661" s="14" t="s">
        <v>200</v>
      </c>
      <c r="K3661" s="14" t="s">
        <v>201</v>
      </c>
      <c r="L3661" s="14" t="s">
        <v>253</v>
      </c>
      <c r="M3661" s="14" t="s">
        <v>538</v>
      </c>
      <c r="N3661" s="14" t="s">
        <v>539</v>
      </c>
      <c r="O3661" s="14">
        <v>1.0</v>
      </c>
      <c r="P3661" s="23">
        <v>4.0E-4</v>
      </c>
      <c r="Q3661" s="22" t="str">
        <f t="shared" si="2186"/>
        <v>+0.00%</v>
      </c>
      <c r="R3661" s="18" t="str">
        <f>"+0.01%"</f>
        <v>+0.01%</v>
      </c>
      <c r="S3661" s="14" t="s">
        <v>1667</v>
      </c>
    </row>
    <row r="3662">
      <c r="A3662" s="13">
        <v>45901.0</v>
      </c>
      <c r="B3662" s="14" t="s">
        <v>47</v>
      </c>
      <c r="C3662" s="14" t="s">
        <v>48</v>
      </c>
      <c r="D3662" s="14" t="s">
        <v>184</v>
      </c>
      <c r="E3662" s="14" t="s">
        <v>185</v>
      </c>
      <c r="F3662" s="15" t="s">
        <v>51</v>
      </c>
      <c r="G3662" s="14" t="s">
        <v>186</v>
      </c>
      <c r="H3662" s="14" t="s">
        <v>187</v>
      </c>
      <c r="I3662" s="14" t="s">
        <v>59</v>
      </c>
      <c r="J3662" s="14" t="s">
        <v>200</v>
      </c>
      <c r="K3662" s="14" t="s">
        <v>201</v>
      </c>
      <c r="L3662" s="14" t="s">
        <v>253</v>
      </c>
      <c r="M3662" s="14" t="s">
        <v>538</v>
      </c>
      <c r="N3662" s="14" t="s">
        <v>539</v>
      </c>
      <c r="O3662" s="14">
        <v>1.0</v>
      </c>
      <c r="P3662" s="23">
        <v>0.0108</v>
      </c>
      <c r="Q3662" s="22" t="str">
        <f>"-0.09%"</f>
        <v>-0.09%</v>
      </c>
      <c r="R3662" s="18" t="str">
        <f>"-0.30%"</f>
        <v>-0.30%</v>
      </c>
      <c r="S3662" s="14" t="s">
        <v>1732</v>
      </c>
    </row>
    <row r="3663">
      <c r="A3663" s="13">
        <v>45901.0</v>
      </c>
      <c r="B3663" s="14" t="s">
        <v>47</v>
      </c>
      <c r="C3663" s="14" t="s">
        <v>48</v>
      </c>
      <c r="D3663" s="14" t="s">
        <v>66</v>
      </c>
      <c r="E3663" s="14" t="s">
        <v>67</v>
      </c>
      <c r="F3663" s="15" t="s">
        <v>51</v>
      </c>
      <c r="G3663" s="14" t="s">
        <v>68</v>
      </c>
      <c r="H3663" s="14" t="s">
        <v>66</v>
      </c>
      <c r="I3663" s="14" t="s">
        <v>59</v>
      </c>
      <c r="J3663" s="14" t="s">
        <v>200</v>
      </c>
      <c r="K3663" s="14" t="s">
        <v>231</v>
      </c>
      <c r="L3663" s="14" t="s">
        <v>372</v>
      </c>
      <c r="M3663" s="14" t="s">
        <v>2020</v>
      </c>
      <c r="N3663" s="14" t="s">
        <v>2021</v>
      </c>
      <c r="O3663" s="14">
        <v>0.0</v>
      </c>
      <c r="P3663" s="21">
        <v>0.0</v>
      </c>
      <c r="Q3663" s="22" t="str">
        <f t="shared" ref="Q3663:R3663" si="2187">"+0"</f>
        <v>+0</v>
      </c>
      <c r="R3663" s="18" t="str">
        <f t="shared" si="2187"/>
        <v>+0</v>
      </c>
      <c r="S3663" s="14" t="s">
        <v>260</v>
      </c>
    </row>
    <row r="3664">
      <c r="A3664" s="13">
        <v>45901.0</v>
      </c>
      <c r="B3664" s="14" t="s">
        <v>47</v>
      </c>
      <c r="C3664" s="14" t="s">
        <v>48</v>
      </c>
      <c r="D3664" s="14" t="s">
        <v>103</v>
      </c>
      <c r="E3664" s="14" t="s">
        <v>104</v>
      </c>
      <c r="F3664" s="15" t="s">
        <v>51</v>
      </c>
      <c r="G3664" s="14" t="s">
        <v>105</v>
      </c>
      <c r="H3664" s="14" t="s">
        <v>106</v>
      </c>
      <c r="I3664" s="14" t="s">
        <v>59</v>
      </c>
      <c r="J3664" s="14" t="s">
        <v>200</v>
      </c>
      <c r="K3664" s="14" t="s">
        <v>232</v>
      </c>
      <c r="L3664" s="14" t="s">
        <v>304</v>
      </c>
      <c r="M3664" s="14" t="s">
        <v>688</v>
      </c>
      <c r="N3664" s="14" t="s">
        <v>689</v>
      </c>
      <c r="O3664" s="14">
        <v>54.0</v>
      </c>
      <c r="P3664" s="23">
        <v>0.5455</v>
      </c>
      <c r="Q3664" s="22" t="str">
        <f>"-2.60%"</f>
        <v>-2.60%</v>
      </c>
      <c r="R3664" s="18" t="str">
        <f>"-7.95%"</f>
        <v>-7.95%</v>
      </c>
      <c r="S3664" s="14" t="s">
        <v>2100</v>
      </c>
    </row>
    <row r="3665">
      <c r="A3665" s="13">
        <v>45901.0</v>
      </c>
      <c r="B3665" s="14" t="s">
        <v>47</v>
      </c>
      <c r="C3665" s="14" t="s">
        <v>48</v>
      </c>
      <c r="D3665" s="14" t="s">
        <v>87</v>
      </c>
      <c r="E3665" s="14" t="s">
        <v>88</v>
      </c>
      <c r="F3665" s="14" t="s">
        <v>71</v>
      </c>
      <c r="G3665" s="14">
        <v>5.46000941E8</v>
      </c>
      <c r="H3665" s="14" t="s">
        <v>90</v>
      </c>
      <c r="I3665" s="14" t="s">
        <v>107</v>
      </c>
      <c r="J3665" s="14" t="s">
        <v>200</v>
      </c>
      <c r="K3665" s="14" t="s">
        <v>218</v>
      </c>
      <c r="L3665" s="14" t="s">
        <v>253</v>
      </c>
      <c r="M3665" s="14" t="s">
        <v>784</v>
      </c>
      <c r="N3665" s="14" t="s">
        <v>785</v>
      </c>
      <c r="O3665" s="14">
        <v>1.0</v>
      </c>
      <c r="P3665" s="23">
        <v>0.0169</v>
      </c>
      <c r="Q3665" s="22" t="str">
        <f>"+0.07%"</f>
        <v>+0.07%</v>
      </c>
      <c r="R3665" s="18" t="str">
        <f>"+0.97%"</f>
        <v>+0.97%</v>
      </c>
      <c r="S3665" s="14" t="s">
        <v>1345</v>
      </c>
    </row>
    <row r="3666">
      <c r="A3666" s="13">
        <v>45901.0</v>
      </c>
      <c r="B3666" s="14" t="s">
        <v>47</v>
      </c>
      <c r="C3666" s="14" t="s">
        <v>48</v>
      </c>
      <c r="D3666" s="14" t="s">
        <v>149</v>
      </c>
      <c r="E3666" s="14" t="s">
        <v>150</v>
      </c>
      <c r="F3666" s="15" t="s">
        <v>51</v>
      </c>
      <c r="G3666" s="14" t="s">
        <v>151</v>
      </c>
      <c r="H3666" s="14" t="s">
        <v>152</v>
      </c>
      <c r="I3666" s="14" t="s">
        <v>54</v>
      </c>
      <c r="J3666" s="14" t="s">
        <v>200</v>
      </c>
      <c r="K3666" s="14" t="s">
        <v>223</v>
      </c>
      <c r="L3666" s="14" t="s">
        <v>307</v>
      </c>
      <c r="M3666" s="14" t="s">
        <v>502</v>
      </c>
      <c r="N3666" s="14" t="s">
        <v>503</v>
      </c>
      <c r="O3666" s="14">
        <v>1.0</v>
      </c>
      <c r="P3666" s="23">
        <v>0.0022</v>
      </c>
      <c r="Q3666" s="22" t="str">
        <f>"-0.00%"</f>
        <v>-0.00%</v>
      </c>
      <c r="R3666" s="18" t="str">
        <f>"+0.09%"</f>
        <v>+0.09%</v>
      </c>
      <c r="S3666" s="14" t="s">
        <v>2101</v>
      </c>
    </row>
    <row r="3667">
      <c r="A3667" s="13">
        <v>45901.0</v>
      </c>
      <c r="B3667" s="14" t="s">
        <v>47</v>
      </c>
      <c r="C3667" s="14" t="s">
        <v>48</v>
      </c>
      <c r="D3667" s="14" t="s">
        <v>129</v>
      </c>
      <c r="E3667" s="14" t="s">
        <v>130</v>
      </c>
      <c r="F3667" s="15" t="s">
        <v>51</v>
      </c>
      <c r="G3667" s="14" t="s">
        <v>131</v>
      </c>
      <c r="H3667" s="14" t="s">
        <v>129</v>
      </c>
      <c r="I3667" s="14" t="s">
        <v>59</v>
      </c>
      <c r="J3667" s="14" t="s">
        <v>200</v>
      </c>
      <c r="K3667" s="14" t="s">
        <v>213</v>
      </c>
      <c r="L3667" s="14" t="s">
        <v>571</v>
      </c>
      <c r="M3667" s="14" t="s">
        <v>578</v>
      </c>
      <c r="N3667" s="14" t="s">
        <v>579</v>
      </c>
      <c r="O3667" s="14">
        <v>0.0</v>
      </c>
      <c r="P3667" s="23">
        <v>0.0</v>
      </c>
      <c r="Q3667" s="22" t="str">
        <f t="shared" ref="Q3667:R3667" si="2188">"+0.00%"</f>
        <v>+0.00%</v>
      </c>
      <c r="R3667" s="18" t="str">
        <f t="shared" si="2188"/>
        <v>+0.00%</v>
      </c>
      <c r="S3667" s="14" t="s">
        <v>285</v>
      </c>
    </row>
    <row r="3668">
      <c r="A3668" s="13">
        <v>45901.0</v>
      </c>
      <c r="B3668" s="14" t="s">
        <v>47</v>
      </c>
      <c r="C3668" s="14" t="s">
        <v>48</v>
      </c>
      <c r="D3668" s="14" t="s">
        <v>87</v>
      </c>
      <c r="E3668" s="14" t="s">
        <v>88</v>
      </c>
      <c r="F3668" s="15" t="s">
        <v>51</v>
      </c>
      <c r="G3668" s="14" t="s">
        <v>89</v>
      </c>
      <c r="H3668" s="14" t="s">
        <v>90</v>
      </c>
      <c r="I3668" s="14" t="s">
        <v>59</v>
      </c>
      <c r="J3668" s="14" t="s">
        <v>200</v>
      </c>
      <c r="K3668" s="14" t="s">
        <v>209</v>
      </c>
      <c r="L3668" s="14" t="s">
        <v>253</v>
      </c>
      <c r="M3668" s="14" t="s">
        <v>402</v>
      </c>
      <c r="N3668" s="14" t="s">
        <v>403</v>
      </c>
      <c r="O3668" s="14">
        <v>13.0</v>
      </c>
      <c r="P3668" s="23">
        <v>0.1389</v>
      </c>
      <c r="Q3668" s="22" t="str">
        <f>"+0.48%"</f>
        <v>+0.48%</v>
      </c>
      <c r="R3668" s="18" t="str">
        <f>"+1.40%"</f>
        <v>+1.40%</v>
      </c>
      <c r="S3668" s="14" t="s">
        <v>2102</v>
      </c>
    </row>
    <row r="3669">
      <c r="A3669" s="13">
        <v>45901.0</v>
      </c>
      <c r="B3669" s="14" t="s">
        <v>47</v>
      </c>
      <c r="C3669" s="14" t="s">
        <v>48</v>
      </c>
      <c r="D3669" s="14" t="s">
        <v>87</v>
      </c>
      <c r="E3669" s="14" t="s">
        <v>88</v>
      </c>
      <c r="F3669" s="15" t="s">
        <v>51</v>
      </c>
      <c r="G3669" s="14" t="s">
        <v>89</v>
      </c>
      <c r="H3669" s="14" t="s">
        <v>90</v>
      </c>
      <c r="I3669" s="14" t="s">
        <v>59</v>
      </c>
      <c r="J3669" s="14" t="s">
        <v>200</v>
      </c>
      <c r="K3669" s="14" t="s">
        <v>223</v>
      </c>
      <c r="L3669" s="14" t="s">
        <v>487</v>
      </c>
      <c r="M3669" s="14" t="s">
        <v>488</v>
      </c>
      <c r="N3669" s="14" t="s">
        <v>489</v>
      </c>
      <c r="O3669" s="14">
        <v>0.0</v>
      </c>
      <c r="P3669" s="21">
        <v>0.0</v>
      </c>
      <c r="Q3669" s="22" t="str">
        <f t="shared" ref="Q3669:R3669" si="2189">"+0"</f>
        <v>+0</v>
      </c>
      <c r="R3669" s="18" t="str">
        <f t="shared" si="2189"/>
        <v>+0</v>
      </c>
      <c r="S3669" s="14" t="s">
        <v>260</v>
      </c>
    </row>
    <row r="3670">
      <c r="A3670" s="13">
        <v>45901.0</v>
      </c>
      <c r="B3670" s="14" t="s">
        <v>47</v>
      </c>
      <c r="C3670" s="14" t="s">
        <v>48</v>
      </c>
      <c r="D3670" s="14" t="s">
        <v>125</v>
      </c>
      <c r="E3670" s="14" t="s">
        <v>126</v>
      </c>
      <c r="F3670" s="15" t="s">
        <v>51</v>
      </c>
      <c r="G3670" s="14" t="s">
        <v>127</v>
      </c>
      <c r="H3670" s="14" t="s">
        <v>125</v>
      </c>
      <c r="I3670" s="14" t="s">
        <v>59</v>
      </c>
      <c r="J3670" s="14" t="s">
        <v>198</v>
      </c>
      <c r="K3670" s="14" t="s">
        <v>212</v>
      </c>
      <c r="L3670" s="14" t="s">
        <v>344</v>
      </c>
      <c r="M3670" s="14" t="s">
        <v>580</v>
      </c>
      <c r="N3670" s="14" t="s">
        <v>581</v>
      </c>
      <c r="O3670" s="14">
        <v>100.0</v>
      </c>
      <c r="P3670" s="21">
        <v>1.0</v>
      </c>
      <c r="Q3670" s="22" t="str">
        <f>"+1"</f>
        <v>+1</v>
      </c>
      <c r="S3670" s="14" t="s">
        <v>281</v>
      </c>
    </row>
    <row r="3671">
      <c r="A3671" s="13">
        <v>45901.0</v>
      </c>
      <c r="B3671" s="14" t="s">
        <v>47</v>
      </c>
      <c r="C3671" s="14" t="s">
        <v>48</v>
      </c>
      <c r="D3671" s="14" t="s">
        <v>108</v>
      </c>
      <c r="E3671" s="14" t="s">
        <v>109</v>
      </c>
      <c r="F3671" s="15" t="s">
        <v>51</v>
      </c>
      <c r="G3671" s="14" t="s">
        <v>110</v>
      </c>
      <c r="H3671" s="14" t="s">
        <v>108</v>
      </c>
      <c r="I3671" s="14" t="s">
        <v>59</v>
      </c>
      <c r="J3671" s="14" t="s">
        <v>198</v>
      </c>
      <c r="K3671" s="14" t="s">
        <v>210</v>
      </c>
      <c r="L3671" s="14" t="s">
        <v>264</v>
      </c>
      <c r="M3671" s="14" t="s">
        <v>407</v>
      </c>
      <c r="N3671" s="14" t="s">
        <v>408</v>
      </c>
      <c r="O3671" s="14">
        <v>100.0</v>
      </c>
      <c r="P3671" s="21">
        <v>0.0</v>
      </c>
      <c r="Q3671" s="22" t="str">
        <f t="shared" ref="Q3671:R3671" si="2190">"+0"</f>
        <v>+0</v>
      </c>
      <c r="R3671" s="18" t="str">
        <f t="shared" si="2190"/>
        <v>+0</v>
      </c>
      <c r="S3671" s="14" t="s">
        <v>281</v>
      </c>
    </row>
    <row r="3672">
      <c r="A3672" s="13">
        <v>45901.0</v>
      </c>
      <c r="B3672" s="14" t="s">
        <v>47</v>
      </c>
      <c r="C3672" s="14" t="s">
        <v>48</v>
      </c>
      <c r="D3672" s="14" t="s">
        <v>77</v>
      </c>
      <c r="E3672" s="14" t="s">
        <v>78</v>
      </c>
      <c r="F3672" s="14" t="s">
        <v>79</v>
      </c>
      <c r="G3672" s="14" t="s">
        <v>80</v>
      </c>
      <c r="H3672" s="14" t="s">
        <v>81</v>
      </c>
      <c r="J3672" s="14" t="s">
        <v>200</v>
      </c>
      <c r="K3672" s="14" t="s">
        <v>237</v>
      </c>
      <c r="L3672" s="14" t="s">
        <v>333</v>
      </c>
      <c r="M3672" s="14" t="s">
        <v>1820</v>
      </c>
      <c r="N3672" s="14" t="s">
        <v>1821</v>
      </c>
      <c r="O3672" s="14">
        <v>0.0</v>
      </c>
      <c r="P3672" s="23">
        <v>-1.0</v>
      </c>
      <c r="Q3672" s="22" t="str">
        <f t="shared" ref="Q3672:R3672" si="2191">"+0.00%"</f>
        <v>+0.00%</v>
      </c>
      <c r="R3672" s="18" t="str">
        <f t="shared" si="2191"/>
        <v>+0.00%</v>
      </c>
      <c r="S3672" s="14" t="s">
        <v>285</v>
      </c>
    </row>
    <row r="3673">
      <c r="A3673" s="13">
        <v>45901.0</v>
      </c>
      <c r="B3673" s="14" t="s">
        <v>47</v>
      </c>
      <c r="C3673" s="14" t="s">
        <v>48</v>
      </c>
      <c r="D3673" s="14" t="s">
        <v>158</v>
      </c>
      <c r="E3673" s="14" t="s">
        <v>159</v>
      </c>
      <c r="F3673" s="15" t="s">
        <v>51</v>
      </c>
      <c r="G3673" s="14" t="s">
        <v>160</v>
      </c>
      <c r="H3673" s="14" t="s">
        <v>158</v>
      </c>
      <c r="I3673" s="14" t="s">
        <v>54</v>
      </c>
      <c r="J3673" s="14" t="s">
        <v>198</v>
      </c>
      <c r="K3673" s="14" t="s">
        <v>210</v>
      </c>
      <c r="L3673" s="14" t="s">
        <v>264</v>
      </c>
      <c r="M3673" s="14" t="s">
        <v>1409</v>
      </c>
      <c r="N3673" s="14" t="s">
        <v>1410</v>
      </c>
      <c r="O3673" s="14">
        <v>0.0</v>
      </c>
      <c r="P3673" s="21">
        <v>0.0</v>
      </c>
      <c r="Q3673" s="22" t="str">
        <f t="shared" ref="Q3673:R3673" si="2192">"+0"</f>
        <v>+0</v>
      </c>
      <c r="R3673" s="18" t="str">
        <f t="shared" si="2192"/>
        <v>+0</v>
      </c>
      <c r="S3673" s="14" t="s">
        <v>277</v>
      </c>
    </row>
    <row r="3674">
      <c r="A3674" s="13">
        <v>45901.0</v>
      </c>
      <c r="B3674" s="14" t="s">
        <v>47</v>
      </c>
      <c r="C3674" s="14" t="s">
        <v>48</v>
      </c>
      <c r="D3674" s="14" t="s">
        <v>140</v>
      </c>
      <c r="E3674" s="14" t="s">
        <v>141</v>
      </c>
      <c r="F3674" s="15" t="s">
        <v>51</v>
      </c>
      <c r="G3674" s="14" t="s">
        <v>142</v>
      </c>
      <c r="H3674" s="14" t="s">
        <v>140</v>
      </c>
      <c r="I3674" s="14" t="s">
        <v>59</v>
      </c>
      <c r="J3674" s="14" t="s">
        <v>200</v>
      </c>
      <c r="K3674" s="14" t="s">
        <v>229</v>
      </c>
      <c r="L3674" s="14" t="s">
        <v>253</v>
      </c>
      <c r="M3674" s="14" t="s">
        <v>389</v>
      </c>
      <c r="N3674" s="14" t="s">
        <v>390</v>
      </c>
      <c r="O3674" s="14">
        <v>0.0</v>
      </c>
      <c r="P3674" s="23">
        <v>0.0</v>
      </c>
      <c r="Q3674" s="22" t="str">
        <f t="shared" ref="Q3674:R3674" si="2193">"+0.00%"</f>
        <v>+0.00%</v>
      </c>
      <c r="R3674" s="18" t="str">
        <f t="shared" si="2193"/>
        <v>+0.00%</v>
      </c>
      <c r="S3674" s="14" t="s">
        <v>546</v>
      </c>
    </row>
    <row r="3675">
      <c r="A3675" s="13">
        <v>45901.0</v>
      </c>
      <c r="B3675" s="14" t="s">
        <v>47</v>
      </c>
      <c r="C3675" s="14" t="s">
        <v>48</v>
      </c>
      <c r="D3675" s="14" t="s">
        <v>140</v>
      </c>
      <c r="E3675" s="14" t="s">
        <v>141</v>
      </c>
      <c r="F3675" s="15" t="s">
        <v>51</v>
      </c>
      <c r="G3675" s="14" t="s">
        <v>142</v>
      </c>
      <c r="H3675" s="14" t="s">
        <v>140</v>
      </c>
      <c r="I3675" s="14" t="s">
        <v>59</v>
      </c>
      <c r="J3675" s="14" t="s">
        <v>198</v>
      </c>
      <c r="K3675" s="14" t="s">
        <v>210</v>
      </c>
      <c r="L3675" s="14" t="s">
        <v>278</v>
      </c>
      <c r="M3675" s="14" t="s">
        <v>279</v>
      </c>
      <c r="N3675" s="14" t="s">
        <v>280</v>
      </c>
      <c r="O3675" s="14">
        <v>100.0</v>
      </c>
      <c r="P3675" s="21">
        <v>0.0</v>
      </c>
      <c r="Q3675" s="22" t="str">
        <f t="shared" ref="Q3675:R3675" si="2194">"+0"</f>
        <v>+0</v>
      </c>
      <c r="R3675" s="18" t="str">
        <f t="shared" si="2194"/>
        <v>+0</v>
      </c>
      <c r="S3675" s="14" t="s">
        <v>281</v>
      </c>
    </row>
    <row r="3676">
      <c r="A3676" s="13">
        <v>45901.0</v>
      </c>
      <c r="B3676" s="14" t="s">
        <v>47</v>
      </c>
      <c r="C3676" s="14" t="s">
        <v>48</v>
      </c>
      <c r="D3676" s="14" t="s">
        <v>165</v>
      </c>
      <c r="E3676" s="14" t="s">
        <v>166</v>
      </c>
      <c r="F3676" s="15" t="s">
        <v>51</v>
      </c>
      <c r="G3676" s="14" t="s">
        <v>167</v>
      </c>
      <c r="H3676" s="14" t="s">
        <v>165</v>
      </c>
      <c r="I3676" s="14" t="s">
        <v>54</v>
      </c>
      <c r="J3676" s="14" t="s">
        <v>198</v>
      </c>
      <c r="K3676" s="14" t="s">
        <v>205</v>
      </c>
      <c r="L3676" s="14" t="s">
        <v>274</v>
      </c>
      <c r="M3676" s="14" t="s">
        <v>275</v>
      </c>
      <c r="N3676" s="14" t="s">
        <v>276</v>
      </c>
      <c r="O3676" s="14">
        <v>0.0</v>
      </c>
      <c r="P3676" s="21">
        <v>1.0</v>
      </c>
      <c r="Q3676" s="22" t="str">
        <f t="shared" ref="Q3676:Q3677" si="2195">"+0"</f>
        <v>+0</v>
      </c>
      <c r="S3676" s="14" t="s">
        <v>277</v>
      </c>
    </row>
    <row r="3677">
      <c r="A3677" s="13">
        <v>45901.0</v>
      </c>
      <c r="B3677" s="14" t="s">
        <v>47</v>
      </c>
      <c r="C3677" s="14" t="s">
        <v>48</v>
      </c>
      <c r="D3677" s="14" t="s">
        <v>165</v>
      </c>
      <c r="E3677" s="14" t="s">
        <v>166</v>
      </c>
      <c r="F3677" s="15" t="s">
        <v>51</v>
      </c>
      <c r="G3677" s="14" t="s">
        <v>167</v>
      </c>
      <c r="H3677" s="14" t="s">
        <v>165</v>
      </c>
      <c r="I3677" s="14" t="s">
        <v>54</v>
      </c>
      <c r="J3677" s="14" t="s">
        <v>198</v>
      </c>
      <c r="K3677" s="14" t="s">
        <v>212</v>
      </c>
      <c r="L3677" s="14" t="s">
        <v>249</v>
      </c>
      <c r="M3677" s="14" t="s">
        <v>1406</v>
      </c>
      <c r="N3677" s="14" t="s">
        <v>1407</v>
      </c>
      <c r="O3677" s="14">
        <v>0.0</v>
      </c>
      <c r="P3677" s="21">
        <v>0.0</v>
      </c>
      <c r="Q3677" s="22" t="str">
        <f t="shared" si="2195"/>
        <v>+0</v>
      </c>
      <c r="R3677" s="18" t="str">
        <f>"+0"</f>
        <v>+0</v>
      </c>
      <c r="S3677" s="14" t="s">
        <v>277</v>
      </c>
    </row>
    <row r="3678">
      <c r="A3678" s="13">
        <v>45901.0</v>
      </c>
      <c r="B3678" s="14" t="s">
        <v>47</v>
      </c>
      <c r="C3678" s="14" t="s">
        <v>48</v>
      </c>
      <c r="D3678" s="14" t="s">
        <v>165</v>
      </c>
      <c r="E3678" s="14" t="s">
        <v>166</v>
      </c>
      <c r="F3678" s="15" t="s">
        <v>51</v>
      </c>
      <c r="G3678" s="14" t="s">
        <v>167</v>
      </c>
      <c r="H3678" s="14" t="s">
        <v>165</v>
      </c>
      <c r="I3678" s="14" t="s">
        <v>54</v>
      </c>
      <c r="J3678" s="14" t="s">
        <v>200</v>
      </c>
      <c r="K3678" s="14" t="s">
        <v>227</v>
      </c>
      <c r="L3678" s="14" t="s">
        <v>270</v>
      </c>
      <c r="M3678" s="14" t="s">
        <v>400</v>
      </c>
      <c r="N3678" s="14" t="s">
        <v>401</v>
      </c>
      <c r="O3678" s="14">
        <v>66.0</v>
      </c>
      <c r="P3678" s="21">
        <v>12.0</v>
      </c>
      <c r="Q3678" s="22" t="str">
        <f>"+8"</f>
        <v>+8</v>
      </c>
      <c r="R3678" s="18" t="str">
        <f>"+5"</f>
        <v>+5</v>
      </c>
      <c r="S3678" s="14" t="s">
        <v>260</v>
      </c>
    </row>
    <row r="3679">
      <c r="A3679" s="13">
        <v>45901.0</v>
      </c>
      <c r="B3679" s="14" t="s">
        <v>47</v>
      </c>
      <c r="C3679" s="14" t="s">
        <v>48</v>
      </c>
      <c r="D3679" s="14" t="s">
        <v>91</v>
      </c>
      <c r="E3679" s="14" t="s">
        <v>92</v>
      </c>
      <c r="F3679" s="14" t="s">
        <v>71</v>
      </c>
      <c r="G3679" s="14">
        <v>1.00004432E8</v>
      </c>
      <c r="H3679" s="14" t="s">
        <v>91</v>
      </c>
      <c r="I3679" s="14" t="s">
        <v>59</v>
      </c>
      <c r="J3679" s="14" t="s">
        <v>199</v>
      </c>
      <c r="K3679" s="14" t="s">
        <v>206</v>
      </c>
      <c r="L3679" s="14" t="s">
        <v>268</v>
      </c>
      <c r="M3679" s="14" t="s">
        <v>268</v>
      </c>
      <c r="N3679" s="14" t="s">
        <v>269</v>
      </c>
      <c r="O3679" s="14">
        <v>100.0</v>
      </c>
      <c r="P3679" s="21">
        <v>9.0</v>
      </c>
      <c r="Q3679" s="22" t="str">
        <f t="shared" ref="Q3679:R3679" si="2196">"+5"</f>
        <v>+5</v>
      </c>
      <c r="R3679" s="18" t="str">
        <f t="shared" si="2196"/>
        <v>+5</v>
      </c>
      <c r="S3679" s="14" t="s">
        <v>260</v>
      </c>
    </row>
    <row r="3680">
      <c r="A3680" s="13">
        <v>45901.0</v>
      </c>
      <c r="B3680" s="14" t="s">
        <v>47</v>
      </c>
      <c r="C3680" s="14" t="s">
        <v>48</v>
      </c>
      <c r="D3680" s="14" t="s">
        <v>99</v>
      </c>
      <c r="E3680" s="14" t="s">
        <v>100</v>
      </c>
      <c r="F3680" s="15" t="s">
        <v>51</v>
      </c>
      <c r="G3680" s="14" t="s">
        <v>101</v>
      </c>
      <c r="H3680" s="14" t="s">
        <v>102</v>
      </c>
      <c r="I3680" s="14" t="s">
        <v>54</v>
      </c>
      <c r="J3680" s="14" t="s">
        <v>198</v>
      </c>
      <c r="K3680" s="14" t="s">
        <v>210</v>
      </c>
      <c r="L3680" s="14" t="s">
        <v>264</v>
      </c>
      <c r="M3680" s="14" t="s">
        <v>834</v>
      </c>
      <c r="N3680" s="14" t="s">
        <v>835</v>
      </c>
      <c r="O3680" s="14">
        <v>0.0</v>
      </c>
      <c r="P3680" s="21">
        <v>0.0</v>
      </c>
      <c r="Q3680" s="22" t="str">
        <f t="shared" ref="Q3680:R3680" si="2197">"+0"</f>
        <v>+0</v>
      </c>
      <c r="R3680" s="18" t="str">
        <f t="shared" si="2197"/>
        <v>+0</v>
      </c>
      <c r="S3680" s="14" t="s">
        <v>277</v>
      </c>
    </row>
    <row r="3681">
      <c r="A3681" s="13">
        <v>45901.0</v>
      </c>
      <c r="B3681" s="14" t="s">
        <v>47</v>
      </c>
      <c r="C3681" s="14" t="s">
        <v>48</v>
      </c>
      <c r="D3681" s="14" t="s">
        <v>91</v>
      </c>
      <c r="E3681" s="14" t="s">
        <v>92</v>
      </c>
      <c r="F3681" s="15" t="s">
        <v>51</v>
      </c>
      <c r="G3681" s="14" t="s">
        <v>163</v>
      </c>
      <c r="H3681" s="14" t="s">
        <v>91</v>
      </c>
      <c r="I3681" s="14" t="s">
        <v>59</v>
      </c>
      <c r="J3681" s="14" t="s">
        <v>200</v>
      </c>
      <c r="K3681" s="14" t="s">
        <v>223</v>
      </c>
      <c r="L3681" s="14" t="s">
        <v>253</v>
      </c>
      <c r="M3681" s="14" t="s">
        <v>389</v>
      </c>
      <c r="N3681" s="14" t="s">
        <v>390</v>
      </c>
      <c r="O3681" s="14">
        <v>62.0</v>
      </c>
      <c r="P3681" s="23">
        <v>0.6292</v>
      </c>
      <c r="Q3681" s="22" t="str">
        <f>"+10.05%"</f>
        <v>+10.05%</v>
      </c>
      <c r="R3681" s="18" t="str">
        <f>"-13.91%"</f>
        <v>-13.91%</v>
      </c>
      <c r="S3681" s="14" t="s">
        <v>2103</v>
      </c>
    </row>
    <row r="3682">
      <c r="A3682" s="13">
        <v>45901.0</v>
      </c>
      <c r="B3682" s="14" t="s">
        <v>47</v>
      </c>
      <c r="C3682" s="14" t="s">
        <v>48</v>
      </c>
      <c r="D3682" s="14" t="s">
        <v>91</v>
      </c>
      <c r="E3682" s="14" t="s">
        <v>92</v>
      </c>
      <c r="F3682" s="14" t="s">
        <v>71</v>
      </c>
      <c r="G3682" s="14">
        <v>5.10000484E8</v>
      </c>
      <c r="H3682" s="14" t="s">
        <v>91</v>
      </c>
      <c r="I3682" s="14" t="s">
        <v>54</v>
      </c>
      <c r="J3682" s="14" t="s">
        <v>199</v>
      </c>
      <c r="K3682" s="14" t="s">
        <v>206</v>
      </c>
      <c r="L3682" s="14" t="s">
        <v>433</v>
      </c>
      <c r="M3682" s="14" t="s">
        <v>433</v>
      </c>
      <c r="N3682" s="14" t="s">
        <v>434</v>
      </c>
      <c r="O3682" s="14">
        <v>100.0</v>
      </c>
      <c r="P3682" s="21">
        <v>101.0</v>
      </c>
      <c r="Q3682" s="22" t="str">
        <f>"-32"</f>
        <v>-32</v>
      </c>
      <c r="R3682" s="18" t="str">
        <f>"+4"</f>
        <v>+4</v>
      </c>
      <c r="S3682" s="14" t="s">
        <v>383</v>
      </c>
    </row>
    <row r="3683">
      <c r="A3683" s="13">
        <v>45901.0</v>
      </c>
      <c r="B3683" s="14" t="s">
        <v>47</v>
      </c>
      <c r="C3683" s="14" t="s">
        <v>48</v>
      </c>
      <c r="D3683" s="14" t="s">
        <v>91</v>
      </c>
      <c r="E3683" s="14" t="s">
        <v>92</v>
      </c>
      <c r="F3683" s="15" t="s">
        <v>51</v>
      </c>
      <c r="G3683" s="14" t="s">
        <v>163</v>
      </c>
      <c r="H3683" s="14" t="s">
        <v>91</v>
      </c>
      <c r="I3683" s="14" t="s">
        <v>59</v>
      </c>
      <c r="J3683" s="14" t="s">
        <v>200</v>
      </c>
      <c r="K3683" s="14" t="s">
        <v>223</v>
      </c>
      <c r="L3683" s="14" t="s">
        <v>307</v>
      </c>
      <c r="M3683" s="14" t="s">
        <v>561</v>
      </c>
      <c r="N3683" s="14" t="s">
        <v>562</v>
      </c>
      <c r="O3683" s="14">
        <v>0.0</v>
      </c>
      <c r="P3683" s="23">
        <v>0.0</v>
      </c>
      <c r="Q3683" s="22" t="str">
        <f t="shared" ref="Q3683:R3683" si="2198">"+0.00%"</f>
        <v>+0.00%</v>
      </c>
      <c r="R3683" s="18" t="str">
        <f t="shared" si="2198"/>
        <v>+0.00%</v>
      </c>
      <c r="S3683" s="14" t="s">
        <v>285</v>
      </c>
    </row>
    <row r="3684">
      <c r="A3684" s="13">
        <v>45901.0</v>
      </c>
      <c r="B3684" s="14" t="s">
        <v>47</v>
      </c>
      <c r="C3684" s="14" t="s">
        <v>48</v>
      </c>
      <c r="D3684" s="14" t="s">
        <v>91</v>
      </c>
      <c r="E3684" s="14" t="s">
        <v>92</v>
      </c>
      <c r="F3684" s="15" t="s">
        <v>51</v>
      </c>
      <c r="G3684" s="14" t="s">
        <v>163</v>
      </c>
      <c r="H3684" s="14" t="s">
        <v>91</v>
      </c>
      <c r="I3684" s="14" t="s">
        <v>59</v>
      </c>
      <c r="J3684" s="14" t="s">
        <v>199</v>
      </c>
      <c r="K3684" s="14" t="s">
        <v>203</v>
      </c>
      <c r="L3684" s="14" t="s">
        <v>342</v>
      </c>
      <c r="M3684" s="14" t="s">
        <v>342</v>
      </c>
      <c r="N3684" s="14" t="s">
        <v>343</v>
      </c>
      <c r="O3684" s="14">
        <v>100.0</v>
      </c>
      <c r="P3684" s="21">
        <v>163.0</v>
      </c>
      <c r="Q3684" s="22" t="str">
        <f t="shared" ref="Q3684:R3684" si="2199">"+0"</f>
        <v>+0</v>
      </c>
      <c r="R3684" s="18" t="str">
        <f t="shared" si="2199"/>
        <v>+0</v>
      </c>
      <c r="S3684" s="14" t="s">
        <v>260</v>
      </c>
    </row>
    <row r="3685">
      <c r="A3685" s="13">
        <v>45901.0</v>
      </c>
      <c r="B3685" s="14" t="s">
        <v>47</v>
      </c>
      <c r="C3685" s="14" t="s">
        <v>48</v>
      </c>
      <c r="D3685" s="14" t="s">
        <v>91</v>
      </c>
      <c r="E3685" s="14" t="s">
        <v>92</v>
      </c>
      <c r="F3685" s="14" t="s">
        <v>71</v>
      </c>
      <c r="G3685" s="14">
        <v>5.10011769E8</v>
      </c>
      <c r="H3685" s="14" t="s">
        <v>91</v>
      </c>
      <c r="I3685" s="14" t="s">
        <v>59</v>
      </c>
      <c r="J3685" s="14" t="s">
        <v>199</v>
      </c>
      <c r="K3685" s="14" t="s">
        <v>203</v>
      </c>
      <c r="L3685" s="14" t="s">
        <v>725</v>
      </c>
      <c r="M3685" s="14" t="s">
        <v>725</v>
      </c>
      <c r="N3685" s="14" t="s">
        <v>726</v>
      </c>
      <c r="O3685" s="14">
        <v>100.0</v>
      </c>
      <c r="P3685" s="21">
        <v>4.0</v>
      </c>
      <c r="Q3685" s="22" t="str">
        <f>"+1"</f>
        <v>+1</v>
      </c>
      <c r="R3685" s="18" t="str">
        <f>"+2"</f>
        <v>+2</v>
      </c>
      <c r="S3685" s="14" t="s">
        <v>260</v>
      </c>
    </row>
    <row r="3686">
      <c r="A3686" s="13">
        <v>45901.0</v>
      </c>
      <c r="B3686" s="14" t="s">
        <v>47</v>
      </c>
      <c r="C3686" s="14" t="s">
        <v>48</v>
      </c>
      <c r="D3686" s="14" t="s">
        <v>91</v>
      </c>
      <c r="E3686" s="14" t="s">
        <v>92</v>
      </c>
      <c r="F3686" s="15" t="s">
        <v>51</v>
      </c>
      <c r="G3686" s="14" t="s">
        <v>163</v>
      </c>
      <c r="H3686" s="14" t="s">
        <v>91</v>
      </c>
      <c r="I3686" s="14" t="s">
        <v>59</v>
      </c>
      <c r="J3686" s="14" t="s">
        <v>200</v>
      </c>
      <c r="K3686" s="14" t="s">
        <v>223</v>
      </c>
      <c r="L3686" s="14" t="s">
        <v>676</v>
      </c>
      <c r="M3686" s="14" t="s">
        <v>677</v>
      </c>
      <c r="N3686" s="14" t="s">
        <v>678</v>
      </c>
      <c r="O3686" s="14">
        <v>0.0</v>
      </c>
      <c r="P3686" s="23">
        <v>0.0</v>
      </c>
      <c r="Q3686" s="22" t="str">
        <f t="shared" ref="Q3686:R3686" si="2200">"+0.00%"</f>
        <v>+0.00%</v>
      </c>
      <c r="R3686" s="18" t="str">
        <f t="shared" si="2200"/>
        <v>+0.00%</v>
      </c>
      <c r="S3686" s="14" t="s">
        <v>285</v>
      </c>
    </row>
    <row r="3687">
      <c r="A3687" s="13">
        <v>45901.0</v>
      </c>
      <c r="B3687" s="14" t="s">
        <v>47</v>
      </c>
      <c r="C3687" s="14" t="s">
        <v>48</v>
      </c>
      <c r="D3687" s="14" t="s">
        <v>118</v>
      </c>
      <c r="E3687" s="14" t="s">
        <v>119</v>
      </c>
      <c r="F3687" s="15" t="s">
        <v>51</v>
      </c>
      <c r="G3687" s="14" t="s">
        <v>120</v>
      </c>
      <c r="H3687" s="14" t="s">
        <v>118</v>
      </c>
      <c r="I3687" s="14" t="s">
        <v>59</v>
      </c>
      <c r="J3687" s="14" t="s">
        <v>200</v>
      </c>
      <c r="K3687" s="14" t="s">
        <v>222</v>
      </c>
      <c r="L3687" s="14" t="s">
        <v>253</v>
      </c>
      <c r="M3687" s="14" t="s">
        <v>732</v>
      </c>
      <c r="N3687" s="14" t="s">
        <v>733</v>
      </c>
      <c r="O3687" s="14">
        <v>50.0</v>
      </c>
      <c r="P3687" s="21">
        <v>1.0</v>
      </c>
      <c r="Q3687" s="22" t="str">
        <f t="shared" ref="Q3687:R3687" si="2201">"+0"</f>
        <v>+0</v>
      </c>
      <c r="R3687" s="18" t="str">
        <f t="shared" si="2201"/>
        <v>+0</v>
      </c>
      <c r="S3687" s="14" t="s">
        <v>450</v>
      </c>
    </row>
    <row r="3688">
      <c r="A3688" s="13">
        <v>45901.0</v>
      </c>
      <c r="B3688" s="14" t="s">
        <v>47</v>
      </c>
      <c r="C3688" s="14" t="s">
        <v>48</v>
      </c>
      <c r="D3688" s="14" t="s">
        <v>118</v>
      </c>
      <c r="E3688" s="14" t="s">
        <v>119</v>
      </c>
      <c r="F3688" s="15" t="s">
        <v>51</v>
      </c>
      <c r="G3688" s="14" t="s">
        <v>120</v>
      </c>
      <c r="H3688" s="14" t="s">
        <v>118</v>
      </c>
      <c r="I3688" s="14" t="s">
        <v>59</v>
      </c>
      <c r="J3688" s="14" t="s">
        <v>200</v>
      </c>
      <c r="K3688" s="14" t="s">
        <v>213</v>
      </c>
      <c r="L3688" s="14" t="s">
        <v>307</v>
      </c>
      <c r="M3688" s="14" t="s">
        <v>1176</v>
      </c>
      <c r="N3688" s="14" t="s">
        <v>1177</v>
      </c>
      <c r="O3688" s="14">
        <v>0.0</v>
      </c>
      <c r="P3688" s="23">
        <v>0.0</v>
      </c>
      <c r="Q3688" s="22" t="str">
        <f t="shared" ref="Q3688:R3688" si="2202">"+0.00%"</f>
        <v>+0.00%</v>
      </c>
      <c r="R3688" s="18" t="str">
        <f t="shared" si="2202"/>
        <v>+0.00%</v>
      </c>
      <c r="S3688" s="14" t="s">
        <v>285</v>
      </c>
    </row>
    <row r="3689">
      <c r="A3689" s="13">
        <v>45901.0</v>
      </c>
      <c r="B3689" s="14" t="s">
        <v>47</v>
      </c>
      <c r="C3689" s="14" t="s">
        <v>48</v>
      </c>
      <c r="D3689" s="14" t="s">
        <v>82</v>
      </c>
      <c r="E3689" s="14" t="s">
        <v>83</v>
      </c>
      <c r="F3689" s="15" t="s">
        <v>51</v>
      </c>
      <c r="G3689" s="14" t="s">
        <v>84</v>
      </c>
      <c r="H3689" s="14" t="s">
        <v>82</v>
      </c>
      <c r="I3689" s="14" t="s">
        <v>59</v>
      </c>
      <c r="J3689" s="14" t="s">
        <v>199</v>
      </c>
      <c r="K3689" s="14" t="s">
        <v>206</v>
      </c>
      <c r="L3689" s="14" t="s">
        <v>515</v>
      </c>
      <c r="M3689" s="14" t="s">
        <v>515</v>
      </c>
      <c r="N3689" s="14" t="s">
        <v>516</v>
      </c>
      <c r="O3689" s="14">
        <v>0.0</v>
      </c>
      <c r="P3689" s="21">
        <v>0.0</v>
      </c>
      <c r="Q3689" s="22" t="str">
        <f t="shared" ref="Q3689:R3689" si="2203">"+0"</f>
        <v>+0</v>
      </c>
      <c r="R3689" s="18" t="str">
        <f t="shared" si="2203"/>
        <v>+0</v>
      </c>
      <c r="S3689" s="14" t="s">
        <v>383</v>
      </c>
    </row>
    <row r="3690">
      <c r="A3690" s="13">
        <v>45901.0</v>
      </c>
      <c r="B3690" s="14" t="s">
        <v>47</v>
      </c>
      <c r="C3690" s="14" t="s">
        <v>48</v>
      </c>
      <c r="D3690" s="14" t="s">
        <v>184</v>
      </c>
      <c r="E3690" s="14" t="s">
        <v>185</v>
      </c>
      <c r="F3690" s="15" t="s">
        <v>51</v>
      </c>
      <c r="G3690" s="14" t="s">
        <v>186</v>
      </c>
      <c r="H3690" s="14" t="s">
        <v>187</v>
      </c>
      <c r="I3690" s="14" t="s">
        <v>59</v>
      </c>
      <c r="J3690" s="14" t="s">
        <v>200</v>
      </c>
      <c r="K3690" s="14" t="s">
        <v>229</v>
      </c>
      <c r="L3690" s="14" t="s">
        <v>253</v>
      </c>
      <c r="M3690" s="14" t="s">
        <v>389</v>
      </c>
      <c r="N3690" s="14" t="s">
        <v>390</v>
      </c>
      <c r="O3690" s="14">
        <v>0.0</v>
      </c>
      <c r="P3690" s="23">
        <v>0.0</v>
      </c>
      <c r="Q3690" s="22" t="str">
        <f t="shared" ref="Q3690:R3690" si="2204">"+0.00%"</f>
        <v>+0.00%</v>
      </c>
      <c r="R3690" s="18" t="str">
        <f t="shared" si="2204"/>
        <v>+0.00%</v>
      </c>
      <c r="S3690" s="14" t="s">
        <v>2104</v>
      </c>
    </row>
    <row r="3691">
      <c r="A3691" s="13">
        <v>45901.0</v>
      </c>
      <c r="B3691" s="14" t="s">
        <v>47</v>
      </c>
      <c r="C3691" s="14" t="s">
        <v>48</v>
      </c>
      <c r="D3691" s="14" t="s">
        <v>136</v>
      </c>
      <c r="E3691" s="14" t="s">
        <v>137</v>
      </c>
      <c r="F3691" s="15" t="s">
        <v>51</v>
      </c>
      <c r="G3691" s="14" t="s">
        <v>138</v>
      </c>
      <c r="H3691" s="14" t="s">
        <v>139</v>
      </c>
      <c r="I3691" s="14" t="s">
        <v>59</v>
      </c>
      <c r="J3691" s="14" t="s">
        <v>200</v>
      </c>
      <c r="K3691" s="14" t="s">
        <v>228</v>
      </c>
      <c r="L3691" s="14" t="s">
        <v>253</v>
      </c>
      <c r="M3691" s="14" t="s">
        <v>366</v>
      </c>
      <c r="N3691" s="14" t="s">
        <v>367</v>
      </c>
      <c r="O3691" s="14">
        <v>0.0</v>
      </c>
      <c r="P3691" s="23">
        <v>0.0</v>
      </c>
      <c r="Q3691" s="22" t="str">
        <f t="shared" ref="Q3691:R3691" si="2205">"+0.00%"</f>
        <v>+0.00%</v>
      </c>
      <c r="R3691" s="18" t="str">
        <f t="shared" si="2205"/>
        <v>+0.00%</v>
      </c>
      <c r="S3691" s="14" t="s">
        <v>2105</v>
      </c>
    </row>
    <row r="3692">
      <c r="A3692" s="13">
        <v>45901.0</v>
      </c>
      <c r="B3692" s="14" t="s">
        <v>47</v>
      </c>
      <c r="C3692" s="14" t="s">
        <v>48</v>
      </c>
      <c r="D3692" s="14" t="s">
        <v>195</v>
      </c>
      <c r="E3692" s="14" t="s">
        <v>196</v>
      </c>
      <c r="F3692" s="14" t="s">
        <v>111</v>
      </c>
      <c r="G3692" s="14">
        <v>5252823.0</v>
      </c>
      <c r="H3692" s="14" t="s">
        <v>197</v>
      </c>
      <c r="I3692" s="14" t="s">
        <v>59</v>
      </c>
      <c r="J3692" s="14" t="s">
        <v>199</v>
      </c>
      <c r="K3692" s="14" t="s">
        <v>206</v>
      </c>
      <c r="L3692" s="14" t="s">
        <v>515</v>
      </c>
      <c r="M3692" s="14" t="s">
        <v>515</v>
      </c>
      <c r="N3692" s="14" t="s">
        <v>516</v>
      </c>
      <c r="O3692" s="14">
        <v>0.0</v>
      </c>
      <c r="P3692" s="21">
        <v>0.0</v>
      </c>
      <c r="Q3692" s="22" t="str">
        <f t="shared" ref="Q3692:R3692" si="2206">"+0"</f>
        <v>+0</v>
      </c>
      <c r="R3692" s="18" t="str">
        <f t="shared" si="2206"/>
        <v>+0</v>
      </c>
      <c r="S3692" s="14" t="s">
        <v>383</v>
      </c>
    </row>
    <row r="3693">
      <c r="A3693" s="13">
        <v>45901.0</v>
      </c>
      <c r="B3693" s="14" t="s">
        <v>47</v>
      </c>
      <c r="C3693" s="14" t="s">
        <v>48</v>
      </c>
      <c r="D3693" s="14" t="s">
        <v>96</v>
      </c>
      <c r="E3693" s="14" t="s">
        <v>97</v>
      </c>
      <c r="F3693" s="15" t="s">
        <v>51</v>
      </c>
      <c r="G3693" s="14" t="s">
        <v>98</v>
      </c>
      <c r="H3693" s="14" t="s">
        <v>96</v>
      </c>
      <c r="I3693" s="14" t="s">
        <v>59</v>
      </c>
      <c r="J3693" s="14" t="s">
        <v>198</v>
      </c>
      <c r="K3693" s="14" t="s">
        <v>205</v>
      </c>
      <c r="L3693" s="14" t="s">
        <v>274</v>
      </c>
      <c r="M3693" s="14" t="s">
        <v>354</v>
      </c>
      <c r="N3693" s="14" t="s">
        <v>355</v>
      </c>
      <c r="O3693" s="14">
        <v>50.0</v>
      </c>
      <c r="P3693" s="21">
        <v>5.0</v>
      </c>
      <c r="Q3693" s="22" t="str">
        <f t="shared" ref="Q3693:Q3695" si="2207">"+0"</f>
        <v>+0</v>
      </c>
      <c r="S3693" s="14" t="s">
        <v>356</v>
      </c>
    </row>
    <row r="3694">
      <c r="A3694" s="13">
        <v>45901.0</v>
      </c>
      <c r="B3694" s="14" t="s">
        <v>47</v>
      </c>
      <c r="C3694" s="14" t="s">
        <v>48</v>
      </c>
      <c r="D3694" s="14" t="s">
        <v>69</v>
      </c>
      <c r="E3694" s="14" t="s">
        <v>70</v>
      </c>
      <c r="F3694" s="15" t="s">
        <v>51</v>
      </c>
      <c r="G3694" s="14" t="s">
        <v>115</v>
      </c>
      <c r="H3694" s="14" t="s">
        <v>72</v>
      </c>
      <c r="I3694" s="14" t="s">
        <v>54</v>
      </c>
      <c r="J3694" s="14" t="s">
        <v>198</v>
      </c>
      <c r="K3694" s="14" t="s">
        <v>210</v>
      </c>
      <c r="L3694" s="14" t="s">
        <v>264</v>
      </c>
      <c r="M3694" s="14" t="s">
        <v>943</v>
      </c>
      <c r="N3694" s="14" t="s">
        <v>944</v>
      </c>
      <c r="O3694" s="14">
        <v>0.0</v>
      </c>
      <c r="P3694" s="21">
        <v>0.0</v>
      </c>
      <c r="Q3694" s="22" t="str">
        <f t="shared" si="2207"/>
        <v>+0</v>
      </c>
      <c r="R3694" s="18" t="str">
        <f t="shared" ref="R3694:R3695" si="2208">"+0"</f>
        <v>+0</v>
      </c>
      <c r="S3694" s="14" t="s">
        <v>277</v>
      </c>
    </row>
    <row r="3695">
      <c r="A3695" s="13">
        <v>45901.0</v>
      </c>
      <c r="B3695" s="14" t="s">
        <v>47</v>
      </c>
      <c r="C3695" s="14" t="s">
        <v>48</v>
      </c>
      <c r="D3695" s="14" t="s">
        <v>174</v>
      </c>
      <c r="E3695" s="14" t="s">
        <v>175</v>
      </c>
      <c r="F3695" s="15" t="s">
        <v>51</v>
      </c>
      <c r="G3695" s="14" t="s">
        <v>176</v>
      </c>
      <c r="H3695" s="14" t="s">
        <v>174</v>
      </c>
      <c r="I3695" s="14" t="s">
        <v>59</v>
      </c>
      <c r="J3695" s="14" t="s">
        <v>200</v>
      </c>
      <c r="K3695" s="14" t="s">
        <v>222</v>
      </c>
      <c r="L3695" s="14" t="s">
        <v>301</v>
      </c>
      <c r="M3695" s="14" t="s">
        <v>302</v>
      </c>
      <c r="N3695" s="14" t="s">
        <v>303</v>
      </c>
      <c r="O3695" s="14">
        <v>0.0</v>
      </c>
      <c r="P3695" s="21">
        <v>0.0</v>
      </c>
      <c r="Q3695" s="22" t="str">
        <f t="shared" si="2207"/>
        <v>+0</v>
      </c>
      <c r="R3695" s="18" t="str">
        <f t="shared" si="2208"/>
        <v>+0</v>
      </c>
      <c r="S3695" s="14" t="s">
        <v>260</v>
      </c>
    </row>
    <row r="3696">
      <c r="A3696" s="13">
        <v>45901.0</v>
      </c>
      <c r="B3696" s="14" t="s">
        <v>47</v>
      </c>
      <c r="C3696" s="14" t="s">
        <v>48</v>
      </c>
      <c r="D3696" s="14" t="s">
        <v>116</v>
      </c>
      <c r="E3696" s="14" t="s">
        <v>117</v>
      </c>
      <c r="F3696" s="15" t="s">
        <v>51</v>
      </c>
      <c r="G3696" s="14" t="s">
        <v>161</v>
      </c>
      <c r="H3696" s="14" t="s">
        <v>116</v>
      </c>
      <c r="I3696" s="14" t="s">
        <v>54</v>
      </c>
      <c r="J3696" s="14" t="s">
        <v>200</v>
      </c>
      <c r="K3696" s="14" t="s">
        <v>213</v>
      </c>
      <c r="L3696" s="14" t="s">
        <v>253</v>
      </c>
      <c r="M3696" s="14" t="s">
        <v>366</v>
      </c>
      <c r="N3696" s="14" t="s">
        <v>367</v>
      </c>
      <c r="O3696" s="14">
        <v>98.0</v>
      </c>
      <c r="P3696" s="23">
        <v>0.9821</v>
      </c>
      <c r="Q3696" s="22" t="str">
        <f>"+3.01%"</f>
        <v>+3.01%</v>
      </c>
      <c r="R3696" s="18" t="str">
        <f>"+1.92%"</f>
        <v>+1.92%</v>
      </c>
      <c r="S3696" s="14" t="s">
        <v>2106</v>
      </c>
    </row>
    <row r="3697">
      <c r="A3697" s="13">
        <v>45901.0</v>
      </c>
      <c r="B3697" s="14" t="s">
        <v>47</v>
      </c>
      <c r="C3697" s="14" t="s">
        <v>48</v>
      </c>
      <c r="D3697" s="14" t="s">
        <v>108</v>
      </c>
      <c r="E3697" s="14" t="s">
        <v>109</v>
      </c>
      <c r="F3697" s="15" t="s">
        <v>51</v>
      </c>
      <c r="G3697" s="14" t="s">
        <v>110</v>
      </c>
      <c r="H3697" s="14" t="s">
        <v>108</v>
      </c>
      <c r="I3697" s="14" t="s">
        <v>59</v>
      </c>
      <c r="J3697" s="14" t="s">
        <v>200</v>
      </c>
      <c r="K3697" s="14" t="s">
        <v>213</v>
      </c>
      <c r="L3697" s="14" t="s">
        <v>307</v>
      </c>
      <c r="M3697" s="14" t="s">
        <v>856</v>
      </c>
      <c r="N3697" s="14" t="s">
        <v>857</v>
      </c>
      <c r="O3697" s="14">
        <v>0.0</v>
      </c>
      <c r="P3697" s="23">
        <v>0.0</v>
      </c>
      <c r="Q3697" s="22" t="str">
        <f>"+0.00%"</f>
        <v>+0.00%</v>
      </c>
      <c r="S3697" s="14" t="s">
        <v>285</v>
      </c>
    </row>
    <row r="3698">
      <c r="A3698" s="13">
        <v>45901.0</v>
      </c>
      <c r="B3698" s="14" t="s">
        <v>47</v>
      </c>
      <c r="C3698" s="14" t="s">
        <v>48</v>
      </c>
      <c r="D3698" s="14" t="s">
        <v>158</v>
      </c>
      <c r="E3698" s="14" t="s">
        <v>159</v>
      </c>
      <c r="F3698" s="15" t="s">
        <v>51</v>
      </c>
      <c r="G3698" s="14" t="s">
        <v>160</v>
      </c>
      <c r="H3698" s="14" t="s">
        <v>158</v>
      </c>
      <c r="I3698" s="14" t="s">
        <v>54</v>
      </c>
      <c r="J3698" s="14" t="s">
        <v>198</v>
      </c>
      <c r="K3698" s="14" t="s">
        <v>210</v>
      </c>
      <c r="L3698" s="14" t="s">
        <v>458</v>
      </c>
      <c r="M3698" s="14" t="s">
        <v>1939</v>
      </c>
      <c r="N3698" s="14" t="s">
        <v>1940</v>
      </c>
      <c r="O3698" s="14">
        <v>0.0</v>
      </c>
      <c r="P3698" s="21">
        <v>0.0</v>
      </c>
      <c r="Q3698" s="22" t="str">
        <f t="shared" ref="Q3698:R3698" si="2209">"+0"</f>
        <v>+0</v>
      </c>
      <c r="R3698" s="18" t="str">
        <f t="shared" si="2209"/>
        <v>+0</v>
      </c>
      <c r="S3698" s="14" t="s">
        <v>277</v>
      </c>
    </row>
    <row r="3699">
      <c r="A3699" s="13">
        <v>45901.0</v>
      </c>
      <c r="B3699" s="14" t="s">
        <v>47</v>
      </c>
      <c r="C3699" s="14" t="s">
        <v>48</v>
      </c>
      <c r="D3699" s="14" t="s">
        <v>63</v>
      </c>
      <c r="E3699" s="14" t="s">
        <v>64</v>
      </c>
      <c r="F3699" s="15" t="s">
        <v>51</v>
      </c>
      <c r="G3699" s="14" t="s">
        <v>65</v>
      </c>
      <c r="H3699" s="14" t="s">
        <v>63</v>
      </c>
      <c r="I3699" s="14" t="s">
        <v>54</v>
      </c>
      <c r="J3699" s="14" t="s">
        <v>200</v>
      </c>
      <c r="K3699" s="14" t="s">
        <v>219</v>
      </c>
      <c r="L3699" s="14" t="s">
        <v>253</v>
      </c>
      <c r="M3699" s="14" t="s">
        <v>899</v>
      </c>
      <c r="N3699" s="14" t="s">
        <v>900</v>
      </c>
      <c r="O3699" s="14">
        <v>100.0</v>
      </c>
      <c r="P3699" s="23">
        <v>0.0</v>
      </c>
      <c r="Q3699" s="22" t="str">
        <f t="shared" ref="Q3699:R3699" si="2210">"+0.00%"</f>
        <v>+0.00%</v>
      </c>
      <c r="R3699" s="18" t="str">
        <f t="shared" si="2210"/>
        <v>+0.00%</v>
      </c>
      <c r="S3699" s="14" t="s">
        <v>285</v>
      </c>
    </row>
    <row r="3700">
      <c r="A3700" s="13">
        <v>45901.0</v>
      </c>
      <c r="B3700" s="14" t="s">
        <v>47</v>
      </c>
      <c r="C3700" s="14" t="s">
        <v>48</v>
      </c>
      <c r="D3700" s="14" t="s">
        <v>118</v>
      </c>
      <c r="E3700" s="14" t="s">
        <v>119</v>
      </c>
      <c r="F3700" s="15" t="s">
        <v>51</v>
      </c>
      <c r="G3700" s="14" t="s">
        <v>120</v>
      </c>
      <c r="H3700" s="14" t="s">
        <v>118</v>
      </c>
      <c r="I3700" s="14" t="s">
        <v>59</v>
      </c>
      <c r="J3700" s="14" t="s">
        <v>200</v>
      </c>
      <c r="K3700" s="14" t="s">
        <v>209</v>
      </c>
      <c r="L3700" s="14" t="s">
        <v>253</v>
      </c>
      <c r="M3700" s="14" t="s">
        <v>817</v>
      </c>
      <c r="N3700" s="14" t="s">
        <v>818</v>
      </c>
      <c r="O3700" s="14">
        <v>91.0</v>
      </c>
      <c r="P3700" s="23">
        <v>0.9142</v>
      </c>
      <c r="Q3700" s="22" t="str">
        <f>"+2.93%"</f>
        <v>+2.93%</v>
      </c>
      <c r="R3700" s="18" t="str">
        <f>"+9.14%"</f>
        <v>+9.14%</v>
      </c>
      <c r="S3700" s="14" t="s">
        <v>2107</v>
      </c>
    </row>
    <row r="3701">
      <c r="A3701" s="13">
        <v>45901.0</v>
      </c>
      <c r="B3701" s="14" t="s">
        <v>47</v>
      </c>
      <c r="C3701" s="14" t="s">
        <v>48</v>
      </c>
      <c r="D3701" s="14" t="s">
        <v>192</v>
      </c>
      <c r="E3701" s="14" t="s">
        <v>193</v>
      </c>
      <c r="F3701" s="15" t="s">
        <v>51</v>
      </c>
      <c r="G3701" s="14" t="s">
        <v>194</v>
      </c>
      <c r="H3701" s="14" t="s">
        <v>192</v>
      </c>
      <c r="I3701" s="14" t="s">
        <v>54</v>
      </c>
      <c r="J3701" s="14" t="s">
        <v>198</v>
      </c>
      <c r="K3701" s="14" t="s">
        <v>210</v>
      </c>
      <c r="L3701" s="14" t="s">
        <v>505</v>
      </c>
      <c r="M3701" s="14" t="s">
        <v>1128</v>
      </c>
      <c r="N3701" s="14" t="s">
        <v>1129</v>
      </c>
      <c r="O3701" s="14">
        <v>0.0</v>
      </c>
      <c r="P3701" s="21">
        <v>0.0</v>
      </c>
      <c r="Q3701" s="22" t="str">
        <f t="shared" ref="Q3701:R3701" si="2211">"+0"</f>
        <v>+0</v>
      </c>
      <c r="R3701" s="18" t="str">
        <f t="shared" si="2211"/>
        <v>+0</v>
      </c>
      <c r="S3701" s="14" t="s">
        <v>277</v>
      </c>
    </row>
    <row r="3702">
      <c r="A3702" s="13">
        <v>45901.0</v>
      </c>
      <c r="B3702" s="14" t="s">
        <v>47</v>
      </c>
      <c r="C3702" s="14" t="s">
        <v>48</v>
      </c>
      <c r="D3702" s="14" t="s">
        <v>66</v>
      </c>
      <c r="E3702" s="14" t="s">
        <v>67</v>
      </c>
      <c r="F3702" s="15" t="s">
        <v>51</v>
      </c>
      <c r="G3702" s="14" t="s">
        <v>68</v>
      </c>
      <c r="H3702" s="14" t="s">
        <v>66</v>
      </c>
      <c r="I3702" s="14" t="s">
        <v>59</v>
      </c>
      <c r="J3702" s="14" t="s">
        <v>200</v>
      </c>
      <c r="K3702" s="14" t="s">
        <v>223</v>
      </c>
      <c r="L3702" s="14" t="s">
        <v>440</v>
      </c>
      <c r="M3702" s="14" t="s">
        <v>441</v>
      </c>
      <c r="N3702" s="14" t="s">
        <v>442</v>
      </c>
      <c r="O3702" s="14">
        <v>0.0</v>
      </c>
      <c r="P3702" s="23">
        <v>0.0</v>
      </c>
      <c r="Q3702" s="22" t="str">
        <f t="shared" ref="Q3702:R3702" si="2212">"+0.00%"</f>
        <v>+0.00%</v>
      </c>
      <c r="R3702" s="18" t="str">
        <f t="shared" si="2212"/>
        <v>+0.00%</v>
      </c>
      <c r="S3702" s="14" t="s">
        <v>285</v>
      </c>
    </row>
    <row r="3703">
      <c r="A3703" s="13">
        <v>45901.0</v>
      </c>
      <c r="B3703" s="14" t="s">
        <v>47</v>
      </c>
      <c r="C3703" s="14" t="s">
        <v>48</v>
      </c>
      <c r="D3703" s="14" t="s">
        <v>184</v>
      </c>
      <c r="E3703" s="14" t="s">
        <v>185</v>
      </c>
      <c r="F3703" s="15" t="s">
        <v>51</v>
      </c>
      <c r="G3703" s="14" t="s">
        <v>186</v>
      </c>
      <c r="H3703" s="14" t="s">
        <v>187</v>
      </c>
      <c r="I3703" s="14" t="s">
        <v>59</v>
      </c>
      <c r="J3703" s="14" t="s">
        <v>198</v>
      </c>
      <c r="K3703" s="14" t="s">
        <v>205</v>
      </c>
      <c r="L3703" s="14" t="s">
        <v>274</v>
      </c>
      <c r="M3703" s="14" t="s">
        <v>466</v>
      </c>
      <c r="N3703" s="14" t="s">
        <v>467</v>
      </c>
      <c r="O3703" s="14">
        <v>100.0</v>
      </c>
      <c r="P3703" s="21">
        <v>1.0</v>
      </c>
      <c r="Q3703" s="22" t="str">
        <f>"+0"</f>
        <v>+0</v>
      </c>
      <c r="S3703" s="14" t="s">
        <v>281</v>
      </c>
    </row>
    <row r="3704">
      <c r="A3704" s="13">
        <v>45901.0</v>
      </c>
      <c r="B3704" s="14" t="s">
        <v>47</v>
      </c>
      <c r="C3704" s="14" t="s">
        <v>48</v>
      </c>
      <c r="D3704" s="14" t="s">
        <v>192</v>
      </c>
      <c r="E3704" s="14" t="s">
        <v>193</v>
      </c>
      <c r="F3704" s="15" t="s">
        <v>51</v>
      </c>
      <c r="G3704" s="14" t="s">
        <v>194</v>
      </c>
      <c r="H3704" s="14" t="s">
        <v>192</v>
      </c>
      <c r="I3704" s="14" t="s">
        <v>54</v>
      </c>
      <c r="J3704" s="14" t="s">
        <v>200</v>
      </c>
      <c r="K3704" s="14" t="s">
        <v>223</v>
      </c>
      <c r="L3704" s="14" t="s">
        <v>253</v>
      </c>
      <c r="M3704" s="14" t="s">
        <v>366</v>
      </c>
      <c r="N3704" s="14" t="s">
        <v>367</v>
      </c>
      <c r="O3704" s="14">
        <v>78.0</v>
      </c>
      <c r="P3704" s="23">
        <v>0.7879</v>
      </c>
      <c r="Q3704" s="22" t="str">
        <f>"+1.52%"</f>
        <v>+1.52%</v>
      </c>
      <c r="R3704" s="18" t="str">
        <f>"-1.85%"</f>
        <v>-1.85%</v>
      </c>
      <c r="S3704" s="14" t="s">
        <v>2108</v>
      </c>
    </row>
    <row r="3705">
      <c r="A3705" s="13">
        <v>45901.0</v>
      </c>
      <c r="B3705" s="14" t="s">
        <v>47</v>
      </c>
      <c r="C3705" s="14" t="s">
        <v>48</v>
      </c>
      <c r="D3705" s="14" t="s">
        <v>192</v>
      </c>
      <c r="E3705" s="14" t="s">
        <v>193</v>
      </c>
      <c r="F3705" s="15" t="s">
        <v>51</v>
      </c>
      <c r="G3705" s="14" t="s">
        <v>194</v>
      </c>
      <c r="H3705" s="14" t="s">
        <v>192</v>
      </c>
      <c r="I3705" s="14" t="s">
        <v>54</v>
      </c>
      <c r="J3705" s="14" t="s">
        <v>200</v>
      </c>
      <c r="K3705" s="14" t="s">
        <v>223</v>
      </c>
      <c r="L3705" s="14" t="s">
        <v>375</v>
      </c>
      <c r="M3705" s="14" t="s">
        <v>376</v>
      </c>
      <c r="N3705" s="14" t="s">
        <v>377</v>
      </c>
      <c r="O3705" s="14">
        <v>60.0</v>
      </c>
      <c r="P3705" s="23">
        <v>0.6082</v>
      </c>
      <c r="Q3705" s="22" t="str">
        <f>"+1.46%"</f>
        <v>+1.46%</v>
      </c>
      <c r="R3705" s="18" t="str">
        <f>"-2.14%"</f>
        <v>-2.14%</v>
      </c>
      <c r="S3705" s="14" t="s">
        <v>1470</v>
      </c>
    </row>
    <row r="3706">
      <c r="A3706" s="13">
        <v>45901.0</v>
      </c>
      <c r="B3706" s="14" t="s">
        <v>47</v>
      </c>
      <c r="C3706" s="14" t="s">
        <v>48</v>
      </c>
      <c r="D3706" s="14" t="s">
        <v>192</v>
      </c>
      <c r="E3706" s="14" t="s">
        <v>193</v>
      </c>
      <c r="F3706" s="15" t="s">
        <v>51</v>
      </c>
      <c r="G3706" s="14" t="s">
        <v>194</v>
      </c>
      <c r="H3706" s="14" t="s">
        <v>192</v>
      </c>
      <c r="I3706" s="14" t="s">
        <v>54</v>
      </c>
      <c r="J3706" s="14" t="s">
        <v>200</v>
      </c>
      <c r="K3706" s="14" t="s">
        <v>223</v>
      </c>
      <c r="L3706" s="14" t="s">
        <v>304</v>
      </c>
      <c r="M3706" s="14" t="s">
        <v>1012</v>
      </c>
      <c r="N3706" s="14" t="s">
        <v>1013</v>
      </c>
      <c r="O3706" s="14">
        <v>100.0</v>
      </c>
      <c r="P3706" s="23">
        <v>4.0E-4</v>
      </c>
      <c r="Q3706" s="22" t="str">
        <f t="shared" ref="Q3706:R3706" si="2213">"+0.04%"</f>
        <v>+0.04%</v>
      </c>
      <c r="R3706" s="18" t="str">
        <f t="shared" si="2213"/>
        <v>+0.04%</v>
      </c>
      <c r="S3706" s="14" t="s">
        <v>285</v>
      </c>
    </row>
    <row r="3707">
      <c r="A3707" s="13">
        <v>45901.0</v>
      </c>
      <c r="B3707" s="14" t="s">
        <v>47</v>
      </c>
      <c r="C3707" s="14" t="s">
        <v>48</v>
      </c>
      <c r="D3707" s="14" t="s">
        <v>132</v>
      </c>
      <c r="E3707" s="14" t="s">
        <v>133</v>
      </c>
      <c r="F3707" s="15" t="s">
        <v>51</v>
      </c>
      <c r="G3707" s="14" t="s">
        <v>134</v>
      </c>
      <c r="H3707" s="14" t="s">
        <v>135</v>
      </c>
      <c r="I3707" s="14" t="s">
        <v>59</v>
      </c>
      <c r="J3707" s="14" t="s">
        <v>200</v>
      </c>
      <c r="K3707" s="14" t="s">
        <v>213</v>
      </c>
      <c r="L3707" s="14" t="s">
        <v>307</v>
      </c>
      <c r="M3707" s="14" t="s">
        <v>308</v>
      </c>
      <c r="N3707" s="14" t="s">
        <v>309</v>
      </c>
      <c r="O3707" s="14">
        <v>0.0</v>
      </c>
      <c r="P3707" s="23">
        <v>0.0</v>
      </c>
      <c r="Q3707" s="22" t="str">
        <f t="shared" ref="Q3707:R3707" si="2214">"+0.00%"</f>
        <v>+0.00%</v>
      </c>
      <c r="R3707" s="18" t="str">
        <f t="shared" si="2214"/>
        <v>+0.00%</v>
      </c>
      <c r="S3707" s="14" t="s">
        <v>285</v>
      </c>
    </row>
    <row r="3708">
      <c r="A3708" s="13">
        <v>45901.0</v>
      </c>
      <c r="B3708" s="14" t="s">
        <v>47</v>
      </c>
      <c r="C3708" s="14" t="s">
        <v>48</v>
      </c>
      <c r="D3708" s="14" t="s">
        <v>132</v>
      </c>
      <c r="E3708" s="14" t="s">
        <v>133</v>
      </c>
      <c r="F3708" s="15" t="s">
        <v>51</v>
      </c>
      <c r="G3708" s="14" t="s">
        <v>134</v>
      </c>
      <c r="H3708" s="14" t="s">
        <v>135</v>
      </c>
      <c r="I3708" s="14" t="s">
        <v>59</v>
      </c>
      <c r="J3708" s="14" t="s">
        <v>200</v>
      </c>
      <c r="K3708" s="14" t="s">
        <v>227</v>
      </c>
      <c r="L3708" s="14" t="s">
        <v>721</v>
      </c>
      <c r="M3708" s="14" t="s">
        <v>748</v>
      </c>
      <c r="N3708" s="14" t="s">
        <v>749</v>
      </c>
      <c r="O3708" s="14">
        <v>0.0</v>
      </c>
      <c r="P3708" s="23">
        <v>-1.0</v>
      </c>
      <c r="Q3708" s="22" t="str">
        <f t="shared" ref="Q3708:R3708" si="2215">"+0.00%"</f>
        <v>+0.00%</v>
      </c>
      <c r="R3708" s="18" t="str">
        <f t="shared" si="2215"/>
        <v>+0.00%</v>
      </c>
      <c r="S3708" s="14" t="s">
        <v>750</v>
      </c>
    </row>
    <row r="3709">
      <c r="A3709" s="13">
        <v>45901.0</v>
      </c>
      <c r="B3709" s="14" t="s">
        <v>47</v>
      </c>
      <c r="C3709" s="14" t="s">
        <v>48</v>
      </c>
      <c r="D3709" s="14" t="s">
        <v>103</v>
      </c>
      <c r="E3709" s="14" t="s">
        <v>104</v>
      </c>
      <c r="F3709" s="15" t="s">
        <v>51</v>
      </c>
      <c r="G3709" s="14" t="s">
        <v>105</v>
      </c>
      <c r="H3709" s="14" t="s">
        <v>106</v>
      </c>
      <c r="I3709" s="14" t="s">
        <v>59</v>
      </c>
      <c r="J3709" s="14" t="s">
        <v>199</v>
      </c>
      <c r="K3709" s="14" t="s">
        <v>206</v>
      </c>
      <c r="L3709" s="14" t="s">
        <v>295</v>
      </c>
      <c r="M3709" s="14" t="s">
        <v>529</v>
      </c>
      <c r="N3709" s="14" t="s">
        <v>530</v>
      </c>
      <c r="O3709" s="14">
        <v>0.0</v>
      </c>
      <c r="P3709" s="21">
        <v>0.0</v>
      </c>
      <c r="Q3709" s="22" t="str">
        <f t="shared" ref="Q3709:R3709" si="2216">"+0"</f>
        <v>+0</v>
      </c>
      <c r="R3709" s="18" t="str">
        <f t="shared" si="2216"/>
        <v>+0</v>
      </c>
      <c r="S3709" s="14" t="s">
        <v>260</v>
      </c>
    </row>
    <row r="3710">
      <c r="A3710" s="13">
        <v>45901.0</v>
      </c>
      <c r="B3710" s="14" t="s">
        <v>47</v>
      </c>
      <c r="C3710" s="14" t="s">
        <v>48</v>
      </c>
      <c r="D3710" s="14" t="s">
        <v>171</v>
      </c>
      <c r="E3710" s="14" t="s">
        <v>172</v>
      </c>
      <c r="F3710" s="15" t="s">
        <v>51</v>
      </c>
      <c r="G3710" s="14" t="s">
        <v>173</v>
      </c>
      <c r="H3710" s="14" t="s">
        <v>171</v>
      </c>
      <c r="I3710" s="14" t="s">
        <v>59</v>
      </c>
      <c r="J3710" s="14" t="s">
        <v>198</v>
      </c>
      <c r="K3710" s="14" t="s">
        <v>205</v>
      </c>
      <c r="L3710" s="14" t="s">
        <v>274</v>
      </c>
      <c r="M3710" s="14" t="s">
        <v>696</v>
      </c>
      <c r="N3710" s="14" t="s">
        <v>697</v>
      </c>
      <c r="O3710" s="14">
        <v>0.0</v>
      </c>
      <c r="P3710" s="21">
        <v>0.0</v>
      </c>
      <c r="Q3710" s="22" t="str">
        <f t="shared" ref="Q3710:Q3711" si="2217">"+0"</f>
        <v>+0</v>
      </c>
      <c r="S3710" s="14" t="s">
        <v>281</v>
      </c>
    </row>
    <row r="3711">
      <c r="A3711" s="13">
        <v>45901.0</v>
      </c>
      <c r="B3711" s="14" t="s">
        <v>47</v>
      </c>
      <c r="C3711" s="14" t="s">
        <v>48</v>
      </c>
      <c r="D3711" s="14" t="s">
        <v>129</v>
      </c>
      <c r="E3711" s="14" t="s">
        <v>130</v>
      </c>
      <c r="F3711" s="15" t="s">
        <v>51</v>
      </c>
      <c r="G3711" s="14" t="s">
        <v>131</v>
      </c>
      <c r="H3711" s="14" t="s">
        <v>129</v>
      </c>
      <c r="I3711" s="14" t="s">
        <v>59</v>
      </c>
      <c r="J3711" s="14" t="s">
        <v>199</v>
      </c>
      <c r="K3711" s="14" t="s">
        <v>206</v>
      </c>
      <c r="L3711" s="14" t="s">
        <v>569</v>
      </c>
      <c r="M3711" s="14" t="s">
        <v>569</v>
      </c>
      <c r="N3711" s="14" t="s">
        <v>570</v>
      </c>
      <c r="O3711" s="14">
        <v>0.0</v>
      </c>
      <c r="P3711" s="21">
        <v>0.0</v>
      </c>
      <c r="Q3711" s="22" t="str">
        <f t="shared" si="2217"/>
        <v>+0</v>
      </c>
      <c r="R3711" s="18" t="str">
        <f>"+0"</f>
        <v>+0</v>
      </c>
      <c r="S3711" s="14" t="s">
        <v>383</v>
      </c>
    </row>
    <row r="3712">
      <c r="A3712" s="13">
        <v>45901.0</v>
      </c>
      <c r="B3712" s="14" t="s">
        <v>47</v>
      </c>
      <c r="C3712" s="14" t="s">
        <v>48</v>
      </c>
      <c r="D3712" s="14" t="s">
        <v>87</v>
      </c>
      <c r="E3712" s="14" t="s">
        <v>88</v>
      </c>
      <c r="F3712" s="15" t="s">
        <v>51</v>
      </c>
      <c r="G3712" s="14" t="s">
        <v>89</v>
      </c>
      <c r="H3712" s="14" t="s">
        <v>90</v>
      </c>
      <c r="I3712" s="14" t="s">
        <v>59</v>
      </c>
      <c r="J3712" s="14" t="s">
        <v>200</v>
      </c>
      <c r="K3712" s="14" t="s">
        <v>223</v>
      </c>
      <c r="L3712" s="14" t="s">
        <v>253</v>
      </c>
      <c r="M3712" s="14" t="s">
        <v>389</v>
      </c>
      <c r="N3712" s="14" t="s">
        <v>390</v>
      </c>
      <c r="O3712" s="14">
        <v>84.0</v>
      </c>
      <c r="P3712" s="23">
        <v>0.8465</v>
      </c>
      <c r="Q3712" s="22" t="str">
        <f>"-5.15%"</f>
        <v>-5.15%</v>
      </c>
      <c r="R3712" s="18" t="str">
        <f>"-2.59%"</f>
        <v>-2.59%</v>
      </c>
      <c r="S3712" s="14" t="s">
        <v>2109</v>
      </c>
    </row>
    <row r="3713">
      <c r="A3713" s="13">
        <v>45901.0</v>
      </c>
      <c r="B3713" s="14" t="s">
        <v>47</v>
      </c>
      <c r="C3713" s="14" t="s">
        <v>48</v>
      </c>
      <c r="D3713" s="14" t="s">
        <v>96</v>
      </c>
      <c r="E3713" s="14" t="s">
        <v>97</v>
      </c>
      <c r="F3713" s="15" t="s">
        <v>51</v>
      </c>
      <c r="G3713" s="14" t="s">
        <v>98</v>
      </c>
      <c r="H3713" s="14" t="s">
        <v>96</v>
      </c>
      <c r="I3713" s="14" t="s">
        <v>59</v>
      </c>
      <c r="J3713" s="14" t="s">
        <v>199</v>
      </c>
      <c r="K3713" s="14" t="s">
        <v>203</v>
      </c>
      <c r="L3713" s="14" t="s">
        <v>736</v>
      </c>
      <c r="M3713" s="14" t="s">
        <v>736</v>
      </c>
      <c r="N3713" s="14" t="s">
        <v>737</v>
      </c>
      <c r="O3713" s="14">
        <v>0.0</v>
      </c>
      <c r="P3713" s="21">
        <v>0.0</v>
      </c>
      <c r="Q3713" s="22" t="str">
        <f t="shared" ref="Q3713:R3713" si="2218">"+0"</f>
        <v>+0</v>
      </c>
      <c r="R3713" s="18" t="str">
        <f t="shared" si="2218"/>
        <v>+0</v>
      </c>
      <c r="S3713" s="14" t="s">
        <v>260</v>
      </c>
    </row>
    <row r="3714">
      <c r="A3714" s="13">
        <v>45901.0</v>
      </c>
      <c r="B3714" s="14" t="s">
        <v>47</v>
      </c>
      <c r="C3714" s="14" t="s">
        <v>48</v>
      </c>
      <c r="D3714" s="14" t="s">
        <v>125</v>
      </c>
      <c r="E3714" s="14" t="s">
        <v>126</v>
      </c>
      <c r="F3714" s="15" t="s">
        <v>51</v>
      </c>
      <c r="G3714" s="14" t="s">
        <v>127</v>
      </c>
      <c r="H3714" s="14" t="s">
        <v>125</v>
      </c>
      <c r="I3714" s="14" t="s">
        <v>59</v>
      </c>
      <c r="J3714" s="14" t="s">
        <v>200</v>
      </c>
      <c r="K3714" s="14" t="s">
        <v>232</v>
      </c>
      <c r="L3714" s="14" t="s">
        <v>607</v>
      </c>
      <c r="M3714" s="14" t="s">
        <v>765</v>
      </c>
      <c r="N3714" s="14" t="s">
        <v>766</v>
      </c>
      <c r="O3714" s="14">
        <v>0.0</v>
      </c>
      <c r="P3714" s="21">
        <v>0.0</v>
      </c>
      <c r="Q3714" s="22" t="str">
        <f t="shared" ref="Q3714:R3714" si="2219">"+0"</f>
        <v>+0</v>
      </c>
      <c r="R3714" s="18" t="str">
        <f t="shared" si="2219"/>
        <v>+0</v>
      </c>
      <c r="S3714" s="14" t="s">
        <v>260</v>
      </c>
    </row>
    <row r="3715">
      <c r="A3715" s="13">
        <v>45901.0</v>
      </c>
      <c r="B3715" s="14" t="s">
        <v>47</v>
      </c>
      <c r="C3715" s="14" t="s">
        <v>48</v>
      </c>
      <c r="D3715" s="14" t="s">
        <v>116</v>
      </c>
      <c r="E3715" s="14" t="s">
        <v>117</v>
      </c>
      <c r="F3715" s="15" t="s">
        <v>51</v>
      </c>
      <c r="G3715" s="14" t="s">
        <v>161</v>
      </c>
      <c r="H3715" s="14" t="s">
        <v>116</v>
      </c>
      <c r="I3715" s="14" t="s">
        <v>54</v>
      </c>
      <c r="J3715" s="14" t="s">
        <v>200</v>
      </c>
      <c r="K3715" s="14" t="s">
        <v>213</v>
      </c>
      <c r="L3715" s="14" t="s">
        <v>307</v>
      </c>
      <c r="M3715" s="14" t="s">
        <v>502</v>
      </c>
      <c r="N3715" s="14" t="s">
        <v>503</v>
      </c>
      <c r="O3715" s="14">
        <v>3.0</v>
      </c>
      <c r="P3715" s="23">
        <v>0.032</v>
      </c>
      <c r="Q3715" s="22" t="str">
        <f>"-0.04%"</f>
        <v>-0.04%</v>
      </c>
      <c r="R3715" s="18" t="str">
        <f>"-0.15%"</f>
        <v>-0.15%</v>
      </c>
      <c r="S3715" s="14" t="s">
        <v>2110</v>
      </c>
    </row>
    <row r="3716">
      <c r="A3716" s="13">
        <v>45901.0</v>
      </c>
      <c r="B3716" s="14" t="s">
        <v>47</v>
      </c>
      <c r="C3716" s="14" t="s">
        <v>48</v>
      </c>
      <c r="D3716" s="14" t="s">
        <v>116</v>
      </c>
      <c r="E3716" s="14" t="s">
        <v>117</v>
      </c>
      <c r="F3716" s="15" t="s">
        <v>51</v>
      </c>
      <c r="G3716" s="14" t="s">
        <v>161</v>
      </c>
      <c r="H3716" s="14" t="s">
        <v>116</v>
      </c>
      <c r="I3716" s="14" t="s">
        <v>54</v>
      </c>
      <c r="J3716" s="14" t="s">
        <v>199</v>
      </c>
      <c r="K3716" s="14" t="s">
        <v>206</v>
      </c>
      <c r="L3716" s="14" t="s">
        <v>295</v>
      </c>
      <c r="M3716" s="14" t="s">
        <v>986</v>
      </c>
      <c r="N3716" s="14" t="s">
        <v>987</v>
      </c>
      <c r="O3716" s="14">
        <v>0.0</v>
      </c>
      <c r="P3716" s="21">
        <v>0.0</v>
      </c>
      <c r="Q3716" s="22" t="str">
        <f t="shared" ref="Q3716:R3716" si="2220">"-1"</f>
        <v>-1</v>
      </c>
      <c r="R3716" s="18" t="str">
        <f t="shared" si="2220"/>
        <v>-1</v>
      </c>
      <c r="S3716" s="14" t="s">
        <v>260</v>
      </c>
    </row>
    <row r="3717">
      <c r="A3717" s="13">
        <v>45901.0</v>
      </c>
      <c r="B3717" s="14" t="s">
        <v>47</v>
      </c>
      <c r="C3717" s="14" t="s">
        <v>48</v>
      </c>
      <c r="D3717" s="14" t="s">
        <v>116</v>
      </c>
      <c r="E3717" s="14" t="s">
        <v>117</v>
      </c>
      <c r="F3717" s="15" t="s">
        <v>51</v>
      </c>
      <c r="G3717" s="14" t="s">
        <v>161</v>
      </c>
      <c r="H3717" s="14" t="s">
        <v>116</v>
      </c>
      <c r="I3717" s="14" t="s">
        <v>54</v>
      </c>
      <c r="J3717" s="14" t="s">
        <v>200</v>
      </c>
      <c r="K3717" s="14" t="s">
        <v>209</v>
      </c>
      <c r="L3717" s="14" t="s">
        <v>253</v>
      </c>
      <c r="M3717" s="14" t="s">
        <v>817</v>
      </c>
      <c r="N3717" s="14" t="s">
        <v>818</v>
      </c>
      <c r="O3717" s="14">
        <v>54.0</v>
      </c>
      <c r="P3717" s="23">
        <v>0.5437</v>
      </c>
      <c r="Q3717" s="22" t="str">
        <f>"+1.71%"</f>
        <v>+1.71%</v>
      </c>
      <c r="R3717" s="18" t="str">
        <f>"+5.25%"</f>
        <v>+5.25%</v>
      </c>
      <c r="S3717" s="14" t="s">
        <v>1125</v>
      </c>
    </row>
    <row r="3718">
      <c r="A3718" s="13">
        <v>45901.0</v>
      </c>
      <c r="B3718" s="14" t="s">
        <v>47</v>
      </c>
      <c r="C3718" s="14" t="s">
        <v>48</v>
      </c>
      <c r="D3718" s="14" t="s">
        <v>112</v>
      </c>
      <c r="E3718" s="14" t="s">
        <v>113</v>
      </c>
      <c r="F3718" s="15" t="s">
        <v>51</v>
      </c>
      <c r="G3718" s="14" t="s">
        <v>114</v>
      </c>
      <c r="H3718" s="14" t="s">
        <v>112</v>
      </c>
      <c r="I3718" s="14" t="s">
        <v>59</v>
      </c>
      <c r="J3718" s="14" t="s">
        <v>200</v>
      </c>
      <c r="K3718" s="14" t="s">
        <v>213</v>
      </c>
      <c r="L3718" s="14" t="s">
        <v>289</v>
      </c>
      <c r="M3718" s="14" t="s">
        <v>290</v>
      </c>
      <c r="N3718" s="14" t="s">
        <v>291</v>
      </c>
      <c r="O3718" s="14">
        <v>0.0</v>
      </c>
      <c r="P3718" s="23">
        <v>0.0</v>
      </c>
      <c r="Q3718" s="22" t="str">
        <f t="shared" ref="Q3718:R3718" si="2221">"+0.00%"</f>
        <v>+0.00%</v>
      </c>
      <c r="R3718" s="18" t="str">
        <f t="shared" si="2221"/>
        <v>+0.00%</v>
      </c>
      <c r="S3718" s="14" t="s">
        <v>285</v>
      </c>
    </row>
    <row r="3719">
      <c r="A3719" s="13">
        <v>45901.0</v>
      </c>
      <c r="B3719" s="14" t="s">
        <v>47</v>
      </c>
      <c r="C3719" s="14" t="s">
        <v>48</v>
      </c>
      <c r="D3719" s="14" t="s">
        <v>116</v>
      </c>
      <c r="E3719" s="14" t="s">
        <v>117</v>
      </c>
      <c r="F3719" s="15" t="s">
        <v>51</v>
      </c>
      <c r="G3719" s="14" t="s">
        <v>161</v>
      </c>
      <c r="H3719" s="14" t="s">
        <v>116</v>
      </c>
      <c r="I3719" s="14" t="s">
        <v>54</v>
      </c>
      <c r="J3719" s="14" t="s">
        <v>200</v>
      </c>
      <c r="K3719" s="14" t="s">
        <v>222</v>
      </c>
      <c r="L3719" s="14" t="s">
        <v>337</v>
      </c>
      <c r="M3719" s="14" t="s">
        <v>734</v>
      </c>
      <c r="N3719" s="14" t="s">
        <v>735</v>
      </c>
      <c r="O3719" s="14">
        <v>100.0</v>
      </c>
      <c r="P3719" s="21">
        <v>47547.0</v>
      </c>
      <c r="Q3719" s="22" t="str">
        <f>"-38,703"</f>
        <v>-38,703</v>
      </c>
      <c r="R3719" s="18" t="str">
        <f>"+47,547"</f>
        <v>+47,547</v>
      </c>
      <c r="S3719" s="14" t="s">
        <v>260</v>
      </c>
    </row>
    <row r="3720">
      <c r="A3720" s="13">
        <v>45901.0</v>
      </c>
      <c r="B3720" s="14" t="s">
        <v>47</v>
      </c>
      <c r="C3720" s="14" t="s">
        <v>48</v>
      </c>
      <c r="D3720" s="14" t="s">
        <v>60</v>
      </c>
      <c r="E3720" s="14" t="s">
        <v>61</v>
      </c>
      <c r="F3720" s="15" t="s">
        <v>51</v>
      </c>
      <c r="G3720" s="14" t="s">
        <v>62</v>
      </c>
      <c r="H3720" s="14" t="s">
        <v>60</v>
      </c>
      <c r="I3720" s="14" t="s">
        <v>59</v>
      </c>
      <c r="J3720" s="14" t="s">
        <v>199</v>
      </c>
      <c r="K3720" s="14" t="s">
        <v>206</v>
      </c>
      <c r="L3720" s="14" t="s">
        <v>569</v>
      </c>
      <c r="M3720" s="14" t="s">
        <v>569</v>
      </c>
      <c r="N3720" s="14" t="s">
        <v>570</v>
      </c>
      <c r="O3720" s="14">
        <v>100.0</v>
      </c>
      <c r="P3720" s="21">
        <v>5.0</v>
      </c>
      <c r="Q3720" s="22" t="str">
        <f t="shared" ref="Q3720:Q3723" si="2222">"+0"</f>
        <v>+0</v>
      </c>
      <c r="R3720" s="18" t="str">
        <f>"-2"</f>
        <v>-2</v>
      </c>
      <c r="S3720" s="14" t="s">
        <v>383</v>
      </c>
    </row>
    <row r="3721">
      <c r="A3721" s="13">
        <v>45901.0</v>
      </c>
      <c r="B3721" s="14" t="s">
        <v>47</v>
      </c>
      <c r="C3721" s="14" t="s">
        <v>48</v>
      </c>
      <c r="D3721" s="14" t="s">
        <v>56</v>
      </c>
      <c r="E3721" s="14" t="s">
        <v>57</v>
      </c>
      <c r="F3721" s="15" t="s">
        <v>51</v>
      </c>
      <c r="G3721" s="14" t="s">
        <v>58</v>
      </c>
      <c r="H3721" s="14" t="s">
        <v>56</v>
      </c>
      <c r="I3721" s="14" t="s">
        <v>59</v>
      </c>
      <c r="J3721" s="14" t="s">
        <v>199</v>
      </c>
      <c r="K3721" s="14" t="s">
        <v>206</v>
      </c>
      <c r="L3721" s="14" t="s">
        <v>381</v>
      </c>
      <c r="M3721" s="14" t="s">
        <v>381</v>
      </c>
      <c r="N3721" s="14" t="s">
        <v>382</v>
      </c>
      <c r="O3721" s="14">
        <v>0.0</v>
      </c>
      <c r="P3721" s="21">
        <v>0.0</v>
      </c>
      <c r="Q3721" s="22" t="str">
        <f t="shared" si="2222"/>
        <v>+0</v>
      </c>
      <c r="R3721" s="18" t="str">
        <f t="shared" ref="R3721:R3722" si="2223">"+0"</f>
        <v>+0</v>
      </c>
      <c r="S3721" s="14" t="s">
        <v>383</v>
      </c>
    </row>
    <row r="3722">
      <c r="A3722" s="13">
        <v>45901.0</v>
      </c>
      <c r="B3722" s="14" t="s">
        <v>47</v>
      </c>
      <c r="C3722" s="14" t="s">
        <v>48</v>
      </c>
      <c r="D3722" s="14" t="s">
        <v>168</v>
      </c>
      <c r="E3722" s="14" t="s">
        <v>169</v>
      </c>
      <c r="F3722" s="15" t="s">
        <v>51</v>
      </c>
      <c r="G3722" s="14" t="s">
        <v>170</v>
      </c>
      <c r="H3722" s="14" t="s">
        <v>168</v>
      </c>
      <c r="I3722" s="14" t="s">
        <v>59</v>
      </c>
      <c r="J3722" s="14" t="s">
        <v>198</v>
      </c>
      <c r="K3722" s="14" t="s">
        <v>210</v>
      </c>
      <c r="L3722" s="14" t="s">
        <v>458</v>
      </c>
      <c r="M3722" s="14" t="s">
        <v>459</v>
      </c>
      <c r="N3722" s="14" t="s">
        <v>460</v>
      </c>
      <c r="O3722" s="14">
        <v>100.0</v>
      </c>
      <c r="P3722" s="21">
        <v>0.0</v>
      </c>
      <c r="Q3722" s="22" t="str">
        <f t="shared" si="2222"/>
        <v>+0</v>
      </c>
      <c r="R3722" s="18" t="str">
        <f t="shared" si="2223"/>
        <v>+0</v>
      </c>
      <c r="S3722" s="14" t="s">
        <v>281</v>
      </c>
    </row>
    <row r="3723">
      <c r="A3723" s="13">
        <v>45901.0</v>
      </c>
      <c r="B3723" s="14" t="s">
        <v>47</v>
      </c>
      <c r="C3723" s="14" t="s">
        <v>48</v>
      </c>
      <c r="D3723" s="14" t="s">
        <v>168</v>
      </c>
      <c r="E3723" s="14" t="s">
        <v>169</v>
      </c>
      <c r="F3723" s="15" t="s">
        <v>51</v>
      </c>
      <c r="G3723" s="14" t="s">
        <v>170</v>
      </c>
      <c r="H3723" s="14" t="s">
        <v>168</v>
      </c>
      <c r="I3723" s="14" t="s">
        <v>59</v>
      </c>
      <c r="J3723" s="14" t="s">
        <v>198</v>
      </c>
      <c r="K3723" s="14" t="s">
        <v>205</v>
      </c>
      <c r="L3723" s="14" t="s">
        <v>274</v>
      </c>
      <c r="M3723" s="14" t="s">
        <v>696</v>
      </c>
      <c r="N3723" s="14" t="s">
        <v>697</v>
      </c>
      <c r="O3723" s="14">
        <v>100.0</v>
      </c>
      <c r="P3723" s="21">
        <v>1.0</v>
      </c>
      <c r="Q3723" s="22" t="str">
        <f t="shared" si="2222"/>
        <v>+0</v>
      </c>
      <c r="S3723" s="14" t="s">
        <v>281</v>
      </c>
    </row>
    <row r="3724">
      <c r="A3724" s="13">
        <v>45901.0</v>
      </c>
      <c r="B3724" s="14" t="s">
        <v>47</v>
      </c>
      <c r="C3724" s="14" t="s">
        <v>48</v>
      </c>
      <c r="D3724" s="14" t="s">
        <v>60</v>
      </c>
      <c r="E3724" s="14" t="s">
        <v>61</v>
      </c>
      <c r="F3724" s="15" t="s">
        <v>51</v>
      </c>
      <c r="G3724" s="14" t="s">
        <v>62</v>
      </c>
      <c r="H3724" s="14" t="s">
        <v>60</v>
      </c>
      <c r="I3724" s="14" t="s">
        <v>59</v>
      </c>
      <c r="J3724" s="14" t="s">
        <v>200</v>
      </c>
      <c r="K3724" s="14" t="s">
        <v>227</v>
      </c>
      <c r="L3724" s="14" t="s">
        <v>253</v>
      </c>
      <c r="M3724" s="14" t="s">
        <v>849</v>
      </c>
      <c r="N3724" s="14" t="s">
        <v>850</v>
      </c>
      <c r="O3724" s="14">
        <v>60.0</v>
      </c>
      <c r="P3724" s="23">
        <v>0.6</v>
      </c>
      <c r="Q3724" s="22" t="str">
        <f t="shared" ref="Q3724:R3724" si="2224">"+0.00%"</f>
        <v>+0.00%</v>
      </c>
      <c r="R3724" s="18" t="str">
        <f t="shared" si="2224"/>
        <v>+0.00%</v>
      </c>
      <c r="S3724" s="14" t="s">
        <v>2111</v>
      </c>
    </row>
    <row r="3725">
      <c r="A3725" s="13">
        <v>45901.0</v>
      </c>
      <c r="B3725" s="14" t="s">
        <v>47</v>
      </c>
      <c r="C3725" s="14" t="s">
        <v>48</v>
      </c>
      <c r="D3725" s="14" t="s">
        <v>49</v>
      </c>
      <c r="E3725" s="14" t="s">
        <v>50</v>
      </c>
      <c r="F3725" s="15" t="s">
        <v>51</v>
      </c>
      <c r="G3725" s="14" t="s">
        <v>52</v>
      </c>
      <c r="H3725" s="14" t="s">
        <v>53</v>
      </c>
      <c r="I3725" s="14" t="s">
        <v>54</v>
      </c>
      <c r="J3725" s="14" t="s">
        <v>200</v>
      </c>
      <c r="K3725" s="14" t="s">
        <v>213</v>
      </c>
      <c r="L3725" s="14" t="s">
        <v>257</v>
      </c>
      <c r="M3725" s="14" t="s">
        <v>517</v>
      </c>
      <c r="N3725" s="14" t="s">
        <v>518</v>
      </c>
      <c r="O3725" s="14">
        <v>100.0</v>
      </c>
      <c r="P3725" s="21">
        <v>34.0</v>
      </c>
      <c r="Q3725" s="22" t="str">
        <f>"+0"</f>
        <v>+0</v>
      </c>
      <c r="R3725" s="18" t="str">
        <f>"-1"</f>
        <v>-1</v>
      </c>
      <c r="S3725" s="14" t="s">
        <v>260</v>
      </c>
    </row>
    <row r="3726">
      <c r="A3726" s="13">
        <v>45901.0</v>
      </c>
      <c r="B3726" s="14" t="s">
        <v>47</v>
      </c>
      <c r="C3726" s="14" t="s">
        <v>48</v>
      </c>
      <c r="D3726" s="14" t="s">
        <v>63</v>
      </c>
      <c r="E3726" s="14" t="s">
        <v>64</v>
      </c>
      <c r="F3726" s="14" t="s">
        <v>111</v>
      </c>
      <c r="G3726" s="14">
        <v>4916210.0</v>
      </c>
      <c r="H3726" s="14" t="s">
        <v>63</v>
      </c>
      <c r="I3726" s="14" t="s">
        <v>59</v>
      </c>
      <c r="J3726" s="14" t="s">
        <v>200</v>
      </c>
      <c r="K3726" s="14" t="s">
        <v>221</v>
      </c>
      <c r="L3726" s="14" t="s">
        <v>253</v>
      </c>
      <c r="M3726" s="14" t="s">
        <v>1768</v>
      </c>
      <c r="N3726" s="14" t="s">
        <v>1769</v>
      </c>
      <c r="O3726" s="14">
        <v>93.0</v>
      </c>
      <c r="P3726" s="23">
        <v>0.9332</v>
      </c>
      <c r="Q3726" s="22" t="str">
        <f t="shared" ref="Q3726:R3726" si="2225">"+0.00%"</f>
        <v>+0.00%</v>
      </c>
      <c r="R3726" s="18" t="str">
        <f t="shared" si="2225"/>
        <v>+0.00%</v>
      </c>
      <c r="S3726" s="14" t="s">
        <v>1589</v>
      </c>
    </row>
    <row r="3727">
      <c r="A3727" s="13">
        <v>45901.0</v>
      </c>
      <c r="B3727" s="14" t="s">
        <v>47</v>
      </c>
      <c r="C3727" s="14" t="s">
        <v>48</v>
      </c>
      <c r="D3727" s="14" t="s">
        <v>99</v>
      </c>
      <c r="E3727" s="14" t="s">
        <v>100</v>
      </c>
      <c r="F3727" s="15" t="s">
        <v>51</v>
      </c>
      <c r="G3727" s="14" t="s">
        <v>101</v>
      </c>
      <c r="H3727" s="14" t="s">
        <v>102</v>
      </c>
      <c r="I3727" s="14" t="s">
        <v>54</v>
      </c>
      <c r="J3727" s="14" t="s">
        <v>199</v>
      </c>
      <c r="K3727" s="14" t="s">
        <v>206</v>
      </c>
      <c r="L3727" s="14" t="s">
        <v>295</v>
      </c>
      <c r="M3727" s="14" t="s">
        <v>986</v>
      </c>
      <c r="N3727" s="14" t="s">
        <v>987</v>
      </c>
      <c r="O3727" s="14">
        <v>0.0</v>
      </c>
      <c r="P3727" s="21">
        <v>0.0</v>
      </c>
      <c r="Q3727" s="22" t="str">
        <f t="shared" ref="Q3727:R3727" si="2226">"+0"</f>
        <v>+0</v>
      </c>
      <c r="R3727" s="18" t="str">
        <f t="shared" si="2226"/>
        <v>+0</v>
      </c>
      <c r="S3727" s="14" t="s">
        <v>260</v>
      </c>
    </row>
    <row r="3728">
      <c r="A3728" s="13">
        <v>45901.0</v>
      </c>
      <c r="B3728" s="14" t="s">
        <v>47</v>
      </c>
      <c r="C3728" s="14" t="s">
        <v>48</v>
      </c>
      <c r="D3728" s="14" t="s">
        <v>91</v>
      </c>
      <c r="E3728" s="14" t="s">
        <v>92</v>
      </c>
      <c r="F3728" s="14" t="s">
        <v>71</v>
      </c>
      <c r="G3728" s="14">
        <v>5.00008343E8</v>
      </c>
      <c r="H3728" s="14" t="s">
        <v>91</v>
      </c>
      <c r="I3728" s="14" t="s">
        <v>59</v>
      </c>
      <c r="J3728" s="14" t="s">
        <v>199</v>
      </c>
      <c r="K3728" s="14" t="s">
        <v>206</v>
      </c>
      <c r="L3728" s="14" t="s">
        <v>295</v>
      </c>
      <c r="M3728" s="14" t="s">
        <v>461</v>
      </c>
      <c r="N3728" s="14" t="s">
        <v>462</v>
      </c>
      <c r="O3728" s="14">
        <v>0.0</v>
      </c>
      <c r="P3728" s="21">
        <v>0.0</v>
      </c>
      <c r="Q3728" s="22" t="str">
        <f t="shared" ref="Q3728:R3728" si="2227">"+0"</f>
        <v>+0</v>
      </c>
      <c r="R3728" s="18" t="str">
        <f t="shared" si="2227"/>
        <v>+0</v>
      </c>
      <c r="S3728" s="14" t="s">
        <v>260</v>
      </c>
    </row>
    <row r="3729">
      <c r="A3729" s="13">
        <v>45901.0</v>
      </c>
      <c r="B3729" s="14" t="s">
        <v>47</v>
      </c>
      <c r="C3729" s="14" t="s">
        <v>48</v>
      </c>
      <c r="D3729" s="14" t="s">
        <v>99</v>
      </c>
      <c r="E3729" s="14" t="s">
        <v>100</v>
      </c>
      <c r="F3729" s="15" t="s">
        <v>51</v>
      </c>
      <c r="G3729" s="14" t="s">
        <v>101</v>
      </c>
      <c r="H3729" s="14" t="s">
        <v>102</v>
      </c>
      <c r="I3729" s="14" t="s">
        <v>54</v>
      </c>
      <c r="J3729" s="14" t="s">
        <v>198</v>
      </c>
      <c r="K3729" s="14" t="s">
        <v>205</v>
      </c>
      <c r="L3729" s="14" t="s">
        <v>274</v>
      </c>
      <c r="M3729" s="14" t="s">
        <v>451</v>
      </c>
      <c r="N3729" s="14" t="s">
        <v>452</v>
      </c>
      <c r="O3729" s="14">
        <v>0.0</v>
      </c>
      <c r="P3729" s="21">
        <v>0.0</v>
      </c>
      <c r="Q3729" s="22" t="str">
        <f>"+0"</f>
        <v>+0</v>
      </c>
      <c r="S3729" s="14" t="s">
        <v>281</v>
      </c>
    </row>
    <row r="3730">
      <c r="A3730" s="13">
        <v>45901.0</v>
      </c>
      <c r="B3730" s="14" t="s">
        <v>47</v>
      </c>
      <c r="C3730" s="14" t="s">
        <v>48</v>
      </c>
      <c r="D3730" s="14" t="s">
        <v>91</v>
      </c>
      <c r="E3730" s="14" t="s">
        <v>92</v>
      </c>
      <c r="F3730" s="14" t="s">
        <v>79</v>
      </c>
      <c r="G3730" s="14" t="s">
        <v>164</v>
      </c>
      <c r="H3730" s="14" t="s">
        <v>91</v>
      </c>
      <c r="I3730" s="14" t="s">
        <v>154</v>
      </c>
      <c r="J3730" s="14" t="s">
        <v>200</v>
      </c>
      <c r="K3730" s="14" t="s">
        <v>237</v>
      </c>
      <c r="L3730" s="14" t="s">
        <v>333</v>
      </c>
      <c r="M3730" s="14" t="s">
        <v>1145</v>
      </c>
      <c r="N3730" s="14" t="s">
        <v>1146</v>
      </c>
      <c r="O3730" s="14">
        <v>0.0</v>
      </c>
      <c r="P3730" s="23">
        <v>-1.0</v>
      </c>
      <c r="Q3730" s="22" t="str">
        <f t="shared" ref="Q3730:R3730" si="2228">"+0.00%"</f>
        <v>+0.00%</v>
      </c>
      <c r="R3730" s="18" t="str">
        <f t="shared" si="2228"/>
        <v>+0.00%</v>
      </c>
      <c r="S3730" s="14" t="s">
        <v>285</v>
      </c>
    </row>
    <row r="3731">
      <c r="A3731" s="13">
        <v>45901.0</v>
      </c>
      <c r="B3731" s="14" t="s">
        <v>47</v>
      </c>
      <c r="C3731" s="14" t="s">
        <v>48</v>
      </c>
      <c r="D3731" s="14" t="s">
        <v>192</v>
      </c>
      <c r="E3731" s="14" t="s">
        <v>193</v>
      </c>
      <c r="F3731" s="15" t="s">
        <v>51</v>
      </c>
      <c r="G3731" s="14" t="s">
        <v>194</v>
      </c>
      <c r="H3731" s="14" t="s">
        <v>192</v>
      </c>
      <c r="I3731" s="14" t="s">
        <v>54</v>
      </c>
      <c r="J3731" s="14" t="s">
        <v>200</v>
      </c>
      <c r="K3731" s="14" t="s">
        <v>223</v>
      </c>
      <c r="L3731" s="14" t="s">
        <v>307</v>
      </c>
      <c r="M3731" s="14" t="s">
        <v>1176</v>
      </c>
      <c r="N3731" s="14" t="s">
        <v>1177</v>
      </c>
      <c r="O3731" s="14">
        <v>0.0</v>
      </c>
      <c r="P3731" s="23">
        <v>0.0</v>
      </c>
      <c r="Q3731" s="22" t="str">
        <f t="shared" ref="Q3731:R3731" si="2229">"+0.00%"</f>
        <v>+0.00%</v>
      </c>
      <c r="R3731" s="18" t="str">
        <f t="shared" si="2229"/>
        <v>+0.00%</v>
      </c>
      <c r="S3731" s="14" t="s">
        <v>285</v>
      </c>
    </row>
    <row r="3732">
      <c r="A3732" s="13">
        <v>45901.0</v>
      </c>
      <c r="B3732" s="14" t="s">
        <v>47</v>
      </c>
      <c r="C3732" s="14" t="s">
        <v>48</v>
      </c>
      <c r="D3732" s="14" t="s">
        <v>143</v>
      </c>
      <c r="E3732" s="14" t="s">
        <v>144</v>
      </c>
      <c r="F3732" s="15" t="s">
        <v>51</v>
      </c>
      <c r="G3732" s="14" t="s">
        <v>145</v>
      </c>
      <c r="H3732" s="14" t="s">
        <v>143</v>
      </c>
      <c r="I3732" s="14" t="s">
        <v>59</v>
      </c>
      <c r="J3732" s="14" t="s">
        <v>200</v>
      </c>
      <c r="K3732" s="14" t="s">
        <v>224</v>
      </c>
      <c r="L3732" s="14" t="s">
        <v>253</v>
      </c>
      <c r="M3732" s="14" t="s">
        <v>952</v>
      </c>
      <c r="N3732" s="14" t="s">
        <v>953</v>
      </c>
      <c r="O3732" s="14">
        <v>82.0</v>
      </c>
      <c r="P3732" s="23">
        <v>0.8261</v>
      </c>
      <c r="Q3732" s="22" t="str">
        <f t="shared" ref="Q3732:R3732" si="2230">"+0.00%"</f>
        <v>+0.00%</v>
      </c>
      <c r="R3732" s="18" t="str">
        <f t="shared" si="2230"/>
        <v>+0.00%</v>
      </c>
      <c r="S3732" s="14" t="s">
        <v>2112</v>
      </c>
    </row>
    <row r="3733">
      <c r="A3733" s="13">
        <v>45901.0</v>
      </c>
      <c r="B3733" s="14" t="s">
        <v>47</v>
      </c>
      <c r="C3733" s="14" t="s">
        <v>48</v>
      </c>
      <c r="D3733" s="14" t="s">
        <v>132</v>
      </c>
      <c r="E3733" s="14" t="s">
        <v>133</v>
      </c>
      <c r="F3733" s="15" t="s">
        <v>51</v>
      </c>
      <c r="G3733" s="14" t="s">
        <v>134</v>
      </c>
      <c r="H3733" s="14" t="s">
        <v>135</v>
      </c>
      <c r="I3733" s="14" t="s">
        <v>59</v>
      </c>
      <c r="J3733" s="14" t="s">
        <v>200</v>
      </c>
      <c r="K3733" s="14" t="s">
        <v>219</v>
      </c>
      <c r="L3733" s="14" t="s">
        <v>253</v>
      </c>
      <c r="M3733" s="14" t="s">
        <v>899</v>
      </c>
      <c r="N3733" s="14" t="s">
        <v>900</v>
      </c>
      <c r="O3733" s="14">
        <v>0.0</v>
      </c>
      <c r="P3733" s="23">
        <v>0.0</v>
      </c>
      <c r="Q3733" s="22" t="str">
        <f t="shared" ref="Q3733:R3733" si="2231">"+0.00%"</f>
        <v>+0.00%</v>
      </c>
      <c r="R3733" s="18" t="str">
        <f t="shared" si="2231"/>
        <v>+0.00%</v>
      </c>
      <c r="S3733" s="14" t="s">
        <v>285</v>
      </c>
    </row>
    <row r="3734">
      <c r="A3734" s="13">
        <v>45901.0</v>
      </c>
      <c r="B3734" s="14" t="s">
        <v>47</v>
      </c>
      <c r="C3734" s="14" t="s">
        <v>48</v>
      </c>
      <c r="D3734" s="14" t="s">
        <v>143</v>
      </c>
      <c r="E3734" s="14" t="s">
        <v>144</v>
      </c>
      <c r="F3734" s="15" t="s">
        <v>51</v>
      </c>
      <c r="G3734" s="14" t="s">
        <v>145</v>
      </c>
      <c r="H3734" s="14" t="s">
        <v>143</v>
      </c>
      <c r="I3734" s="14" t="s">
        <v>59</v>
      </c>
      <c r="J3734" s="14" t="s">
        <v>200</v>
      </c>
      <c r="K3734" s="14" t="s">
        <v>232</v>
      </c>
      <c r="L3734" s="14" t="s">
        <v>282</v>
      </c>
      <c r="M3734" s="14" t="s">
        <v>914</v>
      </c>
      <c r="N3734" s="14" t="s">
        <v>915</v>
      </c>
      <c r="O3734" s="14">
        <v>0.0</v>
      </c>
      <c r="P3734" s="21">
        <v>0.0</v>
      </c>
      <c r="Q3734" s="22" t="str">
        <f t="shared" ref="Q3734:R3734" si="2232">"+0"</f>
        <v>+0</v>
      </c>
      <c r="R3734" s="18" t="str">
        <f t="shared" si="2232"/>
        <v>+0</v>
      </c>
      <c r="S3734" s="14" t="s">
        <v>260</v>
      </c>
    </row>
    <row r="3735">
      <c r="A3735" s="13">
        <v>45901.0</v>
      </c>
      <c r="B3735" s="14" t="s">
        <v>47</v>
      </c>
      <c r="C3735" s="14" t="s">
        <v>48</v>
      </c>
      <c r="D3735" s="14" t="s">
        <v>132</v>
      </c>
      <c r="E3735" s="14" t="s">
        <v>133</v>
      </c>
      <c r="F3735" s="15" t="s">
        <v>51</v>
      </c>
      <c r="G3735" s="14" t="s">
        <v>134</v>
      </c>
      <c r="H3735" s="14" t="s">
        <v>135</v>
      </c>
      <c r="I3735" s="14" t="s">
        <v>59</v>
      </c>
      <c r="J3735" s="14" t="s">
        <v>198</v>
      </c>
      <c r="K3735" s="14" t="s">
        <v>210</v>
      </c>
      <c r="L3735" s="14" t="s">
        <v>264</v>
      </c>
      <c r="M3735" s="14" t="s">
        <v>524</v>
      </c>
      <c r="N3735" s="14" t="s">
        <v>525</v>
      </c>
      <c r="O3735" s="14">
        <v>100.0</v>
      </c>
      <c r="P3735" s="21">
        <v>0.0</v>
      </c>
      <c r="Q3735" s="22" t="str">
        <f t="shared" ref="Q3735:R3735" si="2233">"-1"</f>
        <v>-1</v>
      </c>
      <c r="R3735" s="18" t="str">
        <f t="shared" si="2233"/>
        <v>-1</v>
      </c>
      <c r="S3735" s="14" t="s">
        <v>281</v>
      </c>
    </row>
    <row r="3736">
      <c r="A3736" s="13">
        <v>45901.0</v>
      </c>
      <c r="B3736" s="14" t="s">
        <v>47</v>
      </c>
      <c r="C3736" s="14" t="s">
        <v>48</v>
      </c>
      <c r="D3736" s="14" t="s">
        <v>171</v>
      </c>
      <c r="E3736" s="14" t="s">
        <v>172</v>
      </c>
      <c r="F3736" s="15" t="s">
        <v>51</v>
      </c>
      <c r="G3736" s="14" t="s">
        <v>173</v>
      </c>
      <c r="H3736" s="14" t="s">
        <v>171</v>
      </c>
      <c r="I3736" s="14" t="s">
        <v>59</v>
      </c>
      <c r="J3736" s="14" t="s">
        <v>198</v>
      </c>
      <c r="K3736" s="14" t="s">
        <v>210</v>
      </c>
      <c r="L3736" s="14" t="s">
        <v>278</v>
      </c>
      <c r="M3736" s="14" t="s">
        <v>839</v>
      </c>
      <c r="N3736" s="14" t="s">
        <v>840</v>
      </c>
      <c r="O3736" s="14">
        <v>100.0</v>
      </c>
      <c r="P3736" s="21">
        <v>0.0</v>
      </c>
      <c r="Q3736" s="22" t="str">
        <f t="shared" ref="Q3736:R3736" si="2234">"+0"</f>
        <v>+0</v>
      </c>
      <c r="R3736" s="18" t="str">
        <f t="shared" si="2234"/>
        <v>+0</v>
      </c>
      <c r="S3736" s="14" t="s">
        <v>281</v>
      </c>
    </row>
    <row r="3737">
      <c r="A3737" s="13">
        <v>45901.0</v>
      </c>
      <c r="B3737" s="14" t="s">
        <v>47</v>
      </c>
      <c r="C3737" s="14" t="s">
        <v>48</v>
      </c>
      <c r="D3737" s="14" t="s">
        <v>87</v>
      </c>
      <c r="E3737" s="14" t="s">
        <v>88</v>
      </c>
      <c r="F3737" s="15" t="s">
        <v>51</v>
      </c>
      <c r="G3737" s="14" t="s">
        <v>89</v>
      </c>
      <c r="H3737" s="14" t="s">
        <v>90</v>
      </c>
      <c r="I3737" s="14" t="s">
        <v>59</v>
      </c>
      <c r="J3737" s="14" t="s">
        <v>200</v>
      </c>
      <c r="K3737" s="14" t="s">
        <v>227</v>
      </c>
      <c r="L3737" s="14" t="s">
        <v>270</v>
      </c>
      <c r="M3737" s="14" t="s">
        <v>400</v>
      </c>
      <c r="N3737" s="14" t="s">
        <v>401</v>
      </c>
      <c r="O3737" s="14">
        <v>0.0</v>
      </c>
      <c r="P3737" s="21">
        <v>0.0</v>
      </c>
      <c r="Q3737" s="22" t="str">
        <f t="shared" ref="Q3737:R3737" si="2235">"+0"</f>
        <v>+0</v>
      </c>
      <c r="R3737" s="18" t="str">
        <f t="shared" si="2235"/>
        <v>+0</v>
      </c>
      <c r="S3737" s="14" t="s">
        <v>260</v>
      </c>
    </row>
    <row r="3738">
      <c r="A3738" s="13">
        <v>45901.0</v>
      </c>
      <c r="B3738" s="14" t="s">
        <v>47</v>
      </c>
      <c r="C3738" s="14" t="s">
        <v>48</v>
      </c>
      <c r="D3738" s="14" t="s">
        <v>171</v>
      </c>
      <c r="E3738" s="14" t="s">
        <v>172</v>
      </c>
      <c r="F3738" s="15" t="s">
        <v>51</v>
      </c>
      <c r="G3738" s="14" t="s">
        <v>173</v>
      </c>
      <c r="H3738" s="14" t="s">
        <v>171</v>
      </c>
      <c r="I3738" s="14" t="s">
        <v>59</v>
      </c>
      <c r="J3738" s="14" t="s">
        <v>200</v>
      </c>
      <c r="K3738" s="14" t="s">
        <v>213</v>
      </c>
      <c r="L3738" s="14" t="s">
        <v>289</v>
      </c>
      <c r="M3738" s="14" t="s">
        <v>384</v>
      </c>
      <c r="N3738" s="14" t="s">
        <v>385</v>
      </c>
      <c r="O3738" s="14">
        <v>0.0</v>
      </c>
      <c r="P3738" s="23">
        <v>0.0</v>
      </c>
      <c r="Q3738" s="22" t="str">
        <f>"-16.67%"</f>
        <v>-16.67%</v>
      </c>
      <c r="R3738" s="18" t="str">
        <f>"-25.00%"</f>
        <v>-25.00%</v>
      </c>
      <c r="S3738" s="14" t="s">
        <v>2113</v>
      </c>
    </row>
    <row r="3739">
      <c r="A3739" s="13">
        <v>45901.0</v>
      </c>
      <c r="B3739" s="14" t="s">
        <v>47</v>
      </c>
      <c r="C3739" s="14" t="s">
        <v>48</v>
      </c>
      <c r="D3739" s="14" t="s">
        <v>149</v>
      </c>
      <c r="E3739" s="14" t="s">
        <v>150</v>
      </c>
      <c r="F3739" s="15" t="s">
        <v>51</v>
      </c>
      <c r="G3739" s="14" t="s">
        <v>151</v>
      </c>
      <c r="H3739" s="14" t="s">
        <v>152</v>
      </c>
      <c r="I3739" s="14" t="s">
        <v>54</v>
      </c>
      <c r="J3739" s="14" t="s">
        <v>200</v>
      </c>
      <c r="K3739" s="14" t="s">
        <v>231</v>
      </c>
      <c r="L3739" s="14" t="s">
        <v>512</v>
      </c>
      <c r="M3739" s="14" t="s">
        <v>1823</v>
      </c>
      <c r="N3739" s="14" t="s">
        <v>1824</v>
      </c>
      <c r="O3739" s="14">
        <v>0.0</v>
      </c>
      <c r="P3739" s="21">
        <v>0.0</v>
      </c>
      <c r="Q3739" s="22" t="str">
        <f t="shared" ref="Q3739:R3739" si="2236">"+0"</f>
        <v>+0</v>
      </c>
      <c r="R3739" s="18" t="str">
        <f t="shared" si="2236"/>
        <v>+0</v>
      </c>
      <c r="S3739" s="14" t="s">
        <v>260</v>
      </c>
    </row>
    <row r="3740">
      <c r="A3740" s="13">
        <v>45901.0</v>
      </c>
      <c r="B3740" s="14" t="s">
        <v>47</v>
      </c>
      <c r="C3740" s="14" t="s">
        <v>48</v>
      </c>
      <c r="D3740" s="14" t="s">
        <v>149</v>
      </c>
      <c r="E3740" s="14" t="s">
        <v>150</v>
      </c>
      <c r="F3740" s="15" t="s">
        <v>51</v>
      </c>
      <c r="G3740" s="14" t="s">
        <v>151</v>
      </c>
      <c r="H3740" s="14" t="s">
        <v>152</v>
      </c>
      <c r="I3740" s="14" t="s">
        <v>54</v>
      </c>
      <c r="J3740" s="14" t="s">
        <v>200</v>
      </c>
      <c r="K3740" s="14" t="s">
        <v>231</v>
      </c>
      <c r="L3740" s="14" t="s">
        <v>512</v>
      </c>
      <c r="M3740" s="14" t="s">
        <v>1152</v>
      </c>
      <c r="N3740" s="14" t="s">
        <v>1153</v>
      </c>
      <c r="O3740" s="14">
        <v>0.0</v>
      </c>
      <c r="P3740" s="21">
        <v>0.0</v>
      </c>
      <c r="Q3740" s="22" t="str">
        <f t="shared" ref="Q3740:R3740" si="2237">"+0"</f>
        <v>+0</v>
      </c>
      <c r="R3740" s="18" t="str">
        <f t="shared" si="2237"/>
        <v>+0</v>
      </c>
      <c r="S3740" s="14" t="s">
        <v>260</v>
      </c>
    </row>
    <row r="3741">
      <c r="A3741" s="13">
        <v>45901.0</v>
      </c>
      <c r="B3741" s="14" t="s">
        <v>47</v>
      </c>
      <c r="C3741" s="14" t="s">
        <v>48</v>
      </c>
      <c r="D3741" s="14" t="s">
        <v>87</v>
      </c>
      <c r="E3741" s="14" t="s">
        <v>88</v>
      </c>
      <c r="F3741" s="15" t="s">
        <v>51</v>
      </c>
      <c r="G3741" s="14" t="s">
        <v>89</v>
      </c>
      <c r="H3741" s="14" t="s">
        <v>90</v>
      </c>
      <c r="I3741" s="14" t="s">
        <v>59</v>
      </c>
      <c r="J3741" s="14" t="s">
        <v>198</v>
      </c>
      <c r="K3741" s="14" t="s">
        <v>210</v>
      </c>
      <c r="L3741" s="14" t="s">
        <v>505</v>
      </c>
      <c r="M3741" s="14" t="s">
        <v>506</v>
      </c>
      <c r="N3741" s="14" t="s">
        <v>507</v>
      </c>
      <c r="O3741" s="14">
        <v>100.0</v>
      </c>
      <c r="P3741" s="21">
        <v>0.0</v>
      </c>
      <c r="Q3741" s="22" t="str">
        <f t="shared" ref="Q3741:R3741" si="2238">"+0"</f>
        <v>+0</v>
      </c>
      <c r="R3741" s="18" t="str">
        <f t="shared" si="2238"/>
        <v>+0</v>
      </c>
      <c r="S3741" s="14" t="s">
        <v>281</v>
      </c>
    </row>
    <row r="3742">
      <c r="A3742" s="13">
        <v>45901.0</v>
      </c>
      <c r="B3742" s="14" t="s">
        <v>47</v>
      </c>
      <c r="C3742" s="14" t="s">
        <v>48</v>
      </c>
      <c r="D3742" s="14" t="s">
        <v>87</v>
      </c>
      <c r="E3742" s="14" t="s">
        <v>88</v>
      </c>
      <c r="F3742" s="15" t="s">
        <v>51</v>
      </c>
      <c r="G3742" s="14" t="s">
        <v>89</v>
      </c>
      <c r="H3742" s="14" t="s">
        <v>90</v>
      </c>
      <c r="I3742" s="14" t="s">
        <v>59</v>
      </c>
      <c r="J3742" s="14" t="s">
        <v>200</v>
      </c>
      <c r="K3742" s="14" t="s">
        <v>223</v>
      </c>
      <c r="L3742" s="14" t="s">
        <v>286</v>
      </c>
      <c r="M3742" s="14" t="s">
        <v>287</v>
      </c>
      <c r="N3742" s="14" t="s">
        <v>288</v>
      </c>
      <c r="O3742" s="14">
        <v>0.0</v>
      </c>
      <c r="P3742" s="23">
        <v>0.0</v>
      </c>
      <c r="Q3742" s="22" t="str">
        <f t="shared" ref="Q3742:R3742" si="2239">"+0.00%"</f>
        <v>+0.00%</v>
      </c>
      <c r="R3742" s="18" t="str">
        <f t="shared" si="2239"/>
        <v>+0.00%</v>
      </c>
      <c r="S3742" s="14" t="s">
        <v>285</v>
      </c>
    </row>
    <row r="3743">
      <c r="A3743" s="13">
        <v>45901.0</v>
      </c>
      <c r="B3743" s="14" t="s">
        <v>47</v>
      </c>
      <c r="C3743" s="14" t="s">
        <v>48</v>
      </c>
      <c r="D3743" s="14" t="s">
        <v>125</v>
      </c>
      <c r="E3743" s="14" t="s">
        <v>126</v>
      </c>
      <c r="F3743" s="15" t="s">
        <v>51</v>
      </c>
      <c r="G3743" s="14" t="s">
        <v>127</v>
      </c>
      <c r="H3743" s="14" t="s">
        <v>125</v>
      </c>
      <c r="I3743" s="14" t="s">
        <v>59</v>
      </c>
      <c r="J3743" s="14" t="s">
        <v>198</v>
      </c>
      <c r="K3743" s="14" t="s">
        <v>210</v>
      </c>
      <c r="L3743" s="14" t="s">
        <v>278</v>
      </c>
      <c r="M3743" s="14" t="s">
        <v>839</v>
      </c>
      <c r="N3743" s="14" t="s">
        <v>840</v>
      </c>
      <c r="O3743" s="14">
        <v>49.0</v>
      </c>
      <c r="P3743" s="21">
        <v>1220.0</v>
      </c>
      <c r="Q3743" s="22" t="str">
        <f>"+223"</f>
        <v>+223</v>
      </c>
      <c r="R3743" s="18" t="str">
        <f>"-265"</f>
        <v>-265</v>
      </c>
      <c r="S3743" s="14" t="s">
        <v>2114</v>
      </c>
    </row>
    <row r="3744">
      <c r="A3744" s="13">
        <v>45901.0</v>
      </c>
      <c r="B3744" s="14" t="s">
        <v>47</v>
      </c>
      <c r="C3744" s="14" t="s">
        <v>48</v>
      </c>
      <c r="D3744" s="14" t="s">
        <v>69</v>
      </c>
      <c r="E3744" s="14" t="s">
        <v>70</v>
      </c>
      <c r="F3744" s="14" t="s">
        <v>71</v>
      </c>
      <c r="G3744" s="14">
        <v>1.00002092E8</v>
      </c>
      <c r="H3744" s="14" t="s">
        <v>72</v>
      </c>
      <c r="I3744" s="14" t="s">
        <v>54</v>
      </c>
      <c r="J3744" s="14" t="s">
        <v>199</v>
      </c>
      <c r="K3744" s="14" t="s">
        <v>206</v>
      </c>
      <c r="L3744" s="14" t="s">
        <v>268</v>
      </c>
      <c r="M3744" s="14" t="s">
        <v>268</v>
      </c>
      <c r="N3744" s="14" t="s">
        <v>269</v>
      </c>
      <c r="O3744" s="14">
        <v>90.0</v>
      </c>
      <c r="P3744" s="21">
        <v>4.0</v>
      </c>
      <c r="Q3744" s="22" t="str">
        <f>"+2"</f>
        <v>+2</v>
      </c>
      <c r="R3744" s="18" t="str">
        <f>"+4"</f>
        <v>+4</v>
      </c>
      <c r="S3744" s="14" t="s">
        <v>260</v>
      </c>
    </row>
    <row r="3745">
      <c r="A3745" s="13">
        <v>45901.0</v>
      </c>
      <c r="B3745" s="14" t="s">
        <v>47</v>
      </c>
      <c r="C3745" s="14" t="s">
        <v>48</v>
      </c>
      <c r="D3745" s="14" t="s">
        <v>85</v>
      </c>
      <c r="E3745" s="14" t="s">
        <v>86</v>
      </c>
      <c r="F3745" s="14" t="s">
        <v>71</v>
      </c>
      <c r="G3745" s="14">
        <v>88285.0</v>
      </c>
      <c r="H3745" s="14" t="s">
        <v>85</v>
      </c>
      <c r="I3745" s="14" t="s">
        <v>59</v>
      </c>
      <c r="J3745" s="14" t="s">
        <v>199</v>
      </c>
      <c r="K3745" s="14" t="s">
        <v>206</v>
      </c>
      <c r="L3745" s="14" t="s">
        <v>268</v>
      </c>
      <c r="M3745" s="14" t="s">
        <v>268</v>
      </c>
      <c r="N3745" s="14" t="s">
        <v>269</v>
      </c>
      <c r="O3745" s="14">
        <v>0.0</v>
      </c>
      <c r="P3745" s="21">
        <v>0.0</v>
      </c>
      <c r="Q3745" s="22" t="str">
        <f t="shared" ref="Q3745:R3745" si="2240">"+0"</f>
        <v>+0</v>
      </c>
      <c r="R3745" s="18" t="str">
        <f t="shared" si="2240"/>
        <v>+0</v>
      </c>
      <c r="S3745" s="14" t="s">
        <v>260</v>
      </c>
    </row>
    <row r="3746">
      <c r="A3746" s="13">
        <v>45901.0</v>
      </c>
      <c r="B3746" s="14" t="s">
        <v>47</v>
      </c>
      <c r="C3746" s="14" t="s">
        <v>48</v>
      </c>
      <c r="D3746" s="14" t="s">
        <v>85</v>
      </c>
      <c r="E3746" s="14" t="s">
        <v>86</v>
      </c>
      <c r="F3746" s="15" t="s">
        <v>51</v>
      </c>
      <c r="G3746" s="14" t="s">
        <v>148</v>
      </c>
      <c r="H3746" s="14" t="s">
        <v>85</v>
      </c>
      <c r="I3746" s="14" t="s">
        <v>59</v>
      </c>
      <c r="J3746" s="14" t="s">
        <v>199</v>
      </c>
      <c r="K3746" s="14" t="s">
        <v>208</v>
      </c>
      <c r="L3746" s="14" t="s">
        <v>352</v>
      </c>
      <c r="M3746" s="14" t="s">
        <v>352</v>
      </c>
      <c r="N3746" s="14" t="s">
        <v>353</v>
      </c>
      <c r="O3746" s="14">
        <v>75.0</v>
      </c>
      <c r="P3746" s="21">
        <v>1.0</v>
      </c>
      <c r="Q3746" s="22" t="str">
        <f t="shared" ref="Q3746:R3746" si="2241">"+0"</f>
        <v>+0</v>
      </c>
      <c r="R3746" s="18" t="str">
        <f t="shared" si="2241"/>
        <v>+0</v>
      </c>
      <c r="S3746" s="14" t="s">
        <v>260</v>
      </c>
    </row>
    <row r="3747">
      <c r="A3747" s="13">
        <v>45901.0</v>
      </c>
      <c r="B3747" s="14" t="s">
        <v>47</v>
      </c>
      <c r="C3747" s="14" t="s">
        <v>48</v>
      </c>
      <c r="D3747" s="14" t="s">
        <v>85</v>
      </c>
      <c r="E3747" s="14" t="s">
        <v>86</v>
      </c>
      <c r="F3747" s="15" t="s">
        <v>51</v>
      </c>
      <c r="G3747" s="14" t="s">
        <v>148</v>
      </c>
      <c r="H3747" s="14" t="s">
        <v>85</v>
      </c>
      <c r="I3747" s="14" t="s">
        <v>59</v>
      </c>
      <c r="J3747" s="14" t="s">
        <v>200</v>
      </c>
      <c r="K3747" s="14" t="s">
        <v>213</v>
      </c>
      <c r="L3747" s="14" t="s">
        <v>257</v>
      </c>
      <c r="M3747" s="14" t="s">
        <v>499</v>
      </c>
      <c r="N3747" s="14" t="s">
        <v>500</v>
      </c>
      <c r="O3747" s="14">
        <v>0.0</v>
      </c>
      <c r="P3747" s="23">
        <v>0.0</v>
      </c>
      <c r="Q3747" s="22" t="str">
        <f t="shared" ref="Q3747:R3747" si="2242">"+0.00%"</f>
        <v>+0.00%</v>
      </c>
      <c r="R3747" s="18" t="str">
        <f t="shared" si="2242"/>
        <v>+0.00%</v>
      </c>
      <c r="S3747" s="14" t="s">
        <v>2115</v>
      </c>
    </row>
    <row r="3748">
      <c r="A3748" s="13">
        <v>45901.0</v>
      </c>
      <c r="B3748" s="14" t="s">
        <v>47</v>
      </c>
      <c r="C3748" s="14" t="s">
        <v>48</v>
      </c>
      <c r="D3748" s="14" t="s">
        <v>69</v>
      </c>
      <c r="E3748" s="14" t="s">
        <v>70</v>
      </c>
      <c r="F3748" s="14" t="s">
        <v>71</v>
      </c>
      <c r="G3748" s="14">
        <v>1.00002092E8</v>
      </c>
      <c r="H3748" s="14" t="s">
        <v>72</v>
      </c>
      <c r="I3748" s="14" t="s">
        <v>54</v>
      </c>
      <c r="J3748" s="14" t="s">
        <v>200</v>
      </c>
      <c r="K3748" s="14" t="s">
        <v>230</v>
      </c>
      <c r="L3748" s="14" t="s">
        <v>253</v>
      </c>
      <c r="M3748" s="14" t="s">
        <v>1066</v>
      </c>
      <c r="N3748" s="14" t="s">
        <v>1067</v>
      </c>
      <c r="O3748" s="14">
        <v>30.0</v>
      </c>
      <c r="P3748" s="23">
        <v>0.3062</v>
      </c>
      <c r="Q3748" s="22" t="str">
        <f>"+1.35%"</f>
        <v>+1.35%</v>
      </c>
      <c r="R3748" s="18" t="str">
        <f>"+16.19%"</f>
        <v>+16.19%</v>
      </c>
      <c r="S3748" s="14" t="s">
        <v>2116</v>
      </c>
    </row>
    <row r="3749">
      <c r="A3749" s="13">
        <v>45901.0</v>
      </c>
      <c r="B3749" s="14" t="s">
        <v>47</v>
      </c>
      <c r="C3749" s="14" t="s">
        <v>48</v>
      </c>
      <c r="D3749" s="14" t="s">
        <v>85</v>
      </c>
      <c r="E3749" s="14" t="s">
        <v>86</v>
      </c>
      <c r="F3749" s="15" t="s">
        <v>51</v>
      </c>
      <c r="G3749" s="14" t="s">
        <v>148</v>
      </c>
      <c r="H3749" s="14" t="s">
        <v>85</v>
      </c>
      <c r="I3749" s="14" t="s">
        <v>59</v>
      </c>
      <c r="J3749" s="14" t="s">
        <v>199</v>
      </c>
      <c r="K3749" s="14" t="s">
        <v>203</v>
      </c>
      <c r="L3749" s="14" t="s">
        <v>736</v>
      </c>
      <c r="M3749" s="14" t="s">
        <v>736</v>
      </c>
      <c r="N3749" s="14" t="s">
        <v>737</v>
      </c>
      <c r="O3749" s="14">
        <v>0.0</v>
      </c>
      <c r="P3749" s="21">
        <v>0.0</v>
      </c>
      <c r="Q3749" s="22" t="str">
        <f t="shared" ref="Q3749:R3749" si="2243">"+0"</f>
        <v>+0</v>
      </c>
      <c r="R3749" s="18" t="str">
        <f t="shared" si="2243"/>
        <v>+0</v>
      </c>
      <c r="S3749" s="14" t="s">
        <v>260</v>
      </c>
    </row>
    <row r="3750">
      <c r="A3750" s="13">
        <v>45901.0</v>
      </c>
      <c r="B3750" s="14" t="s">
        <v>47</v>
      </c>
      <c r="C3750" s="14" t="s">
        <v>48</v>
      </c>
      <c r="D3750" s="14" t="s">
        <v>108</v>
      </c>
      <c r="E3750" s="14" t="s">
        <v>109</v>
      </c>
      <c r="F3750" s="15" t="s">
        <v>51</v>
      </c>
      <c r="G3750" s="14" t="s">
        <v>110</v>
      </c>
      <c r="H3750" s="14" t="s">
        <v>108</v>
      </c>
      <c r="I3750" s="14" t="s">
        <v>59</v>
      </c>
      <c r="J3750" s="14" t="s">
        <v>198</v>
      </c>
      <c r="K3750" s="14" t="s">
        <v>205</v>
      </c>
      <c r="L3750" s="14" t="s">
        <v>274</v>
      </c>
      <c r="M3750" s="14" t="s">
        <v>636</v>
      </c>
      <c r="N3750" s="14" t="s">
        <v>637</v>
      </c>
      <c r="O3750" s="14">
        <v>0.0</v>
      </c>
      <c r="P3750" s="21">
        <v>0.0</v>
      </c>
      <c r="Q3750" s="22" t="str">
        <f>"+0"</f>
        <v>+0</v>
      </c>
      <c r="S3750" s="14" t="s">
        <v>281</v>
      </c>
    </row>
    <row r="3751">
      <c r="A3751" s="13">
        <v>45901.0</v>
      </c>
      <c r="B3751" s="14" t="s">
        <v>47</v>
      </c>
      <c r="C3751" s="14" t="s">
        <v>48</v>
      </c>
      <c r="D3751" s="14" t="s">
        <v>158</v>
      </c>
      <c r="E3751" s="14" t="s">
        <v>159</v>
      </c>
      <c r="F3751" s="15" t="s">
        <v>51</v>
      </c>
      <c r="G3751" s="14" t="s">
        <v>160</v>
      </c>
      <c r="H3751" s="14" t="s">
        <v>158</v>
      </c>
      <c r="I3751" s="14" t="s">
        <v>54</v>
      </c>
      <c r="J3751" s="14" t="s">
        <v>200</v>
      </c>
      <c r="K3751" s="14" t="s">
        <v>229</v>
      </c>
      <c r="L3751" s="14" t="s">
        <v>253</v>
      </c>
      <c r="M3751" s="14" t="s">
        <v>552</v>
      </c>
      <c r="N3751" s="14" t="s">
        <v>553</v>
      </c>
      <c r="O3751" s="14">
        <v>9.0</v>
      </c>
      <c r="P3751" s="23">
        <v>0.1146</v>
      </c>
      <c r="Q3751" s="22" t="str">
        <f>"-0.75%"</f>
        <v>-0.75%</v>
      </c>
      <c r="R3751" s="18" t="str">
        <f>"-1.50%"</f>
        <v>-1.50%</v>
      </c>
      <c r="S3751" s="14" t="s">
        <v>909</v>
      </c>
    </row>
    <row r="3752">
      <c r="A3752" s="13">
        <v>45901.0</v>
      </c>
      <c r="B3752" s="14" t="s">
        <v>47</v>
      </c>
      <c r="C3752" s="14" t="s">
        <v>48</v>
      </c>
      <c r="D3752" s="14" t="s">
        <v>112</v>
      </c>
      <c r="E3752" s="14" t="s">
        <v>113</v>
      </c>
      <c r="F3752" s="15" t="s">
        <v>51</v>
      </c>
      <c r="G3752" s="14" t="s">
        <v>114</v>
      </c>
      <c r="H3752" s="14" t="s">
        <v>112</v>
      </c>
      <c r="I3752" s="14" t="s">
        <v>59</v>
      </c>
      <c r="J3752" s="14" t="s">
        <v>199</v>
      </c>
      <c r="K3752" s="14" t="s">
        <v>206</v>
      </c>
      <c r="L3752" s="14" t="s">
        <v>295</v>
      </c>
      <c r="M3752" s="14" t="s">
        <v>529</v>
      </c>
      <c r="N3752" s="14" t="s">
        <v>530</v>
      </c>
      <c r="O3752" s="14">
        <v>0.0</v>
      </c>
      <c r="P3752" s="21">
        <v>0.0</v>
      </c>
      <c r="Q3752" s="22" t="str">
        <f t="shared" ref="Q3752:R3752" si="2244">"+0"</f>
        <v>+0</v>
      </c>
      <c r="R3752" s="18" t="str">
        <f t="shared" si="2244"/>
        <v>+0</v>
      </c>
      <c r="S3752" s="14" t="s">
        <v>260</v>
      </c>
    </row>
    <row r="3753">
      <c r="A3753" s="13">
        <v>45901.0</v>
      </c>
      <c r="B3753" s="14" t="s">
        <v>47</v>
      </c>
      <c r="C3753" s="14" t="s">
        <v>48</v>
      </c>
      <c r="D3753" s="14" t="s">
        <v>116</v>
      </c>
      <c r="E3753" s="14" t="s">
        <v>117</v>
      </c>
      <c r="F3753" s="15" t="s">
        <v>51</v>
      </c>
      <c r="G3753" s="14" t="s">
        <v>161</v>
      </c>
      <c r="H3753" s="14" t="s">
        <v>116</v>
      </c>
      <c r="I3753" s="14" t="s">
        <v>54</v>
      </c>
      <c r="J3753" s="14" t="s">
        <v>198</v>
      </c>
      <c r="K3753" s="14" t="s">
        <v>205</v>
      </c>
      <c r="L3753" s="14" t="s">
        <v>274</v>
      </c>
      <c r="M3753" s="14" t="s">
        <v>473</v>
      </c>
      <c r="N3753" s="14" t="s">
        <v>474</v>
      </c>
      <c r="O3753" s="14">
        <v>50.0</v>
      </c>
      <c r="P3753" s="21">
        <v>15.0</v>
      </c>
      <c r="Q3753" s="22" t="str">
        <f t="shared" ref="Q3753:Q3756" si="2245">"+0"</f>
        <v>+0</v>
      </c>
      <c r="S3753" s="14" t="s">
        <v>475</v>
      </c>
    </row>
    <row r="3754">
      <c r="A3754" s="13">
        <v>45901.0</v>
      </c>
      <c r="B3754" s="14" t="s">
        <v>47</v>
      </c>
      <c r="C3754" s="14" t="s">
        <v>48</v>
      </c>
      <c r="D3754" s="14" t="s">
        <v>158</v>
      </c>
      <c r="E3754" s="14" t="s">
        <v>159</v>
      </c>
      <c r="F3754" s="15" t="s">
        <v>51</v>
      </c>
      <c r="G3754" s="14" t="s">
        <v>160</v>
      </c>
      <c r="H3754" s="14" t="s">
        <v>158</v>
      </c>
      <c r="I3754" s="14" t="s">
        <v>54</v>
      </c>
      <c r="J3754" s="14" t="s">
        <v>198</v>
      </c>
      <c r="K3754" s="14" t="s">
        <v>210</v>
      </c>
      <c r="L3754" s="14" t="s">
        <v>264</v>
      </c>
      <c r="M3754" s="14" t="s">
        <v>405</v>
      </c>
      <c r="N3754" s="14" t="s">
        <v>406</v>
      </c>
      <c r="O3754" s="14">
        <v>0.0</v>
      </c>
      <c r="P3754" s="21">
        <v>0.0</v>
      </c>
      <c r="Q3754" s="22" t="str">
        <f t="shared" si="2245"/>
        <v>+0</v>
      </c>
      <c r="R3754" s="18" t="str">
        <f t="shared" ref="R3754:R3756" si="2246">"+0"</f>
        <v>+0</v>
      </c>
      <c r="S3754" s="14" t="s">
        <v>277</v>
      </c>
    </row>
    <row r="3755">
      <c r="A3755" s="13">
        <v>45901.0</v>
      </c>
      <c r="B3755" s="14" t="s">
        <v>47</v>
      </c>
      <c r="C3755" s="14" t="s">
        <v>48</v>
      </c>
      <c r="D3755" s="14" t="s">
        <v>116</v>
      </c>
      <c r="E3755" s="14" t="s">
        <v>117</v>
      </c>
      <c r="F3755" s="15" t="s">
        <v>51</v>
      </c>
      <c r="G3755" s="14" t="s">
        <v>161</v>
      </c>
      <c r="H3755" s="14" t="s">
        <v>116</v>
      </c>
      <c r="I3755" s="14" t="s">
        <v>54</v>
      </c>
      <c r="J3755" s="14" t="s">
        <v>199</v>
      </c>
      <c r="K3755" s="14" t="s">
        <v>206</v>
      </c>
      <c r="L3755" s="14" t="s">
        <v>295</v>
      </c>
      <c r="M3755" s="14" t="s">
        <v>529</v>
      </c>
      <c r="N3755" s="14" t="s">
        <v>530</v>
      </c>
      <c r="O3755" s="14">
        <v>100.0</v>
      </c>
      <c r="P3755" s="21">
        <v>11.0</v>
      </c>
      <c r="Q3755" s="22" t="str">
        <f t="shared" si="2245"/>
        <v>+0</v>
      </c>
      <c r="R3755" s="18" t="str">
        <f t="shared" si="2246"/>
        <v>+0</v>
      </c>
      <c r="S3755" s="14" t="s">
        <v>260</v>
      </c>
    </row>
    <row r="3756">
      <c r="A3756" s="13">
        <v>45901.0</v>
      </c>
      <c r="B3756" s="14" t="s">
        <v>47</v>
      </c>
      <c r="C3756" s="14" t="s">
        <v>48</v>
      </c>
      <c r="D3756" s="14" t="s">
        <v>108</v>
      </c>
      <c r="E3756" s="14" t="s">
        <v>109</v>
      </c>
      <c r="F3756" s="15" t="s">
        <v>51</v>
      </c>
      <c r="G3756" s="14" t="s">
        <v>110</v>
      </c>
      <c r="H3756" s="14" t="s">
        <v>108</v>
      </c>
      <c r="I3756" s="14" t="s">
        <v>59</v>
      </c>
      <c r="J3756" s="14" t="s">
        <v>198</v>
      </c>
      <c r="K3756" s="14" t="s">
        <v>212</v>
      </c>
      <c r="L3756" s="14" t="s">
        <v>249</v>
      </c>
      <c r="M3756" s="14" t="s">
        <v>250</v>
      </c>
      <c r="N3756" s="14" t="s">
        <v>251</v>
      </c>
      <c r="O3756" s="14">
        <v>100.0</v>
      </c>
      <c r="P3756" s="21">
        <v>0.0</v>
      </c>
      <c r="Q3756" s="22" t="str">
        <f t="shared" si="2245"/>
        <v>+0</v>
      </c>
      <c r="R3756" s="18" t="str">
        <f t="shared" si="2246"/>
        <v>+0</v>
      </c>
      <c r="S3756" s="14" t="s">
        <v>281</v>
      </c>
    </row>
    <row r="3757">
      <c r="A3757" s="13">
        <v>45901.0</v>
      </c>
      <c r="B3757" s="14" t="s">
        <v>47</v>
      </c>
      <c r="C3757" s="14" t="s">
        <v>48</v>
      </c>
      <c r="D3757" s="14" t="s">
        <v>140</v>
      </c>
      <c r="E3757" s="14" t="s">
        <v>141</v>
      </c>
      <c r="F3757" s="15" t="s">
        <v>51</v>
      </c>
      <c r="G3757" s="14" t="s">
        <v>142</v>
      </c>
      <c r="H3757" s="14" t="s">
        <v>140</v>
      </c>
      <c r="I3757" s="14" t="s">
        <v>59</v>
      </c>
      <c r="J3757" s="14" t="s">
        <v>198</v>
      </c>
      <c r="K3757" s="14" t="s">
        <v>210</v>
      </c>
      <c r="L3757" s="14" t="s">
        <v>278</v>
      </c>
      <c r="M3757" s="14" t="s">
        <v>443</v>
      </c>
      <c r="N3757" s="14" t="s">
        <v>444</v>
      </c>
      <c r="O3757" s="14">
        <v>6.0</v>
      </c>
      <c r="P3757" s="21">
        <v>233.0</v>
      </c>
      <c r="Q3757" s="22" t="str">
        <f>"+18"</f>
        <v>+18</v>
      </c>
      <c r="R3757" s="18" t="str">
        <f>"+41"</f>
        <v>+41</v>
      </c>
      <c r="S3757" s="14" t="s">
        <v>1433</v>
      </c>
    </row>
    <row r="3758">
      <c r="A3758" s="13">
        <v>45901.0</v>
      </c>
      <c r="B3758" s="14" t="s">
        <v>47</v>
      </c>
      <c r="C3758" s="14" t="s">
        <v>48</v>
      </c>
      <c r="D3758" s="14" t="s">
        <v>155</v>
      </c>
      <c r="E3758" s="14" t="s">
        <v>156</v>
      </c>
      <c r="F3758" s="15" t="s">
        <v>51</v>
      </c>
      <c r="G3758" s="14" t="s">
        <v>157</v>
      </c>
      <c r="H3758" s="14" t="s">
        <v>155</v>
      </c>
      <c r="I3758" s="14" t="s">
        <v>59</v>
      </c>
      <c r="J3758" s="14" t="s">
        <v>199</v>
      </c>
      <c r="K3758" s="14" t="s">
        <v>206</v>
      </c>
      <c r="L3758" s="14" t="s">
        <v>295</v>
      </c>
      <c r="M3758" s="14" t="s">
        <v>296</v>
      </c>
      <c r="N3758" s="14" t="s">
        <v>297</v>
      </c>
      <c r="O3758" s="14">
        <v>0.0</v>
      </c>
      <c r="P3758" s="21">
        <v>0.0</v>
      </c>
      <c r="Q3758" s="22" t="str">
        <f t="shared" ref="Q3758:R3758" si="2247">"+0"</f>
        <v>+0</v>
      </c>
      <c r="R3758" s="18" t="str">
        <f t="shared" si="2247"/>
        <v>+0</v>
      </c>
      <c r="S3758" s="14" t="s">
        <v>260</v>
      </c>
    </row>
    <row r="3759">
      <c r="A3759" s="13">
        <v>45901.0</v>
      </c>
      <c r="B3759" s="14" t="s">
        <v>47</v>
      </c>
      <c r="C3759" s="14" t="s">
        <v>48</v>
      </c>
      <c r="D3759" s="14" t="s">
        <v>168</v>
      </c>
      <c r="E3759" s="14" t="s">
        <v>169</v>
      </c>
      <c r="F3759" s="15" t="s">
        <v>51</v>
      </c>
      <c r="G3759" s="14" t="s">
        <v>170</v>
      </c>
      <c r="H3759" s="14" t="s">
        <v>168</v>
      </c>
      <c r="I3759" s="14" t="s">
        <v>59</v>
      </c>
      <c r="J3759" s="14" t="s">
        <v>200</v>
      </c>
      <c r="K3759" s="14" t="s">
        <v>213</v>
      </c>
      <c r="L3759" s="14" t="s">
        <v>571</v>
      </c>
      <c r="M3759" s="14" t="s">
        <v>572</v>
      </c>
      <c r="N3759" s="14" t="s">
        <v>573</v>
      </c>
      <c r="O3759" s="14">
        <v>0.0</v>
      </c>
      <c r="P3759" s="23">
        <v>0.0</v>
      </c>
      <c r="Q3759" s="22" t="str">
        <f t="shared" ref="Q3759:R3759" si="2248">"+0.00%"</f>
        <v>+0.00%</v>
      </c>
      <c r="R3759" s="18" t="str">
        <f t="shared" si="2248"/>
        <v>+0.00%</v>
      </c>
      <c r="S3759" s="14" t="s">
        <v>285</v>
      </c>
    </row>
    <row r="3760">
      <c r="A3760" s="13">
        <v>45901.0</v>
      </c>
      <c r="B3760" s="14" t="s">
        <v>47</v>
      </c>
      <c r="C3760" s="14" t="s">
        <v>48</v>
      </c>
      <c r="D3760" s="14" t="s">
        <v>165</v>
      </c>
      <c r="E3760" s="14" t="s">
        <v>166</v>
      </c>
      <c r="F3760" s="15" t="s">
        <v>51</v>
      </c>
      <c r="G3760" s="14" t="s">
        <v>167</v>
      </c>
      <c r="H3760" s="14" t="s">
        <v>165</v>
      </c>
      <c r="I3760" s="14" t="s">
        <v>54</v>
      </c>
      <c r="J3760" s="14" t="s">
        <v>200</v>
      </c>
      <c r="K3760" s="14" t="s">
        <v>224</v>
      </c>
      <c r="L3760" s="14" t="s">
        <v>427</v>
      </c>
      <c r="M3760" s="14" t="s">
        <v>925</v>
      </c>
      <c r="N3760" s="14" t="s">
        <v>926</v>
      </c>
      <c r="O3760" s="14">
        <v>4.0</v>
      </c>
      <c r="P3760" s="23">
        <v>0.0455</v>
      </c>
      <c r="Q3760" s="22" t="str">
        <f>"+4.55%"</f>
        <v>+4.55%</v>
      </c>
      <c r="R3760" s="18" t="str">
        <f>"-0.72%"</f>
        <v>-0.72%</v>
      </c>
      <c r="S3760" s="14" t="s">
        <v>927</v>
      </c>
    </row>
    <row r="3761">
      <c r="A3761" s="13">
        <v>45901.0</v>
      </c>
      <c r="B3761" s="14" t="s">
        <v>47</v>
      </c>
      <c r="C3761" s="14" t="s">
        <v>48</v>
      </c>
      <c r="D3761" s="14" t="s">
        <v>165</v>
      </c>
      <c r="E3761" s="14" t="s">
        <v>166</v>
      </c>
      <c r="F3761" s="15" t="s">
        <v>51</v>
      </c>
      <c r="G3761" s="14" t="s">
        <v>167</v>
      </c>
      <c r="H3761" s="14" t="s">
        <v>165</v>
      </c>
      <c r="I3761" s="14" t="s">
        <v>54</v>
      </c>
      <c r="J3761" s="14" t="s">
        <v>200</v>
      </c>
      <c r="K3761" s="14" t="s">
        <v>213</v>
      </c>
      <c r="L3761" s="14" t="s">
        <v>253</v>
      </c>
      <c r="M3761" s="14" t="s">
        <v>552</v>
      </c>
      <c r="N3761" s="14" t="s">
        <v>553</v>
      </c>
      <c r="O3761" s="14">
        <v>43.0</v>
      </c>
      <c r="P3761" s="23">
        <v>0.4322</v>
      </c>
      <c r="Q3761" s="22" t="str">
        <f>"+7.05%"</f>
        <v>+7.05%</v>
      </c>
      <c r="R3761" s="18" t="str">
        <f>"+6.12%"</f>
        <v>+6.12%</v>
      </c>
      <c r="S3761" s="14" t="s">
        <v>1819</v>
      </c>
    </row>
    <row r="3762">
      <c r="A3762" s="13">
        <v>45901.0</v>
      </c>
      <c r="B3762" s="14" t="s">
        <v>47</v>
      </c>
      <c r="C3762" s="14" t="s">
        <v>48</v>
      </c>
      <c r="D3762" s="14" t="s">
        <v>165</v>
      </c>
      <c r="E3762" s="14" t="s">
        <v>166</v>
      </c>
      <c r="F3762" s="15" t="s">
        <v>51</v>
      </c>
      <c r="G3762" s="14" t="s">
        <v>167</v>
      </c>
      <c r="H3762" s="14" t="s">
        <v>165</v>
      </c>
      <c r="I3762" s="14" t="s">
        <v>54</v>
      </c>
      <c r="J3762" s="14" t="s">
        <v>200</v>
      </c>
      <c r="K3762" s="14" t="s">
        <v>213</v>
      </c>
      <c r="L3762" s="14" t="s">
        <v>359</v>
      </c>
      <c r="M3762" s="14" t="s">
        <v>360</v>
      </c>
      <c r="N3762" s="14" t="s">
        <v>361</v>
      </c>
      <c r="O3762" s="14">
        <v>0.0</v>
      </c>
      <c r="P3762" s="23">
        <v>0.0</v>
      </c>
      <c r="Q3762" s="22" t="str">
        <f t="shared" ref="Q3762:R3762" si="2249">"+0.00%"</f>
        <v>+0.00%</v>
      </c>
      <c r="R3762" s="18" t="str">
        <f t="shared" si="2249"/>
        <v>+0.00%</v>
      </c>
      <c r="S3762" s="14" t="s">
        <v>404</v>
      </c>
    </row>
    <row r="3763">
      <c r="A3763" s="13">
        <v>45901.0</v>
      </c>
      <c r="B3763" s="14" t="s">
        <v>47</v>
      </c>
      <c r="C3763" s="14" t="s">
        <v>48</v>
      </c>
      <c r="D3763" s="14" t="s">
        <v>165</v>
      </c>
      <c r="E3763" s="14" t="s">
        <v>166</v>
      </c>
      <c r="F3763" s="15" t="s">
        <v>51</v>
      </c>
      <c r="G3763" s="14" t="s">
        <v>167</v>
      </c>
      <c r="H3763" s="14" t="s">
        <v>165</v>
      </c>
      <c r="I3763" s="14" t="s">
        <v>54</v>
      </c>
      <c r="J3763" s="14" t="s">
        <v>198</v>
      </c>
      <c r="K3763" s="14" t="s">
        <v>212</v>
      </c>
      <c r="L3763" s="14" t="s">
        <v>249</v>
      </c>
      <c r="M3763" s="14" t="s">
        <v>598</v>
      </c>
      <c r="N3763" s="14" t="s">
        <v>599</v>
      </c>
      <c r="O3763" s="14">
        <v>89.0</v>
      </c>
      <c r="P3763" s="21">
        <v>7223.0</v>
      </c>
      <c r="Q3763" s="22" t="str">
        <f>"-682"</f>
        <v>-682</v>
      </c>
      <c r="R3763" s="18" t="str">
        <f>"-427"</f>
        <v>-427</v>
      </c>
      <c r="S3763" s="14" t="s">
        <v>2117</v>
      </c>
    </row>
    <row r="3764">
      <c r="A3764" s="13">
        <v>45901.0</v>
      </c>
      <c r="B3764" s="14" t="s">
        <v>47</v>
      </c>
      <c r="C3764" s="14" t="s">
        <v>48</v>
      </c>
      <c r="D3764" s="14" t="s">
        <v>63</v>
      </c>
      <c r="E3764" s="14" t="s">
        <v>64</v>
      </c>
      <c r="F3764" s="15" t="s">
        <v>51</v>
      </c>
      <c r="G3764" s="14" t="s">
        <v>65</v>
      </c>
      <c r="H3764" s="14" t="s">
        <v>63</v>
      </c>
      <c r="I3764" s="14" t="s">
        <v>54</v>
      </c>
      <c r="J3764" s="14" t="s">
        <v>200</v>
      </c>
      <c r="K3764" s="14" t="s">
        <v>215</v>
      </c>
      <c r="L3764" s="14" t="s">
        <v>1365</v>
      </c>
      <c r="M3764" s="14" t="s">
        <v>1366</v>
      </c>
      <c r="N3764" s="14" t="s">
        <v>1367</v>
      </c>
      <c r="O3764" s="14">
        <v>0.0</v>
      </c>
      <c r="P3764" s="23">
        <v>-1.0</v>
      </c>
      <c r="Q3764" s="22" t="str">
        <f t="shared" ref="Q3764:R3764" si="2250">"+0.00%"</f>
        <v>+0.00%</v>
      </c>
      <c r="R3764" s="18" t="str">
        <f t="shared" si="2250"/>
        <v>+0.00%</v>
      </c>
      <c r="S3764" s="14" t="s">
        <v>2118</v>
      </c>
    </row>
    <row r="3765">
      <c r="A3765" s="13">
        <v>45901.0</v>
      </c>
      <c r="B3765" s="14" t="s">
        <v>47</v>
      </c>
      <c r="C3765" s="14" t="s">
        <v>48</v>
      </c>
      <c r="D3765" s="14" t="s">
        <v>99</v>
      </c>
      <c r="E3765" s="14" t="s">
        <v>100</v>
      </c>
      <c r="F3765" s="15" t="s">
        <v>51</v>
      </c>
      <c r="G3765" s="14" t="s">
        <v>101</v>
      </c>
      <c r="H3765" s="14" t="s">
        <v>102</v>
      </c>
      <c r="I3765" s="14" t="s">
        <v>54</v>
      </c>
      <c r="J3765" s="14" t="s">
        <v>198</v>
      </c>
      <c r="K3765" s="14" t="s">
        <v>212</v>
      </c>
      <c r="L3765" s="14" t="s">
        <v>249</v>
      </c>
      <c r="M3765" s="14" t="s">
        <v>250</v>
      </c>
      <c r="N3765" s="14" t="s">
        <v>251</v>
      </c>
      <c r="O3765" s="14">
        <v>5.0</v>
      </c>
      <c r="P3765" s="21">
        <v>5980.0</v>
      </c>
      <c r="Q3765" s="22" t="str">
        <f>"+1,300"</f>
        <v>+1,300</v>
      </c>
      <c r="R3765" s="18" t="str">
        <f>"-4,782"</f>
        <v>-4,782</v>
      </c>
      <c r="S3765" s="14" t="s">
        <v>2119</v>
      </c>
    </row>
    <row r="3766">
      <c r="A3766" s="13">
        <v>45901.0</v>
      </c>
      <c r="B3766" s="14" t="s">
        <v>47</v>
      </c>
      <c r="C3766" s="14" t="s">
        <v>48</v>
      </c>
      <c r="D3766" s="14" t="s">
        <v>99</v>
      </c>
      <c r="E3766" s="14" t="s">
        <v>100</v>
      </c>
      <c r="F3766" s="15" t="s">
        <v>51</v>
      </c>
      <c r="G3766" s="14" t="s">
        <v>101</v>
      </c>
      <c r="H3766" s="14" t="s">
        <v>102</v>
      </c>
      <c r="I3766" s="14" t="s">
        <v>54</v>
      </c>
      <c r="J3766" s="14" t="s">
        <v>199</v>
      </c>
      <c r="K3766" s="14" t="s">
        <v>203</v>
      </c>
      <c r="L3766" s="14" t="s">
        <v>862</v>
      </c>
      <c r="M3766" s="14" t="s">
        <v>862</v>
      </c>
      <c r="N3766" s="14" t="s">
        <v>863</v>
      </c>
      <c r="O3766" s="14">
        <v>100.0</v>
      </c>
      <c r="P3766" s="21">
        <v>1.0</v>
      </c>
      <c r="Q3766" s="22" t="str">
        <f t="shared" ref="Q3766:R3766" si="2251">"+0"</f>
        <v>+0</v>
      </c>
      <c r="R3766" s="18" t="str">
        <f t="shared" si="2251"/>
        <v>+0</v>
      </c>
      <c r="S3766" s="14" t="s">
        <v>260</v>
      </c>
    </row>
    <row r="3767">
      <c r="A3767" s="13">
        <v>45901.0</v>
      </c>
      <c r="B3767" s="14" t="s">
        <v>47</v>
      </c>
      <c r="C3767" s="14" t="s">
        <v>48</v>
      </c>
      <c r="D3767" s="14" t="s">
        <v>91</v>
      </c>
      <c r="E3767" s="14" t="s">
        <v>92</v>
      </c>
      <c r="F3767" s="14" t="s">
        <v>71</v>
      </c>
      <c r="G3767" s="14">
        <v>1.00004432E8</v>
      </c>
      <c r="H3767" s="14" t="s">
        <v>91</v>
      </c>
      <c r="I3767" s="14" t="s">
        <v>59</v>
      </c>
      <c r="J3767" s="14" t="s">
        <v>199</v>
      </c>
      <c r="K3767" s="14" t="s">
        <v>206</v>
      </c>
      <c r="L3767" s="14" t="s">
        <v>381</v>
      </c>
      <c r="M3767" s="14" t="s">
        <v>381</v>
      </c>
      <c r="N3767" s="14" t="s">
        <v>382</v>
      </c>
      <c r="O3767" s="14">
        <v>0.0</v>
      </c>
      <c r="P3767" s="21">
        <v>0.0</v>
      </c>
      <c r="Q3767" s="22" t="str">
        <f t="shared" ref="Q3767:R3767" si="2252">"+0"</f>
        <v>+0</v>
      </c>
      <c r="R3767" s="18" t="str">
        <f t="shared" si="2252"/>
        <v>+0</v>
      </c>
      <c r="S3767" s="14" t="s">
        <v>383</v>
      </c>
    </row>
    <row r="3768">
      <c r="A3768" s="13">
        <v>45901.0</v>
      </c>
      <c r="B3768" s="14" t="s">
        <v>47</v>
      </c>
      <c r="C3768" s="14" t="s">
        <v>48</v>
      </c>
      <c r="D3768" s="14" t="s">
        <v>184</v>
      </c>
      <c r="E3768" s="14" t="s">
        <v>185</v>
      </c>
      <c r="F3768" s="15" t="s">
        <v>51</v>
      </c>
      <c r="G3768" s="14" t="s">
        <v>186</v>
      </c>
      <c r="H3768" s="14" t="s">
        <v>187</v>
      </c>
      <c r="I3768" s="14" t="s">
        <v>59</v>
      </c>
      <c r="J3768" s="14" t="s">
        <v>200</v>
      </c>
      <c r="K3768" s="14" t="s">
        <v>222</v>
      </c>
      <c r="L3768" s="14" t="s">
        <v>337</v>
      </c>
      <c r="M3768" s="14" t="s">
        <v>338</v>
      </c>
      <c r="N3768" s="14" t="s">
        <v>339</v>
      </c>
      <c r="O3768" s="14">
        <v>0.0</v>
      </c>
      <c r="P3768" s="21">
        <v>0.0</v>
      </c>
      <c r="Q3768" s="22" t="str">
        <f t="shared" ref="Q3768:R3768" si="2253">"+0"</f>
        <v>+0</v>
      </c>
      <c r="R3768" s="18" t="str">
        <f t="shared" si="2253"/>
        <v>+0</v>
      </c>
      <c r="S3768" s="14" t="s">
        <v>260</v>
      </c>
    </row>
    <row r="3769">
      <c r="A3769" s="13">
        <v>45901.0</v>
      </c>
      <c r="B3769" s="14" t="s">
        <v>47</v>
      </c>
      <c r="C3769" s="14" t="s">
        <v>48</v>
      </c>
      <c r="D3769" s="14" t="s">
        <v>82</v>
      </c>
      <c r="E3769" s="14" t="s">
        <v>83</v>
      </c>
      <c r="F3769" s="15" t="s">
        <v>51</v>
      </c>
      <c r="G3769" s="14" t="s">
        <v>84</v>
      </c>
      <c r="H3769" s="14" t="s">
        <v>82</v>
      </c>
      <c r="I3769" s="14" t="s">
        <v>59</v>
      </c>
      <c r="J3769" s="14" t="s">
        <v>198</v>
      </c>
      <c r="K3769" s="14" t="s">
        <v>210</v>
      </c>
      <c r="L3769" s="14" t="s">
        <v>264</v>
      </c>
      <c r="M3769" s="14" t="s">
        <v>265</v>
      </c>
      <c r="N3769" s="14" t="s">
        <v>266</v>
      </c>
      <c r="O3769" s="14">
        <v>76.0</v>
      </c>
      <c r="P3769" s="21">
        <v>52.0</v>
      </c>
      <c r="Q3769" s="22" t="str">
        <f>"-8"</f>
        <v>-8</v>
      </c>
      <c r="R3769" s="18" t="str">
        <f>"-130"</f>
        <v>-130</v>
      </c>
      <c r="S3769" s="14" t="s">
        <v>445</v>
      </c>
    </row>
    <row r="3770">
      <c r="A3770" s="13">
        <v>45901.0</v>
      </c>
      <c r="B3770" s="14" t="s">
        <v>47</v>
      </c>
      <c r="C3770" s="14" t="s">
        <v>48</v>
      </c>
      <c r="D3770" s="14" t="s">
        <v>192</v>
      </c>
      <c r="E3770" s="14" t="s">
        <v>193</v>
      </c>
      <c r="F3770" s="15" t="s">
        <v>51</v>
      </c>
      <c r="G3770" s="14" t="s">
        <v>194</v>
      </c>
      <c r="H3770" s="14" t="s">
        <v>192</v>
      </c>
      <c r="I3770" s="14" t="s">
        <v>54</v>
      </c>
      <c r="J3770" s="14" t="s">
        <v>200</v>
      </c>
      <c r="K3770" s="14" t="s">
        <v>223</v>
      </c>
      <c r="L3770" s="14" t="s">
        <v>676</v>
      </c>
      <c r="M3770" s="14" t="s">
        <v>677</v>
      </c>
      <c r="N3770" s="14" t="s">
        <v>678</v>
      </c>
      <c r="O3770" s="14">
        <v>0.0</v>
      </c>
      <c r="P3770" s="23">
        <v>0.0</v>
      </c>
      <c r="Q3770" s="22" t="str">
        <f t="shared" ref="Q3770:R3770" si="2254">"+0.00%"</f>
        <v>+0.00%</v>
      </c>
      <c r="R3770" s="18" t="str">
        <f t="shared" si="2254"/>
        <v>+0.00%</v>
      </c>
      <c r="S3770" s="14" t="s">
        <v>285</v>
      </c>
    </row>
    <row r="3771">
      <c r="A3771" s="13">
        <v>45901.0</v>
      </c>
      <c r="B3771" s="14" t="s">
        <v>47</v>
      </c>
      <c r="C3771" s="14" t="s">
        <v>48</v>
      </c>
      <c r="D3771" s="14" t="s">
        <v>143</v>
      </c>
      <c r="E3771" s="14" t="s">
        <v>144</v>
      </c>
      <c r="F3771" s="15" t="s">
        <v>51</v>
      </c>
      <c r="G3771" s="14" t="s">
        <v>145</v>
      </c>
      <c r="H3771" s="14" t="s">
        <v>143</v>
      </c>
      <c r="I3771" s="14" t="s">
        <v>59</v>
      </c>
      <c r="J3771" s="14" t="s">
        <v>200</v>
      </c>
      <c r="K3771" s="14" t="s">
        <v>227</v>
      </c>
      <c r="L3771" s="14" t="s">
        <v>253</v>
      </c>
      <c r="M3771" s="14" t="s">
        <v>254</v>
      </c>
      <c r="N3771" s="14" t="s">
        <v>255</v>
      </c>
      <c r="O3771" s="14">
        <v>1.0</v>
      </c>
      <c r="P3771" s="23">
        <v>0.0087</v>
      </c>
      <c r="Q3771" s="22" t="str">
        <f t="shared" ref="Q3771:R3771" si="2255">"+0.00%"</f>
        <v>+0.00%</v>
      </c>
      <c r="R3771" s="18" t="str">
        <f t="shared" si="2255"/>
        <v>+0.00%</v>
      </c>
      <c r="S3771" s="14" t="s">
        <v>399</v>
      </c>
    </row>
    <row r="3772">
      <c r="A3772" s="13">
        <v>45901.0</v>
      </c>
      <c r="B3772" s="14" t="s">
        <v>47</v>
      </c>
      <c r="C3772" s="14" t="s">
        <v>48</v>
      </c>
      <c r="D3772" s="14" t="s">
        <v>73</v>
      </c>
      <c r="E3772" s="14" t="s">
        <v>74</v>
      </c>
      <c r="F3772" s="15" t="s">
        <v>51</v>
      </c>
      <c r="G3772" s="14" t="s">
        <v>75</v>
      </c>
      <c r="H3772" s="14" t="s">
        <v>76</v>
      </c>
      <c r="I3772" s="14" t="s">
        <v>59</v>
      </c>
      <c r="J3772" s="14" t="s">
        <v>200</v>
      </c>
      <c r="K3772" s="14" t="s">
        <v>232</v>
      </c>
      <c r="L3772" s="14" t="s">
        <v>607</v>
      </c>
      <c r="M3772" s="14" t="s">
        <v>1204</v>
      </c>
      <c r="N3772" s="14" t="s">
        <v>1205</v>
      </c>
      <c r="O3772" s="14">
        <v>0.0</v>
      </c>
      <c r="P3772" s="21">
        <v>0.0</v>
      </c>
      <c r="Q3772" s="22" t="str">
        <f t="shared" ref="Q3772:R3772" si="2256">"+0"</f>
        <v>+0</v>
      </c>
      <c r="R3772" s="18" t="str">
        <f t="shared" si="2256"/>
        <v>+0</v>
      </c>
      <c r="S3772" s="14" t="s">
        <v>260</v>
      </c>
    </row>
    <row r="3773">
      <c r="A3773" s="13">
        <v>45901.0</v>
      </c>
      <c r="B3773" s="14" t="s">
        <v>47</v>
      </c>
      <c r="C3773" s="14" t="s">
        <v>48</v>
      </c>
      <c r="D3773" s="14" t="s">
        <v>129</v>
      </c>
      <c r="E3773" s="14" t="s">
        <v>130</v>
      </c>
      <c r="F3773" s="15" t="s">
        <v>51</v>
      </c>
      <c r="G3773" s="14" t="s">
        <v>131</v>
      </c>
      <c r="H3773" s="14" t="s">
        <v>129</v>
      </c>
      <c r="I3773" s="14" t="s">
        <v>59</v>
      </c>
      <c r="J3773" s="14" t="s">
        <v>198</v>
      </c>
      <c r="K3773" s="14" t="s">
        <v>210</v>
      </c>
      <c r="L3773" s="14" t="s">
        <v>278</v>
      </c>
      <c r="M3773" s="14" t="s">
        <v>443</v>
      </c>
      <c r="N3773" s="14" t="s">
        <v>444</v>
      </c>
      <c r="O3773" s="14">
        <v>0.0</v>
      </c>
      <c r="P3773" s="21">
        <v>1972.0</v>
      </c>
      <c r="Q3773" s="22" t="str">
        <f>"+258"</f>
        <v>+258</v>
      </c>
      <c r="R3773" s="18" t="str">
        <f>"+1,626"</f>
        <v>+1,626</v>
      </c>
      <c r="S3773" s="14" t="s">
        <v>2120</v>
      </c>
    </row>
    <row r="3774">
      <c r="A3774" s="13">
        <v>45901.0</v>
      </c>
      <c r="B3774" s="14" t="s">
        <v>47</v>
      </c>
      <c r="C3774" s="14" t="s">
        <v>48</v>
      </c>
      <c r="D3774" s="14" t="s">
        <v>171</v>
      </c>
      <c r="E3774" s="14" t="s">
        <v>172</v>
      </c>
      <c r="F3774" s="15" t="s">
        <v>51</v>
      </c>
      <c r="G3774" s="14" t="s">
        <v>173</v>
      </c>
      <c r="H3774" s="14" t="s">
        <v>171</v>
      </c>
      <c r="I3774" s="14" t="s">
        <v>59</v>
      </c>
      <c r="J3774" s="14" t="s">
        <v>198</v>
      </c>
      <c r="K3774" s="14" t="s">
        <v>205</v>
      </c>
      <c r="L3774" s="14" t="s">
        <v>274</v>
      </c>
      <c r="M3774" s="14" t="s">
        <v>636</v>
      </c>
      <c r="N3774" s="14" t="s">
        <v>637</v>
      </c>
      <c r="O3774" s="14">
        <v>100.0</v>
      </c>
      <c r="P3774" s="21">
        <v>1.0</v>
      </c>
      <c r="Q3774" s="22" t="str">
        <f>"+0"</f>
        <v>+0</v>
      </c>
      <c r="S3774" s="14" t="s">
        <v>281</v>
      </c>
    </row>
    <row r="3775">
      <c r="A3775" s="13">
        <v>45901.0</v>
      </c>
      <c r="B3775" s="14" t="s">
        <v>47</v>
      </c>
      <c r="C3775" s="14" t="s">
        <v>48</v>
      </c>
      <c r="D3775" s="14" t="s">
        <v>129</v>
      </c>
      <c r="E3775" s="14" t="s">
        <v>130</v>
      </c>
      <c r="F3775" s="15" t="s">
        <v>51</v>
      </c>
      <c r="G3775" s="14" t="s">
        <v>131</v>
      </c>
      <c r="H3775" s="14" t="s">
        <v>129</v>
      </c>
      <c r="I3775" s="14" t="s">
        <v>59</v>
      </c>
      <c r="J3775" s="14" t="s">
        <v>200</v>
      </c>
      <c r="K3775" s="14" t="s">
        <v>227</v>
      </c>
      <c r="L3775" s="14" t="s">
        <v>721</v>
      </c>
      <c r="M3775" s="14" t="s">
        <v>1060</v>
      </c>
      <c r="N3775" s="14" t="s">
        <v>1061</v>
      </c>
      <c r="O3775" s="14">
        <v>51.0</v>
      </c>
      <c r="P3775" s="23">
        <v>0.0356</v>
      </c>
      <c r="Q3775" s="22" t="str">
        <f>"+9.70%"</f>
        <v>+9.70%</v>
      </c>
      <c r="R3775" s="18" t="str">
        <f>"+2.54%"</f>
        <v>+2.54%</v>
      </c>
      <c r="S3775" s="14" t="s">
        <v>1062</v>
      </c>
    </row>
    <row r="3776">
      <c r="A3776" s="13">
        <v>45901.0</v>
      </c>
      <c r="B3776" s="14" t="s">
        <v>47</v>
      </c>
      <c r="C3776" s="14" t="s">
        <v>48</v>
      </c>
      <c r="D3776" s="14" t="s">
        <v>171</v>
      </c>
      <c r="E3776" s="14" t="s">
        <v>172</v>
      </c>
      <c r="F3776" s="15" t="s">
        <v>51</v>
      </c>
      <c r="G3776" s="14" t="s">
        <v>173</v>
      </c>
      <c r="H3776" s="14" t="s">
        <v>171</v>
      </c>
      <c r="I3776" s="14" t="s">
        <v>59</v>
      </c>
      <c r="J3776" s="14" t="s">
        <v>199</v>
      </c>
      <c r="K3776" s="14" t="s">
        <v>206</v>
      </c>
      <c r="L3776" s="14" t="s">
        <v>295</v>
      </c>
      <c r="M3776" s="14" t="s">
        <v>986</v>
      </c>
      <c r="N3776" s="14" t="s">
        <v>987</v>
      </c>
      <c r="O3776" s="14">
        <v>0.0</v>
      </c>
      <c r="P3776" s="21">
        <v>0.0</v>
      </c>
      <c r="Q3776" s="22" t="str">
        <f t="shared" ref="Q3776:R3776" si="2257">"+0"</f>
        <v>+0</v>
      </c>
      <c r="R3776" s="18" t="str">
        <f t="shared" si="2257"/>
        <v>+0</v>
      </c>
      <c r="S3776" s="14" t="s">
        <v>260</v>
      </c>
    </row>
    <row r="3777">
      <c r="A3777" s="13">
        <v>45901.0</v>
      </c>
      <c r="B3777" s="14" t="s">
        <v>47</v>
      </c>
      <c r="C3777" s="14" t="s">
        <v>48</v>
      </c>
      <c r="D3777" s="14" t="s">
        <v>125</v>
      </c>
      <c r="E3777" s="14" t="s">
        <v>126</v>
      </c>
      <c r="F3777" s="15" t="s">
        <v>51</v>
      </c>
      <c r="G3777" s="14" t="s">
        <v>127</v>
      </c>
      <c r="H3777" s="14" t="s">
        <v>125</v>
      </c>
      <c r="I3777" s="14" t="s">
        <v>59</v>
      </c>
      <c r="J3777" s="14" t="s">
        <v>200</v>
      </c>
      <c r="K3777" s="14" t="s">
        <v>232</v>
      </c>
      <c r="L3777" s="14" t="s">
        <v>286</v>
      </c>
      <c r="M3777" s="14" t="s">
        <v>644</v>
      </c>
      <c r="N3777" s="14" t="s">
        <v>645</v>
      </c>
      <c r="O3777" s="14">
        <v>0.0</v>
      </c>
      <c r="P3777" s="23">
        <v>-1.0</v>
      </c>
      <c r="Q3777" s="22" t="str">
        <f t="shared" ref="Q3777:R3777" si="2258">"+0.00%"</f>
        <v>+0.00%</v>
      </c>
      <c r="R3777" s="18" t="str">
        <f t="shared" si="2258"/>
        <v>+0.00%</v>
      </c>
      <c r="S3777" s="14" t="s">
        <v>2121</v>
      </c>
    </row>
    <row r="3778">
      <c r="A3778" s="13">
        <v>45901.0</v>
      </c>
      <c r="B3778" s="14" t="s">
        <v>47</v>
      </c>
      <c r="C3778" s="14" t="s">
        <v>48</v>
      </c>
      <c r="D3778" s="14" t="s">
        <v>69</v>
      </c>
      <c r="E3778" s="14" t="s">
        <v>70</v>
      </c>
      <c r="F3778" s="15" t="s">
        <v>51</v>
      </c>
      <c r="G3778" s="14" t="s">
        <v>115</v>
      </c>
      <c r="H3778" s="14" t="s">
        <v>72</v>
      </c>
      <c r="I3778" s="14" t="s">
        <v>54</v>
      </c>
      <c r="J3778" s="14" t="s">
        <v>200</v>
      </c>
      <c r="K3778" s="14" t="s">
        <v>213</v>
      </c>
      <c r="L3778" s="14" t="s">
        <v>257</v>
      </c>
      <c r="M3778" s="14" t="s">
        <v>499</v>
      </c>
      <c r="N3778" s="14" t="s">
        <v>500</v>
      </c>
      <c r="O3778" s="14">
        <v>10.0</v>
      </c>
      <c r="P3778" s="23">
        <v>0.1095</v>
      </c>
      <c r="Q3778" s="22" t="str">
        <f>"-0.57%"</f>
        <v>-0.57%</v>
      </c>
      <c r="R3778" s="18" t="str">
        <f>"-1.82%"</f>
        <v>-1.82%</v>
      </c>
      <c r="S3778" s="14" t="s">
        <v>2122</v>
      </c>
    </row>
    <row r="3779">
      <c r="A3779" s="13">
        <v>45901.0</v>
      </c>
      <c r="B3779" s="14" t="s">
        <v>47</v>
      </c>
      <c r="C3779" s="14" t="s">
        <v>48</v>
      </c>
      <c r="D3779" s="14" t="s">
        <v>69</v>
      </c>
      <c r="E3779" s="14" t="s">
        <v>70</v>
      </c>
      <c r="F3779" s="15" t="s">
        <v>51</v>
      </c>
      <c r="G3779" s="14" t="s">
        <v>115</v>
      </c>
      <c r="H3779" s="14" t="s">
        <v>72</v>
      </c>
      <c r="I3779" s="14" t="s">
        <v>54</v>
      </c>
      <c r="J3779" s="14" t="s">
        <v>199</v>
      </c>
      <c r="K3779" s="14" t="s">
        <v>203</v>
      </c>
      <c r="L3779" s="14" t="s">
        <v>485</v>
      </c>
      <c r="M3779" s="14" t="s">
        <v>485</v>
      </c>
      <c r="N3779" s="14" t="s">
        <v>486</v>
      </c>
      <c r="O3779" s="14">
        <v>100.0</v>
      </c>
      <c r="P3779" s="21">
        <v>7.0</v>
      </c>
      <c r="Q3779" s="22" t="str">
        <f>"+0"</f>
        <v>+0</v>
      </c>
      <c r="R3779" s="18" t="str">
        <f>"+1"</f>
        <v>+1</v>
      </c>
      <c r="S3779" s="14" t="s">
        <v>260</v>
      </c>
    </row>
    <row r="3780">
      <c r="A3780" s="13">
        <v>45901.0</v>
      </c>
      <c r="B3780" s="14" t="s">
        <v>47</v>
      </c>
      <c r="C3780" s="14" t="s">
        <v>48</v>
      </c>
      <c r="D3780" s="14" t="s">
        <v>125</v>
      </c>
      <c r="E3780" s="14" t="s">
        <v>126</v>
      </c>
      <c r="F3780" s="15" t="s">
        <v>51</v>
      </c>
      <c r="G3780" s="14" t="s">
        <v>127</v>
      </c>
      <c r="H3780" s="14" t="s">
        <v>125</v>
      </c>
      <c r="I3780" s="14" t="s">
        <v>59</v>
      </c>
      <c r="J3780" s="14" t="s">
        <v>200</v>
      </c>
      <c r="K3780" s="14" t="s">
        <v>224</v>
      </c>
      <c r="L3780" s="14" t="s">
        <v>453</v>
      </c>
      <c r="M3780" s="14" t="s">
        <v>611</v>
      </c>
      <c r="N3780" s="14" t="s">
        <v>612</v>
      </c>
      <c r="O3780" s="14">
        <v>0.0</v>
      </c>
      <c r="P3780" s="17"/>
      <c r="Q3780" s="22"/>
      <c r="S3780" s="14" t="s">
        <v>523</v>
      </c>
    </row>
    <row r="3781">
      <c r="A3781" s="13">
        <v>45901.0</v>
      </c>
      <c r="B3781" s="14" t="s">
        <v>47</v>
      </c>
      <c r="C3781" s="14" t="s">
        <v>48</v>
      </c>
      <c r="D3781" s="14" t="s">
        <v>108</v>
      </c>
      <c r="E3781" s="14" t="s">
        <v>109</v>
      </c>
      <c r="F3781" s="14" t="s">
        <v>146</v>
      </c>
      <c r="G3781" s="14" t="s">
        <v>180</v>
      </c>
      <c r="H3781" s="14" t="s">
        <v>108</v>
      </c>
      <c r="I3781" s="14" t="s">
        <v>59</v>
      </c>
      <c r="J3781" s="14" t="s">
        <v>200</v>
      </c>
      <c r="K3781" s="14" t="s">
        <v>226</v>
      </c>
      <c r="L3781" s="14" t="s">
        <v>633</v>
      </c>
      <c r="M3781" s="14" t="s">
        <v>1751</v>
      </c>
      <c r="N3781" s="14" t="s">
        <v>1752</v>
      </c>
      <c r="O3781" s="14">
        <v>0.0</v>
      </c>
      <c r="P3781" s="21">
        <v>0.0</v>
      </c>
      <c r="Q3781" s="22" t="str">
        <f t="shared" ref="Q3781:Q3783" si="2259">"+0"</f>
        <v>+0</v>
      </c>
      <c r="S3781" s="14" t="s">
        <v>260</v>
      </c>
    </row>
    <row r="3782">
      <c r="A3782" s="13">
        <v>45901.0</v>
      </c>
      <c r="B3782" s="14" t="s">
        <v>47</v>
      </c>
      <c r="C3782" s="14" t="s">
        <v>48</v>
      </c>
      <c r="D3782" s="14" t="s">
        <v>116</v>
      </c>
      <c r="E3782" s="14" t="s">
        <v>117</v>
      </c>
      <c r="F3782" s="15" t="s">
        <v>51</v>
      </c>
      <c r="G3782" s="14" t="s">
        <v>161</v>
      </c>
      <c r="H3782" s="14" t="s">
        <v>116</v>
      </c>
      <c r="I3782" s="14" t="s">
        <v>54</v>
      </c>
      <c r="J3782" s="14" t="s">
        <v>200</v>
      </c>
      <c r="K3782" s="14" t="s">
        <v>222</v>
      </c>
      <c r="L3782" s="14" t="s">
        <v>1158</v>
      </c>
      <c r="M3782" s="14" t="s">
        <v>1572</v>
      </c>
      <c r="N3782" s="14" t="s">
        <v>1573</v>
      </c>
      <c r="O3782" s="14">
        <v>0.0</v>
      </c>
      <c r="P3782" s="21">
        <v>0.0</v>
      </c>
      <c r="Q3782" s="22" t="str">
        <f t="shared" si="2259"/>
        <v>+0</v>
      </c>
      <c r="R3782" s="18" t="str">
        <f t="shared" ref="R3782:R3783" si="2260">"+0"</f>
        <v>+0</v>
      </c>
      <c r="S3782" s="14" t="s">
        <v>260</v>
      </c>
    </row>
    <row r="3783">
      <c r="A3783" s="13">
        <v>45901.0</v>
      </c>
      <c r="B3783" s="14" t="s">
        <v>47</v>
      </c>
      <c r="C3783" s="14" t="s">
        <v>48</v>
      </c>
      <c r="D3783" s="14" t="s">
        <v>116</v>
      </c>
      <c r="E3783" s="14" t="s">
        <v>117</v>
      </c>
      <c r="F3783" s="15" t="s">
        <v>51</v>
      </c>
      <c r="G3783" s="14" t="s">
        <v>161</v>
      </c>
      <c r="H3783" s="14" t="s">
        <v>116</v>
      </c>
      <c r="I3783" s="14" t="s">
        <v>54</v>
      </c>
      <c r="J3783" s="14" t="s">
        <v>198</v>
      </c>
      <c r="K3783" s="14" t="s">
        <v>210</v>
      </c>
      <c r="L3783" s="14" t="s">
        <v>264</v>
      </c>
      <c r="M3783" s="14" t="s">
        <v>918</v>
      </c>
      <c r="N3783" s="14" t="s">
        <v>919</v>
      </c>
      <c r="O3783" s="14">
        <v>0.0</v>
      </c>
      <c r="P3783" s="21">
        <v>0.0</v>
      </c>
      <c r="Q3783" s="22" t="str">
        <f t="shared" si="2259"/>
        <v>+0</v>
      </c>
      <c r="R3783" s="18" t="str">
        <f t="shared" si="2260"/>
        <v>+0</v>
      </c>
      <c r="S3783" s="14" t="s">
        <v>277</v>
      </c>
    </row>
    <row r="3784">
      <c r="A3784" s="13">
        <v>45901.0</v>
      </c>
      <c r="B3784" s="14" t="s">
        <v>47</v>
      </c>
      <c r="C3784" s="14" t="s">
        <v>48</v>
      </c>
      <c r="D3784" s="14" t="s">
        <v>112</v>
      </c>
      <c r="E3784" s="14" t="s">
        <v>113</v>
      </c>
      <c r="F3784" s="15" t="s">
        <v>51</v>
      </c>
      <c r="G3784" s="14" t="s">
        <v>114</v>
      </c>
      <c r="H3784" s="14" t="s">
        <v>112</v>
      </c>
      <c r="I3784" s="14" t="s">
        <v>59</v>
      </c>
      <c r="J3784" s="14" t="s">
        <v>200</v>
      </c>
      <c r="K3784" s="14" t="s">
        <v>213</v>
      </c>
      <c r="L3784" s="14" t="s">
        <v>253</v>
      </c>
      <c r="M3784" s="14" t="s">
        <v>389</v>
      </c>
      <c r="N3784" s="14" t="s">
        <v>390</v>
      </c>
      <c r="O3784" s="14">
        <v>10.0</v>
      </c>
      <c r="P3784" s="23">
        <v>0.1093</v>
      </c>
      <c r="Q3784" s="22" t="str">
        <f>"+2.67%"</f>
        <v>+2.67%</v>
      </c>
      <c r="R3784" s="18" t="str">
        <f>"-6.98%"</f>
        <v>-6.98%</v>
      </c>
      <c r="S3784" s="14" t="s">
        <v>2123</v>
      </c>
    </row>
    <row r="3785">
      <c r="A3785" s="13">
        <v>45901.0</v>
      </c>
      <c r="B3785" s="14" t="s">
        <v>47</v>
      </c>
      <c r="C3785" s="14" t="s">
        <v>48</v>
      </c>
      <c r="D3785" s="14" t="s">
        <v>56</v>
      </c>
      <c r="E3785" s="14" t="s">
        <v>57</v>
      </c>
      <c r="F3785" s="15" t="s">
        <v>51</v>
      </c>
      <c r="G3785" s="14" t="s">
        <v>58</v>
      </c>
      <c r="H3785" s="14" t="s">
        <v>56</v>
      </c>
      <c r="I3785" s="14" t="s">
        <v>59</v>
      </c>
      <c r="J3785" s="14" t="s">
        <v>200</v>
      </c>
      <c r="K3785" s="14" t="s">
        <v>223</v>
      </c>
      <c r="L3785" s="14" t="s">
        <v>375</v>
      </c>
      <c r="M3785" s="14" t="s">
        <v>376</v>
      </c>
      <c r="N3785" s="14" t="s">
        <v>377</v>
      </c>
      <c r="O3785" s="14">
        <v>0.0</v>
      </c>
      <c r="P3785" s="23">
        <v>0.0</v>
      </c>
      <c r="Q3785" s="22" t="str">
        <f t="shared" ref="Q3785:R3785" si="2261">"+0.00%"</f>
        <v>+0.00%</v>
      </c>
      <c r="R3785" s="18" t="str">
        <f t="shared" si="2261"/>
        <v>+0.00%</v>
      </c>
      <c r="S3785" s="14" t="s">
        <v>2124</v>
      </c>
    </row>
    <row r="3786">
      <c r="A3786" s="13">
        <v>45901.0</v>
      </c>
      <c r="B3786" s="14" t="s">
        <v>47</v>
      </c>
      <c r="C3786" s="14" t="s">
        <v>48</v>
      </c>
      <c r="D3786" s="14" t="s">
        <v>121</v>
      </c>
      <c r="E3786" s="14" t="s">
        <v>122</v>
      </c>
      <c r="F3786" s="15" t="s">
        <v>51</v>
      </c>
      <c r="G3786" s="14" t="s">
        <v>123</v>
      </c>
      <c r="H3786" s="14" t="s">
        <v>124</v>
      </c>
      <c r="I3786" s="14" t="s">
        <v>59</v>
      </c>
      <c r="J3786" s="14" t="s">
        <v>200</v>
      </c>
      <c r="K3786" s="14" t="s">
        <v>232</v>
      </c>
      <c r="L3786" s="14" t="s">
        <v>607</v>
      </c>
      <c r="M3786" s="14" t="s">
        <v>932</v>
      </c>
      <c r="N3786" s="14" t="s">
        <v>933</v>
      </c>
      <c r="O3786" s="14">
        <v>0.0</v>
      </c>
      <c r="P3786" s="23">
        <v>0.0</v>
      </c>
      <c r="Q3786" s="22" t="str">
        <f t="shared" ref="Q3786:R3786" si="2262">"+0.00%"</f>
        <v>+0.00%</v>
      </c>
      <c r="R3786" s="18" t="str">
        <f t="shared" si="2262"/>
        <v>+0.00%</v>
      </c>
      <c r="S3786" s="14" t="s">
        <v>285</v>
      </c>
    </row>
    <row r="3787">
      <c r="A3787" s="13">
        <v>45901.0</v>
      </c>
      <c r="B3787" s="14" t="s">
        <v>47</v>
      </c>
      <c r="C3787" s="14" t="s">
        <v>48</v>
      </c>
      <c r="D3787" s="14" t="s">
        <v>181</v>
      </c>
      <c r="E3787" s="14" t="s">
        <v>182</v>
      </c>
      <c r="F3787" s="15" t="s">
        <v>51</v>
      </c>
      <c r="G3787" s="14" t="s">
        <v>183</v>
      </c>
      <c r="H3787" s="14" t="s">
        <v>181</v>
      </c>
      <c r="I3787" s="14" t="s">
        <v>59</v>
      </c>
      <c r="J3787" s="14" t="s">
        <v>198</v>
      </c>
      <c r="K3787" s="14" t="s">
        <v>212</v>
      </c>
      <c r="L3787" s="14" t="s">
        <v>249</v>
      </c>
      <c r="M3787" s="14" t="s">
        <v>250</v>
      </c>
      <c r="N3787" s="14" t="s">
        <v>251</v>
      </c>
      <c r="O3787" s="14">
        <v>100.0</v>
      </c>
      <c r="P3787" s="21">
        <v>0.0</v>
      </c>
      <c r="Q3787" s="22" t="str">
        <f t="shared" ref="Q3787:R3787" si="2263">"+0"</f>
        <v>+0</v>
      </c>
      <c r="R3787" s="18" t="str">
        <f t="shared" si="2263"/>
        <v>+0</v>
      </c>
      <c r="S3787" s="14" t="s">
        <v>281</v>
      </c>
    </row>
    <row r="3788">
      <c r="A3788" s="13">
        <v>45901.0</v>
      </c>
      <c r="B3788" s="14" t="s">
        <v>47</v>
      </c>
      <c r="C3788" s="14" t="s">
        <v>48</v>
      </c>
      <c r="D3788" s="14" t="s">
        <v>121</v>
      </c>
      <c r="E3788" s="14" t="s">
        <v>122</v>
      </c>
      <c r="F3788" s="15" t="s">
        <v>51</v>
      </c>
      <c r="G3788" s="14" t="s">
        <v>123</v>
      </c>
      <c r="H3788" s="14" t="s">
        <v>124</v>
      </c>
      <c r="I3788" s="14" t="s">
        <v>59</v>
      </c>
      <c r="J3788" s="14" t="s">
        <v>198</v>
      </c>
      <c r="K3788" s="14" t="s">
        <v>205</v>
      </c>
      <c r="L3788" s="14" t="s">
        <v>274</v>
      </c>
      <c r="M3788" s="14" t="s">
        <v>425</v>
      </c>
      <c r="N3788" s="14" t="s">
        <v>426</v>
      </c>
      <c r="O3788" s="14">
        <v>0.0</v>
      </c>
      <c r="P3788" s="21">
        <v>0.0</v>
      </c>
      <c r="Q3788" s="22" t="str">
        <f>"+0"</f>
        <v>+0</v>
      </c>
      <c r="S3788" s="14" t="s">
        <v>281</v>
      </c>
    </row>
    <row r="3789">
      <c r="A3789" s="13">
        <v>45901.0</v>
      </c>
      <c r="B3789" s="14" t="s">
        <v>47</v>
      </c>
      <c r="C3789" s="14" t="s">
        <v>48</v>
      </c>
      <c r="D3789" s="14" t="s">
        <v>49</v>
      </c>
      <c r="E3789" s="14" t="s">
        <v>50</v>
      </c>
      <c r="F3789" s="15" t="s">
        <v>51</v>
      </c>
      <c r="G3789" s="14" t="s">
        <v>52</v>
      </c>
      <c r="H3789" s="14" t="s">
        <v>53</v>
      </c>
      <c r="I3789" s="14" t="s">
        <v>54</v>
      </c>
      <c r="J3789" s="14" t="s">
        <v>200</v>
      </c>
      <c r="K3789" s="14" t="s">
        <v>213</v>
      </c>
      <c r="L3789" s="14" t="s">
        <v>253</v>
      </c>
      <c r="M3789" s="14" t="s">
        <v>389</v>
      </c>
      <c r="N3789" s="14" t="s">
        <v>390</v>
      </c>
      <c r="O3789" s="14">
        <v>100.0</v>
      </c>
      <c r="P3789" s="23">
        <v>1.0</v>
      </c>
      <c r="Q3789" s="22" t="str">
        <f>"+1.57%"</f>
        <v>+1.57%</v>
      </c>
      <c r="R3789" s="18" t="str">
        <f>"+0.00%"</f>
        <v>+0.00%</v>
      </c>
      <c r="S3789" s="14" t="s">
        <v>2125</v>
      </c>
    </row>
    <row r="3790">
      <c r="A3790" s="13">
        <v>45901.0</v>
      </c>
      <c r="B3790" s="14" t="s">
        <v>47</v>
      </c>
      <c r="C3790" s="14" t="s">
        <v>48</v>
      </c>
      <c r="D3790" s="14" t="s">
        <v>165</v>
      </c>
      <c r="E3790" s="14" t="s">
        <v>166</v>
      </c>
      <c r="F3790" s="15" t="s">
        <v>51</v>
      </c>
      <c r="G3790" s="14" t="s">
        <v>167</v>
      </c>
      <c r="H3790" s="14" t="s">
        <v>165</v>
      </c>
      <c r="I3790" s="14" t="s">
        <v>54</v>
      </c>
      <c r="J3790" s="14" t="s">
        <v>200</v>
      </c>
      <c r="K3790" s="14" t="s">
        <v>211</v>
      </c>
      <c r="L3790" s="14" t="s">
        <v>253</v>
      </c>
      <c r="M3790" s="14" t="s">
        <v>366</v>
      </c>
      <c r="N3790" s="14" t="s">
        <v>367</v>
      </c>
      <c r="O3790" s="14">
        <v>0.0</v>
      </c>
      <c r="P3790" s="23">
        <v>0.0</v>
      </c>
      <c r="Q3790" s="22" t="str">
        <f t="shared" ref="Q3790:R3790" si="2264">"+0.00%"</f>
        <v>+0.00%</v>
      </c>
      <c r="R3790" s="18" t="str">
        <f t="shared" si="2264"/>
        <v>+0.00%</v>
      </c>
      <c r="S3790" s="14" t="s">
        <v>2126</v>
      </c>
    </row>
    <row r="3791">
      <c r="A3791" s="13">
        <v>45901.0</v>
      </c>
      <c r="B3791" s="14" t="s">
        <v>47</v>
      </c>
      <c r="C3791" s="14" t="s">
        <v>48</v>
      </c>
      <c r="D3791" s="14" t="s">
        <v>63</v>
      </c>
      <c r="E3791" s="14" t="s">
        <v>64</v>
      </c>
      <c r="F3791" s="15" t="s">
        <v>51</v>
      </c>
      <c r="G3791" s="14" t="s">
        <v>65</v>
      </c>
      <c r="H3791" s="14" t="s">
        <v>63</v>
      </c>
      <c r="I3791" s="14" t="s">
        <v>54</v>
      </c>
      <c r="J3791" s="14" t="s">
        <v>198</v>
      </c>
      <c r="K3791" s="14" t="s">
        <v>210</v>
      </c>
      <c r="L3791" s="14" t="s">
        <v>264</v>
      </c>
      <c r="M3791" s="14" t="s">
        <v>559</v>
      </c>
      <c r="N3791" s="14" t="s">
        <v>560</v>
      </c>
      <c r="O3791" s="14">
        <v>0.0</v>
      </c>
      <c r="P3791" s="21">
        <v>0.0</v>
      </c>
      <c r="Q3791" s="22" t="str">
        <f t="shared" ref="Q3791:R3791" si="2265">"+0"</f>
        <v>+0</v>
      </c>
      <c r="R3791" s="18" t="str">
        <f t="shared" si="2265"/>
        <v>+0</v>
      </c>
      <c r="S3791" s="14" t="s">
        <v>277</v>
      </c>
    </row>
    <row r="3792">
      <c r="A3792" s="13">
        <v>45901.0</v>
      </c>
      <c r="B3792" s="14" t="s">
        <v>47</v>
      </c>
      <c r="C3792" s="14" t="s">
        <v>48</v>
      </c>
      <c r="D3792" s="14" t="s">
        <v>63</v>
      </c>
      <c r="E3792" s="14" t="s">
        <v>64</v>
      </c>
      <c r="F3792" s="15" t="s">
        <v>51</v>
      </c>
      <c r="G3792" s="14" t="s">
        <v>65</v>
      </c>
      <c r="H3792" s="14" t="s">
        <v>63</v>
      </c>
      <c r="I3792" s="14" t="s">
        <v>54</v>
      </c>
      <c r="J3792" s="14" t="s">
        <v>198</v>
      </c>
      <c r="K3792" s="14" t="s">
        <v>210</v>
      </c>
      <c r="L3792" s="14" t="s">
        <v>458</v>
      </c>
      <c r="M3792" s="14" t="s">
        <v>742</v>
      </c>
      <c r="N3792" s="14" t="s">
        <v>743</v>
      </c>
      <c r="O3792" s="14">
        <v>0.0</v>
      </c>
      <c r="P3792" s="21">
        <v>0.0</v>
      </c>
      <c r="Q3792" s="22" t="str">
        <f t="shared" ref="Q3792:R3792" si="2266">"+0"</f>
        <v>+0</v>
      </c>
      <c r="R3792" s="18" t="str">
        <f t="shared" si="2266"/>
        <v>+0</v>
      </c>
      <c r="S3792" s="14" t="s">
        <v>277</v>
      </c>
    </row>
    <row r="3793">
      <c r="A3793" s="13">
        <v>45901.0</v>
      </c>
      <c r="B3793" s="14" t="s">
        <v>47</v>
      </c>
      <c r="C3793" s="14" t="s">
        <v>48</v>
      </c>
      <c r="D3793" s="14" t="s">
        <v>192</v>
      </c>
      <c r="E3793" s="14" t="s">
        <v>193</v>
      </c>
      <c r="F3793" s="15" t="s">
        <v>51</v>
      </c>
      <c r="G3793" s="14" t="s">
        <v>194</v>
      </c>
      <c r="H3793" s="14" t="s">
        <v>192</v>
      </c>
      <c r="I3793" s="14" t="s">
        <v>54</v>
      </c>
      <c r="J3793" s="14" t="s">
        <v>198</v>
      </c>
      <c r="K3793" s="14" t="s">
        <v>210</v>
      </c>
      <c r="L3793" s="14" t="s">
        <v>458</v>
      </c>
      <c r="M3793" s="14" t="s">
        <v>829</v>
      </c>
      <c r="N3793" s="14" t="s">
        <v>830</v>
      </c>
      <c r="O3793" s="14">
        <v>0.0</v>
      </c>
      <c r="P3793" s="21">
        <v>0.0</v>
      </c>
      <c r="Q3793" s="22" t="str">
        <f t="shared" ref="Q3793:R3793" si="2267">"+0"</f>
        <v>+0</v>
      </c>
      <c r="R3793" s="18" t="str">
        <f t="shared" si="2267"/>
        <v>+0</v>
      </c>
      <c r="S3793" s="14" t="s">
        <v>277</v>
      </c>
    </row>
    <row r="3794">
      <c r="A3794" s="13">
        <v>45901.0</v>
      </c>
      <c r="B3794" s="14" t="s">
        <v>47</v>
      </c>
      <c r="C3794" s="14" t="s">
        <v>48</v>
      </c>
      <c r="D3794" s="14" t="s">
        <v>132</v>
      </c>
      <c r="E3794" s="14" t="s">
        <v>133</v>
      </c>
      <c r="F3794" s="15" t="s">
        <v>51</v>
      </c>
      <c r="G3794" s="14" t="s">
        <v>134</v>
      </c>
      <c r="H3794" s="14" t="s">
        <v>135</v>
      </c>
      <c r="I3794" s="14" t="s">
        <v>59</v>
      </c>
      <c r="J3794" s="14" t="s">
        <v>198</v>
      </c>
      <c r="K3794" s="14" t="s">
        <v>205</v>
      </c>
      <c r="L3794" s="14" t="s">
        <v>274</v>
      </c>
      <c r="M3794" s="14" t="s">
        <v>636</v>
      </c>
      <c r="N3794" s="14" t="s">
        <v>637</v>
      </c>
      <c r="O3794" s="14">
        <v>0.0</v>
      </c>
      <c r="P3794" s="21">
        <v>0.0</v>
      </c>
      <c r="Q3794" s="22" t="str">
        <f>"+0"</f>
        <v>+0</v>
      </c>
      <c r="S3794" s="14" t="s">
        <v>281</v>
      </c>
    </row>
    <row r="3795">
      <c r="A3795" s="13">
        <v>45901.0</v>
      </c>
      <c r="B3795" s="14" t="s">
        <v>47</v>
      </c>
      <c r="C3795" s="14" t="s">
        <v>48</v>
      </c>
      <c r="D3795" s="14" t="s">
        <v>143</v>
      </c>
      <c r="E3795" s="14" t="s">
        <v>144</v>
      </c>
      <c r="F3795" s="15" t="s">
        <v>51</v>
      </c>
      <c r="G3795" s="14" t="s">
        <v>145</v>
      </c>
      <c r="H3795" s="14" t="s">
        <v>143</v>
      </c>
      <c r="I3795" s="14" t="s">
        <v>59</v>
      </c>
      <c r="J3795" s="14" t="s">
        <v>198</v>
      </c>
      <c r="K3795" s="14" t="s">
        <v>210</v>
      </c>
      <c r="L3795" s="14" t="s">
        <v>278</v>
      </c>
      <c r="M3795" s="14" t="s">
        <v>443</v>
      </c>
      <c r="N3795" s="14" t="s">
        <v>444</v>
      </c>
      <c r="O3795" s="14">
        <v>58.0</v>
      </c>
      <c r="P3795" s="21">
        <v>88.0</v>
      </c>
      <c r="Q3795" s="22" t="str">
        <f>"+5"</f>
        <v>+5</v>
      </c>
      <c r="R3795" s="18" t="str">
        <f>"-6"</f>
        <v>-6</v>
      </c>
      <c r="S3795" s="14" t="s">
        <v>2127</v>
      </c>
    </row>
    <row r="3796">
      <c r="A3796" s="13">
        <v>45901.0</v>
      </c>
      <c r="B3796" s="14" t="s">
        <v>47</v>
      </c>
      <c r="C3796" s="14" t="s">
        <v>48</v>
      </c>
      <c r="D3796" s="14" t="s">
        <v>136</v>
      </c>
      <c r="E3796" s="14" t="s">
        <v>137</v>
      </c>
      <c r="F3796" s="15" t="s">
        <v>51</v>
      </c>
      <c r="G3796" s="14" t="s">
        <v>138</v>
      </c>
      <c r="H3796" s="14" t="s">
        <v>139</v>
      </c>
      <c r="I3796" s="14" t="s">
        <v>59</v>
      </c>
      <c r="J3796" s="14" t="s">
        <v>200</v>
      </c>
      <c r="K3796" s="14" t="s">
        <v>224</v>
      </c>
      <c r="L3796" s="14" t="s">
        <v>594</v>
      </c>
      <c r="M3796" s="14" t="s">
        <v>1795</v>
      </c>
      <c r="N3796" s="14" t="s">
        <v>1796</v>
      </c>
      <c r="O3796" s="14">
        <v>0.0</v>
      </c>
      <c r="P3796" s="23">
        <v>0.0</v>
      </c>
      <c r="Q3796" s="22" t="str">
        <f>"+0.00%"</f>
        <v>+0.00%</v>
      </c>
      <c r="S3796" s="14" t="s">
        <v>2128</v>
      </c>
    </row>
    <row r="3797">
      <c r="A3797" s="13">
        <v>45901.0</v>
      </c>
      <c r="B3797" s="14" t="s">
        <v>47</v>
      </c>
      <c r="C3797" s="14" t="s">
        <v>48</v>
      </c>
      <c r="D3797" s="14" t="s">
        <v>129</v>
      </c>
      <c r="E3797" s="14" t="s">
        <v>130</v>
      </c>
      <c r="F3797" s="15" t="s">
        <v>51</v>
      </c>
      <c r="G3797" s="14" t="s">
        <v>131</v>
      </c>
      <c r="H3797" s="14" t="s">
        <v>129</v>
      </c>
      <c r="I3797" s="14" t="s">
        <v>59</v>
      </c>
      <c r="J3797" s="14" t="s">
        <v>198</v>
      </c>
      <c r="K3797" s="14" t="s">
        <v>210</v>
      </c>
      <c r="L3797" s="14" t="s">
        <v>505</v>
      </c>
      <c r="M3797" s="14" t="s">
        <v>506</v>
      </c>
      <c r="N3797" s="14" t="s">
        <v>507</v>
      </c>
      <c r="O3797" s="14">
        <v>79.0</v>
      </c>
      <c r="P3797" s="21">
        <v>8.0</v>
      </c>
      <c r="Q3797" s="22" t="str">
        <f>"+1"</f>
        <v>+1</v>
      </c>
      <c r="R3797" s="18" t="str">
        <f>"-1"</f>
        <v>-1</v>
      </c>
      <c r="S3797" s="14" t="s">
        <v>2129</v>
      </c>
    </row>
    <row r="3798">
      <c r="A3798" s="13">
        <v>45901.0</v>
      </c>
      <c r="B3798" s="14" t="s">
        <v>47</v>
      </c>
      <c r="C3798" s="14" t="s">
        <v>48</v>
      </c>
      <c r="D3798" s="14" t="s">
        <v>149</v>
      </c>
      <c r="E3798" s="14" t="s">
        <v>150</v>
      </c>
      <c r="F3798" s="15" t="s">
        <v>51</v>
      </c>
      <c r="G3798" s="14" t="s">
        <v>151</v>
      </c>
      <c r="H3798" s="14" t="s">
        <v>152</v>
      </c>
      <c r="I3798" s="14" t="s">
        <v>54</v>
      </c>
      <c r="J3798" s="14" t="s">
        <v>198</v>
      </c>
      <c r="K3798" s="14" t="s">
        <v>210</v>
      </c>
      <c r="L3798" s="14" t="s">
        <v>458</v>
      </c>
      <c r="M3798" s="14" t="s">
        <v>1439</v>
      </c>
      <c r="N3798" s="14" t="s">
        <v>1440</v>
      </c>
      <c r="O3798" s="14">
        <v>0.0</v>
      </c>
      <c r="P3798" s="21">
        <v>0.0</v>
      </c>
      <c r="Q3798" s="22" t="str">
        <f t="shared" ref="Q3798:R3798" si="2268">"+0"</f>
        <v>+0</v>
      </c>
      <c r="R3798" s="18" t="str">
        <f t="shared" si="2268"/>
        <v>+0</v>
      </c>
      <c r="S3798" s="14" t="s">
        <v>277</v>
      </c>
    </row>
    <row r="3799">
      <c r="A3799" s="13">
        <v>45901.0</v>
      </c>
      <c r="B3799" s="14" t="s">
        <v>47</v>
      </c>
      <c r="C3799" s="14" t="s">
        <v>48</v>
      </c>
      <c r="D3799" s="14" t="s">
        <v>69</v>
      </c>
      <c r="E3799" s="14" t="s">
        <v>70</v>
      </c>
      <c r="F3799" s="15" t="s">
        <v>51</v>
      </c>
      <c r="G3799" s="14" t="s">
        <v>115</v>
      </c>
      <c r="H3799" s="14" t="s">
        <v>72</v>
      </c>
      <c r="I3799" s="14" t="s">
        <v>54</v>
      </c>
      <c r="J3799" s="14" t="s">
        <v>200</v>
      </c>
      <c r="K3799" s="14" t="s">
        <v>204</v>
      </c>
      <c r="L3799" s="14" t="s">
        <v>253</v>
      </c>
      <c r="M3799" s="14" t="s">
        <v>844</v>
      </c>
      <c r="N3799" s="14" t="s">
        <v>845</v>
      </c>
      <c r="O3799" s="14">
        <v>0.0</v>
      </c>
      <c r="P3799" s="17"/>
      <c r="Q3799" s="22"/>
      <c r="S3799" s="14" t="s">
        <v>846</v>
      </c>
    </row>
    <row r="3800">
      <c r="A3800" s="13">
        <v>45901.0</v>
      </c>
      <c r="B3800" s="14" t="s">
        <v>47</v>
      </c>
      <c r="C3800" s="14" t="s">
        <v>48</v>
      </c>
      <c r="D3800" s="14" t="s">
        <v>69</v>
      </c>
      <c r="E3800" s="14" t="s">
        <v>70</v>
      </c>
      <c r="F3800" s="15" t="s">
        <v>51</v>
      </c>
      <c r="G3800" s="14" t="s">
        <v>115</v>
      </c>
      <c r="H3800" s="14" t="s">
        <v>72</v>
      </c>
      <c r="I3800" s="14" t="s">
        <v>54</v>
      </c>
      <c r="J3800" s="14" t="s">
        <v>198</v>
      </c>
      <c r="K3800" s="14" t="s">
        <v>210</v>
      </c>
      <c r="L3800" s="14" t="s">
        <v>264</v>
      </c>
      <c r="M3800" s="14" t="s">
        <v>1214</v>
      </c>
      <c r="N3800" s="14" t="s">
        <v>1215</v>
      </c>
      <c r="O3800" s="14">
        <v>0.0</v>
      </c>
      <c r="P3800" s="21">
        <v>0.0</v>
      </c>
      <c r="Q3800" s="22" t="str">
        <f t="shared" ref="Q3800:R3800" si="2269">"+0"</f>
        <v>+0</v>
      </c>
      <c r="R3800" s="18" t="str">
        <f t="shared" si="2269"/>
        <v>+0</v>
      </c>
      <c r="S3800" s="14" t="s">
        <v>277</v>
      </c>
    </row>
    <row r="3801">
      <c r="A3801" s="13">
        <v>45901.0</v>
      </c>
      <c r="B3801" s="14" t="s">
        <v>47</v>
      </c>
      <c r="C3801" s="14" t="s">
        <v>48</v>
      </c>
      <c r="D3801" s="14" t="s">
        <v>85</v>
      </c>
      <c r="E3801" s="14" t="s">
        <v>86</v>
      </c>
      <c r="F3801" s="15" t="s">
        <v>51</v>
      </c>
      <c r="G3801" s="14" t="s">
        <v>148</v>
      </c>
      <c r="H3801" s="14" t="s">
        <v>85</v>
      </c>
      <c r="I3801" s="14" t="s">
        <v>59</v>
      </c>
      <c r="J3801" s="14" t="s">
        <v>200</v>
      </c>
      <c r="K3801" s="14" t="s">
        <v>213</v>
      </c>
      <c r="L3801" s="14" t="s">
        <v>307</v>
      </c>
      <c r="M3801" s="14" t="s">
        <v>502</v>
      </c>
      <c r="N3801" s="14" t="s">
        <v>503</v>
      </c>
      <c r="O3801" s="14">
        <v>23.0</v>
      </c>
      <c r="P3801" s="23">
        <v>0.2348</v>
      </c>
      <c r="Q3801" s="22" t="str">
        <f>"-1.01%"</f>
        <v>-1.01%</v>
      </c>
      <c r="R3801" s="18" t="str">
        <f>"+0.29%"</f>
        <v>+0.29%</v>
      </c>
      <c r="S3801" s="14" t="s">
        <v>2130</v>
      </c>
    </row>
    <row r="3802">
      <c r="A3802" s="13">
        <v>45901.0</v>
      </c>
      <c r="B3802" s="14" t="s">
        <v>47</v>
      </c>
      <c r="C3802" s="14" t="s">
        <v>48</v>
      </c>
      <c r="D3802" s="14" t="s">
        <v>96</v>
      </c>
      <c r="E3802" s="14" t="s">
        <v>97</v>
      </c>
      <c r="F3802" s="15" t="s">
        <v>51</v>
      </c>
      <c r="G3802" s="14" t="s">
        <v>98</v>
      </c>
      <c r="H3802" s="14" t="s">
        <v>96</v>
      </c>
      <c r="I3802" s="14" t="s">
        <v>59</v>
      </c>
      <c r="J3802" s="14" t="s">
        <v>200</v>
      </c>
      <c r="K3802" s="14" t="s">
        <v>201</v>
      </c>
      <c r="L3802" s="14" t="s">
        <v>253</v>
      </c>
      <c r="M3802" s="14" t="s">
        <v>538</v>
      </c>
      <c r="N3802" s="14" t="s">
        <v>539</v>
      </c>
      <c r="O3802" s="14">
        <v>1.0</v>
      </c>
      <c r="P3802" s="23">
        <v>0.0066</v>
      </c>
      <c r="Q3802" s="22" t="str">
        <f>"-0.06%"</f>
        <v>-0.06%</v>
      </c>
      <c r="R3802" s="18" t="str">
        <f>"-0.19%"</f>
        <v>-0.19%</v>
      </c>
      <c r="S3802" s="14" t="s">
        <v>1595</v>
      </c>
    </row>
    <row r="3803">
      <c r="A3803" s="13">
        <v>45901.0</v>
      </c>
      <c r="B3803" s="14" t="s">
        <v>47</v>
      </c>
      <c r="C3803" s="14" t="s">
        <v>48</v>
      </c>
      <c r="D3803" s="14" t="s">
        <v>69</v>
      </c>
      <c r="E3803" s="14" t="s">
        <v>70</v>
      </c>
      <c r="F3803" s="15" t="s">
        <v>51</v>
      </c>
      <c r="G3803" s="14" t="s">
        <v>115</v>
      </c>
      <c r="H3803" s="14" t="s">
        <v>72</v>
      </c>
      <c r="I3803" s="14" t="s">
        <v>54</v>
      </c>
      <c r="J3803" s="14" t="s">
        <v>200</v>
      </c>
      <c r="K3803" s="14" t="s">
        <v>211</v>
      </c>
      <c r="L3803" s="14" t="s">
        <v>991</v>
      </c>
      <c r="M3803" s="14" t="s">
        <v>1002</v>
      </c>
      <c r="N3803" s="14" t="s">
        <v>1003</v>
      </c>
      <c r="O3803" s="14">
        <v>29.0</v>
      </c>
      <c r="P3803" s="23">
        <v>-0.4053</v>
      </c>
      <c r="Q3803" s="22" t="str">
        <f>"-3.24%"</f>
        <v>-3.24%</v>
      </c>
      <c r="R3803" s="18" t="str">
        <f>"-42.11%"</f>
        <v>-42.11%</v>
      </c>
      <c r="S3803" s="14" t="s">
        <v>336</v>
      </c>
    </row>
    <row r="3804">
      <c r="A3804" s="13">
        <v>45901.0</v>
      </c>
      <c r="B3804" s="14" t="s">
        <v>47</v>
      </c>
      <c r="C3804" s="14" t="s">
        <v>48</v>
      </c>
      <c r="D3804" s="14" t="s">
        <v>85</v>
      </c>
      <c r="E3804" s="14" t="s">
        <v>86</v>
      </c>
      <c r="F3804" s="14" t="s">
        <v>71</v>
      </c>
      <c r="G3804" s="14">
        <v>88285.0</v>
      </c>
      <c r="H3804" s="14" t="s">
        <v>85</v>
      </c>
      <c r="I3804" s="14" t="s">
        <v>59</v>
      </c>
      <c r="J3804" s="14" t="s">
        <v>199</v>
      </c>
      <c r="K3804" s="14" t="s">
        <v>206</v>
      </c>
      <c r="L3804" s="14" t="s">
        <v>531</v>
      </c>
      <c r="M3804" s="14" t="s">
        <v>531</v>
      </c>
      <c r="N3804" s="14" t="s">
        <v>532</v>
      </c>
      <c r="O3804" s="14">
        <v>75.0</v>
      </c>
      <c r="P3804" s="21">
        <v>1.0</v>
      </c>
      <c r="Q3804" s="22" t="str">
        <f t="shared" ref="Q3804:R3804" si="2270">"+0"</f>
        <v>+0</v>
      </c>
      <c r="R3804" s="18" t="str">
        <f t="shared" si="2270"/>
        <v>+0</v>
      </c>
      <c r="S3804" s="14" t="s">
        <v>260</v>
      </c>
    </row>
    <row r="3805">
      <c r="A3805" s="13">
        <v>45901.0</v>
      </c>
      <c r="B3805" s="14" t="s">
        <v>47</v>
      </c>
      <c r="C3805" s="14" t="s">
        <v>48</v>
      </c>
      <c r="D3805" s="14" t="s">
        <v>96</v>
      </c>
      <c r="E3805" s="14" t="s">
        <v>97</v>
      </c>
      <c r="F3805" s="15" t="s">
        <v>51</v>
      </c>
      <c r="G3805" s="14" t="s">
        <v>98</v>
      </c>
      <c r="H3805" s="14" t="s">
        <v>96</v>
      </c>
      <c r="I3805" s="14" t="s">
        <v>59</v>
      </c>
      <c r="J3805" s="14" t="s">
        <v>200</v>
      </c>
      <c r="K3805" s="14" t="s">
        <v>223</v>
      </c>
      <c r="L3805" s="14" t="s">
        <v>676</v>
      </c>
      <c r="M3805" s="14" t="s">
        <v>836</v>
      </c>
      <c r="N3805" s="14" t="s">
        <v>837</v>
      </c>
      <c r="O3805" s="14">
        <v>0.0</v>
      </c>
      <c r="P3805" s="23">
        <v>0.0</v>
      </c>
      <c r="Q3805" s="22" t="str">
        <f t="shared" ref="Q3805:R3805" si="2271">"+0.00%"</f>
        <v>+0.00%</v>
      </c>
      <c r="R3805" s="18" t="str">
        <f t="shared" si="2271"/>
        <v>+0.00%</v>
      </c>
      <c r="S3805" s="14" t="s">
        <v>2131</v>
      </c>
    </row>
    <row r="3806">
      <c r="A3806" s="13">
        <v>45901.0</v>
      </c>
      <c r="B3806" s="14" t="s">
        <v>47</v>
      </c>
      <c r="C3806" s="14" t="s">
        <v>48</v>
      </c>
      <c r="D3806" s="14" t="s">
        <v>108</v>
      </c>
      <c r="E3806" s="14" t="s">
        <v>109</v>
      </c>
      <c r="F3806" s="15" t="s">
        <v>51</v>
      </c>
      <c r="G3806" s="14" t="s">
        <v>110</v>
      </c>
      <c r="H3806" s="14" t="s">
        <v>108</v>
      </c>
      <c r="I3806" s="14" t="s">
        <v>59</v>
      </c>
      <c r="J3806" s="14" t="s">
        <v>199</v>
      </c>
      <c r="K3806" s="14" t="s">
        <v>206</v>
      </c>
      <c r="L3806" s="14" t="s">
        <v>295</v>
      </c>
      <c r="M3806" s="14" t="s">
        <v>651</v>
      </c>
      <c r="N3806" s="14" t="s">
        <v>652</v>
      </c>
      <c r="O3806" s="14">
        <v>0.0</v>
      </c>
      <c r="P3806" s="21">
        <v>0.0</v>
      </c>
      <c r="Q3806" s="22" t="str">
        <f t="shared" ref="Q3806:R3806" si="2272">"+0"</f>
        <v>+0</v>
      </c>
      <c r="R3806" s="18" t="str">
        <f t="shared" si="2272"/>
        <v>+0</v>
      </c>
      <c r="S3806" s="14" t="s">
        <v>260</v>
      </c>
    </row>
    <row r="3807">
      <c r="A3807" s="13">
        <v>45901.0</v>
      </c>
      <c r="B3807" s="14" t="s">
        <v>47</v>
      </c>
      <c r="C3807" s="14" t="s">
        <v>48</v>
      </c>
      <c r="D3807" s="14" t="s">
        <v>77</v>
      </c>
      <c r="E3807" s="14" t="s">
        <v>78</v>
      </c>
      <c r="F3807" s="15" t="s">
        <v>51</v>
      </c>
      <c r="G3807" s="14" t="s">
        <v>128</v>
      </c>
      <c r="H3807" s="14" t="s">
        <v>81</v>
      </c>
      <c r="I3807" s="14" t="s">
        <v>59</v>
      </c>
      <c r="J3807" s="14" t="s">
        <v>200</v>
      </c>
      <c r="K3807" s="14" t="s">
        <v>223</v>
      </c>
      <c r="L3807" s="14" t="s">
        <v>261</v>
      </c>
      <c r="M3807" s="14" t="s">
        <v>814</v>
      </c>
      <c r="N3807" s="14" t="s">
        <v>815</v>
      </c>
      <c r="O3807" s="14">
        <v>0.0</v>
      </c>
      <c r="P3807" s="23">
        <v>-1.0</v>
      </c>
      <c r="Q3807" s="22" t="str">
        <f t="shared" ref="Q3807:R3807" si="2273">"+0.00%"</f>
        <v>+0.00%</v>
      </c>
      <c r="R3807" s="18" t="str">
        <f t="shared" si="2273"/>
        <v>+0.00%</v>
      </c>
      <c r="S3807" s="14" t="s">
        <v>2132</v>
      </c>
    </row>
    <row r="3808">
      <c r="A3808" s="13">
        <v>45901.0</v>
      </c>
      <c r="B3808" s="14" t="s">
        <v>47</v>
      </c>
      <c r="C3808" s="14" t="s">
        <v>48</v>
      </c>
      <c r="D3808" s="14" t="s">
        <v>116</v>
      </c>
      <c r="E3808" s="14" t="s">
        <v>117</v>
      </c>
      <c r="F3808" s="15" t="s">
        <v>51</v>
      </c>
      <c r="G3808" s="14" t="s">
        <v>161</v>
      </c>
      <c r="H3808" s="14" t="s">
        <v>116</v>
      </c>
      <c r="I3808" s="14" t="s">
        <v>54</v>
      </c>
      <c r="J3808" s="14" t="s">
        <v>200</v>
      </c>
      <c r="K3808" s="14" t="s">
        <v>202</v>
      </c>
      <c r="L3808" s="14" t="s">
        <v>253</v>
      </c>
      <c r="M3808" s="14" t="s">
        <v>347</v>
      </c>
      <c r="N3808" s="14" t="s">
        <v>348</v>
      </c>
      <c r="O3808" s="14">
        <v>51.0</v>
      </c>
      <c r="P3808" s="23">
        <v>0.5</v>
      </c>
      <c r="Q3808" s="22" t="str">
        <f t="shared" ref="Q3808:R3808" si="2274">"+0.00%"</f>
        <v>+0.00%</v>
      </c>
      <c r="R3808" s="18" t="str">
        <f t="shared" si="2274"/>
        <v>+0.00%</v>
      </c>
      <c r="S3808" s="14" t="s">
        <v>1757</v>
      </c>
    </row>
    <row r="3809">
      <c r="A3809" s="13">
        <v>45901.0</v>
      </c>
      <c r="B3809" s="14" t="s">
        <v>47</v>
      </c>
      <c r="C3809" s="14" t="s">
        <v>48</v>
      </c>
      <c r="D3809" s="14" t="s">
        <v>158</v>
      </c>
      <c r="E3809" s="14" t="s">
        <v>159</v>
      </c>
      <c r="F3809" s="15" t="s">
        <v>51</v>
      </c>
      <c r="G3809" s="14" t="s">
        <v>160</v>
      </c>
      <c r="H3809" s="14" t="s">
        <v>158</v>
      </c>
      <c r="I3809" s="14" t="s">
        <v>54</v>
      </c>
      <c r="J3809" s="14" t="s">
        <v>199</v>
      </c>
      <c r="K3809" s="14" t="s">
        <v>203</v>
      </c>
      <c r="L3809" s="14" t="s">
        <v>1083</v>
      </c>
      <c r="M3809" s="14" t="s">
        <v>1083</v>
      </c>
      <c r="N3809" s="14" t="s">
        <v>1084</v>
      </c>
      <c r="O3809" s="14">
        <v>100.0</v>
      </c>
      <c r="P3809" s="21">
        <v>1.0</v>
      </c>
      <c r="Q3809" s="22" t="str">
        <f t="shared" ref="Q3809:R3809" si="2275">"+0"</f>
        <v>+0</v>
      </c>
      <c r="R3809" s="18" t="str">
        <f t="shared" si="2275"/>
        <v>+0</v>
      </c>
      <c r="S3809" s="14" t="s">
        <v>260</v>
      </c>
    </row>
    <row r="3810">
      <c r="A3810" s="13">
        <v>45901.0</v>
      </c>
      <c r="B3810" s="14" t="s">
        <v>47</v>
      </c>
      <c r="C3810" s="14" t="s">
        <v>48</v>
      </c>
      <c r="D3810" s="14" t="s">
        <v>168</v>
      </c>
      <c r="E3810" s="14" t="s">
        <v>169</v>
      </c>
      <c r="F3810" s="15" t="s">
        <v>51</v>
      </c>
      <c r="G3810" s="14" t="s">
        <v>170</v>
      </c>
      <c r="H3810" s="14" t="s">
        <v>168</v>
      </c>
      <c r="I3810" s="14" t="s">
        <v>59</v>
      </c>
      <c r="J3810" s="14" t="s">
        <v>200</v>
      </c>
      <c r="K3810" s="14" t="s">
        <v>227</v>
      </c>
      <c r="L3810" s="14" t="s">
        <v>270</v>
      </c>
      <c r="M3810" s="14" t="s">
        <v>417</v>
      </c>
      <c r="N3810" s="14" t="s">
        <v>418</v>
      </c>
      <c r="O3810" s="14">
        <v>33.0</v>
      </c>
      <c r="P3810" s="21">
        <v>1.0</v>
      </c>
      <c r="Q3810" s="22" t="str">
        <f>"+1"</f>
        <v>+1</v>
      </c>
      <c r="R3810" s="18" t="str">
        <f>"+0"</f>
        <v>+0</v>
      </c>
      <c r="S3810" s="14" t="s">
        <v>260</v>
      </c>
    </row>
    <row r="3811">
      <c r="A3811" s="13">
        <v>45901.0</v>
      </c>
      <c r="B3811" s="14" t="s">
        <v>47</v>
      </c>
      <c r="C3811" s="14" t="s">
        <v>48</v>
      </c>
      <c r="D3811" s="14" t="s">
        <v>60</v>
      </c>
      <c r="E3811" s="14" t="s">
        <v>61</v>
      </c>
      <c r="F3811" s="15" t="s">
        <v>51</v>
      </c>
      <c r="G3811" s="14" t="s">
        <v>62</v>
      </c>
      <c r="H3811" s="14" t="s">
        <v>60</v>
      </c>
      <c r="I3811" s="14" t="s">
        <v>59</v>
      </c>
      <c r="J3811" s="14" t="s">
        <v>200</v>
      </c>
      <c r="K3811" s="14" t="s">
        <v>223</v>
      </c>
      <c r="L3811" s="14" t="s">
        <v>487</v>
      </c>
      <c r="M3811" s="14" t="s">
        <v>962</v>
      </c>
      <c r="N3811" s="14" t="s">
        <v>963</v>
      </c>
      <c r="O3811" s="14">
        <v>100.0</v>
      </c>
      <c r="P3811" s="23">
        <v>0.3725</v>
      </c>
      <c r="Q3811" s="22" t="str">
        <f>"+10.23%"</f>
        <v>+10.23%</v>
      </c>
      <c r="R3811" s="18" t="str">
        <f>"-1.63%"</f>
        <v>-1.63%</v>
      </c>
      <c r="S3811" s="14" t="s">
        <v>285</v>
      </c>
    </row>
    <row r="3812">
      <c r="A3812" s="13">
        <v>45901.0</v>
      </c>
      <c r="B3812" s="14" t="s">
        <v>47</v>
      </c>
      <c r="C3812" s="14" t="s">
        <v>48</v>
      </c>
      <c r="D3812" s="14" t="s">
        <v>121</v>
      </c>
      <c r="E3812" s="14" t="s">
        <v>122</v>
      </c>
      <c r="F3812" s="15" t="s">
        <v>51</v>
      </c>
      <c r="G3812" s="14" t="s">
        <v>123</v>
      </c>
      <c r="H3812" s="14" t="s">
        <v>124</v>
      </c>
      <c r="I3812" s="14" t="s">
        <v>59</v>
      </c>
      <c r="J3812" s="14" t="s">
        <v>200</v>
      </c>
      <c r="K3812" s="14" t="s">
        <v>227</v>
      </c>
      <c r="L3812" s="14" t="s">
        <v>328</v>
      </c>
      <c r="M3812" s="14" t="s">
        <v>329</v>
      </c>
      <c r="N3812" s="14" t="s">
        <v>330</v>
      </c>
      <c r="O3812" s="14">
        <v>0.0</v>
      </c>
      <c r="P3812" s="21">
        <v>0.0</v>
      </c>
      <c r="Q3812" s="22" t="str">
        <f t="shared" ref="Q3812:R3812" si="2276">"+0"</f>
        <v>+0</v>
      </c>
      <c r="R3812" s="18" t="str">
        <f t="shared" si="2276"/>
        <v>+0</v>
      </c>
      <c r="S3812" s="14" t="s">
        <v>260</v>
      </c>
    </row>
    <row r="3813">
      <c r="A3813" s="13">
        <v>45901.0</v>
      </c>
      <c r="B3813" s="14" t="s">
        <v>47</v>
      </c>
      <c r="C3813" s="14" t="s">
        <v>48</v>
      </c>
      <c r="D3813" s="14" t="s">
        <v>60</v>
      </c>
      <c r="E3813" s="14" t="s">
        <v>61</v>
      </c>
      <c r="F3813" s="15" t="s">
        <v>51</v>
      </c>
      <c r="G3813" s="14" t="s">
        <v>62</v>
      </c>
      <c r="H3813" s="14" t="s">
        <v>60</v>
      </c>
      <c r="I3813" s="14" t="s">
        <v>59</v>
      </c>
      <c r="J3813" s="14" t="s">
        <v>200</v>
      </c>
      <c r="K3813" s="14" t="s">
        <v>223</v>
      </c>
      <c r="L3813" s="14" t="s">
        <v>607</v>
      </c>
      <c r="M3813" s="14" t="s">
        <v>608</v>
      </c>
      <c r="N3813" s="14" t="s">
        <v>609</v>
      </c>
      <c r="O3813" s="14">
        <v>5.0</v>
      </c>
      <c r="P3813" s="23">
        <v>0.0588</v>
      </c>
      <c r="Q3813" s="22" t="str">
        <f>"+0.48%"</f>
        <v>+0.48%</v>
      </c>
      <c r="R3813" s="18" t="str">
        <f>"+2.18%"</f>
        <v>+2.18%</v>
      </c>
      <c r="S3813" s="14" t="s">
        <v>2133</v>
      </c>
    </row>
    <row r="3814">
      <c r="A3814" s="13">
        <v>45901.0</v>
      </c>
      <c r="B3814" s="14" t="s">
        <v>47</v>
      </c>
      <c r="C3814" s="14" t="s">
        <v>48</v>
      </c>
      <c r="D3814" s="14" t="s">
        <v>165</v>
      </c>
      <c r="E3814" s="14" t="s">
        <v>166</v>
      </c>
      <c r="F3814" s="15" t="s">
        <v>51</v>
      </c>
      <c r="G3814" s="14" t="s">
        <v>167</v>
      </c>
      <c r="H3814" s="14" t="s">
        <v>165</v>
      </c>
      <c r="I3814" s="14" t="s">
        <v>54</v>
      </c>
      <c r="J3814" s="14" t="s">
        <v>198</v>
      </c>
      <c r="K3814" s="14" t="s">
        <v>210</v>
      </c>
      <c r="L3814" s="14" t="s">
        <v>505</v>
      </c>
      <c r="M3814" s="14" t="s">
        <v>1097</v>
      </c>
      <c r="N3814" s="14" t="s">
        <v>1098</v>
      </c>
      <c r="O3814" s="14">
        <v>0.0</v>
      </c>
      <c r="P3814" s="21">
        <v>0.0</v>
      </c>
      <c r="Q3814" s="22" t="str">
        <f t="shared" ref="Q3814:R3814" si="2277">"+0"</f>
        <v>+0</v>
      </c>
      <c r="R3814" s="18" t="str">
        <f t="shared" si="2277"/>
        <v>+0</v>
      </c>
      <c r="S3814" s="14" t="s">
        <v>277</v>
      </c>
    </row>
    <row r="3815">
      <c r="A3815" s="13">
        <v>45901.0</v>
      </c>
      <c r="B3815" s="14" t="s">
        <v>47</v>
      </c>
      <c r="C3815" s="14" t="s">
        <v>48</v>
      </c>
      <c r="D3815" s="14" t="s">
        <v>165</v>
      </c>
      <c r="E3815" s="14" t="s">
        <v>166</v>
      </c>
      <c r="F3815" s="15" t="s">
        <v>51</v>
      </c>
      <c r="G3815" s="14" t="s">
        <v>167</v>
      </c>
      <c r="H3815" s="14" t="s">
        <v>165</v>
      </c>
      <c r="I3815" s="14" t="s">
        <v>54</v>
      </c>
      <c r="J3815" s="14" t="s">
        <v>200</v>
      </c>
      <c r="K3815" s="14" t="s">
        <v>224</v>
      </c>
      <c r="L3815" s="14" t="s">
        <v>453</v>
      </c>
      <c r="M3815" s="14" t="s">
        <v>716</v>
      </c>
      <c r="N3815" s="14" t="s">
        <v>717</v>
      </c>
      <c r="O3815" s="14">
        <v>0.0</v>
      </c>
      <c r="P3815" s="23">
        <v>0.0</v>
      </c>
      <c r="Q3815" s="22" t="str">
        <f>"-12.50%"</f>
        <v>-12.50%</v>
      </c>
      <c r="R3815" s="18" t="str">
        <f>"+0.00%"</f>
        <v>+0.00%</v>
      </c>
      <c r="S3815" s="14" t="s">
        <v>718</v>
      </c>
    </row>
    <row r="3816">
      <c r="A3816" s="13">
        <v>45901.0</v>
      </c>
      <c r="B3816" s="14" t="s">
        <v>47</v>
      </c>
      <c r="C3816" s="14" t="s">
        <v>48</v>
      </c>
      <c r="D3816" s="14" t="s">
        <v>49</v>
      </c>
      <c r="E3816" s="14" t="s">
        <v>50</v>
      </c>
      <c r="F3816" s="15" t="s">
        <v>51</v>
      </c>
      <c r="G3816" s="14" t="s">
        <v>52</v>
      </c>
      <c r="H3816" s="14" t="s">
        <v>53</v>
      </c>
      <c r="I3816" s="14" t="s">
        <v>54</v>
      </c>
      <c r="J3816" s="14" t="s">
        <v>200</v>
      </c>
      <c r="K3816" s="14" t="s">
        <v>224</v>
      </c>
      <c r="L3816" s="14" t="s">
        <v>392</v>
      </c>
      <c r="M3816" s="14" t="s">
        <v>1638</v>
      </c>
      <c r="N3816" s="14" t="s">
        <v>1639</v>
      </c>
      <c r="O3816" s="14">
        <v>11.0</v>
      </c>
      <c r="P3816" s="23">
        <v>0.1111</v>
      </c>
      <c r="Q3816" s="22" t="str">
        <f>"-38.89%"</f>
        <v>-38.89%</v>
      </c>
      <c r="R3816" s="18" t="str">
        <f>"-3.17%"</f>
        <v>-3.17%</v>
      </c>
      <c r="S3816" s="14" t="s">
        <v>2134</v>
      </c>
    </row>
    <row r="3817">
      <c r="A3817" s="13">
        <v>45901.0</v>
      </c>
      <c r="B3817" s="14" t="s">
        <v>47</v>
      </c>
      <c r="C3817" s="14" t="s">
        <v>48</v>
      </c>
      <c r="D3817" s="14" t="s">
        <v>91</v>
      </c>
      <c r="E3817" s="14" t="s">
        <v>92</v>
      </c>
      <c r="F3817" s="14" t="s">
        <v>71</v>
      </c>
      <c r="G3817" s="14">
        <v>7295600.0</v>
      </c>
      <c r="H3817" s="14" t="s">
        <v>91</v>
      </c>
      <c r="I3817" s="14" t="s">
        <v>54</v>
      </c>
      <c r="J3817" s="14" t="s">
        <v>200</v>
      </c>
      <c r="K3817" s="14" t="s">
        <v>218</v>
      </c>
      <c r="L3817" s="14" t="s">
        <v>253</v>
      </c>
      <c r="M3817" s="14" t="s">
        <v>463</v>
      </c>
      <c r="N3817" s="14" t="s">
        <v>464</v>
      </c>
      <c r="O3817" s="14">
        <v>0.0</v>
      </c>
      <c r="P3817" s="23">
        <v>0.0</v>
      </c>
      <c r="Q3817" s="22" t="str">
        <f t="shared" ref="Q3817:R3817" si="2278">"+0.00%"</f>
        <v>+0.00%</v>
      </c>
      <c r="R3817" s="18" t="str">
        <f t="shared" si="2278"/>
        <v>+0.00%</v>
      </c>
      <c r="S3817" s="14" t="s">
        <v>1523</v>
      </c>
    </row>
    <row r="3818">
      <c r="A3818" s="13">
        <v>45901.0</v>
      </c>
      <c r="B3818" s="14" t="s">
        <v>47</v>
      </c>
      <c r="C3818" s="14" t="s">
        <v>48</v>
      </c>
      <c r="D3818" s="14" t="s">
        <v>63</v>
      </c>
      <c r="E3818" s="14" t="s">
        <v>64</v>
      </c>
      <c r="F3818" s="15" t="s">
        <v>51</v>
      </c>
      <c r="G3818" s="14" t="s">
        <v>65</v>
      </c>
      <c r="H3818" s="14" t="s">
        <v>63</v>
      </c>
      <c r="I3818" s="14" t="s">
        <v>54</v>
      </c>
      <c r="J3818" s="14" t="s">
        <v>200</v>
      </c>
      <c r="K3818" s="14" t="s">
        <v>211</v>
      </c>
      <c r="L3818" s="14" t="s">
        <v>253</v>
      </c>
      <c r="M3818" s="14" t="s">
        <v>1247</v>
      </c>
      <c r="N3818" s="14" t="s">
        <v>1248</v>
      </c>
      <c r="O3818" s="14">
        <v>6.0</v>
      </c>
      <c r="P3818" s="23">
        <v>0.0651</v>
      </c>
      <c r="Q3818" s="22" t="str">
        <f>"+0.12%"</f>
        <v>+0.12%</v>
      </c>
      <c r="R3818" s="18" t="str">
        <f>"+0.49%"</f>
        <v>+0.49%</v>
      </c>
      <c r="S3818" s="14" t="s">
        <v>1364</v>
      </c>
    </row>
    <row r="3819">
      <c r="A3819" s="13">
        <v>45901.0</v>
      </c>
      <c r="B3819" s="14" t="s">
        <v>47</v>
      </c>
      <c r="C3819" s="14" t="s">
        <v>48</v>
      </c>
      <c r="D3819" s="14" t="s">
        <v>91</v>
      </c>
      <c r="E3819" s="14" t="s">
        <v>92</v>
      </c>
      <c r="F3819" s="14" t="s">
        <v>71</v>
      </c>
      <c r="G3819" s="14">
        <v>7295600.0</v>
      </c>
      <c r="H3819" s="14" t="s">
        <v>91</v>
      </c>
      <c r="I3819" s="14" t="s">
        <v>54</v>
      </c>
      <c r="J3819" s="14" t="s">
        <v>200</v>
      </c>
      <c r="K3819" s="14" t="s">
        <v>218</v>
      </c>
      <c r="L3819" s="14" t="s">
        <v>253</v>
      </c>
      <c r="M3819" s="14" t="s">
        <v>1628</v>
      </c>
      <c r="N3819" s="14" t="s">
        <v>1629</v>
      </c>
      <c r="O3819" s="14">
        <v>100.0</v>
      </c>
      <c r="P3819" s="23">
        <v>1.0</v>
      </c>
      <c r="Q3819" s="22" t="str">
        <f t="shared" ref="Q3819:R3819" si="2279">"+0.00%"</f>
        <v>+0.00%</v>
      </c>
      <c r="R3819" s="18" t="str">
        <f t="shared" si="2279"/>
        <v>+0.00%</v>
      </c>
      <c r="S3819" s="14" t="s">
        <v>2135</v>
      </c>
    </row>
    <row r="3820">
      <c r="A3820" s="13">
        <v>45901.0</v>
      </c>
      <c r="B3820" s="14" t="s">
        <v>47</v>
      </c>
      <c r="C3820" s="14" t="s">
        <v>48</v>
      </c>
      <c r="D3820" s="14" t="s">
        <v>118</v>
      </c>
      <c r="E3820" s="14" t="s">
        <v>119</v>
      </c>
      <c r="F3820" s="15" t="s">
        <v>51</v>
      </c>
      <c r="G3820" s="14" t="s">
        <v>120</v>
      </c>
      <c r="H3820" s="14" t="s">
        <v>118</v>
      </c>
      <c r="I3820" s="14" t="s">
        <v>59</v>
      </c>
      <c r="J3820" s="14" t="s">
        <v>200</v>
      </c>
      <c r="K3820" s="14" t="s">
        <v>204</v>
      </c>
      <c r="L3820" s="14" t="s">
        <v>253</v>
      </c>
      <c r="M3820" s="14" t="s">
        <v>844</v>
      </c>
      <c r="N3820" s="14" t="s">
        <v>845</v>
      </c>
      <c r="O3820" s="14">
        <v>0.0</v>
      </c>
      <c r="P3820" s="17"/>
      <c r="Q3820" s="22"/>
      <c r="S3820" s="14" t="s">
        <v>846</v>
      </c>
    </row>
    <row r="3821">
      <c r="A3821" s="13">
        <v>45901.0</v>
      </c>
      <c r="B3821" s="14" t="s">
        <v>47</v>
      </c>
      <c r="C3821" s="14" t="s">
        <v>48</v>
      </c>
      <c r="D3821" s="14" t="s">
        <v>125</v>
      </c>
      <c r="E3821" s="14" t="s">
        <v>126</v>
      </c>
      <c r="F3821" s="15" t="s">
        <v>51</v>
      </c>
      <c r="G3821" s="14" t="s">
        <v>127</v>
      </c>
      <c r="H3821" s="14" t="s">
        <v>125</v>
      </c>
      <c r="I3821" s="14" t="s">
        <v>59</v>
      </c>
      <c r="J3821" s="14" t="s">
        <v>200</v>
      </c>
      <c r="K3821" s="14" t="s">
        <v>232</v>
      </c>
      <c r="L3821" s="14" t="s">
        <v>607</v>
      </c>
      <c r="M3821" s="14" t="s">
        <v>1312</v>
      </c>
      <c r="N3821" s="14" t="s">
        <v>1313</v>
      </c>
      <c r="O3821" s="14">
        <v>0.0</v>
      </c>
      <c r="P3821" s="23">
        <v>0.0</v>
      </c>
      <c r="Q3821" s="22" t="str">
        <f t="shared" ref="Q3821:R3821" si="2280">"+0.00%"</f>
        <v>+0.00%</v>
      </c>
      <c r="R3821" s="18" t="str">
        <f t="shared" si="2280"/>
        <v>+0.00%</v>
      </c>
      <c r="S3821" s="14" t="s">
        <v>285</v>
      </c>
    </row>
    <row r="3822">
      <c r="A3822" s="13">
        <v>45901.0</v>
      </c>
      <c r="B3822" s="14" t="s">
        <v>47</v>
      </c>
      <c r="C3822" s="14" t="s">
        <v>48</v>
      </c>
      <c r="D3822" s="14" t="s">
        <v>116</v>
      </c>
      <c r="E3822" s="14" t="s">
        <v>117</v>
      </c>
      <c r="F3822" s="15" t="s">
        <v>51</v>
      </c>
      <c r="G3822" s="14" t="s">
        <v>161</v>
      </c>
      <c r="H3822" s="14" t="s">
        <v>116</v>
      </c>
      <c r="I3822" s="14" t="s">
        <v>54</v>
      </c>
      <c r="J3822" s="14" t="s">
        <v>200</v>
      </c>
      <c r="K3822" s="14" t="s">
        <v>228</v>
      </c>
      <c r="L3822" s="14" t="s">
        <v>253</v>
      </c>
      <c r="M3822" s="14" t="s">
        <v>1165</v>
      </c>
      <c r="N3822" s="14" t="s">
        <v>1166</v>
      </c>
      <c r="O3822" s="14">
        <v>85.0</v>
      </c>
      <c r="P3822" s="23">
        <v>0.8538</v>
      </c>
      <c r="Q3822" s="22" t="str">
        <f>"-0.10%"</f>
        <v>-0.10%</v>
      </c>
      <c r="R3822" s="18" t="str">
        <f>"+0.67%"</f>
        <v>+0.67%</v>
      </c>
      <c r="S3822" s="14" t="s">
        <v>1746</v>
      </c>
    </row>
    <row r="3823">
      <c r="A3823" s="13">
        <v>45901.0</v>
      </c>
      <c r="B3823" s="14" t="s">
        <v>47</v>
      </c>
      <c r="C3823" s="14" t="s">
        <v>48</v>
      </c>
      <c r="D3823" s="14" t="s">
        <v>103</v>
      </c>
      <c r="E3823" s="14" t="s">
        <v>104</v>
      </c>
      <c r="F3823" s="15" t="s">
        <v>51</v>
      </c>
      <c r="G3823" s="14" t="s">
        <v>105</v>
      </c>
      <c r="H3823" s="14" t="s">
        <v>106</v>
      </c>
      <c r="I3823" s="14" t="s">
        <v>59</v>
      </c>
      <c r="J3823" s="14" t="s">
        <v>198</v>
      </c>
      <c r="K3823" s="14" t="s">
        <v>205</v>
      </c>
      <c r="L3823" s="14" t="s">
        <v>274</v>
      </c>
      <c r="M3823" s="14" t="s">
        <v>696</v>
      </c>
      <c r="N3823" s="14" t="s">
        <v>697</v>
      </c>
      <c r="O3823" s="14">
        <v>100.0</v>
      </c>
      <c r="P3823" s="21">
        <v>1.0</v>
      </c>
      <c r="Q3823" s="22" t="str">
        <f>"+0"</f>
        <v>+0</v>
      </c>
      <c r="S3823" s="14" t="s">
        <v>281</v>
      </c>
    </row>
    <row r="3824">
      <c r="A3824" s="13">
        <v>45901.0</v>
      </c>
      <c r="B3824" s="14" t="s">
        <v>47</v>
      </c>
      <c r="C3824" s="14" t="s">
        <v>48</v>
      </c>
      <c r="D3824" s="14" t="s">
        <v>77</v>
      </c>
      <c r="E3824" s="14" t="s">
        <v>78</v>
      </c>
      <c r="F3824" s="14" t="s">
        <v>71</v>
      </c>
      <c r="G3824" s="14">
        <v>5.36009043E8</v>
      </c>
      <c r="H3824" s="14" t="s">
        <v>81</v>
      </c>
      <c r="J3824" s="14" t="s">
        <v>199</v>
      </c>
      <c r="K3824" s="14" t="s">
        <v>203</v>
      </c>
      <c r="L3824" s="14" t="s">
        <v>340</v>
      </c>
      <c r="M3824" s="14" t="s">
        <v>340</v>
      </c>
      <c r="N3824" s="14" t="s">
        <v>341</v>
      </c>
      <c r="O3824" s="14">
        <v>100.0</v>
      </c>
      <c r="P3824" s="21">
        <v>3.0</v>
      </c>
      <c r="Q3824" s="22" t="str">
        <f>"+1"</f>
        <v>+1</v>
      </c>
      <c r="S3824" s="14" t="s">
        <v>260</v>
      </c>
    </row>
    <row r="3825">
      <c r="A3825" s="13">
        <v>45901.0</v>
      </c>
      <c r="B3825" s="14" t="s">
        <v>47</v>
      </c>
      <c r="C3825" s="14" t="s">
        <v>48</v>
      </c>
      <c r="D3825" s="14" t="s">
        <v>140</v>
      </c>
      <c r="E3825" s="14" t="s">
        <v>141</v>
      </c>
      <c r="F3825" s="15" t="s">
        <v>51</v>
      </c>
      <c r="G3825" s="14" t="s">
        <v>142</v>
      </c>
      <c r="H3825" s="14" t="s">
        <v>140</v>
      </c>
      <c r="I3825" s="14" t="s">
        <v>59</v>
      </c>
      <c r="J3825" s="14" t="s">
        <v>198</v>
      </c>
      <c r="K3825" s="14" t="s">
        <v>210</v>
      </c>
      <c r="L3825" s="14" t="s">
        <v>264</v>
      </c>
      <c r="M3825" s="14" t="s">
        <v>524</v>
      </c>
      <c r="N3825" s="14" t="s">
        <v>525</v>
      </c>
      <c r="O3825" s="14">
        <v>100.0</v>
      </c>
      <c r="P3825" s="21">
        <v>0.0</v>
      </c>
      <c r="Q3825" s="22" t="str">
        <f>"-1"</f>
        <v>-1</v>
      </c>
      <c r="R3825" s="18" t="str">
        <f>"+0"</f>
        <v>+0</v>
      </c>
      <c r="S3825" s="14" t="s">
        <v>281</v>
      </c>
    </row>
    <row r="3826">
      <c r="A3826" s="13">
        <v>45901.0</v>
      </c>
      <c r="B3826" s="14" t="s">
        <v>47</v>
      </c>
      <c r="C3826" s="14" t="s">
        <v>48</v>
      </c>
      <c r="D3826" s="14" t="s">
        <v>69</v>
      </c>
      <c r="E3826" s="14" t="s">
        <v>70</v>
      </c>
      <c r="F3826" s="15" t="s">
        <v>51</v>
      </c>
      <c r="G3826" s="14" t="s">
        <v>115</v>
      </c>
      <c r="H3826" s="14" t="s">
        <v>72</v>
      </c>
      <c r="I3826" s="14" t="s">
        <v>54</v>
      </c>
      <c r="J3826" s="14" t="s">
        <v>200</v>
      </c>
      <c r="K3826" s="14" t="s">
        <v>202</v>
      </c>
      <c r="L3826" s="14" t="s">
        <v>253</v>
      </c>
      <c r="M3826" s="14" t="s">
        <v>347</v>
      </c>
      <c r="N3826" s="14" t="s">
        <v>348</v>
      </c>
      <c r="O3826" s="14">
        <v>54.0</v>
      </c>
      <c r="P3826" s="23">
        <v>0.5333</v>
      </c>
      <c r="Q3826" s="22" t="str">
        <f t="shared" ref="Q3826:R3826" si="2281">"-3.33%"</f>
        <v>-3.33%</v>
      </c>
      <c r="R3826" s="18" t="str">
        <f t="shared" si="2281"/>
        <v>-3.33%</v>
      </c>
      <c r="S3826" s="14" t="s">
        <v>1991</v>
      </c>
    </row>
    <row r="3827">
      <c r="A3827" s="13">
        <v>45901.0</v>
      </c>
      <c r="B3827" s="14" t="s">
        <v>47</v>
      </c>
      <c r="C3827" s="14" t="s">
        <v>48</v>
      </c>
      <c r="D3827" s="14" t="s">
        <v>108</v>
      </c>
      <c r="E3827" s="14" t="s">
        <v>109</v>
      </c>
      <c r="F3827" s="15" t="s">
        <v>51</v>
      </c>
      <c r="G3827" s="14" t="s">
        <v>110</v>
      </c>
      <c r="H3827" s="14" t="s">
        <v>108</v>
      </c>
      <c r="I3827" s="14" t="s">
        <v>59</v>
      </c>
      <c r="J3827" s="14" t="s">
        <v>199</v>
      </c>
      <c r="K3827" s="14" t="s">
        <v>206</v>
      </c>
      <c r="L3827" s="14" t="s">
        <v>433</v>
      </c>
      <c r="M3827" s="14" t="s">
        <v>433</v>
      </c>
      <c r="N3827" s="14" t="s">
        <v>434</v>
      </c>
      <c r="O3827" s="14">
        <v>100.0</v>
      </c>
      <c r="P3827" s="21">
        <v>11.0</v>
      </c>
      <c r="Q3827" s="22" t="str">
        <f>"+4"</f>
        <v>+4</v>
      </c>
      <c r="R3827" s="18" t="str">
        <f>"+11"</f>
        <v>+11</v>
      </c>
      <c r="S3827" s="14" t="s">
        <v>383</v>
      </c>
    </row>
    <row r="3828">
      <c r="A3828" s="13">
        <v>45901.0</v>
      </c>
      <c r="B3828" s="14" t="s">
        <v>47</v>
      </c>
      <c r="C3828" s="14" t="s">
        <v>48</v>
      </c>
      <c r="D3828" s="14" t="s">
        <v>66</v>
      </c>
      <c r="E3828" s="14" t="s">
        <v>67</v>
      </c>
      <c r="F3828" s="15" t="s">
        <v>51</v>
      </c>
      <c r="G3828" s="14" t="s">
        <v>68</v>
      </c>
      <c r="H3828" s="14" t="s">
        <v>66</v>
      </c>
      <c r="I3828" s="14" t="s">
        <v>59</v>
      </c>
      <c r="J3828" s="14" t="s">
        <v>200</v>
      </c>
      <c r="K3828" s="14" t="s">
        <v>223</v>
      </c>
      <c r="L3828" s="14" t="s">
        <v>307</v>
      </c>
      <c r="M3828" s="14" t="s">
        <v>1176</v>
      </c>
      <c r="N3828" s="14" t="s">
        <v>1177</v>
      </c>
      <c r="O3828" s="14">
        <v>0.0</v>
      </c>
      <c r="P3828" s="23">
        <v>0.0</v>
      </c>
      <c r="Q3828" s="22" t="str">
        <f t="shared" ref="Q3828:R3828" si="2282">"+0.00%"</f>
        <v>+0.00%</v>
      </c>
      <c r="R3828" s="18" t="str">
        <f t="shared" si="2282"/>
        <v>+0.00%</v>
      </c>
      <c r="S3828" s="14" t="s">
        <v>285</v>
      </c>
    </row>
    <row r="3829">
      <c r="A3829" s="13">
        <v>45901.0</v>
      </c>
      <c r="B3829" s="14" t="s">
        <v>47</v>
      </c>
      <c r="C3829" s="14" t="s">
        <v>48</v>
      </c>
      <c r="D3829" s="14" t="s">
        <v>192</v>
      </c>
      <c r="E3829" s="14" t="s">
        <v>193</v>
      </c>
      <c r="F3829" s="15" t="s">
        <v>51</v>
      </c>
      <c r="G3829" s="14" t="s">
        <v>194</v>
      </c>
      <c r="H3829" s="14" t="s">
        <v>192</v>
      </c>
      <c r="I3829" s="14" t="s">
        <v>54</v>
      </c>
      <c r="J3829" s="14" t="s">
        <v>200</v>
      </c>
      <c r="K3829" s="14" t="s">
        <v>223</v>
      </c>
      <c r="L3829" s="14" t="s">
        <v>363</v>
      </c>
      <c r="M3829" s="14" t="s">
        <v>842</v>
      </c>
      <c r="N3829" s="14" t="s">
        <v>843</v>
      </c>
      <c r="O3829" s="14">
        <v>100.0</v>
      </c>
      <c r="P3829" s="21">
        <v>1891.0</v>
      </c>
      <c r="Q3829" s="22" t="str">
        <f>"+51"</f>
        <v>+51</v>
      </c>
      <c r="R3829" s="18" t="str">
        <f>"+176"</f>
        <v>+176</v>
      </c>
      <c r="S3829" s="14" t="s">
        <v>260</v>
      </c>
    </row>
    <row r="3830">
      <c r="A3830" s="13">
        <v>45901.0</v>
      </c>
      <c r="B3830" s="14" t="s">
        <v>47</v>
      </c>
      <c r="C3830" s="14" t="s">
        <v>48</v>
      </c>
      <c r="D3830" s="14" t="s">
        <v>66</v>
      </c>
      <c r="E3830" s="14" t="s">
        <v>67</v>
      </c>
      <c r="F3830" s="15" t="s">
        <v>51</v>
      </c>
      <c r="G3830" s="14" t="s">
        <v>68</v>
      </c>
      <c r="H3830" s="14" t="s">
        <v>66</v>
      </c>
      <c r="I3830" s="14" t="s">
        <v>59</v>
      </c>
      <c r="J3830" s="14" t="s">
        <v>200</v>
      </c>
      <c r="K3830" s="14" t="s">
        <v>223</v>
      </c>
      <c r="L3830" s="14" t="s">
        <v>607</v>
      </c>
      <c r="M3830" s="14" t="s">
        <v>1035</v>
      </c>
      <c r="N3830" s="14" t="s">
        <v>1036</v>
      </c>
      <c r="O3830" s="14">
        <v>0.0</v>
      </c>
      <c r="P3830" s="23">
        <v>0.0</v>
      </c>
      <c r="Q3830" s="22" t="str">
        <f t="shared" ref="Q3830:R3830" si="2283">"+0.00%"</f>
        <v>+0.00%</v>
      </c>
      <c r="R3830" s="18" t="str">
        <f t="shared" si="2283"/>
        <v>+0.00%</v>
      </c>
      <c r="S3830" s="14" t="s">
        <v>2136</v>
      </c>
    </row>
    <row r="3831">
      <c r="A3831" s="13">
        <v>45901.0</v>
      </c>
      <c r="B3831" s="14" t="s">
        <v>47</v>
      </c>
      <c r="C3831" s="14" t="s">
        <v>48</v>
      </c>
      <c r="D3831" s="14" t="s">
        <v>93</v>
      </c>
      <c r="E3831" s="14" t="s">
        <v>94</v>
      </c>
      <c r="F3831" s="15" t="s">
        <v>51</v>
      </c>
      <c r="G3831" s="14" t="s">
        <v>191</v>
      </c>
      <c r="H3831" s="14" t="s">
        <v>95</v>
      </c>
      <c r="I3831" s="14" t="s">
        <v>59</v>
      </c>
      <c r="J3831" s="14" t="s">
        <v>198</v>
      </c>
      <c r="K3831" s="14" t="s">
        <v>210</v>
      </c>
      <c r="L3831" s="14" t="s">
        <v>278</v>
      </c>
      <c r="M3831" s="14" t="s">
        <v>279</v>
      </c>
      <c r="N3831" s="14" t="s">
        <v>280</v>
      </c>
      <c r="O3831" s="14">
        <v>100.0</v>
      </c>
      <c r="P3831" s="21">
        <v>0.0</v>
      </c>
      <c r="Q3831" s="22" t="str">
        <f t="shared" ref="Q3831:R3831" si="2284">"+0"</f>
        <v>+0</v>
      </c>
      <c r="R3831" s="18" t="str">
        <f t="shared" si="2284"/>
        <v>+0</v>
      </c>
      <c r="S3831" s="14" t="s">
        <v>281</v>
      </c>
    </row>
    <row r="3832">
      <c r="A3832" s="13">
        <v>45901.0</v>
      </c>
      <c r="B3832" s="14" t="s">
        <v>47</v>
      </c>
      <c r="C3832" s="14" t="s">
        <v>48</v>
      </c>
      <c r="D3832" s="14" t="s">
        <v>82</v>
      </c>
      <c r="E3832" s="14" t="s">
        <v>83</v>
      </c>
      <c r="F3832" s="15" t="s">
        <v>51</v>
      </c>
      <c r="G3832" s="14" t="s">
        <v>84</v>
      </c>
      <c r="H3832" s="14" t="s">
        <v>82</v>
      </c>
      <c r="I3832" s="14" t="s">
        <v>59</v>
      </c>
      <c r="J3832" s="14" t="s">
        <v>200</v>
      </c>
      <c r="K3832" s="14" t="s">
        <v>227</v>
      </c>
      <c r="L3832" s="14" t="s">
        <v>721</v>
      </c>
      <c r="M3832" s="14" t="s">
        <v>1060</v>
      </c>
      <c r="N3832" s="14" t="s">
        <v>1061</v>
      </c>
      <c r="O3832" s="14">
        <v>54.0</v>
      </c>
      <c r="P3832" s="23">
        <v>0.0909</v>
      </c>
      <c r="Q3832" s="22" t="str">
        <f>"+1.44%"</f>
        <v>+1.44%</v>
      </c>
      <c r="R3832" s="18" t="str">
        <f>"+5.00%"</f>
        <v>+5.00%</v>
      </c>
      <c r="S3832" s="14" t="s">
        <v>1062</v>
      </c>
    </row>
    <row r="3833">
      <c r="A3833" s="13">
        <v>45901.0</v>
      </c>
      <c r="B3833" s="14" t="s">
        <v>47</v>
      </c>
      <c r="C3833" s="14" t="s">
        <v>48</v>
      </c>
      <c r="D3833" s="14" t="s">
        <v>192</v>
      </c>
      <c r="E3833" s="14" t="s">
        <v>193</v>
      </c>
      <c r="F3833" s="15" t="s">
        <v>51</v>
      </c>
      <c r="G3833" s="14" t="s">
        <v>194</v>
      </c>
      <c r="H3833" s="14" t="s">
        <v>192</v>
      </c>
      <c r="I3833" s="14" t="s">
        <v>54</v>
      </c>
      <c r="J3833" s="14" t="s">
        <v>200</v>
      </c>
      <c r="K3833" s="14" t="s">
        <v>223</v>
      </c>
      <c r="L3833" s="14" t="s">
        <v>710</v>
      </c>
      <c r="M3833" s="14" t="s">
        <v>711</v>
      </c>
      <c r="N3833" s="14" t="s">
        <v>712</v>
      </c>
      <c r="O3833" s="14">
        <v>0.0</v>
      </c>
      <c r="P3833" s="23">
        <v>0.0</v>
      </c>
      <c r="Q3833" s="22" t="str">
        <f t="shared" ref="Q3833:R3833" si="2285">"+0.00%"</f>
        <v>+0.00%</v>
      </c>
      <c r="R3833" s="18" t="str">
        <f t="shared" si="2285"/>
        <v>+0.00%</v>
      </c>
      <c r="S3833" s="14" t="s">
        <v>285</v>
      </c>
    </row>
    <row r="3834">
      <c r="A3834" s="13">
        <v>45901.0</v>
      </c>
      <c r="B3834" s="14" t="s">
        <v>47</v>
      </c>
      <c r="C3834" s="14" t="s">
        <v>48</v>
      </c>
      <c r="D3834" s="14" t="s">
        <v>82</v>
      </c>
      <c r="E3834" s="14" t="s">
        <v>83</v>
      </c>
      <c r="F3834" s="15" t="s">
        <v>51</v>
      </c>
      <c r="G3834" s="14" t="s">
        <v>84</v>
      </c>
      <c r="H3834" s="14" t="s">
        <v>82</v>
      </c>
      <c r="I3834" s="14" t="s">
        <v>59</v>
      </c>
      <c r="J3834" s="14" t="s">
        <v>200</v>
      </c>
      <c r="K3834" s="14" t="s">
        <v>214</v>
      </c>
      <c r="L3834" s="14" t="s">
        <v>253</v>
      </c>
      <c r="M3834" s="14" t="s">
        <v>366</v>
      </c>
      <c r="N3834" s="14" t="s">
        <v>367</v>
      </c>
      <c r="O3834" s="14">
        <v>34.0</v>
      </c>
      <c r="P3834" s="23">
        <v>0.347</v>
      </c>
      <c r="Q3834" s="22" t="str">
        <f>"+2.90%"</f>
        <v>+2.90%</v>
      </c>
      <c r="R3834" s="18" t="str">
        <f>"-17.25%"</f>
        <v>-17.25%</v>
      </c>
      <c r="S3834" s="14" t="s">
        <v>2137</v>
      </c>
    </row>
    <row r="3835">
      <c r="A3835" s="13">
        <v>45901.0</v>
      </c>
      <c r="B3835" s="14" t="s">
        <v>47</v>
      </c>
      <c r="C3835" s="14" t="s">
        <v>48</v>
      </c>
      <c r="D3835" s="14" t="s">
        <v>184</v>
      </c>
      <c r="E3835" s="14" t="s">
        <v>185</v>
      </c>
      <c r="F3835" s="15" t="s">
        <v>51</v>
      </c>
      <c r="G3835" s="14" t="s">
        <v>186</v>
      </c>
      <c r="H3835" s="14" t="s">
        <v>187</v>
      </c>
      <c r="I3835" s="14" t="s">
        <v>59</v>
      </c>
      <c r="J3835" s="14" t="s">
        <v>200</v>
      </c>
      <c r="K3835" s="14" t="s">
        <v>228</v>
      </c>
      <c r="L3835" s="14" t="s">
        <v>253</v>
      </c>
      <c r="M3835" s="14" t="s">
        <v>1165</v>
      </c>
      <c r="N3835" s="14" t="s">
        <v>1166</v>
      </c>
      <c r="O3835" s="14">
        <v>1.0</v>
      </c>
      <c r="P3835" s="23">
        <v>0.0016</v>
      </c>
      <c r="Q3835" s="22" t="str">
        <f>"-0.01%"</f>
        <v>-0.01%</v>
      </c>
      <c r="R3835" s="18" t="str">
        <f>"-0.04%"</f>
        <v>-0.04%</v>
      </c>
      <c r="S3835" s="14" t="s">
        <v>2138</v>
      </c>
    </row>
    <row r="3836">
      <c r="A3836" s="13">
        <v>45901.0</v>
      </c>
      <c r="B3836" s="14" t="s">
        <v>47</v>
      </c>
      <c r="C3836" s="14" t="s">
        <v>48</v>
      </c>
      <c r="D3836" s="14" t="s">
        <v>66</v>
      </c>
      <c r="E3836" s="14" t="s">
        <v>67</v>
      </c>
      <c r="F3836" s="15" t="s">
        <v>51</v>
      </c>
      <c r="G3836" s="14" t="s">
        <v>68</v>
      </c>
      <c r="H3836" s="14" t="s">
        <v>66</v>
      </c>
      <c r="I3836" s="14" t="s">
        <v>59</v>
      </c>
      <c r="J3836" s="14" t="s">
        <v>200</v>
      </c>
      <c r="K3836" s="14" t="s">
        <v>231</v>
      </c>
      <c r="L3836" s="14" t="s">
        <v>512</v>
      </c>
      <c r="M3836" s="14" t="s">
        <v>719</v>
      </c>
      <c r="N3836" s="14" t="s">
        <v>720</v>
      </c>
      <c r="O3836" s="14">
        <v>0.0</v>
      </c>
      <c r="P3836" s="21">
        <v>0.0</v>
      </c>
      <c r="Q3836" s="22" t="str">
        <f t="shared" ref="Q3836:R3836" si="2286">"+0"</f>
        <v>+0</v>
      </c>
      <c r="R3836" s="18" t="str">
        <f t="shared" si="2286"/>
        <v>+0</v>
      </c>
      <c r="S3836" s="14" t="s">
        <v>260</v>
      </c>
    </row>
    <row r="3837">
      <c r="A3837" s="13">
        <v>45901.0</v>
      </c>
      <c r="B3837" s="14" t="s">
        <v>47</v>
      </c>
      <c r="C3837" s="14" t="s">
        <v>48</v>
      </c>
      <c r="D3837" s="14" t="s">
        <v>132</v>
      </c>
      <c r="E3837" s="14" t="s">
        <v>133</v>
      </c>
      <c r="F3837" s="15" t="s">
        <v>51</v>
      </c>
      <c r="G3837" s="14" t="s">
        <v>134</v>
      </c>
      <c r="H3837" s="14" t="s">
        <v>135</v>
      </c>
      <c r="I3837" s="14" t="s">
        <v>59</v>
      </c>
      <c r="J3837" s="14" t="s">
        <v>198</v>
      </c>
      <c r="K3837" s="14" t="s">
        <v>205</v>
      </c>
      <c r="L3837" s="14" t="s">
        <v>274</v>
      </c>
      <c r="M3837" s="14" t="s">
        <v>791</v>
      </c>
      <c r="N3837" s="14" t="s">
        <v>792</v>
      </c>
      <c r="O3837" s="14">
        <v>50.0</v>
      </c>
      <c r="P3837" s="21">
        <v>1.0</v>
      </c>
      <c r="Q3837" s="22" t="str">
        <f>"+0"</f>
        <v>+0</v>
      </c>
      <c r="S3837" s="14" t="s">
        <v>260</v>
      </c>
    </row>
    <row r="3838">
      <c r="A3838" s="13">
        <v>45901.0</v>
      </c>
      <c r="B3838" s="14" t="s">
        <v>47</v>
      </c>
      <c r="C3838" s="14" t="s">
        <v>48</v>
      </c>
      <c r="D3838" s="14" t="s">
        <v>143</v>
      </c>
      <c r="E3838" s="14" t="s">
        <v>144</v>
      </c>
      <c r="F3838" s="15" t="s">
        <v>51</v>
      </c>
      <c r="G3838" s="14" t="s">
        <v>145</v>
      </c>
      <c r="H3838" s="14" t="s">
        <v>143</v>
      </c>
      <c r="I3838" s="14" t="s">
        <v>59</v>
      </c>
      <c r="J3838" s="14" t="s">
        <v>200</v>
      </c>
      <c r="K3838" s="14" t="s">
        <v>232</v>
      </c>
      <c r="L3838" s="14" t="s">
        <v>375</v>
      </c>
      <c r="M3838" s="14" t="s">
        <v>376</v>
      </c>
      <c r="N3838" s="14" t="s">
        <v>377</v>
      </c>
      <c r="O3838" s="14">
        <v>0.0</v>
      </c>
      <c r="P3838" s="23">
        <v>0.0</v>
      </c>
      <c r="Q3838" s="22" t="str">
        <f t="shared" ref="Q3838:R3838" si="2287">"+0.00%"</f>
        <v>+0.00%</v>
      </c>
      <c r="R3838" s="18" t="str">
        <f t="shared" si="2287"/>
        <v>+0.00%</v>
      </c>
      <c r="S3838" s="14" t="s">
        <v>2139</v>
      </c>
    </row>
    <row r="3839">
      <c r="A3839" s="13">
        <v>45901.0</v>
      </c>
      <c r="B3839" s="14" t="s">
        <v>47</v>
      </c>
      <c r="C3839" s="14" t="s">
        <v>48</v>
      </c>
      <c r="D3839" s="14" t="s">
        <v>73</v>
      </c>
      <c r="E3839" s="14" t="s">
        <v>74</v>
      </c>
      <c r="F3839" s="15" t="s">
        <v>51</v>
      </c>
      <c r="G3839" s="14" t="s">
        <v>75</v>
      </c>
      <c r="H3839" s="14" t="s">
        <v>76</v>
      </c>
      <c r="I3839" s="14" t="s">
        <v>59</v>
      </c>
      <c r="J3839" s="14" t="s">
        <v>198</v>
      </c>
      <c r="K3839" s="14" t="s">
        <v>205</v>
      </c>
      <c r="L3839" s="14" t="s">
        <v>274</v>
      </c>
      <c r="M3839" s="14" t="s">
        <v>448</v>
      </c>
      <c r="N3839" s="14" t="s">
        <v>449</v>
      </c>
      <c r="O3839" s="14">
        <v>100.0</v>
      </c>
      <c r="P3839" s="21">
        <v>3.0</v>
      </c>
      <c r="Q3839" s="22" t="str">
        <f t="shared" ref="Q3839:Q3840" si="2288">"+0"</f>
        <v>+0</v>
      </c>
      <c r="S3839" s="14" t="s">
        <v>450</v>
      </c>
    </row>
    <row r="3840">
      <c r="A3840" s="13">
        <v>45901.0</v>
      </c>
      <c r="B3840" s="14" t="s">
        <v>47</v>
      </c>
      <c r="C3840" s="14" t="s">
        <v>48</v>
      </c>
      <c r="D3840" s="14" t="s">
        <v>171</v>
      </c>
      <c r="E3840" s="14" t="s">
        <v>172</v>
      </c>
      <c r="F3840" s="15" t="s">
        <v>51</v>
      </c>
      <c r="G3840" s="14" t="s">
        <v>173</v>
      </c>
      <c r="H3840" s="14" t="s">
        <v>171</v>
      </c>
      <c r="I3840" s="14" t="s">
        <v>59</v>
      </c>
      <c r="J3840" s="14" t="s">
        <v>198</v>
      </c>
      <c r="K3840" s="14" t="s">
        <v>205</v>
      </c>
      <c r="L3840" s="14" t="s">
        <v>274</v>
      </c>
      <c r="M3840" s="14" t="s">
        <v>448</v>
      </c>
      <c r="N3840" s="14" t="s">
        <v>449</v>
      </c>
      <c r="O3840" s="14">
        <v>100.0</v>
      </c>
      <c r="P3840" s="21">
        <v>3.0</v>
      </c>
      <c r="Q3840" s="22" t="str">
        <f t="shared" si="2288"/>
        <v>+0</v>
      </c>
      <c r="S3840" s="14" t="s">
        <v>450</v>
      </c>
    </row>
    <row r="3841">
      <c r="A3841" s="13">
        <v>45901.0</v>
      </c>
      <c r="B3841" s="14" t="s">
        <v>47</v>
      </c>
      <c r="C3841" s="14" t="s">
        <v>48</v>
      </c>
      <c r="D3841" s="14" t="s">
        <v>87</v>
      </c>
      <c r="E3841" s="14" t="s">
        <v>88</v>
      </c>
      <c r="F3841" s="15" t="s">
        <v>51</v>
      </c>
      <c r="G3841" s="14" t="s">
        <v>89</v>
      </c>
      <c r="H3841" s="14" t="s">
        <v>90</v>
      </c>
      <c r="I3841" s="14" t="s">
        <v>59</v>
      </c>
      <c r="J3841" s="14" t="s">
        <v>200</v>
      </c>
      <c r="K3841" s="14" t="s">
        <v>223</v>
      </c>
      <c r="L3841" s="14" t="s">
        <v>607</v>
      </c>
      <c r="M3841" s="14" t="s">
        <v>1027</v>
      </c>
      <c r="N3841" s="14" t="s">
        <v>1028</v>
      </c>
      <c r="O3841" s="14">
        <v>60.0</v>
      </c>
      <c r="P3841" s="23">
        <v>0.2</v>
      </c>
      <c r="Q3841" s="22" t="str">
        <f>"-80.00%"</f>
        <v>-80.00%</v>
      </c>
      <c r="R3841" s="18" t="str">
        <f>"-21.18%"</f>
        <v>-21.18%</v>
      </c>
      <c r="S3841" s="14" t="s">
        <v>2140</v>
      </c>
    </row>
    <row r="3842">
      <c r="A3842" s="13">
        <v>45901.0</v>
      </c>
      <c r="B3842" s="14" t="s">
        <v>47</v>
      </c>
      <c r="C3842" s="14" t="s">
        <v>48</v>
      </c>
      <c r="D3842" s="14" t="s">
        <v>149</v>
      </c>
      <c r="E3842" s="14" t="s">
        <v>150</v>
      </c>
      <c r="F3842" s="15" t="s">
        <v>51</v>
      </c>
      <c r="G3842" s="14" t="s">
        <v>151</v>
      </c>
      <c r="H3842" s="14" t="s">
        <v>152</v>
      </c>
      <c r="I3842" s="14" t="s">
        <v>54</v>
      </c>
      <c r="J3842" s="14" t="s">
        <v>200</v>
      </c>
      <c r="K3842" s="14" t="s">
        <v>223</v>
      </c>
      <c r="L3842" s="14" t="s">
        <v>261</v>
      </c>
      <c r="M3842" s="14" t="s">
        <v>414</v>
      </c>
      <c r="N3842" s="14" t="s">
        <v>415</v>
      </c>
      <c r="O3842" s="14">
        <v>84.0</v>
      </c>
      <c r="P3842" s="23">
        <v>0.6919</v>
      </c>
      <c r="Q3842" s="22" t="str">
        <f>"+169.19%"</f>
        <v>+169.19%</v>
      </c>
      <c r="R3842" s="18" t="str">
        <f>"+12.50%"</f>
        <v>+12.50%</v>
      </c>
      <c r="S3842" s="14" t="s">
        <v>2141</v>
      </c>
    </row>
    <row r="3843">
      <c r="A3843" s="13">
        <v>45901.0</v>
      </c>
      <c r="B3843" s="14" t="s">
        <v>47</v>
      </c>
      <c r="C3843" s="14" t="s">
        <v>48</v>
      </c>
      <c r="D3843" s="14" t="s">
        <v>129</v>
      </c>
      <c r="E3843" s="14" t="s">
        <v>130</v>
      </c>
      <c r="F3843" s="15" t="s">
        <v>51</v>
      </c>
      <c r="G3843" s="14" t="s">
        <v>131</v>
      </c>
      <c r="H3843" s="14" t="s">
        <v>129</v>
      </c>
      <c r="I3843" s="14" t="s">
        <v>59</v>
      </c>
      <c r="J3843" s="14" t="s">
        <v>200</v>
      </c>
      <c r="K3843" s="14" t="s">
        <v>231</v>
      </c>
      <c r="L3843" s="14" t="s">
        <v>512</v>
      </c>
      <c r="M3843" s="14" t="s">
        <v>1937</v>
      </c>
      <c r="N3843" s="14" t="s">
        <v>1938</v>
      </c>
      <c r="O3843" s="14">
        <v>100.0</v>
      </c>
      <c r="P3843" s="21">
        <v>18.0</v>
      </c>
      <c r="Q3843" s="22" t="str">
        <f>"+1"</f>
        <v>+1</v>
      </c>
      <c r="R3843" s="18" t="str">
        <f>"+0"</f>
        <v>+0</v>
      </c>
      <c r="S3843" s="14" t="s">
        <v>260</v>
      </c>
    </row>
    <row r="3844">
      <c r="A3844" s="13">
        <v>45901.0</v>
      </c>
      <c r="B3844" s="14" t="s">
        <v>47</v>
      </c>
      <c r="C3844" s="14" t="s">
        <v>48</v>
      </c>
      <c r="D3844" s="14" t="s">
        <v>87</v>
      </c>
      <c r="E3844" s="14" t="s">
        <v>88</v>
      </c>
      <c r="F3844" s="15" t="s">
        <v>51</v>
      </c>
      <c r="G3844" s="14" t="s">
        <v>89</v>
      </c>
      <c r="H3844" s="14" t="s">
        <v>90</v>
      </c>
      <c r="I3844" s="14" t="s">
        <v>59</v>
      </c>
      <c r="J3844" s="14" t="s">
        <v>200</v>
      </c>
      <c r="K3844" s="14" t="s">
        <v>246</v>
      </c>
      <c r="L3844" s="14" t="s">
        <v>614</v>
      </c>
      <c r="M3844" s="14" t="s">
        <v>2142</v>
      </c>
      <c r="N3844" s="14" t="s">
        <v>2143</v>
      </c>
      <c r="O3844" s="14">
        <v>0.0</v>
      </c>
      <c r="P3844" s="23">
        <v>-1.0</v>
      </c>
      <c r="Q3844" s="22" t="str">
        <f t="shared" ref="Q3844:R3844" si="2289">"+0.00%"</f>
        <v>+0.00%</v>
      </c>
      <c r="R3844" s="18" t="str">
        <f t="shared" si="2289"/>
        <v>+0.00%</v>
      </c>
      <c r="S3844" s="14" t="s">
        <v>2144</v>
      </c>
    </row>
    <row r="3845">
      <c r="A3845" s="13">
        <v>45901.0</v>
      </c>
      <c r="B3845" s="14" t="s">
        <v>47</v>
      </c>
      <c r="C3845" s="14" t="s">
        <v>48</v>
      </c>
      <c r="D3845" s="14" t="s">
        <v>149</v>
      </c>
      <c r="E3845" s="14" t="s">
        <v>150</v>
      </c>
      <c r="F3845" s="15" t="s">
        <v>51</v>
      </c>
      <c r="G3845" s="14" t="s">
        <v>151</v>
      </c>
      <c r="H3845" s="14" t="s">
        <v>152</v>
      </c>
      <c r="I3845" s="14" t="s">
        <v>54</v>
      </c>
      <c r="J3845" s="14" t="s">
        <v>198</v>
      </c>
      <c r="K3845" s="14" t="s">
        <v>210</v>
      </c>
      <c r="L3845" s="14" t="s">
        <v>278</v>
      </c>
      <c r="M3845" s="14" t="s">
        <v>839</v>
      </c>
      <c r="N3845" s="14" t="s">
        <v>840</v>
      </c>
      <c r="O3845" s="14">
        <v>49.0</v>
      </c>
      <c r="P3845" s="21">
        <v>1217.0</v>
      </c>
      <c r="Q3845" s="22" t="str">
        <f>"+5"</f>
        <v>+5</v>
      </c>
      <c r="R3845" s="18" t="str">
        <f>"+269"</f>
        <v>+269</v>
      </c>
      <c r="S3845" s="14" t="s">
        <v>2145</v>
      </c>
    </row>
    <row r="3846">
      <c r="A3846" s="13">
        <v>45901.0</v>
      </c>
      <c r="B3846" s="14" t="s">
        <v>47</v>
      </c>
      <c r="C3846" s="14" t="s">
        <v>48</v>
      </c>
      <c r="D3846" s="14" t="s">
        <v>69</v>
      </c>
      <c r="E3846" s="14" t="s">
        <v>70</v>
      </c>
      <c r="F3846" s="15" t="s">
        <v>51</v>
      </c>
      <c r="G3846" s="14" t="s">
        <v>115</v>
      </c>
      <c r="H3846" s="14" t="s">
        <v>72</v>
      </c>
      <c r="I3846" s="14" t="s">
        <v>54</v>
      </c>
      <c r="J3846" s="14" t="s">
        <v>198</v>
      </c>
      <c r="K3846" s="14" t="s">
        <v>205</v>
      </c>
      <c r="L3846" s="14" t="s">
        <v>274</v>
      </c>
      <c r="M3846" s="14" t="s">
        <v>2065</v>
      </c>
      <c r="N3846" s="14" t="s">
        <v>2066</v>
      </c>
      <c r="O3846" s="14">
        <v>0.0</v>
      </c>
      <c r="P3846" s="21">
        <v>0.0</v>
      </c>
      <c r="Q3846" s="22" t="str">
        <f>"+0"</f>
        <v>+0</v>
      </c>
      <c r="S3846" s="14" t="s">
        <v>281</v>
      </c>
    </row>
    <row r="3847">
      <c r="A3847" s="13">
        <v>45901.0</v>
      </c>
      <c r="B3847" s="14" t="s">
        <v>47</v>
      </c>
      <c r="C3847" s="14" t="s">
        <v>48</v>
      </c>
      <c r="D3847" s="14" t="s">
        <v>125</v>
      </c>
      <c r="E3847" s="14" t="s">
        <v>126</v>
      </c>
      <c r="F3847" s="15" t="s">
        <v>51</v>
      </c>
      <c r="G3847" s="14" t="s">
        <v>127</v>
      </c>
      <c r="H3847" s="14" t="s">
        <v>125</v>
      </c>
      <c r="I3847" s="14" t="s">
        <v>59</v>
      </c>
      <c r="J3847" s="14" t="s">
        <v>200</v>
      </c>
      <c r="K3847" s="14" t="s">
        <v>232</v>
      </c>
      <c r="L3847" s="14" t="s">
        <v>304</v>
      </c>
      <c r="M3847" s="14" t="s">
        <v>877</v>
      </c>
      <c r="N3847" s="14" t="s">
        <v>878</v>
      </c>
      <c r="O3847" s="14">
        <v>0.0</v>
      </c>
      <c r="P3847" s="23">
        <v>0.0</v>
      </c>
      <c r="Q3847" s="22" t="str">
        <f t="shared" ref="Q3847:R3847" si="2290">"+0.00%"</f>
        <v>+0.00%</v>
      </c>
      <c r="R3847" s="18" t="str">
        <f t="shared" si="2290"/>
        <v>+0.00%</v>
      </c>
      <c r="S3847" s="14" t="s">
        <v>2146</v>
      </c>
    </row>
    <row r="3848">
      <c r="A3848" s="13">
        <v>45901.0</v>
      </c>
      <c r="B3848" s="14" t="s">
        <v>47</v>
      </c>
      <c r="C3848" s="14" t="s">
        <v>48</v>
      </c>
      <c r="D3848" s="14" t="s">
        <v>77</v>
      </c>
      <c r="E3848" s="14" t="s">
        <v>78</v>
      </c>
      <c r="F3848" s="14" t="s">
        <v>71</v>
      </c>
      <c r="G3848" s="14">
        <v>5.36009043E8</v>
      </c>
      <c r="H3848" s="14" t="s">
        <v>81</v>
      </c>
      <c r="J3848" s="14" t="s">
        <v>199</v>
      </c>
      <c r="K3848" s="14" t="s">
        <v>206</v>
      </c>
      <c r="L3848" s="14" t="s">
        <v>268</v>
      </c>
      <c r="M3848" s="14" t="s">
        <v>268</v>
      </c>
      <c r="N3848" s="14" t="s">
        <v>269</v>
      </c>
      <c r="O3848" s="14">
        <v>0.0</v>
      </c>
      <c r="P3848" s="21">
        <v>0.0</v>
      </c>
      <c r="Q3848" s="22" t="str">
        <f>"+0"</f>
        <v>+0</v>
      </c>
      <c r="S3848" s="14" t="s">
        <v>260</v>
      </c>
    </row>
    <row r="3849">
      <c r="A3849" s="13">
        <v>45901.0</v>
      </c>
      <c r="B3849" s="14" t="s">
        <v>47</v>
      </c>
      <c r="C3849" s="14" t="s">
        <v>48</v>
      </c>
      <c r="D3849" s="14" t="s">
        <v>158</v>
      </c>
      <c r="E3849" s="14" t="s">
        <v>159</v>
      </c>
      <c r="F3849" s="15" t="s">
        <v>51</v>
      </c>
      <c r="G3849" s="14" t="s">
        <v>160</v>
      </c>
      <c r="H3849" s="14" t="s">
        <v>158</v>
      </c>
      <c r="I3849" s="14" t="s">
        <v>54</v>
      </c>
      <c r="J3849" s="14" t="s">
        <v>200</v>
      </c>
      <c r="K3849" s="14" t="s">
        <v>209</v>
      </c>
      <c r="L3849" s="14" t="s">
        <v>253</v>
      </c>
      <c r="M3849" s="14" t="s">
        <v>817</v>
      </c>
      <c r="N3849" s="14" t="s">
        <v>818</v>
      </c>
      <c r="O3849" s="14">
        <v>7.0</v>
      </c>
      <c r="P3849" s="23">
        <v>0.0713</v>
      </c>
      <c r="Q3849" s="22" t="str">
        <f>"+0.03%"</f>
        <v>+0.03%</v>
      </c>
      <c r="R3849" s="18" t="str">
        <f>"+0.23%"</f>
        <v>+0.23%</v>
      </c>
      <c r="S3849" s="14" t="s">
        <v>2147</v>
      </c>
    </row>
    <row r="3850">
      <c r="A3850" s="13">
        <v>45901.0</v>
      </c>
      <c r="B3850" s="14" t="s">
        <v>47</v>
      </c>
      <c r="C3850" s="14" t="s">
        <v>48</v>
      </c>
      <c r="D3850" s="14" t="s">
        <v>140</v>
      </c>
      <c r="E3850" s="14" t="s">
        <v>141</v>
      </c>
      <c r="F3850" s="15" t="s">
        <v>51</v>
      </c>
      <c r="G3850" s="14" t="s">
        <v>142</v>
      </c>
      <c r="H3850" s="14" t="s">
        <v>140</v>
      </c>
      <c r="I3850" s="14" t="s">
        <v>59</v>
      </c>
      <c r="J3850" s="14" t="s">
        <v>200</v>
      </c>
      <c r="K3850" s="14" t="s">
        <v>201</v>
      </c>
      <c r="L3850" s="14" t="s">
        <v>253</v>
      </c>
      <c r="M3850" s="14" t="s">
        <v>538</v>
      </c>
      <c r="N3850" s="14" t="s">
        <v>539</v>
      </c>
      <c r="O3850" s="14">
        <v>1.0</v>
      </c>
      <c r="P3850" s="23">
        <v>7.0E-4</v>
      </c>
      <c r="Q3850" s="22" t="str">
        <f>"-0.01%"</f>
        <v>-0.01%</v>
      </c>
      <c r="R3850" s="18" t="str">
        <f>"-0.03%"</f>
        <v>-0.03%</v>
      </c>
      <c r="S3850" s="14" t="s">
        <v>1595</v>
      </c>
    </row>
    <row r="3851">
      <c r="A3851" s="13">
        <v>45901.0</v>
      </c>
      <c r="B3851" s="14" t="s">
        <v>47</v>
      </c>
      <c r="C3851" s="14" t="s">
        <v>48</v>
      </c>
      <c r="D3851" s="14" t="s">
        <v>60</v>
      </c>
      <c r="E3851" s="14" t="s">
        <v>61</v>
      </c>
      <c r="F3851" s="15" t="s">
        <v>51</v>
      </c>
      <c r="G3851" s="14" t="s">
        <v>62</v>
      </c>
      <c r="H3851" s="14" t="s">
        <v>60</v>
      </c>
      <c r="I3851" s="14" t="s">
        <v>59</v>
      </c>
      <c r="J3851" s="14" t="s">
        <v>200</v>
      </c>
      <c r="K3851" s="14" t="s">
        <v>223</v>
      </c>
      <c r="L3851" s="14" t="s">
        <v>304</v>
      </c>
      <c r="M3851" s="14" t="s">
        <v>688</v>
      </c>
      <c r="N3851" s="14" t="s">
        <v>689</v>
      </c>
      <c r="O3851" s="14">
        <v>68.0</v>
      </c>
      <c r="P3851" s="23">
        <v>0.6863</v>
      </c>
      <c r="Q3851" s="22" t="str">
        <f>"+6.47%"</f>
        <v>+6.47%</v>
      </c>
      <c r="R3851" s="18" t="str">
        <f>"-5.45%"</f>
        <v>-5.45%</v>
      </c>
      <c r="S3851" s="14" t="s">
        <v>2148</v>
      </c>
    </row>
    <row r="3852">
      <c r="A3852" s="13">
        <v>45901.0</v>
      </c>
      <c r="B3852" s="14" t="s">
        <v>47</v>
      </c>
      <c r="C3852" s="14" t="s">
        <v>48</v>
      </c>
      <c r="D3852" s="14" t="s">
        <v>168</v>
      </c>
      <c r="E3852" s="14" t="s">
        <v>169</v>
      </c>
      <c r="F3852" s="15" t="s">
        <v>51</v>
      </c>
      <c r="G3852" s="14" t="s">
        <v>170</v>
      </c>
      <c r="H3852" s="14" t="s">
        <v>168</v>
      </c>
      <c r="I3852" s="14" t="s">
        <v>59</v>
      </c>
      <c r="J3852" s="14" t="s">
        <v>199</v>
      </c>
      <c r="K3852" s="14" t="s">
        <v>203</v>
      </c>
      <c r="L3852" s="14" t="s">
        <v>736</v>
      </c>
      <c r="M3852" s="14" t="s">
        <v>736</v>
      </c>
      <c r="N3852" s="14" t="s">
        <v>737</v>
      </c>
      <c r="O3852" s="14">
        <v>0.0</v>
      </c>
      <c r="P3852" s="21">
        <v>0.0</v>
      </c>
      <c r="Q3852" s="22" t="str">
        <f t="shared" ref="Q3852:R3852" si="2291">"+0"</f>
        <v>+0</v>
      </c>
      <c r="R3852" s="18" t="str">
        <f t="shared" si="2291"/>
        <v>+0</v>
      </c>
      <c r="S3852" s="14" t="s">
        <v>260</v>
      </c>
    </row>
    <row r="3853">
      <c r="A3853" s="13">
        <v>45901.0</v>
      </c>
      <c r="B3853" s="14" t="s">
        <v>47</v>
      </c>
      <c r="C3853" s="14" t="s">
        <v>48</v>
      </c>
      <c r="D3853" s="14" t="s">
        <v>56</v>
      </c>
      <c r="E3853" s="14" t="s">
        <v>57</v>
      </c>
      <c r="F3853" s="15" t="s">
        <v>51</v>
      </c>
      <c r="G3853" s="14" t="s">
        <v>58</v>
      </c>
      <c r="H3853" s="14" t="s">
        <v>56</v>
      </c>
      <c r="I3853" s="14" t="s">
        <v>59</v>
      </c>
      <c r="J3853" s="14" t="s">
        <v>199</v>
      </c>
      <c r="K3853" s="14" t="s">
        <v>206</v>
      </c>
      <c r="L3853" s="14" t="s">
        <v>295</v>
      </c>
      <c r="M3853" s="14" t="s">
        <v>986</v>
      </c>
      <c r="N3853" s="14" t="s">
        <v>987</v>
      </c>
      <c r="O3853" s="14">
        <v>0.0</v>
      </c>
      <c r="P3853" s="21">
        <v>0.0</v>
      </c>
      <c r="Q3853" s="22" t="str">
        <f t="shared" ref="Q3853:R3853" si="2292">"+0"</f>
        <v>+0</v>
      </c>
      <c r="R3853" s="18" t="str">
        <f t="shared" si="2292"/>
        <v>+0</v>
      </c>
      <c r="S3853" s="14" t="s">
        <v>260</v>
      </c>
    </row>
    <row r="3854">
      <c r="A3854" s="13">
        <v>45901.0</v>
      </c>
      <c r="B3854" s="14" t="s">
        <v>47</v>
      </c>
      <c r="C3854" s="14" t="s">
        <v>48</v>
      </c>
      <c r="D3854" s="14" t="s">
        <v>165</v>
      </c>
      <c r="E3854" s="14" t="s">
        <v>166</v>
      </c>
      <c r="F3854" s="15" t="s">
        <v>51</v>
      </c>
      <c r="G3854" s="14" t="s">
        <v>167</v>
      </c>
      <c r="H3854" s="14" t="s">
        <v>165</v>
      </c>
      <c r="I3854" s="14" t="s">
        <v>54</v>
      </c>
      <c r="J3854" s="14" t="s">
        <v>198</v>
      </c>
      <c r="K3854" s="14" t="s">
        <v>210</v>
      </c>
      <c r="L3854" s="14" t="s">
        <v>505</v>
      </c>
      <c r="M3854" s="14" t="s">
        <v>1222</v>
      </c>
      <c r="N3854" s="14" t="s">
        <v>1223</v>
      </c>
      <c r="O3854" s="14">
        <v>0.0</v>
      </c>
      <c r="P3854" s="21">
        <v>0.0</v>
      </c>
      <c r="Q3854" s="22" t="str">
        <f t="shared" ref="Q3854:R3854" si="2293">"+0"</f>
        <v>+0</v>
      </c>
      <c r="R3854" s="18" t="str">
        <f t="shared" si="2293"/>
        <v>+0</v>
      </c>
      <c r="S3854" s="14" t="s">
        <v>277</v>
      </c>
    </row>
    <row r="3855">
      <c r="A3855" s="13">
        <v>45901.0</v>
      </c>
      <c r="B3855" s="14" t="s">
        <v>47</v>
      </c>
      <c r="C3855" s="14" t="s">
        <v>48</v>
      </c>
      <c r="D3855" s="14" t="s">
        <v>177</v>
      </c>
      <c r="E3855" s="14" t="s">
        <v>178</v>
      </c>
      <c r="F3855" s="14" t="s">
        <v>146</v>
      </c>
      <c r="G3855" s="14" t="s">
        <v>179</v>
      </c>
      <c r="H3855" s="14" t="s">
        <v>177</v>
      </c>
      <c r="I3855" s="14" t="s">
        <v>107</v>
      </c>
      <c r="J3855" s="14" t="s">
        <v>200</v>
      </c>
      <c r="K3855" s="14" t="s">
        <v>226</v>
      </c>
      <c r="L3855" s="14" t="s">
        <v>672</v>
      </c>
      <c r="M3855" s="14" t="s">
        <v>1888</v>
      </c>
      <c r="N3855" s="14" t="s">
        <v>1889</v>
      </c>
      <c r="O3855" s="14">
        <v>49.0</v>
      </c>
      <c r="P3855" s="23">
        <v>0.0</v>
      </c>
      <c r="Q3855" s="22" t="str">
        <f t="shared" ref="Q3855:R3855" si="2294">"+0.00%"</f>
        <v>+0.00%</v>
      </c>
      <c r="R3855" s="18" t="str">
        <f t="shared" si="2294"/>
        <v>+0.00%</v>
      </c>
      <c r="S3855" s="14" t="s">
        <v>1890</v>
      </c>
    </row>
    <row r="3856">
      <c r="A3856" s="13">
        <v>45901.0</v>
      </c>
      <c r="B3856" s="14" t="s">
        <v>47</v>
      </c>
      <c r="C3856" s="14" t="s">
        <v>48</v>
      </c>
      <c r="D3856" s="14" t="s">
        <v>99</v>
      </c>
      <c r="E3856" s="14" t="s">
        <v>100</v>
      </c>
      <c r="F3856" s="15" t="s">
        <v>51</v>
      </c>
      <c r="G3856" s="14" t="s">
        <v>101</v>
      </c>
      <c r="H3856" s="14" t="s">
        <v>102</v>
      </c>
      <c r="I3856" s="14" t="s">
        <v>54</v>
      </c>
      <c r="J3856" s="14" t="s">
        <v>200</v>
      </c>
      <c r="K3856" s="14" t="s">
        <v>213</v>
      </c>
      <c r="L3856" s="14" t="s">
        <v>289</v>
      </c>
      <c r="M3856" s="14" t="s">
        <v>290</v>
      </c>
      <c r="N3856" s="14" t="s">
        <v>291</v>
      </c>
      <c r="O3856" s="14">
        <v>0.0</v>
      </c>
      <c r="P3856" s="23">
        <v>0.0</v>
      </c>
      <c r="Q3856" s="22" t="str">
        <f t="shared" ref="Q3856:R3856" si="2295">"+0.00%"</f>
        <v>+0.00%</v>
      </c>
      <c r="R3856" s="18" t="str">
        <f t="shared" si="2295"/>
        <v>+0.00%</v>
      </c>
      <c r="S3856" s="14" t="s">
        <v>285</v>
      </c>
    </row>
    <row r="3857">
      <c r="A3857" s="13">
        <v>45901.0</v>
      </c>
      <c r="B3857" s="14" t="s">
        <v>47</v>
      </c>
      <c r="C3857" s="14" t="s">
        <v>48</v>
      </c>
      <c r="D3857" s="14" t="s">
        <v>93</v>
      </c>
      <c r="E3857" s="14" t="s">
        <v>94</v>
      </c>
      <c r="F3857" s="15" t="s">
        <v>51</v>
      </c>
      <c r="G3857" s="14" t="s">
        <v>191</v>
      </c>
      <c r="H3857" s="14" t="s">
        <v>95</v>
      </c>
      <c r="I3857" s="14" t="s">
        <v>59</v>
      </c>
      <c r="J3857" s="14" t="s">
        <v>198</v>
      </c>
      <c r="K3857" s="14" t="s">
        <v>205</v>
      </c>
      <c r="L3857" s="14" t="s">
        <v>274</v>
      </c>
      <c r="M3857" s="14" t="s">
        <v>451</v>
      </c>
      <c r="N3857" s="14" t="s">
        <v>452</v>
      </c>
      <c r="O3857" s="14">
        <v>0.0</v>
      </c>
      <c r="P3857" s="21">
        <v>0.0</v>
      </c>
      <c r="Q3857" s="22" t="str">
        <f>"+0"</f>
        <v>+0</v>
      </c>
      <c r="S3857" s="14" t="s">
        <v>281</v>
      </c>
    </row>
    <row r="3858">
      <c r="A3858" s="13">
        <v>45901.0</v>
      </c>
      <c r="B3858" s="14" t="s">
        <v>47</v>
      </c>
      <c r="C3858" s="14" t="s">
        <v>48</v>
      </c>
      <c r="D3858" s="14" t="s">
        <v>192</v>
      </c>
      <c r="E3858" s="14" t="s">
        <v>193</v>
      </c>
      <c r="F3858" s="15" t="s">
        <v>51</v>
      </c>
      <c r="G3858" s="14" t="s">
        <v>194</v>
      </c>
      <c r="H3858" s="14" t="s">
        <v>192</v>
      </c>
      <c r="I3858" s="14" t="s">
        <v>54</v>
      </c>
      <c r="J3858" s="14" t="s">
        <v>198</v>
      </c>
      <c r="K3858" s="14" t="s">
        <v>210</v>
      </c>
      <c r="L3858" s="14" t="s">
        <v>264</v>
      </c>
      <c r="M3858" s="14" t="s">
        <v>804</v>
      </c>
      <c r="N3858" s="14" t="s">
        <v>805</v>
      </c>
      <c r="O3858" s="14">
        <v>0.0</v>
      </c>
      <c r="P3858" s="21">
        <v>0.0</v>
      </c>
      <c r="Q3858" s="22" t="str">
        <f>"-1"</f>
        <v>-1</v>
      </c>
      <c r="R3858" s="18" t="str">
        <f>"+0"</f>
        <v>+0</v>
      </c>
      <c r="S3858" s="14" t="s">
        <v>277</v>
      </c>
    </row>
    <row r="3859">
      <c r="A3859" s="13">
        <v>45901.0</v>
      </c>
      <c r="B3859" s="14" t="s">
        <v>47</v>
      </c>
      <c r="C3859" s="14" t="s">
        <v>48</v>
      </c>
      <c r="D3859" s="14" t="s">
        <v>184</v>
      </c>
      <c r="E3859" s="14" t="s">
        <v>185</v>
      </c>
      <c r="F3859" s="15" t="s">
        <v>51</v>
      </c>
      <c r="G3859" s="14" t="s">
        <v>186</v>
      </c>
      <c r="H3859" s="14" t="s">
        <v>187</v>
      </c>
      <c r="I3859" s="14" t="s">
        <v>59</v>
      </c>
      <c r="J3859" s="14" t="s">
        <v>200</v>
      </c>
      <c r="K3859" s="14" t="s">
        <v>229</v>
      </c>
      <c r="L3859" s="14" t="s">
        <v>253</v>
      </c>
      <c r="M3859" s="14" t="s">
        <v>366</v>
      </c>
      <c r="N3859" s="14" t="s">
        <v>367</v>
      </c>
      <c r="O3859" s="14">
        <v>87.0</v>
      </c>
      <c r="P3859" s="23">
        <v>0.875</v>
      </c>
      <c r="Q3859" s="22" t="str">
        <f t="shared" ref="Q3859:R3859" si="2296">"+0.00%"</f>
        <v>+0.00%</v>
      </c>
      <c r="R3859" s="18" t="str">
        <f t="shared" si="2296"/>
        <v>+0.00%</v>
      </c>
      <c r="S3859" s="14" t="s">
        <v>2149</v>
      </c>
    </row>
    <row r="3860">
      <c r="A3860" s="13">
        <v>45901.0</v>
      </c>
      <c r="B3860" s="14" t="s">
        <v>47</v>
      </c>
      <c r="C3860" s="14" t="s">
        <v>48</v>
      </c>
      <c r="D3860" s="14" t="s">
        <v>184</v>
      </c>
      <c r="E3860" s="14" t="s">
        <v>185</v>
      </c>
      <c r="F3860" s="15" t="s">
        <v>51</v>
      </c>
      <c r="G3860" s="14" t="s">
        <v>186</v>
      </c>
      <c r="H3860" s="14" t="s">
        <v>187</v>
      </c>
      <c r="I3860" s="14" t="s">
        <v>59</v>
      </c>
      <c r="J3860" s="14" t="s">
        <v>199</v>
      </c>
      <c r="K3860" s="14" t="s">
        <v>203</v>
      </c>
      <c r="L3860" s="14" t="s">
        <v>725</v>
      </c>
      <c r="M3860" s="14" t="s">
        <v>725</v>
      </c>
      <c r="N3860" s="14" t="s">
        <v>726</v>
      </c>
      <c r="O3860" s="14">
        <v>0.0</v>
      </c>
      <c r="P3860" s="21">
        <v>0.0</v>
      </c>
      <c r="Q3860" s="22" t="str">
        <f t="shared" ref="Q3860:R3860" si="2297">"+0"</f>
        <v>+0</v>
      </c>
      <c r="R3860" s="18" t="str">
        <f t="shared" si="2297"/>
        <v>+0</v>
      </c>
      <c r="S3860" s="14" t="s">
        <v>260</v>
      </c>
    </row>
    <row r="3861">
      <c r="A3861" s="13">
        <v>45901.0</v>
      </c>
      <c r="B3861" s="14" t="s">
        <v>47</v>
      </c>
      <c r="C3861" s="14" t="s">
        <v>48</v>
      </c>
      <c r="D3861" s="14" t="s">
        <v>66</v>
      </c>
      <c r="E3861" s="14" t="s">
        <v>67</v>
      </c>
      <c r="F3861" s="15" t="s">
        <v>51</v>
      </c>
      <c r="G3861" s="14" t="s">
        <v>68</v>
      </c>
      <c r="H3861" s="14" t="s">
        <v>66</v>
      </c>
      <c r="I3861" s="14" t="s">
        <v>59</v>
      </c>
      <c r="J3861" s="14" t="s">
        <v>200</v>
      </c>
      <c r="K3861" s="14" t="s">
        <v>231</v>
      </c>
      <c r="L3861" s="14" t="s">
        <v>751</v>
      </c>
      <c r="M3861" s="14" t="s">
        <v>1926</v>
      </c>
      <c r="N3861" s="14" t="s">
        <v>1927</v>
      </c>
      <c r="O3861" s="14">
        <v>0.0</v>
      </c>
      <c r="P3861" s="21">
        <v>0.0</v>
      </c>
      <c r="Q3861" s="22" t="str">
        <f t="shared" ref="Q3861:R3861" si="2298">"+0"</f>
        <v>+0</v>
      </c>
      <c r="R3861" s="18" t="str">
        <f t="shared" si="2298"/>
        <v>+0</v>
      </c>
      <c r="S3861" s="14" t="s">
        <v>260</v>
      </c>
    </row>
    <row r="3862">
      <c r="A3862" s="13">
        <v>45901.0</v>
      </c>
      <c r="B3862" s="14" t="s">
        <v>47</v>
      </c>
      <c r="C3862" s="14" t="s">
        <v>48</v>
      </c>
      <c r="D3862" s="14" t="s">
        <v>93</v>
      </c>
      <c r="E3862" s="14" t="s">
        <v>94</v>
      </c>
      <c r="F3862" s="15" t="s">
        <v>51</v>
      </c>
      <c r="G3862" s="14" t="s">
        <v>191</v>
      </c>
      <c r="H3862" s="14" t="s">
        <v>95</v>
      </c>
      <c r="I3862" s="14" t="s">
        <v>59</v>
      </c>
      <c r="J3862" s="14" t="s">
        <v>198</v>
      </c>
      <c r="K3862" s="14" t="s">
        <v>205</v>
      </c>
      <c r="L3862" s="14" t="s">
        <v>274</v>
      </c>
      <c r="M3862" s="14" t="s">
        <v>354</v>
      </c>
      <c r="N3862" s="14" t="s">
        <v>355</v>
      </c>
      <c r="O3862" s="14">
        <v>28.0</v>
      </c>
      <c r="P3862" s="21">
        <v>10.0</v>
      </c>
      <c r="Q3862" s="22" t="str">
        <f>"+0"</f>
        <v>+0</v>
      </c>
      <c r="S3862" s="14" t="s">
        <v>356</v>
      </c>
    </row>
    <row r="3863">
      <c r="A3863" s="13">
        <v>45901.0</v>
      </c>
      <c r="B3863" s="14" t="s">
        <v>47</v>
      </c>
      <c r="C3863" s="14" t="s">
        <v>48</v>
      </c>
      <c r="D3863" s="14" t="s">
        <v>87</v>
      </c>
      <c r="E3863" s="14" t="s">
        <v>88</v>
      </c>
      <c r="F3863" s="15" t="s">
        <v>51</v>
      </c>
      <c r="G3863" s="14" t="s">
        <v>89</v>
      </c>
      <c r="H3863" s="14" t="s">
        <v>90</v>
      </c>
      <c r="I3863" s="14" t="s">
        <v>59</v>
      </c>
      <c r="J3863" s="14" t="s">
        <v>200</v>
      </c>
      <c r="K3863" s="14" t="s">
        <v>211</v>
      </c>
      <c r="L3863" s="14" t="s">
        <v>253</v>
      </c>
      <c r="M3863" s="14" t="s">
        <v>366</v>
      </c>
      <c r="N3863" s="14" t="s">
        <v>367</v>
      </c>
      <c r="O3863" s="14">
        <v>26.0</v>
      </c>
      <c r="P3863" s="23">
        <v>0.2667</v>
      </c>
      <c r="Q3863" s="22" t="str">
        <f>"+0.00%"</f>
        <v>+0.00%</v>
      </c>
      <c r="R3863" s="18" t="str">
        <f>"-6.67%"</f>
        <v>-6.67%</v>
      </c>
      <c r="S3863" s="14" t="s">
        <v>2150</v>
      </c>
    </row>
    <row r="3864">
      <c r="A3864" s="13">
        <v>45901.0</v>
      </c>
      <c r="B3864" s="14" t="s">
        <v>47</v>
      </c>
      <c r="C3864" s="14" t="s">
        <v>48</v>
      </c>
      <c r="D3864" s="14" t="s">
        <v>149</v>
      </c>
      <c r="E3864" s="14" t="s">
        <v>150</v>
      </c>
      <c r="F3864" s="15" t="s">
        <v>51</v>
      </c>
      <c r="G3864" s="14" t="s">
        <v>151</v>
      </c>
      <c r="H3864" s="14" t="s">
        <v>152</v>
      </c>
      <c r="I3864" s="14" t="s">
        <v>54</v>
      </c>
      <c r="J3864" s="14" t="s">
        <v>198</v>
      </c>
      <c r="K3864" s="14" t="s">
        <v>210</v>
      </c>
      <c r="L3864" s="14" t="s">
        <v>264</v>
      </c>
      <c r="M3864" s="14" t="s">
        <v>1214</v>
      </c>
      <c r="N3864" s="14" t="s">
        <v>1215</v>
      </c>
      <c r="O3864" s="14">
        <v>0.0</v>
      </c>
      <c r="P3864" s="21">
        <v>0.0</v>
      </c>
      <c r="Q3864" s="22" t="str">
        <f t="shared" ref="Q3864:R3864" si="2299">"+0"</f>
        <v>+0</v>
      </c>
      <c r="R3864" s="18" t="str">
        <f t="shared" si="2299"/>
        <v>+0</v>
      </c>
      <c r="S3864" s="14" t="s">
        <v>277</v>
      </c>
    </row>
    <row r="3865">
      <c r="A3865" s="13">
        <v>45901.0</v>
      </c>
      <c r="B3865" s="14" t="s">
        <v>47</v>
      </c>
      <c r="C3865" s="14" t="s">
        <v>48</v>
      </c>
      <c r="D3865" s="14" t="s">
        <v>149</v>
      </c>
      <c r="E3865" s="14" t="s">
        <v>150</v>
      </c>
      <c r="F3865" s="15" t="s">
        <v>51</v>
      </c>
      <c r="G3865" s="14" t="s">
        <v>151</v>
      </c>
      <c r="H3865" s="14" t="s">
        <v>152</v>
      </c>
      <c r="I3865" s="14" t="s">
        <v>54</v>
      </c>
      <c r="J3865" s="14" t="s">
        <v>198</v>
      </c>
      <c r="K3865" s="14" t="s">
        <v>210</v>
      </c>
      <c r="L3865" s="14" t="s">
        <v>264</v>
      </c>
      <c r="M3865" s="14" t="s">
        <v>910</v>
      </c>
      <c r="N3865" s="14" t="s">
        <v>911</v>
      </c>
      <c r="O3865" s="14">
        <v>0.0</v>
      </c>
      <c r="P3865" s="21">
        <v>0.0</v>
      </c>
      <c r="Q3865" s="22" t="str">
        <f t="shared" ref="Q3865:R3865" si="2300">"+0"</f>
        <v>+0</v>
      </c>
      <c r="R3865" s="18" t="str">
        <f t="shared" si="2300"/>
        <v>+0</v>
      </c>
      <c r="S3865" s="14" t="s">
        <v>277</v>
      </c>
    </row>
    <row r="3866">
      <c r="A3866" s="13">
        <v>45901.0</v>
      </c>
      <c r="B3866" s="14" t="s">
        <v>47</v>
      </c>
      <c r="C3866" s="14" t="s">
        <v>48</v>
      </c>
      <c r="D3866" s="14" t="s">
        <v>129</v>
      </c>
      <c r="E3866" s="14" t="s">
        <v>130</v>
      </c>
      <c r="F3866" s="15" t="s">
        <v>51</v>
      </c>
      <c r="G3866" s="14" t="s">
        <v>131</v>
      </c>
      <c r="H3866" s="14" t="s">
        <v>129</v>
      </c>
      <c r="I3866" s="14" t="s">
        <v>59</v>
      </c>
      <c r="J3866" s="14" t="s">
        <v>200</v>
      </c>
      <c r="K3866" s="14" t="s">
        <v>231</v>
      </c>
      <c r="L3866" s="14" t="s">
        <v>512</v>
      </c>
      <c r="M3866" s="14" t="s">
        <v>1672</v>
      </c>
      <c r="N3866" s="14" t="s">
        <v>1673</v>
      </c>
      <c r="O3866" s="14">
        <v>0.0</v>
      </c>
      <c r="P3866" s="21">
        <v>0.0</v>
      </c>
      <c r="Q3866" s="22" t="str">
        <f t="shared" ref="Q3866:R3866" si="2301">"+0"</f>
        <v>+0</v>
      </c>
      <c r="R3866" s="18" t="str">
        <f t="shared" si="2301"/>
        <v>+0</v>
      </c>
      <c r="S3866" s="14" t="s">
        <v>260</v>
      </c>
    </row>
    <row r="3867">
      <c r="A3867" s="13">
        <v>45901.0</v>
      </c>
      <c r="B3867" s="14" t="s">
        <v>47</v>
      </c>
      <c r="C3867" s="14" t="s">
        <v>48</v>
      </c>
      <c r="D3867" s="14" t="s">
        <v>129</v>
      </c>
      <c r="E3867" s="14" t="s">
        <v>130</v>
      </c>
      <c r="F3867" s="15" t="s">
        <v>51</v>
      </c>
      <c r="G3867" s="14" t="s">
        <v>131</v>
      </c>
      <c r="H3867" s="14" t="s">
        <v>129</v>
      </c>
      <c r="I3867" s="14" t="s">
        <v>59</v>
      </c>
      <c r="J3867" s="14" t="s">
        <v>200</v>
      </c>
      <c r="K3867" s="14" t="s">
        <v>227</v>
      </c>
      <c r="L3867" s="14" t="s">
        <v>253</v>
      </c>
      <c r="M3867" s="14" t="s">
        <v>396</v>
      </c>
      <c r="N3867" s="14" t="s">
        <v>397</v>
      </c>
      <c r="O3867" s="14">
        <v>75.0</v>
      </c>
      <c r="P3867" s="23">
        <v>0.75</v>
      </c>
      <c r="Q3867" s="22" t="str">
        <f t="shared" ref="Q3867:R3867" si="2302">"+0.00%"</f>
        <v>+0.00%</v>
      </c>
      <c r="R3867" s="18" t="str">
        <f t="shared" si="2302"/>
        <v>+0.00%</v>
      </c>
      <c r="S3867" s="14" t="s">
        <v>916</v>
      </c>
    </row>
    <row r="3868">
      <c r="A3868" s="13">
        <v>45901.0</v>
      </c>
      <c r="B3868" s="14" t="s">
        <v>47</v>
      </c>
      <c r="C3868" s="14" t="s">
        <v>48</v>
      </c>
      <c r="D3868" s="14" t="s">
        <v>87</v>
      </c>
      <c r="E3868" s="14" t="s">
        <v>88</v>
      </c>
      <c r="F3868" s="15" t="s">
        <v>51</v>
      </c>
      <c r="G3868" s="14" t="s">
        <v>89</v>
      </c>
      <c r="H3868" s="14" t="s">
        <v>90</v>
      </c>
      <c r="I3868" s="14" t="s">
        <v>59</v>
      </c>
      <c r="J3868" s="14" t="s">
        <v>200</v>
      </c>
      <c r="K3868" s="14" t="s">
        <v>223</v>
      </c>
      <c r="L3868" s="14" t="s">
        <v>286</v>
      </c>
      <c r="M3868" s="14" t="s">
        <v>625</v>
      </c>
      <c r="N3868" s="14" t="s">
        <v>626</v>
      </c>
      <c r="O3868" s="14">
        <v>43.0</v>
      </c>
      <c r="P3868" s="23">
        <v>0.4396</v>
      </c>
      <c r="Q3868" s="22" t="str">
        <f>"+4.50%"</f>
        <v>+4.50%</v>
      </c>
      <c r="R3868" s="18" t="str">
        <f>"+1.85%"</f>
        <v>+1.85%</v>
      </c>
      <c r="S3868" s="14" t="s">
        <v>2151</v>
      </c>
    </row>
    <row r="3869">
      <c r="A3869" s="13">
        <v>45901.0</v>
      </c>
      <c r="B3869" s="14" t="s">
        <v>47</v>
      </c>
      <c r="C3869" s="14" t="s">
        <v>48</v>
      </c>
      <c r="D3869" s="14" t="s">
        <v>129</v>
      </c>
      <c r="E3869" s="14" t="s">
        <v>130</v>
      </c>
      <c r="F3869" s="15" t="s">
        <v>51</v>
      </c>
      <c r="G3869" s="14" t="s">
        <v>131</v>
      </c>
      <c r="H3869" s="14" t="s">
        <v>129</v>
      </c>
      <c r="I3869" s="14" t="s">
        <v>59</v>
      </c>
      <c r="J3869" s="14" t="s">
        <v>200</v>
      </c>
      <c r="K3869" s="14" t="s">
        <v>213</v>
      </c>
      <c r="L3869" s="14" t="s">
        <v>289</v>
      </c>
      <c r="M3869" s="14" t="s">
        <v>684</v>
      </c>
      <c r="N3869" s="14" t="s">
        <v>685</v>
      </c>
      <c r="O3869" s="14">
        <v>0.0</v>
      </c>
      <c r="P3869" s="23">
        <v>0.0</v>
      </c>
      <c r="Q3869" s="22" t="str">
        <f t="shared" ref="Q3869:R3869" si="2303">"+0.00%"</f>
        <v>+0.00%</v>
      </c>
      <c r="R3869" s="18" t="str">
        <f t="shared" si="2303"/>
        <v>+0.00%</v>
      </c>
      <c r="S3869" s="14" t="s">
        <v>285</v>
      </c>
    </row>
    <row r="3870">
      <c r="A3870" s="13">
        <v>45901.0</v>
      </c>
      <c r="B3870" s="14" t="s">
        <v>47</v>
      </c>
      <c r="C3870" s="14" t="s">
        <v>48</v>
      </c>
      <c r="D3870" s="14" t="s">
        <v>87</v>
      </c>
      <c r="E3870" s="14" t="s">
        <v>88</v>
      </c>
      <c r="F3870" s="15" t="s">
        <v>51</v>
      </c>
      <c r="G3870" s="14" t="s">
        <v>89</v>
      </c>
      <c r="H3870" s="14" t="s">
        <v>90</v>
      </c>
      <c r="I3870" s="14" t="s">
        <v>59</v>
      </c>
      <c r="J3870" s="14" t="s">
        <v>198</v>
      </c>
      <c r="K3870" s="14" t="s">
        <v>210</v>
      </c>
      <c r="L3870" s="14" t="s">
        <v>278</v>
      </c>
      <c r="M3870" s="14" t="s">
        <v>839</v>
      </c>
      <c r="N3870" s="14" t="s">
        <v>840</v>
      </c>
      <c r="O3870" s="14">
        <v>40.0</v>
      </c>
      <c r="P3870" s="21">
        <v>1482.0</v>
      </c>
      <c r="Q3870" s="22" t="str">
        <f>"-311"</f>
        <v>-311</v>
      </c>
      <c r="R3870" s="18" t="str">
        <f>"-2,890"</f>
        <v>-2,890</v>
      </c>
      <c r="S3870" s="14" t="s">
        <v>2152</v>
      </c>
    </row>
    <row r="3871">
      <c r="A3871" s="13">
        <v>45901.0</v>
      </c>
      <c r="B3871" s="14" t="s">
        <v>47</v>
      </c>
      <c r="C3871" s="14" t="s">
        <v>48</v>
      </c>
      <c r="D3871" s="14" t="s">
        <v>171</v>
      </c>
      <c r="E3871" s="14" t="s">
        <v>172</v>
      </c>
      <c r="F3871" s="15" t="s">
        <v>51</v>
      </c>
      <c r="G3871" s="14" t="s">
        <v>173</v>
      </c>
      <c r="H3871" s="14" t="s">
        <v>171</v>
      </c>
      <c r="I3871" s="14" t="s">
        <v>59</v>
      </c>
      <c r="J3871" s="14" t="s">
        <v>199</v>
      </c>
      <c r="K3871" s="14" t="s">
        <v>203</v>
      </c>
      <c r="L3871" s="14" t="s">
        <v>601</v>
      </c>
      <c r="M3871" s="14" t="s">
        <v>601</v>
      </c>
      <c r="N3871" s="14" t="s">
        <v>602</v>
      </c>
      <c r="O3871" s="14">
        <v>0.0</v>
      </c>
      <c r="P3871" s="21">
        <v>0.0</v>
      </c>
      <c r="Q3871" s="22" t="str">
        <f t="shared" ref="Q3871:R3871" si="2304">"+0"</f>
        <v>+0</v>
      </c>
      <c r="R3871" s="18" t="str">
        <f t="shared" si="2304"/>
        <v>+0</v>
      </c>
      <c r="S3871" s="14" t="s">
        <v>260</v>
      </c>
    </row>
    <row r="3872">
      <c r="A3872" s="13">
        <v>45901.0</v>
      </c>
      <c r="B3872" s="14" t="s">
        <v>47</v>
      </c>
      <c r="C3872" s="14" t="s">
        <v>48</v>
      </c>
      <c r="D3872" s="14" t="s">
        <v>96</v>
      </c>
      <c r="E3872" s="14" t="s">
        <v>97</v>
      </c>
      <c r="F3872" s="15" t="s">
        <v>51</v>
      </c>
      <c r="G3872" s="14" t="s">
        <v>98</v>
      </c>
      <c r="H3872" s="14" t="s">
        <v>96</v>
      </c>
      <c r="I3872" s="14" t="s">
        <v>59</v>
      </c>
      <c r="J3872" s="14" t="s">
        <v>200</v>
      </c>
      <c r="K3872" s="14" t="s">
        <v>223</v>
      </c>
      <c r="L3872" s="14" t="s">
        <v>422</v>
      </c>
      <c r="M3872" s="14" t="s">
        <v>1197</v>
      </c>
      <c r="N3872" s="14" t="s">
        <v>1198</v>
      </c>
      <c r="O3872" s="14">
        <v>100.0</v>
      </c>
      <c r="P3872" s="23">
        <v>0.0909</v>
      </c>
      <c r="Q3872" s="22" t="str">
        <f>"+9.09%"</f>
        <v>+9.09%</v>
      </c>
      <c r="R3872" s="18" t="str">
        <f>"+2.84%"</f>
        <v>+2.84%</v>
      </c>
      <c r="S3872" s="14" t="s">
        <v>285</v>
      </c>
    </row>
    <row r="3873">
      <c r="A3873" s="13">
        <v>45901.0</v>
      </c>
      <c r="B3873" s="14" t="s">
        <v>47</v>
      </c>
      <c r="C3873" s="14" t="s">
        <v>48</v>
      </c>
      <c r="D3873" s="14" t="s">
        <v>96</v>
      </c>
      <c r="E3873" s="14" t="s">
        <v>97</v>
      </c>
      <c r="F3873" s="15" t="s">
        <v>51</v>
      </c>
      <c r="G3873" s="14" t="s">
        <v>98</v>
      </c>
      <c r="H3873" s="14" t="s">
        <v>96</v>
      </c>
      <c r="I3873" s="14" t="s">
        <v>59</v>
      </c>
      <c r="J3873" s="14" t="s">
        <v>200</v>
      </c>
      <c r="K3873" s="14" t="s">
        <v>223</v>
      </c>
      <c r="L3873" s="14" t="s">
        <v>363</v>
      </c>
      <c r="M3873" s="14" t="s">
        <v>1043</v>
      </c>
      <c r="N3873" s="14" t="s">
        <v>1044</v>
      </c>
      <c r="O3873" s="14">
        <v>0.0</v>
      </c>
      <c r="P3873" s="23">
        <v>0.0</v>
      </c>
      <c r="Q3873" s="22" t="str">
        <f t="shared" ref="Q3873:R3873" si="2305">"+0.00%"</f>
        <v>+0.00%</v>
      </c>
      <c r="R3873" s="18" t="str">
        <f t="shared" si="2305"/>
        <v>+0.00%</v>
      </c>
      <c r="S3873" s="14" t="s">
        <v>285</v>
      </c>
    </row>
    <row r="3874">
      <c r="A3874" s="13">
        <v>45901.0</v>
      </c>
      <c r="B3874" s="14" t="s">
        <v>47</v>
      </c>
      <c r="C3874" s="14" t="s">
        <v>48</v>
      </c>
      <c r="D3874" s="14" t="s">
        <v>85</v>
      </c>
      <c r="E3874" s="14" t="s">
        <v>86</v>
      </c>
      <c r="F3874" s="15" t="s">
        <v>51</v>
      </c>
      <c r="G3874" s="14" t="s">
        <v>148</v>
      </c>
      <c r="H3874" s="14" t="s">
        <v>85</v>
      </c>
      <c r="I3874" s="14" t="s">
        <v>59</v>
      </c>
      <c r="J3874" s="14" t="s">
        <v>198</v>
      </c>
      <c r="K3874" s="14" t="s">
        <v>205</v>
      </c>
      <c r="L3874" s="14" t="s">
        <v>274</v>
      </c>
      <c r="M3874" s="14" t="s">
        <v>466</v>
      </c>
      <c r="N3874" s="14" t="s">
        <v>467</v>
      </c>
      <c r="O3874" s="14">
        <v>100.0</v>
      </c>
      <c r="P3874" s="21">
        <v>1.0</v>
      </c>
      <c r="Q3874" s="22" t="str">
        <f t="shared" ref="Q3874:Q3875" si="2306">"+0"</f>
        <v>+0</v>
      </c>
      <c r="S3874" s="14" t="s">
        <v>281</v>
      </c>
    </row>
    <row r="3875">
      <c r="A3875" s="13">
        <v>45901.0</v>
      </c>
      <c r="B3875" s="14" t="s">
        <v>47</v>
      </c>
      <c r="C3875" s="14" t="s">
        <v>48</v>
      </c>
      <c r="D3875" s="14" t="s">
        <v>69</v>
      </c>
      <c r="E3875" s="14" t="s">
        <v>70</v>
      </c>
      <c r="F3875" s="15" t="s">
        <v>51</v>
      </c>
      <c r="G3875" s="14" t="s">
        <v>115</v>
      </c>
      <c r="H3875" s="14" t="s">
        <v>72</v>
      </c>
      <c r="I3875" s="14" t="s">
        <v>54</v>
      </c>
      <c r="J3875" s="14" t="s">
        <v>198</v>
      </c>
      <c r="K3875" s="14" t="s">
        <v>210</v>
      </c>
      <c r="L3875" s="14" t="s">
        <v>505</v>
      </c>
      <c r="M3875" s="14" t="s">
        <v>1111</v>
      </c>
      <c r="N3875" s="14" t="s">
        <v>1112</v>
      </c>
      <c r="O3875" s="14">
        <v>0.0</v>
      </c>
      <c r="P3875" s="21">
        <v>0.0</v>
      </c>
      <c r="Q3875" s="22" t="str">
        <f t="shared" si="2306"/>
        <v>+0</v>
      </c>
      <c r="R3875" s="18" t="str">
        <f>"+0"</f>
        <v>+0</v>
      </c>
      <c r="S3875" s="14" t="s">
        <v>277</v>
      </c>
    </row>
    <row r="3876">
      <c r="A3876" s="13">
        <v>45901.0</v>
      </c>
      <c r="B3876" s="14" t="s">
        <v>47</v>
      </c>
      <c r="C3876" s="14" t="s">
        <v>48</v>
      </c>
      <c r="D3876" s="14" t="s">
        <v>77</v>
      </c>
      <c r="E3876" s="14" t="s">
        <v>78</v>
      </c>
      <c r="F3876" s="14" t="s">
        <v>79</v>
      </c>
      <c r="G3876" s="14" t="s">
        <v>80</v>
      </c>
      <c r="H3876" s="14" t="s">
        <v>81</v>
      </c>
      <c r="J3876" s="14" t="s">
        <v>200</v>
      </c>
      <c r="K3876" s="14" t="s">
        <v>238</v>
      </c>
      <c r="L3876" s="14" t="s">
        <v>333</v>
      </c>
      <c r="M3876" s="14" t="s">
        <v>2153</v>
      </c>
      <c r="N3876" s="14" t="s">
        <v>2154</v>
      </c>
      <c r="O3876" s="14">
        <v>50.0</v>
      </c>
      <c r="P3876" s="23">
        <v>0.0</v>
      </c>
      <c r="Q3876" s="22" t="str">
        <f>"+0.00%"</f>
        <v>+0.00%</v>
      </c>
      <c r="R3876" s="18" t="str">
        <f>"+100.00%"</f>
        <v>+100.00%</v>
      </c>
      <c r="S3876" s="14" t="s">
        <v>336</v>
      </c>
    </row>
    <row r="3877">
      <c r="A3877" s="13">
        <v>45901.0</v>
      </c>
      <c r="B3877" s="14" t="s">
        <v>47</v>
      </c>
      <c r="C3877" s="14" t="s">
        <v>48</v>
      </c>
      <c r="D3877" s="14" t="s">
        <v>108</v>
      </c>
      <c r="E3877" s="14" t="s">
        <v>109</v>
      </c>
      <c r="F3877" s="14" t="s">
        <v>79</v>
      </c>
      <c r="G3877" s="14" t="s">
        <v>153</v>
      </c>
      <c r="H3877" s="14" t="s">
        <v>108</v>
      </c>
      <c r="I3877" s="14" t="s">
        <v>154</v>
      </c>
      <c r="J3877" s="14" t="s">
        <v>198</v>
      </c>
      <c r="K3877" s="14" t="s">
        <v>210</v>
      </c>
      <c r="L3877" s="14" t="s">
        <v>458</v>
      </c>
      <c r="M3877" s="14" t="s">
        <v>1837</v>
      </c>
      <c r="N3877" s="14" t="s">
        <v>1838</v>
      </c>
      <c r="O3877" s="14">
        <v>0.0</v>
      </c>
      <c r="P3877" s="21">
        <v>1.0</v>
      </c>
      <c r="Q3877" s="22" t="str">
        <f>"+0"</f>
        <v>+0</v>
      </c>
      <c r="S3877" s="14" t="s">
        <v>277</v>
      </c>
    </row>
    <row r="3878">
      <c r="A3878" s="13">
        <v>45901.0</v>
      </c>
      <c r="B3878" s="14" t="s">
        <v>47</v>
      </c>
      <c r="C3878" s="14" t="s">
        <v>48</v>
      </c>
      <c r="D3878" s="14" t="s">
        <v>116</v>
      </c>
      <c r="E3878" s="14" t="s">
        <v>117</v>
      </c>
      <c r="F3878" s="15" t="s">
        <v>51</v>
      </c>
      <c r="G3878" s="14" t="s">
        <v>161</v>
      </c>
      <c r="H3878" s="14" t="s">
        <v>116</v>
      </c>
      <c r="I3878" s="14" t="s">
        <v>54</v>
      </c>
      <c r="J3878" s="14" t="s">
        <v>200</v>
      </c>
      <c r="K3878" s="14" t="s">
        <v>201</v>
      </c>
      <c r="L3878" s="14" t="s">
        <v>253</v>
      </c>
      <c r="M3878" s="14" t="s">
        <v>409</v>
      </c>
      <c r="N3878" s="14" t="s">
        <v>410</v>
      </c>
      <c r="O3878" s="14">
        <v>1.0</v>
      </c>
      <c r="P3878" s="23">
        <v>0.0044</v>
      </c>
      <c r="Q3878" s="22" t="str">
        <f>"-0.10%"</f>
        <v>-0.10%</v>
      </c>
      <c r="R3878" s="18" t="str">
        <f>"-0.50%"</f>
        <v>-0.50%</v>
      </c>
      <c r="S3878" s="14" t="s">
        <v>898</v>
      </c>
    </row>
    <row r="3879">
      <c r="A3879" s="13">
        <v>45901.0</v>
      </c>
      <c r="B3879" s="14" t="s">
        <v>47</v>
      </c>
      <c r="C3879" s="14" t="s">
        <v>48</v>
      </c>
      <c r="D3879" s="14" t="s">
        <v>112</v>
      </c>
      <c r="E3879" s="14" t="s">
        <v>113</v>
      </c>
      <c r="F3879" s="15" t="s">
        <v>51</v>
      </c>
      <c r="G3879" s="14" t="s">
        <v>114</v>
      </c>
      <c r="H3879" s="14" t="s">
        <v>112</v>
      </c>
      <c r="I3879" s="14" t="s">
        <v>59</v>
      </c>
      <c r="J3879" s="14" t="s">
        <v>200</v>
      </c>
      <c r="K3879" s="14" t="s">
        <v>213</v>
      </c>
      <c r="L3879" s="14" t="s">
        <v>571</v>
      </c>
      <c r="M3879" s="14" t="s">
        <v>572</v>
      </c>
      <c r="N3879" s="14" t="s">
        <v>573</v>
      </c>
      <c r="O3879" s="14">
        <v>0.0</v>
      </c>
      <c r="P3879" s="23">
        <v>0.0</v>
      </c>
      <c r="Q3879" s="22" t="str">
        <f t="shared" ref="Q3879:R3879" si="2307">"+0.00%"</f>
        <v>+0.00%</v>
      </c>
      <c r="R3879" s="18" t="str">
        <f t="shared" si="2307"/>
        <v>+0.00%</v>
      </c>
      <c r="S3879" s="14" t="s">
        <v>285</v>
      </c>
    </row>
    <row r="3880">
      <c r="A3880" s="13">
        <v>45901.0</v>
      </c>
      <c r="B3880" s="14" t="s">
        <v>47</v>
      </c>
      <c r="C3880" s="14" t="s">
        <v>48</v>
      </c>
      <c r="D3880" s="14" t="s">
        <v>116</v>
      </c>
      <c r="E3880" s="14" t="s">
        <v>117</v>
      </c>
      <c r="F3880" s="15" t="s">
        <v>51</v>
      </c>
      <c r="G3880" s="14" t="s">
        <v>161</v>
      </c>
      <c r="H3880" s="14" t="s">
        <v>116</v>
      </c>
      <c r="I3880" s="14" t="s">
        <v>54</v>
      </c>
      <c r="J3880" s="14" t="s">
        <v>199</v>
      </c>
      <c r="K3880" s="14" t="s">
        <v>203</v>
      </c>
      <c r="L3880" s="14" t="s">
        <v>340</v>
      </c>
      <c r="M3880" s="14" t="s">
        <v>340</v>
      </c>
      <c r="N3880" s="14" t="s">
        <v>341</v>
      </c>
      <c r="O3880" s="14">
        <v>0.0</v>
      </c>
      <c r="P3880" s="21">
        <v>0.0</v>
      </c>
      <c r="Q3880" s="22" t="str">
        <f t="shared" ref="Q3880:R3880" si="2308">"+0"</f>
        <v>+0</v>
      </c>
      <c r="R3880" s="18" t="str">
        <f t="shared" si="2308"/>
        <v>+0</v>
      </c>
      <c r="S3880" s="14" t="s">
        <v>260</v>
      </c>
    </row>
    <row r="3881">
      <c r="A3881" s="13">
        <v>45901.0</v>
      </c>
      <c r="B3881" s="14" t="s">
        <v>47</v>
      </c>
      <c r="C3881" s="14" t="s">
        <v>48</v>
      </c>
      <c r="D3881" s="14" t="s">
        <v>158</v>
      </c>
      <c r="E3881" s="14" t="s">
        <v>159</v>
      </c>
      <c r="F3881" s="15" t="s">
        <v>51</v>
      </c>
      <c r="G3881" s="14" t="s">
        <v>160</v>
      </c>
      <c r="H3881" s="14" t="s">
        <v>158</v>
      </c>
      <c r="I3881" s="14" t="s">
        <v>54</v>
      </c>
      <c r="J3881" s="14" t="s">
        <v>199</v>
      </c>
      <c r="K3881" s="14" t="s">
        <v>206</v>
      </c>
      <c r="L3881" s="14" t="s">
        <v>295</v>
      </c>
      <c r="M3881" s="14" t="s">
        <v>296</v>
      </c>
      <c r="N3881" s="14" t="s">
        <v>297</v>
      </c>
      <c r="O3881" s="14">
        <v>0.0</v>
      </c>
      <c r="P3881" s="21">
        <v>0.0</v>
      </c>
      <c r="Q3881" s="22" t="str">
        <f t="shared" ref="Q3881:R3881" si="2309">"+0"</f>
        <v>+0</v>
      </c>
      <c r="R3881" s="18" t="str">
        <f t="shared" si="2309"/>
        <v>+0</v>
      </c>
      <c r="S3881" s="14" t="s">
        <v>260</v>
      </c>
    </row>
    <row r="3882">
      <c r="A3882" s="13">
        <v>45901.0</v>
      </c>
      <c r="B3882" s="14" t="s">
        <v>47</v>
      </c>
      <c r="C3882" s="14" t="s">
        <v>48</v>
      </c>
      <c r="D3882" s="14" t="s">
        <v>168</v>
      </c>
      <c r="E3882" s="14" t="s">
        <v>169</v>
      </c>
      <c r="F3882" s="15" t="s">
        <v>51</v>
      </c>
      <c r="G3882" s="14" t="s">
        <v>170</v>
      </c>
      <c r="H3882" s="14" t="s">
        <v>168</v>
      </c>
      <c r="I3882" s="14" t="s">
        <v>59</v>
      </c>
      <c r="J3882" s="14" t="s">
        <v>198</v>
      </c>
      <c r="K3882" s="14" t="s">
        <v>210</v>
      </c>
      <c r="L3882" s="14" t="s">
        <v>264</v>
      </c>
      <c r="M3882" s="14" t="s">
        <v>357</v>
      </c>
      <c r="N3882" s="14" t="s">
        <v>358</v>
      </c>
      <c r="O3882" s="14">
        <v>100.0</v>
      </c>
      <c r="P3882" s="21">
        <v>0.0</v>
      </c>
      <c r="Q3882" s="22" t="str">
        <f t="shared" ref="Q3882:R3882" si="2310">"+0"</f>
        <v>+0</v>
      </c>
      <c r="R3882" s="18" t="str">
        <f t="shared" si="2310"/>
        <v>+0</v>
      </c>
      <c r="S3882" s="14" t="s">
        <v>281</v>
      </c>
    </row>
    <row r="3883">
      <c r="A3883" s="13">
        <v>45901.0</v>
      </c>
      <c r="B3883" s="14" t="s">
        <v>47</v>
      </c>
      <c r="C3883" s="14" t="s">
        <v>48</v>
      </c>
      <c r="D3883" s="14" t="s">
        <v>60</v>
      </c>
      <c r="E3883" s="14" t="s">
        <v>61</v>
      </c>
      <c r="F3883" s="15" t="s">
        <v>51</v>
      </c>
      <c r="G3883" s="14" t="s">
        <v>62</v>
      </c>
      <c r="H3883" s="14" t="s">
        <v>60</v>
      </c>
      <c r="I3883" s="14" t="s">
        <v>59</v>
      </c>
      <c r="J3883" s="14" t="s">
        <v>200</v>
      </c>
      <c r="K3883" s="14" t="s">
        <v>223</v>
      </c>
      <c r="L3883" s="14" t="s">
        <v>307</v>
      </c>
      <c r="M3883" s="14" t="s">
        <v>502</v>
      </c>
      <c r="N3883" s="14" t="s">
        <v>503</v>
      </c>
      <c r="O3883" s="14">
        <v>0.0</v>
      </c>
      <c r="P3883" s="23">
        <v>0.0</v>
      </c>
      <c r="Q3883" s="22" t="str">
        <f t="shared" ref="Q3883:R3883" si="2311">"+0.00%"</f>
        <v>+0.00%</v>
      </c>
      <c r="R3883" s="18" t="str">
        <f t="shared" si="2311"/>
        <v>+0.00%</v>
      </c>
      <c r="S3883" s="14" t="s">
        <v>2155</v>
      </c>
    </row>
    <row r="3884">
      <c r="A3884" s="13">
        <v>45901.0</v>
      </c>
      <c r="B3884" s="14" t="s">
        <v>47</v>
      </c>
      <c r="C3884" s="14" t="s">
        <v>48</v>
      </c>
      <c r="D3884" s="14" t="s">
        <v>155</v>
      </c>
      <c r="E3884" s="14" t="s">
        <v>156</v>
      </c>
      <c r="F3884" s="15" t="s">
        <v>51</v>
      </c>
      <c r="G3884" s="14" t="s">
        <v>157</v>
      </c>
      <c r="H3884" s="14" t="s">
        <v>155</v>
      </c>
      <c r="I3884" s="14" t="s">
        <v>59</v>
      </c>
      <c r="J3884" s="14" t="s">
        <v>200</v>
      </c>
      <c r="K3884" s="14" t="s">
        <v>223</v>
      </c>
      <c r="L3884" s="14" t="s">
        <v>261</v>
      </c>
      <c r="M3884" s="14" t="s">
        <v>414</v>
      </c>
      <c r="N3884" s="14" t="s">
        <v>415</v>
      </c>
      <c r="O3884" s="14">
        <v>0.0</v>
      </c>
      <c r="P3884" s="23">
        <v>-1.0</v>
      </c>
      <c r="Q3884" s="22" t="str">
        <f t="shared" ref="Q3884:R3884" si="2312">"+0.00%"</f>
        <v>+0.00%</v>
      </c>
      <c r="R3884" s="18" t="str">
        <f t="shared" si="2312"/>
        <v>+0.00%</v>
      </c>
      <c r="S3884" s="14" t="s">
        <v>1636</v>
      </c>
    </row>
    <row r="3885">
      <c r="A3885" s="13">
        <v>45901.0</v>
      </c>
      <c r="B3885" s="14" t="s">
        <v>47</v>
      </c>
      <c r="C3885" s="14" t="s">
        <v>48</v>
      </c>
      <c r="D3885" s="14" t="s">
        <v>121</v>
      </c>
      <c r="E3885" s="14" t="s">
        <v>122</v>
      </c>
      <c r="F3885" s="15" t="s">
        <v>51</v>
      </c>
      <c r="G3885" s="14" t="s">
        <v>123</v>
      </c>
      <c r="H3885" s="14" t="s">
        <v>124</v>
      </c>
      <c r="I3885" s="14" t="s">
        <v>59</v>
      </c>
      <c r="J3885" s="14" t="s">
        <v>200</v>
      </c>
      <c r="K3885" s="14" t="s">
        <v>232</v>
      </c>
      <c r="L3885" s="14" t="s">
        <v>282</v>
      </c>
      <c r="M3885" s="14" t="s">
        <v>914</v>
      </c>
      <c r="N3885" s="14" t="s">
        <v>915</v>
      </c>
      <c r="O3885" s="14">
        <v>0.0</v>
      </c>
      <c r="P3885" s="21">
        <v>0.0</v>
      </c>
      <c r="Q3885" s="22" t="str">
        <f t="shared" ref="Q3885:R3885" si="2313">"+0"</f>
        <v>+0</v>
      </c>
      <c r="R3885" s="18" t="str">
        <f t="shared" si="2313"/>
        <v>+0</v>
      </c>
      <c r="S3885" s="14" t="s">
        <v>260</v>
      </c>
    </row>
    <row r="3886">
      <c r="A3886" s="13">
        <v>45901.0</v>
      </c>
      <c r="B3886" s="14" t="s">
        <v>47</v>
      </c>
      <c r="C3886" s="14" t="s">
        <v>48</v>
      </c>
      <c r="D3886" s="14" t="s">
        <v>140</v>
      </c>
      <c r="E3886" s="14" t="s">
        <v>141</v>
      </c>
      <c r="F3886" s="15" t="s">
        <v>51</v>
      </c>
      <c r="G3886" s="14" t="s">
        <v>142</v>
      </c>
      <c r="H3886" s="14" t="s">
        <v>140</v>
      </c>
      <c r="I3886" s="14" t="s">
        <v>59</v>
      </c>
      <c r="J3886" s="14" t="s">
        <v>198</v>
      </c>
      <c r="K3886" s="14" t="s">
        <v>212</v>
      </c>
      <c r="L3886" s="14" t="s">
        <v>249</v>
      </c>
      <c r="M3886" s="14" t="s">
        <v>250</v>
      </c>
      <c r="N3886" s="14" t="s">
        <v>251</v>
      </c>
      <c r="O3886" s="14">
        <v>0.0</v>
      </c>
      <c r="P3886" s="21">
        <v>26401.0</v>
      </c>
      <c r="Q3886" s="22" t="str">
        <f>"+5,455"</f>
        <v>+5,455</v>
      </c>
      <c r="R3886" s="18" t="str">
        <f>"-18,113"</f>
        <v>-18,113</v>
      </c>
      <c r="S3886" s="14" t="s">
        <v>2156</v>
      </c>
    </row>
    <row r="3887">
      <c r="A3887" s="13">
        <v>45901.0</v>
      </c>
      <c r="B3887" s="14" t="s">
        <v>47</v>
      </c>
      <c r="C3887" s="14" t="s">
        <v>48</v>
      </c>
      <c r="D3887" s="14" t="s">
        <v>56</v>
      </c>
      <c r="E3887" s="14" t="s">
        <v>57</v>
      </c>
      <c r="F3887" s="15" t="s">
        <v>51</v>
      </c>
      <c r="G3887" s="14" t="s">
        <v>58</v>
      </c>
      <c r="H3887" s="14" t="s">
        <v>56</v>
      </c>
      <c r="I3887" s="14" t="s">
        <v>59</v>
      </c>
      <c r="J3887" s="14" t="s">
        <v>200</v>
      </c>
      <c r="K3887" s="14" t="s">
        <v>227</v>
      </c>
      <c r="L3887" s="14" t="s">
        <v>721</v>
      </c>
      <c r="M3887" s="14" t="s">
        <v>1060</v>
      </c>
      <c r="N3887" s="14" t="s">
        <v>1061</v>
      </c>
      <c r="O3887" s="14">
        <v>72.0</v>
      </c>
      <c r="P3887" s="23">
        <v>0.452</v>
      </c>
      <c r="Q3887" s="22" t="str">
        <f>"+34.08%"</f>
        <v>+34.08%</v>
      </c>
      <c r="R3887" s="18" t="str">
        <f>"-44.28%"</f>
        <v>-44.28%</v>
      </c>
      <c r="S3887" s="14" t="s">
        <v>1062</v>
      </c>
    </row>
    <row r="3888">
      <c r="A3888" s="13">
        <v>45901.0</v>
      </c>
      <c r="B3888" s="14" t="s">
        <v>47</v>
      </c>
      <c r="C3888" s="14" t="s">
        <v>48</v>
      </c>
      <c r="D3888" s="14" t="s">
        <v>49</v>
      </c>
      <c r="E3888" s="14" t="s">
        <v>50</v>
      </c>
      <c r="F3888" s="15" t="s">
        <v>51</v>
      </c>
      <c r="G3888" s="14" t="s">
        <v>52</v>
      </c>
      <c r="H3888" s="14" t="s">
        <v>53</v>
      </c>
      <c r="I3888" s="14" t="s">
        <v>54</v>
      </c>
      <c r="J3888" s="14" t="s">
        <v>200</v>
      </c>
      <c r="K3888" s="14" t="s">
        <v>213</v>
      </c>
      <c r="L3888" s="14" t="s">
        <v>307</v>
      </c>
      <c r="M3888" s="14" t="s">
        <v>308</v>
      </c>
      <c r="N3888" s="14" t="s">
        <v>309</v>
      </c>
      <c r="O3888" s="14">
        <v>0.0</v>
      </c>
      <c r="P3888" s="23">
        <v>0.0</v>
      </c>
      <c r="Q3888" s="22" t="str">
        <f t="shared" ref="Q3888:R3888" si="2314">"+0.00%"</f>
        <v>+0.00%</v>
      </c>
      <c r="R3888" s="18" t="str">
        <f t="shared" si="2314"/>
        <v>+0.00%</v>
      </c>
      <c r="S3888" s="14" t="s">
        <v>285</v>
      </c>
    </row>
    <row r="3889">
      <c r="A3889" s="13">
        <v>45901.0</v>
      </c>
      <c r="B3889" s="14" t="s">
        <v>47</v>
      </c>
      <c r="C3889" s="14" t="s">
        <v>48</v>
      </c>
      <c r="D3889" s="14" t="s">
        <v>49</v>
      </c>
      <c r="E3889" s="14" t="s">
        <v>50</v>
      </c>
      <c r="F3889" s="15" t="s">
        <v>51</v>
      </c>
      <c r="G3889" s="14" t="s">
        <v>52</v>
      </c>
      <c r="H3889" s="14" t="s">
        <v>53</v>
      </c>
      <c r="I3889" s="14" t="s">
        <v>54</v>
      </c>
      <c r="J3889" s="14" t="s">
        <v>198</v>
      </c>
      <c r="K3889" s="14" t="s">
        <v>210</v>
      </c>
      <c r="L3889" s="14" t="s">
        <v>264</v>
      </c>
      <c r="M3889" s="14" t="s">
        <v>834</v>
      </c>
      <c r="N3889" s="14" t="s">
        <v>835</v>
      </c>
      <c r="O3889" s="14">
        <v>0.0</v>
      </c>
      <c r="P3889" s="21">
        <v>0.0</v>
      </c>
      <c r="Q3889" s="22" t="str">
        <f t="shared" ref="Q3889:R3889" si="2315">"+0"</f>
        <v>+0</v>
      </c>
      <c r="R3889" s="18" t="str">
        <f t="shared" si="2315"/>
        <v>+0</v>
      </c>
      <c r="S3889" s="14" t="s">
        <v>277</v>
      </c>
    </row>
    <row r="3890">
      <c r="A3890" s="13">
        <v>45901.0</v>
      </c>
      <c r="B3890" s="14" t="s">
        <v>47</v>
      </c>
      <c r="C3890" s="14" t="s">
        <v>48</v>
      </c>
      <c r="D3890" s="14" t="s">
        <v>49</v>
      </c>
      <c r="E3890" s="14" t="s">
        <v>50</v>
      </c>
      <c r="F3890" s="15" t="s">
        <v>51</v>
      </c>
      <c r="G3890" s="14" t="s">
        <v>52</v>
      </c>
      <c r="H3890" s="14" t="s">
        <v>53</v>
      </c>
      <c r="I3890" s="14" t="s">
        <v>54</v>
      </c>
      <c r="J3890" s="14" t="s">
        <v>199</v>
      </c>
      <c r="K3890" s="14" t="s">
        <v>203</v>
      </c>
      <c r="L3890" s="14" t="s">
        <v>1088</v>
      </c>
      <c r="M3890" s="14" t="s">
        <v>1089</v>
      </c>
      <c r="N3890" s="14" t="s">
        <v>1090</v>
      </c>
      <c r="O3890" s="14">
        <v>100.0</v>
      </c>
      <c r="P3890" s="21">
        <v>1.0</v>
      </c>
      <c r="Q3890" s="22" t="str">
        <f t="shared" ref="Q3890:R3890" si="2316">"-1"</f>
        <v>-1</v>
      </c>
      <c r="R3890" s="18" t="str">
        <f t="shared" si="2316"/>
        <v>-1</v>
      </c>
      <c r="S3890" s="14" t="s">
        <v>260</v>
      </c>
    </row>
    <row r="3891">
      <c r="A3891" s="13">
        <v>45901.0</v>
      </c>
      <c r="B3891" s="14" t="s">
        <v>47</v>
      </c>
      <c r="C3891" s="14" t="s">
        <v>48</v>
      </c>
      <c r="D3891" s="14" t="s">
        <v>91</v>
      </c>
      <c r="E3891" s="14" t="s">
        <v>92</v>
      </c>
      <c r="F3891" s="15" t="s">
        <v>51</v>
      </c>
      <c r="G3891" s="14" t="s">
        <v>163</v>
      </c>
      <c r="H3891" s="14" t="s">
        <v>91</v>
      </c>
      <c r="I3891" s="14" t="s">
        <v>59</v>
      </c>
      <c r="J3891" s="14" t="s">
        <v>198</v>
      </c>
      <c r="K3891" s="14" t="s">
        <v>205</v>
      </c>
      <c r="L3891" s="14" t="s">
        <v>274</v>
      </c>
      <c r="M3891" s="14" t="s">
        <v>575</v>
      </c>
      <c r="N3891" s="14" t="s">
        <v>576</v>
      </c>
      <c r="O3891" s="14">
        <v>100.0</v>
      </c>
      <c r="P3891" s="21">
        <v>60.0</v>
      </c>
      <c r="Q3891" s="22" t="str">
        <f t="shared" ref="Q3891:Q3893" si="2317">"+0"</f>
        <v>+0</v>
      </c>
      <c r="S3891" s="14" t="s">
        <v>577</v>
      </c>
    </row>
    <row r="3892">
      <c r="A3892" s="13">
        <v>45901.0</v>
      </c>
      <c r="B3892" s="14" t="s">
        <v>47</v>
      </c>
      <c r="C3892" s="14" t="s">
        <v>48</v>
      </c>
      <c r="D3892" s="14" t="s">
        <v>91</v>
      </c>
      <c r="E3892" s="14" t="s">
        <v>92</v>
      </c>
      <c r="F3892" s="15" t="s">
        <v>51</v>
      </c>
      <c r="G3892" s="14" t="s">
        <v>163</v>
      </c>
      <c r="H3892" s="14" t="s">
        <v>91</v>
      </c>
      <c r="I3892" s="14" t="s">
        <v>59</v>
      </c>
      <c r="J3892" s="14" t="s">
        <v>199</v>
      </c>
      <c r="K3892" s="14" t="s">
        <v>208</v>
      </c>
      <c r="L3892" s="14" t="s">
        <v>412</v>
      </c>
      <c r="M3892" s="14" t="s">
        <v>412</v>
      </c>
      <c r="N3892" s="14" t="s">
        <v>413</v>
      </c>
      <c r="O3892" s="14">
        <v>100.0</v>
      </c>
      <c r="P3892" s="21">
        <v>13.0</v>
      </c>
      <c r="Q3892" s="22" t="str">
        <f t="shared" si="2317"/>
        <v>+0</v>
      </c>
      <c r="R3892" s="18" t="str">
        <f>"+1"</f>
        <v>+1</v>
      </c>
      <c r="S3892" s="14" t="s">
        <v>260</v>
      </c>
    </row>
    <row r="3893">
      <c r="A3893" s="13">
        <v>45901.0</v>
      </c>
      <c r="B3893" s="14" t="s">
        <v>47</v>
      </c>
      <c r="C3893" s="14" t="s">
        <v>48</v>
      </c>
      <c r="D3893" s="14" t="s">
        <v>91</v>
      </c>
      <c r="E3893" s="14" t="s">
        <v>92</v>
      </c>
      <c r="F3893" s="14" t="s">
        <v>71</v>
      </c>
      <c r="G3893" s="14">
        <v>5.00008612E8</v>
      </c>
      <c r="H3893" s="14" t="s">
        <v>91</v>
      </c>
      <c r="I3893" s="14" t="s">
        <v>59</v>
      </c>
      <c r="J3893" s="14" t="s">
        <v>199</v>
      </c>
      <c r="K3893" s="14" t="s">
        <v>203</v>
      </c>
      <c r="L3893" s="14" t="s">
        <v>431</v>
      </c>
      <c r="M3893" s="14" t="s">
        <v>431</v>
      </c>
      <c r="N3893" s="14" t="s">
        <v>432</v>
      </c>
      <c r="O3893" s="14">
        <v>0.0</v>
      </c>
      <c r="P3893" s="21">
        <v>0.0</v>
      </c>
      <c r="Q3893" s="22" t="str">
        <f t="shared" si="2317"/>
        <v>+0</v>
      </c>
      <c r="R3893" s="18" t="str">
        <f>"+0"</f>
        <v>+0</v>
      </c>
      <c r="S3893" s="14" t="s">
        <v>260</v>
      </c>
    </row>
    <row r="3894">
      <c r="A3894" s="13">
        <v>45901.0</v>
      </c>
      <c r="B3894" s="14" t="s">
        <v>47</v>
      </c>
      <c r="C3894" s="14" t="s">
        <v>48</v>
      </c>
      <c r="D3894" s="14" t="s">
        <v>91</v>
      </c>
      <c r="E3894" s="14" t="s">
        <v>92</v>
      </c>
      <c r="F3894" s="15" t="s">
        <v>51</v>
      </c>
      <c r="G3894" s="14" t="s">
        <v>163</v>
      </c>
      <c r="H3894" s="14" t="s">
        <v>91</v>
      </c>
      <c r="I3894" s="14" t="s">
        <v>59</v>
      </c>
      <c r="J3894" s="14" t="s">
        <v>200</v>
      </c>
      <c r="K3894" s="14" t="s">
        <v>202</v>
      </c>
      <c r="L3894" s="14" t="s">
        <v>253</v>
      </c>
      <c r="M3894" s="14" t="s">
        <v>347</v>
      </c>
      <c r="N3894" s="14" t="s">
        <v>348</v>
      </c>
      <c r="O3894" s="14">
        <v>19.0</v>
      </c>
      <c r="P3894" s="23">
        <v>0.2</v>
      </c>
      <c r="Q3894" s="22" t="str">
        <f>"+5.00%"</f>
        <v>+5.00%</v>
      </c>
      <c r="R3894" s="18" t="str">
        <f>"+0.00%"</f>
        <v>+0.00%</v>
      </c>
      <c r="S3894" s="14" t="s">
        <v>1887</v>
      </c>
    </row>
    <row r="3895">
      <c r="A3895" s="13">
        <v>45901.0</v>
      </c>
      <c r="B3895" s="14" t="s">
        <v>47</v>
      </c>
      <c r="C3895" s="14" t="s">
        <v>48</v>
      </c>
      <c r="D3895" s="14" t="s">
        <v>91</v>
      </c>
      <c r="E3895" s="14" t="s">
        <v>92</v>
      </c>
      <c r="F3895" s="14" t="s">
        <v>71</v>
      </c>
      <c r="G3895" s="14">
        <v>5.00008612E8</v>
      </c>
      <c r="H3895" s="14" t="s">
        <v>91</v>
      </c>
      <c r="I3895" s="14" t="s">
        <v>59</v>
      </c>
      <c r="J3895" s="14" t="s">
        <v>200</v>
      </c>
      <c r="K3895" s="14" t="s">
        <v>218</v>
      </c>
      <c r="L3895" s="14" t="s">
        <v>253</v>
      </c>
      <c r="M3895" s="14" t="s">
        <v>1202</v>
      </c>
      <c r="N3895" s="14" t="s">
        <v>1203</v>
      </c>
      <c r="O3895" s="14">
        <v>60.0</v>
      </c>
      <c r="P3895" s="23">
        <v>0.6098</v>
      </c>
      <c r="Q3895" s="22" t="str">
        <f>"-0.48%"</f>
        <v>-0.48%</v>
      </c>
      <c r="R3895" s="18" t="str">
        <f>"+1.33%"</f>
        <v>+1.33%</v>
      </c>
      <c r="S3895" s="14" t="s">
        <v>2157</v>
      </c>
    </row>
    <row r="3896">
      <c r="A3896" s="13">
        <v>45901.0</v>
      </c>
      <c r="B3896" s="14" t="s">
        <v>47</v>
      </c>
      <c r="C3896" s="14" t="s">
        <v>48</v>
      </c>
      <c r="D3896" s="14" t="s">
        <v>91</v>
      </c>
      <c r="E3896" s="14" t="s">
        <v>92</v>
      </c>
      <c r="F3896" s="14" t="s">
        <v>71</v>
      </c>
      <c r="G3896" s="14">
        <v>7295600.0</v>
      </c>
      <c r="H3896" s="14" t="s">
        <v>91</v>
      </c>
      <c r="I3896" s="14" t="s">
        <v>54</v>
      </c>
      <c r="J3896" s="14" t="s">
        <v>200</v>
      </c>
      <c r="K3896" s="14" t="s">
        <v>218</v>
      </c>
      <c r="L3896" s="14" t="s">
        <v>253</v>
      </c>
      <c r="M3896" s="14" t="s">
        <v>1202</v>
      </c>
      <c r="N3896" s="14" t="s">
        <v>1203</v>
      </c>
      <c r="O3896" s="14">
        <v>100.0</v>
      </c>
      <c r="P3896" s="23">
        <v>1.0</v>
      </c>
      <c r="Q3896" s="22" t="str">
        <f t="shared" ref="Q3896:R3896" si="2318">"+0.00%"</f>
        <v>+0.00%</v>
      </c>
      <c r="R3896" s="18" t="str">
        <f t="shared" si="2318"/>
        <v>+0.00%</v>
      </c>
      <c r="S3896" s="14" t="s">
        <v>1686</v>
      </c>
    </row>
    <row r="3897">
      <c r="A3897" s="13">
        <v>45901.0</v>
      </c>
      <c r="B3897" s="14" t="s">
        <v>47</v>
      </c>
      <c r="C3897" s="14" t="s">
        <v>48</v>
      </c>
      <c r="D3897" s="14" t="s">
        <v>87</v>
      </c>
      <c r="E3897" s="14" t="s">
        <v>88</v>
      </c>
      <c r="F3897" s="15" t="s">
        <v>51</v>
      </c>
      <c r="G3897" s="14" t="s">
        <v>89</v>
      </c>
      <c r="H3897" s="14" t="s">
        <v>90</v>
      </c>
      <c r="I3897" s="14" t="s">
        <v>59</v>
      </c>
      <c r="J3897" s="14" t="s">
        <v>200</v>
      </c>
      <c r="K3897" s="14" t="s">
        <v>246</v>
      </c>
      <c r="L3897" s="14" t="s">
        <v>253</v>
      </c>
      <c r="M3897" s="14" t="s">
        <v>2158</v>
      </c>
      <c r="N3897" s="14" t="s">
        <v>2159</v>
      </c>
      <c r="O3897" s="14">
        <v>0.0</v>
      </c>
      <c r="P3897" s="23">
        <v>0.0</v>
      </c>
      <c r="Q3897" s="22" t="str">
        <f t="shared" ref="Q3897:R3897" si="2319">"+0.00%"</f>
        <v>+0.00%</v>
      </c>
      <c r="R3897" s="18" t="str">
        <f t="shared" si="2319"/>
        <v>+0.00%</v>
      </c>
      <c r="S3897" s="14" t="s">
        <v>312</v>
      </c>
    </row>
    <row r="3898">
      <c r="A3898" s="13">
        <v>45901.0</v>
      </c>
      <c r="B3898" s="14" t="s">
        <v>47</v>
      </c>
      <c r="C3898" s="14" t="s">
        <v>48</v>
      </c>
      <c r="D3898" s="14" t="s">
        <v>69</v>
      </c>
      <c r="E3898" s="14" t="s">
        <v>70</v>
      </c>
      <c r="F3898" s="15" t="s">
        <v>51</v>
      </c>
      <c r="G3898" s="14" t="s">
        <v>115</v>
      </c>
      <c r="H3898" s="14" t="s">
        <v>72</v>
      </c>
      <c r="I3898" s="14" t="s">
        <v>54</v>
      </c>
      <c r="J3898" s="14" t="s">
        <v>199</v>
      </c>
      <c r="K3898" s="14" t="s">
        <v>206</v>
      </c>
      <c r="L3898" s="14" t="s">
        <v>381</v>
      </c>
      <c r="M3898" s="14" t="s">
        <v>381</v>
      </c>
      <c r="N3898" s="14" t="s">
        <v>382</v>
      </c>
      <c r="O3898" s="14">
        <v>0.0</v>
      </c>
      <c r="P3898" s="21">
        <v>0.0</v>
      </c>
      <c r="Q3898" s="22" t="str">
        <f t="shared" ref="Q3898:R3898" si="2320">"+0"</f>
        <v>+0</v>
      </c>
      <c r="R3898" s="18" t="str">
        <f t="shared" si="2320"/>
        <v>+0</v>
      </c>
      <c r="S3898" s="14" t="s">
        <v>383</v>
      </c>
    </row>
    <row r="3899">
      <c r="A3899" s="13">
        <v>45901.0</v>
      </c>
      <c r="B3899" s="14" t="s">
        <v>47</v>
      </c>
      <c r="C3899" s="14" t="s">
        <v>48</v>
      </c>
      <c r="D3899" s="14" t="s">
        <v>69</v>
      </c>
      <c r="E3899" s="14" t="s">
        <v>70</v>
      </c>
      <c r="F3899" s="15" t="s">
        <v>51</v>
      </c>
      <c r="G3899" s="14" t="s">
        <v>115</v>
      </c>
      <c r="H3899" s="14" t="s">
        <v>72</v>
      </c>
      <c r="I3899" s="14" t="s">
        <v>54</v>
      </c>
      <c r="J3899" s="14" t="s">
        <v>200</v>
      </c>
      <c r="K3899" s="14" t="s">
        <v>204</v>
      </c>
      <c r="L3899" s="14" t="s">
        <v>253</v>
      </c>
      <c r="M3899" s="14" t="s">
        <v>793</v>
      </c>
      <c r="N3899" s="14" t="s">
        <v>794</v>
      </c>
      <c r="O3899" s="14">
        <v>1.0</v>
      </c>
      <c r="P3899" s="23">
        <v>2.0E-4</v>
      </c>
      <c r="Q3899" s="22"/>
      <c r="R3899" s="18" t="str">
        <f>"+0.00%"</f>
        <v>+0.00%</v>
      </c>
      <c r="S3899" s="14" t="s">
        <v>1232</v>
      </c>
    </row>
    <row r="3900">
      <c r="A3900" s="13">
        <v>45901.0</v>
      </c>
      <c r="B3900" s="14" t="s">
        <v>47</v>
      </c>
      <c r="C3900" s="14" t="s">
        <v>48</v>
      </c>
      <c r="D3900" s="14" t="s">
        <v>108</v>
      </c>
      <c r="E3900" s="14" t="s">
        <v>109</v>
      </c>
      <c r="F3900" s="14" t="s">
        <v>79</v>
      </c>
      <c r="G3900" s="14" t="s">
        <v>153</v>
      </c>
      <c r="H3900" s="14" t="s">
        <v>108</v>
      </c>
      <c r="I3900" s="14" t="s">
        <v>154</v>
      </c>
      <c r="J3900" s="14" t="s">
        <v>200</v>
      </c>
      <c r="K3900" s="14" t="s">
        <v>238</v>
      </c>
      <c r="L3900" s="14" t="s">
        <v>253</v>
      </c>
      <c r="M3900" s="14" t="s">
        <v>1623</v>
      </c>
      <c r="N3900" s="14" t="s">
        <v>1624</v>
      </c>
      <c r="O3900" s="14">
        <v>100.0</v>
      </c>
      <c r="P3900" s="23">
        <v>1.0</v>
      </c>
      <c r="Q3900" s="22" t="str">
        <f>"+0.00%"</f>
        <v>+0.00%</v>
      </c>
      <c r="S3900" s="14" t="s">
        <v>2160</v>
      </c>
    </row>
    <row r="3901">
      <c r="A3901" s="13">
        <v>45901.0</v>
      </c>
      <c r="B3901" s="14" t="s">
        <v>47</v>
      </c>
      <c r="C3901" s="14" t="s">
        <v>48</v>
      </c>
      <c r="D3901" s="14" t="s">
        <v>121</v>
      </c>
      <c r="E3901" s="14" t="s">
        <v>122</v>
      </c>
      <c r="F3901" s="15" t="s">
        <v>51</v>
      </c>
      <c r="G3901" s="14" t="s">
        <v>123</v>
      </c>
      <c r="H3901" s="14" t="s">
        <v>124</v>
      </c>
      <c r="I3901" s="14" t="s">
        <v>59</v>
      </c>
      <c r="J3901" s="14" t="s">
        <v>198</v>
      </c>
      <c r="K3901" s="14" t="s">
        <v>210</v>
      </c>
      <c r="L3901" s="14" t="s">
        <v>278</v>
      </c>
      <c r="M3901" s="14" t="s">
        <v>443</v>
      </c>
      <c r="N3901" s="14" t="s">
        <v>444</v>
      </c>
      <c r="O3901" s="14">
        <v>53.0</v>
      </c>
      <c r="P3901" s="21">
        <v>103.0</v>
      </c>
      <c r="Q3901" s="22" t="str">
        <f>"+1"</f>
        <v>+1</v>
      </c>
      <c r="R3901" s="18" t="str">
        <f>"+14"</f>
        <v>+14</v>
      </c>
      <c r="S3901" s="14" t="s">
        <v>267</v>
      </c>
    </row>
    <row r="3902">
      <c r="A3902" s="13">
        <v>45901.0</v>
      </c>
      <c r="B3902" s="14" t="s">
        <v>47</v>
      </c>
      <c r="C3902" s="14" t="s">
        <v>48</v>
      </c>
      <c r="D3902" s="14" t="s">
        <v>60</v>
      </c>
      <c r="E3902" s="14" t="s">
        <v>61</v>
      </c>
      <c r="F3902" s="15" t="s">
        <v>51</v>
      </c>
      <c r="G3902" s="14" t="s">
        <v>62</v>
      </c>
      <c r="H3902" s="14" t="s">
        <v>60</v>
      </c>
      <c r="I3902" s="14" t="s">
        <v>59</v>
      </c>
      <c r="J3902" s="14" t="s">
        <v>200</v>
      </c>
      <c r="K3902" s="14" t="s">
        <v>204</v>
      </c>
      <c r="L3902" s="14" t="s">
        <v>253</v>
      </c>
      <c r="M3902" s="14" t="s">
        <v>844</v>
      </c>
      <c r="N3902" s="14" t="s">
        <v>845</v>
      </c>
      <c r="O3902" s="14">
        <v>0.0</v>
      </c>
      <c r="P3902" s="17"/>
      <c r="Q3902" s="22"/>
      <c r="S3902" s="14" t="s">
        <v>846</v>
      </c>
    </row>
    <row r="3903">
      <c r="A3903" s="13">
        <v>45901.0</v>
      </c>
      <c r="B3903" s="14" t="s">
        <v>47</v>
      </c>
      <c r="C3903" s="14" t="s">
        <v>48</v>
      </c>
      <c r="D3903" s="14" t="s">
        <v>49</v>
      </c>
      <c r="E3903" s="14" t="s">
        <v>50</v>
      </c>
      <c r="F3903" s="15" t="s">
        <v>51</v>
      </c>
      <c r="G3903" s="14" t="s">
        <v>52</v>
      </c>
      <c r="H3903" s="14" t="s">
        <v>53</v>
      </c>
      <c r="I3903" s="14" t="s">
        <v>54</v>
      </c>
      <c r="J3903" s="14" t="s">
        <v>200</v>
      </c>
      <c r="K3903" s="14" t="s">
        <v>224</v>
      </c>
      <c r="L3903" s="14" t="s">
        <v>453</v>
      </c>
      <c r="M3903" s="14" t="s">
        <v>521</v>
      </c>
      <c r="N3903" s="14" t="s">
        <v>522</v>
      </c>
      <c r="O3903" s="14">
        <v>33.0</v>
      </c>
      <c r="P3903" s="23">
        <v>0.3333</v>
      </c>
      <c r="Q3903" s="22" t="str">
        <f>"+33.33%"</f>
        <v>+33.33%</v>
      </c>
      <c r="R3903" s="18" t="str">
        <f>"-23.81%"</f>
        <v>-23.81%</v>
      </c>
      <c r="S3903" s="14" t="s">
        <v>523</v>
      </c>
    </row>
    <row r="3904">
      <c r="A3904" s="13">
        <v>45901.0</v>
      </c>
      <c r="B3904" s="14" t="s">
        <v>47</v>
      </c>
      <c r="C3904" s="14" t="s">
        <v>48</v>
      </c>
      <c r="D3904" s="14" t="s">
        <v>91</v>
      </c>
      <c r="E3904" s="14" t="s">
        <v>92</v>
      </c>
      <c r="F3904" s="14" t="s">
        <v>71</v>
      </c>
      <c r="G3904" s="14">
        <v>7295600.0</v>
      </c>
      <c r="H3904" s="14" t="s">
        <v>91</v>
      </c>
      <c r="I3904" s="14" t="s">
        <v>54</v>
      </c>
      <c r="J3904" s="14" t="s">
        <v>199</v>
      </c>
      <c r="K3904" s="14" t="s">
        <v>203</v>
      </c>
      <c r="L3904" s="14" t="s">
        <v>1183</v>
      </c>
      <c r="M3904" s="14" t="s">
        <v>1184</v>
      </c>
      <c r="N3904" s="14" t="s">
        <v>1185</v>
      </c>
      <c r="O3904" s="14">
        <v>1.0</v>
      </c>
      <c r="P3904" s="23">
        <v>0.0012</v>
      </c>
      <c r="Q3904" s="22" t="str">
        <f t="shared" ref="Q3904:R3904" si="2321">"+0.12%"</f>
        <v>+0.12%</v>
      </c>
      <c r="R3904" s="18" t="str">
        <f t="shared" si="2321"/>
        <v>+0.12%</v>
      </c>
      <c r="S3904" s="14" t="s">
        <v>371</v>
      </c>
    </row>
    <row r="3905">
      <c r="A3905" s="13">
        <v>45901.0</v>
      </c>
      <c r="B3905" s="14" t="s">
        <v>47</v>
      </c>
      <c r="C3905" s="14" t="s">
        <v>48</v>
      </c>
      <c r="D3905" s="14" t="s">
        <v>99</v>
      </c>
      <c r="E3905" s="14" t="s">
        <v>100</v>
      </c>
      <c r="F3905" s="15" t="s">
        <v>51</v>
      </c>
      <c r="G3905" s="14" t="s">
        <v>101</v>
      </c>
      <c r="H3905" s="14" t="s">
        <v>102</v>
      </c>
      <c r="I3905" s="14" t="s">
        <v>54</v>
      </c>
      <c r="J3905" s="14" t="s">
        <v>200</v>
      </c>
      <c r="K3905" s="14" t="s">
        <v>204</v>
      </c>
      <c r="L3905" s="14" t="s">
        <v>253</v>
      </c>
      <c r="M3905" s="14" t="s">
        <v>793</v>
      </c>
      <c r="N3905" s="14" t="s">
        <v>794</v>
      </c>
      <c r="O3905" s="14">
        <v>7.0</v>
      </c>
      <c r="P3905" s="23">
        <v>0.0769</v>
      </c>
      <c r="Q3905" s="22"/>
      <c r="R3905" s="18" t="str">
        <f>"+0.00%"</f>
        <v>+0.00%</v>
      </c>
      <c r="S3905" s="14" t="s">
        <v>2161</v>
      </c>
    </row>
    <row r="3906">
      <c r="A3906" s="13">
        <v>45901.0</v>
      </c>
      <c r="B3906" s="14" t="s">
        <v>47</v>
      </c>
      <c r="C3906" s="14" t="s">
        <v>48</v>
      </c>
      <c r="D3906" s="14" t="s">
        <v>66</v>
      </c>
      <c r="E3906" s="14" t="s">
        <v>67</v>
      </c>
      <c r="F3906" s="15" t="s">
        <v>51</v>
      </c>
      <c r="G3906" s="14" t="s">
        <v>68</v>
      </c>
      <c r="H3906" s="14" t="s">
        <v>66</v>
      </c>
      <c r="I3906" s="14" t="s">
        <v>59</v>
      </c>
      <c r="J3906" s="14" t="s">
        <v>198</v>
      </c>
      <c r="K3906" s="14" t="s">
        <v>210</v>
      </c>
      <c r="L3906" s="14" t="s">
        <v>505</v>
      </c>
      <c r="M3906" s="14" t="s">
        <v>506</v>
      </c>
      <c r="N3906" s="14" t="s">
        <v>507</v>
      </c>
      <c r="O3906" s="14">
        <v>100.0</v>
      </c>
      <c r="P3906" s="21">
        <v>0.0</v>
      </c>
      <c r="Q3906" s="22" t="str">
        <f t="shared" ref="Q3906:R3906" si="2322">"+0"</f>
        <v>+0</v>
      </c>
      <c r="R3906" s="18" t="str">
        <f t="shared" si="2322"/>
        <v>+0</v>
      </c>
      <c r="S3906" s="14" t="s">
        <v>281</v>
      </c>
    </row>
    <row r="3907">
      <c r="A3907" s="13">
        <v>45901.0</v>
      </c>
      <c r="B3907" s="14" t="s">
        <v>47</v>
      </c>
      <c r="C3907" s="14" t="s">
        <v>48</v>
      </c>
      <c r="D3907" s="14" t="s">
        <v>192</v>
      </c>
      <c r="E3907" s="14" t="s">
        <v>193</v>
      </c>
      <c r="F3907" s="15" t="s">
        <v>51</v>
      </c>
      <c r="G3907" s="14" t="s">
        <v>194</v>
      </c>
      <c r="H3907" s="14" t="s">
        <v>192</v>
      </c>
      <c r="I3907" s="14" t="s">
        <v>54</v>
      </c>
      <c r="J3907" s="14" t="s">
        <v>200</v>
      </c>
      <c r="K3907" s="14" t="s">
        <v>223</v>
      </c>
      <c r="L3907" s="14" t="s">
        <v>705</v>
      </c>
      <c r="M3907" s="14" t="s">
        <v>706</v>
      </c>
      <c r="N3907" s="14" t="s">
        <v>707</v>
      </c>
      <c r="O3907" s="14">
        <v>0.0</v>
      </c>
      <c r="P3907" s="21">
        <v>0.0</v>
      </c>
      <c r="Q3907" s="22" t="str">
        <f t="shared" ref="Q3907:R3907" si="2323">"+0"</f>
        <v>+0</v>
      </c>
      <c r="R3907" s="18" t="str">
        <f t="shared" si="2323"/>
        <v>+0</v>
      </c>
      <c r="S3907" s="14" t="s">
        <v>260</v>
      </c>
    </row>
    <row r="3908">
      <c r="A3908" s="13">
        <v>45901.0</v>
      </c>
      <c r="B3908" s="14" t="s">
        <v>47</v>
      </c>
      <c r="C3908" s="14" t="s">
        <v>48</v>
      </c>
      <c r="D3908" s="14" t="s">
        <v>192</v>
      </c>
      <c r="E3908" s="14" t="s">
        <v>193</v>
      </c>
      <c r="F3908" s="15" t="s">
        <v>51</v>
      </c>
      <c r="G3908" s="14" t="s">
        <v>194</v>
      </c>
      <c r="H3908" s="14" t="s">
        <v>192</v>
      </c>
      <c r="I3908" s="14" t="s">
        <v>54</v>
      </c>
      <c r="J3908" s="14" t="s">
        <v>200</v>
      </c>
      <c r="K3908" s="14" t="s">
        <v>223</v>
      </c>
      <c r="L3908" s="14" t="s">
        <v>286</v>
      </c>
      <c r="M3908" s="14" t="s">
        <v>369</v>
      </c>
      <c r="N3908" s="14" t="s">
        <v>370</v>
      </c>
      <c r="O3908" s="14">
        <v>1.0</v>
      </c>
      <c r="P3908" s="23">
        <v>4.0E-4</v>
      </c>
      <c r="Q3908" s="22" t="str">
        <f t="shared" ref="Q3908:R3908" si="2324">"+0.04%"</f>
        <v>+0.04%</v>
      </c>
      <c r="R3908" s="18" t="str">
        <f t="shared" si="2324"/>
        <v>+0.04%</v>
      </c>
      <c r="S3908" s="14" t="s">
        <v>371</v>
      </c>
    </row>
    <row r="3909">
      <c r="A3909" s="13">
        <v>45901.0</v>
      </c>
      <c r="B3909" s="14" t="s">
        <v>47</v>
      </c>
      <c r="C3909" s="14" t="s">
        <v>48</v>
      </c>
      <c r="D3909" s="14" t="s">
        <v>66</v>
      </c>
      <c r="E3909" s="14" t="s">
        <v>67</v>
      </c>
      <c r="F3909" s="15" t="s">
        <v>51</v>
      </c>
      <c r="G3909" s="14" t="s">
        <v>68</v>
      </c>
      <c r="H3909" s="14" t="s">
        <v>66</v>
      </c>
      <c r="I3909" s="14" t="s">
        <v>59</v>
      </c>
      <c r="J3909" s="14" t="s">
        <v>199</v>
      </c>
      <c r="K3909" s="14" t="s">
        <v>203</v>
      </c>
      <c r="L3909" s="14" t="s">
        <v>601</v>
      </c>
      <c r="M3909" s="14" t="s">
        <v>601</v>
      </c>
      <c r="N3909" s="14" t="s">
        <v>602</v>
      </c>
      <c r="O3909" s="14">
        <v>0.0</v>
      </c>
      <c r="P3909" s="21">
        <v>0.0</v>
      </c>
      <c r="Q3909" s="22" t="str">
        <f t="shared" ref="Q3909:R3909" si="2325">"+0"</f>
        <v>+0</v>
      </c>
      <c r="R3909" s="18" t="str">
        <f t="shared" si="2325"/>
        <v>+0</v>
      </c>
      <c r="S3909" s="14" t="s">
        <v>260</v>
      </c>
    </row>
    <row r="3910">
      <c r="A3910" s="13">
        <v>45901.0</v>
      </c>
      <c r="B3910" s="14" t="s">
        <v>47</v>
      </c>
      <c r="C3910" s="14" t="s">
        <v>48</v>
      </c>
      <c r="D3910" s="14" t="s">
        <v>82</v>
      </c>
      <c r="E3910" s="14" t="s">
        <v>83</v>
      </c>
      <c r="F3910" s="15" t="s">
        <v>51</v>
      </c>
      <c r="G3910" s="14" t="s">
        <v>84</v>
      </c>
      <c r="H3910" s="14" t="s">
        <v>82</v>
      </c>
      <c r="I3910" s="14" t="s">
        <v>59</v>
      </c>
      <c r="J3910" s="14" t="s">
        <v>200</v>
      </c>
      <c r="K3910" s="14" t="s">
        <v>213</v>
      </c>
      <c r="L3910" s="14" t="s">
        <v>289</v>
      </c>
      <c r="M3910" s="14" t="s">
        <v>384</v>
      </c>
      <c r="N3910" s="14" t="s">
        <v>385</v>
      </c>
      <c r="O3910" s="14">
        <v>2.0</v>
      </c>
      <c r="P3910" s="23">
        <v>0.027</v>
      </c>
      <c r="Q3910" s="22" t="str">
        <f>"-0.42%"</f>
        <v>-0.42%</v>
      </c>
      <c r="R3910" s="18" t="str">
        <f>"+2.70%"</f>
        <v>+2.70%</v>
      </c>
      <c r="S3910" s="14" t="s">
        <v>2162</v>
      </c>
    </row>
    <row r="3911">
      <c r="A3911" s="13">
        <v>45901.0</v>
      </c>
      <c r="B3911" s="14" t="s">
        <v>47</v>
      </c>
      <c r="C3911" s="14" t="s">
        <v>48</v>
      </c>
      <c r="D3911" s="14" t="s">
        <v>93</v>
      </c>
      <c r="E3911" s="14" t="s">
        <v>94</v>
      </c>
      <c r="F3911" s="15" t="s">
        <v>51</v>
      </c>
      <c r="G3911" s="14" t="s">
        <v>191</v>
      </c>
      <c r="H3911" s="14" t="s">
        <v>95</v>
      </c>
      <c r="I3911" s="14" t="s">
        <v>59</v>
      </c>
      <c r="J3911" s="14" t="s">
        <v>198</v>
      </c>
      <c r="K3911" s="14" t="s">
        <v>210</v>
      </c>
      <c r="L3911" s="14" t="s">
        <v>264</v>
      </c>
      <c r="M3911" s="14" t="s">
        <v>407</v>
      </c>
      <c r="N3911" s="14" t="s">
        <v>408</v>
      </c>
      <c r="O3911" s="14">
        <v>100.0</v>
      </c>
      <c r="P3911" s="21">
        <v>0.0</v>
      </c>
      <c r="Q3911" s="22" t="str">
        <f t="shared" ref="Q3911:R3911" si="2326">"+0"</f>
        <v>+0</v>
      </c>
      <c r="R3911" s="18" t="str">
        <f t="shared" si="2326"/>
        <v>+0</v>
      </c>
      <c r="S3911" s="14" t="s">
        <v>281</v>
      </c>
    </row>
    <row r="3912">
      <c r="A3912" s="13">
        <v>45901.0</v>
      </c>
      <c r="B3912" s="14" t="s">
        <v>47</v>
      </c>
      <c r="C3912" s="14" t="s">
        <v>48</v>
      </c>
      <c r="D3912" s="14" t="s">
        <v>66</v>
      </c>
      <c r="E3912" s="14" t="s">
        <v>67</v>
      </c>
      <c r="F3912" s="15" t="s">
        <v>51</v>
      </c>
      <c r="G3912" s="14" t="s">
        <v>68</v>
      </c>
      <c r="H3912" s="14" t="s">
        <v>66</v>
      </c>
      <c r="I3912" s="14" t="s">
        <v>59</v>
      </c>
      <c r="J3912" s="14" t="s">
        <v>200</v>
      </c>
      <c r="K3912" s="14" t="s">
        <v>223</v>
      </c>
      <c r="L3912" s="14" t="s">
        <v>487</v>
      </c>
      <c r="M3912" s="14" t="s">
        <v>962</v>
      </c>
      <c r="N3912" s="14" t="s">
        <v>963</v>
      </c>
      <c r="O3912" s="14">
        <v>0.0</v>
      </c>
      <c r="P3912" s="23">
        <v>0.0</v>
      </c>
      <c r="Q3912" s="22" t="str">
        <f t="shared" ref="Q3912:R3912" si="2327">"+0.00%"</f>
        <v>+0.00%</v>
      </c>
      <c r="R3912" s="18" t="str">
        <f t="shared" si="2327"/>
        <v>+0.00%</v>
      </c>
      <c r="S3912" s="14" t="s">
        <v>285</v>
      </c>
    </row>
    <row r="3913">
      <c r="A3913" s="13">
        <v>45901.0</v>
      </c>
      <c r="B3913" s="14" t="s">
        <v>47</v>
      </c>
      <c r="C3913" s="14" t="s">
        <v>48</v>
      </c>
      <c r="D3913" s="14" t="s">
        <v>192</v>
      </c>
      <c r="E3913" s="14" t="s">
        <v>193</v>
      </c>
      <c r="F3913" s="15" t="s">
        <v>51</v>
      </c>
      <c r="G3913" s="14" t="s">
        <v>194</v>
      </c>
      <c r="H3913" s="14" t="s">
        <v>192</v>
      </c>
      <c r="I3913" s="14" t="s">
        <v>54</v>
      </c>
      <c r="J3913" s="14" t="s">
        <v>200</v>
      </c>
      <c r="K3913" s="14" t="s">
        <v>222</v>
      </c>
      <c r="L3913" s="14" t="s">
        <v>337</v>
      </c>
      <c r="M3913" s="14" t="s">
        <v>338</v>
      </c>
      <c r="N3913" s="14" t="s">
        <v>339</v>
      </c>
      <c r="O3913" s="14">
        <v>0.0</v>
      </c>
      <c r="P3913" s="21">
        <v>0.0</v>
      </c>
      <c r="Q3913" s="22" t="str">
        <f t="shared" ref="Q3913:R3913" si="2328">"+0"</f>
        <v>+0</v>
      </c>
      <c r="R3913" s="18" t="str">
        <f t="shared" si="2328"/>
        <v>+0</v>
      </c>
      <c r="S3913" s="14" t="s">
        <v>260</v>
      </c>
    </row>
    <row r="3914">
      <c r="A3914" s="13">
        <v>45901.0</v>
      </c>
      <c r="B3914" s="14" t="s">
        <v>47</v>
      </c>
      <c r="C3914" s="14" t="s">
        <v>48</v>
      </c>
      <c r="D3914" s="14" t="s">
        <v>103</v>
      </c>
      <c r="E3914" s="14" t="s">
        <v>104</v>
      </c>
      <c r="F3914" s="15" t="s">
        <v>51</v>
      </c>
      <c r="G3914" s="14" t="s">
        <v>105</v>
      </c>
      <c r="H3914" s="14" t="s">
        <v>106</v>
      </c>
      <c r="I3914" s="14" t="s">
        <v>59</v>
      </c>
      <c r="J3914" s="14" t="s">
        <v>199</v>
      </c>
      <c r="K3914" s="14" t="s">
        <v>206</v>
      </c>
      <c r="L3914" s="14" t="s">
        <v>433</v>
      </c>
      <c r="M3914" s="14" t="s">
        <v>433</v>
      </c>
      <c r="N3914" s="14" t="s">
        <v>434</v>
      </c>
      <c r="O3914" s="14">
        <v>0.0</v>
      </c>
      <c r="P3914" s="21">
        <v>0.0</v>
      </c>
      <c r="Q3914" s="22" t="str">
        <f t="shared" ref="Q3914:R3914" si="2329">"+0"</f>
        <v>+0</v>
      </c>
      <c r="R3914" s="18" t="str">
        <f t="shared" si="2329"/>
        <v>+0</v>
      </c>
      <c r="S3914" s="14" t="s">
        <v>383</v>
      </c>
    </row>
    <row r="3915">
      <c r="A3915" s="13">
        <v>45901.0</v>
      </c>
      <c r="B3915" s="14" t="s">
        <v>47</v>
      </c>
      <c r="C3915" s="14" t="s">
        <v>48</v>
      </c>
      <c r="D3915" s="14" t="s">
        <v>143</v>
      </c>
      <c r="E3915" s="14" t="s">
        <v>144</v>
      </c>
      <c r="F3915" s="15" t="s">
        <v>51</v>
      </c>
      <c r="G3915" s="14" t="s">
        <v>145</v>
      </c>
      <c r="H3915" s="14" t="s">
        <v>143</v>
      </c>
      <c r="I3915" s="14" t="s">
        <v>59</v>
      </c>
      <c r="J3915" s="14" t="s">
        <v>198</v>
      </c>
      <c r="K3915" s="14" t="s">
        <v>205</v>
      </c>
      <c r="L3915" s="14" t="s">
        <v>274</v>
      </c>
      <c r="M3915" s="14" t="s">
        <v>425</v>
      </c>
      <c r="N3915" s="14" t="s">
        <v>426</v>
      </c>
      <c r="O3915" s="14">
        <v>0.0</v>
      </c>
      <c r="P3915" s="21">
        <v>0.0</v>
      </c>
      <c r="Q3915" s="22" t="str">
        <f>"+0"</f>
        <v>+0</v>
      </c>
      <c r="S3915" s="14" t="s">
        <v>281</v>
      </c>
    </row>
    <row r="3916">
      <c r="A3916" s="13">
        <v>45901.0</v>
      </c>
      <c r="B3916" s="14" t="s">
        <v>47</v>
      </c>
      <c r="C3916" s="14" t="s">
        <v>48</v>
      </c>
      <c r="D3916" s="14" t="s">
        <v>129</v>
      </c>
      <c r="E3916" s="14" t="s">
        <v>130</v>
      </c>
      <c r="F3916" s="15" t="s">
        <v>51</v>
      </c>
      <c r="G3916" s="14" t="s">
        <v>131</v>
      </c>
      <c r="H3916" s="14" t="s">
        <v>129</v>
      </c>
      <c r="I3916" s="14" t="s">
        <v>59</v>
      </c>
      <c r="J3916" s="14" t="s">
        <v>200</v>
      </c>
      <c r="K3916" s="14" t="s">
        <v>213</v>
      </c>
      <c r="L3916" s="14" t="s">
        <v>253</v>
      </c>
      <c r="M3916" s="14" t="s">
        <v>366</v>
      </c>
      <c r="N3916" s="14" t="s">
        <v>367</v>
      </c>
      <c r="O3916" s="14">
        <v>50.0</v>
      </c>
      <c r="P3916" s="23">
        <v>0.5048</v>
      </c>
      <c r="Q3916" s="22" t="str">
        <f>"+1.81%"</f>
        <v>+1.81%</v>
      </c>
      <c r="R3916" s="18" t="str">
        <f>"+5.95%"</f>
        <v>+5.95%</v>
      </c>
      <c r="S3916" s="14" t="s">
        <v>2163</v>
      </c>
    </row>
    <row r="3917">
      <c r="A3917" s="13">
        <v>45901.0</v>
      </c>
      <c r="B3917" s="14" t="s">
        <v>47</v>
      </c>
      <c r="C3917" s="14" t="s">
        <v>48</v>
      </c>
      <c r="D3917" s="14" t="s">
        <v>129</v>
      </c>
      <c r="E3917" s="14" t="s">
        <v>130</v>
      </c>
      <c r="F3917" s="15" t="s">
        <v>51</v>
      </c>
      <c r="G3917" s="14" t="s">
        <v>131</v>
      </c>
      <c r="H3917" s="14" t="s">
        <v>129</v>
      </c>
      <c r="I3917" s="14" t="s">
        <v>59</v>
      </c>
      <c r="J3917" s="14" t="s">
        <v>198</v>
      </c>
      <c r="K3917" s="14" t="s">
        <v>205</v>
      </c>
      <c r="L3917" s="14" t="s">
        <v>274</v>
      </c>
      <c r="M3917" s="14" t="s">
        <v>636</v>
      </c>
      <c r="N3917" s="14" t="s">
        <v>637</v>
      </c>
      <c r="O3917" s="14">
        <v>100.0</v>
      </c>
      <c r="P3917" s="21">
        <v>1.0</v>
      </c>
      <c r="Q3917" s="22" t="str">
        <f>"+0"</f>
        <v>+0</v>
      </c>
      <c r="S3917" s="14" t="s">
        <v>281</v>
      </c>
    </row>
    <row r="3918">
      <c r="A3918" s="13">
        <v>45901.0</v>
      </c>
      <c r="B3918" s="14" t="s">
        <v>47</v>
      </c>
      <c r="C3918" s="14" t="s">
        <v>48</v>
      </c>
      <c r="D3918" s="14" t="s">
        <v>96</v>
      </c>
      <c r="E3918" s="14" t="s">
        <v>97</v>
      </c>
      <c r="F3918" s="15" t="s">
        <v>51</v>
      </c>
      <c r="G3918" s="14" t="s">
        <v>98</v>
      </c>
      <c r="H3918" s="14" t="s">
        <v>96</v>
      </c>
      <c r="I3918" s="14" t="s">
        <v>59</v>
      </c>
      <c r="J3918" s="14" t="s">
        <v>200</v>
      </c>
      <c r="K3918" s="14" t="s">
        <v>223</v>
      </c>
      <c r="L3918" s="14" t="s">
        <v>375</v>
      </c>
      <c r="M3918" s="14" t="s">
        <v>902</v>
      </c>
      <c r="N3918" s="14" t="s">
        <v>903</v>
      </c>
      <c r="O3918" s="14">
        <v>0.0</v>
      </c>
      <c r="P3918" s="23">
        <v>0.0</v>
      </c>
      <c r="Q3918" s="22" t="str">
        <f t="shared" ref="Q3918:R3918" si="2330">"+0.00%"</f>
        <v>+0.00%</v>
      </c>
      <c r="R3918" s="18" t="str">
        <f t="shared" si="2330"/>
        <v>+0.00%</v>
      </c>
      <c r="S3918" s="14" t="s">
        <v>285</v>
      </c>
    </row>
    <row r="3919">
      <c r="A3919" s="13">
        <v>45901.0</v>
      </c>
      <c r="B3919" s="14" t="s">
        <v>47</v>
      </c>
      <c r="C3919" s="14" t="s">
        <v>48</v>
      </c>
      <c r="D3919" s="14" t="s">
        <v>85</v>
      </c>
      <c r="E3919" s="14" t="s">
        <v>86</v>
      </c>
      <c r="F3919" s="15" t="s">
        <v>51</v>
      </c>
      <c r="G3919" s="14" t="s">
        <v>148</v>
      </c>
      <c r="H3919" s="14" t="s">
        <v>85</v>
      </c>
      <c r="I3919" s="14" t="s">
        <v>59</v>
      </c>
      <c r="J3919" s="14" t="s">
        <v>200</v>
      </c>
      <c r="K3919" s="14" t="s">
        <v>225</v>
      </c>
      <c r="L3919" s="14" t="s">
        <v>253</v>
      </c>
      <c r="M3919" s="14" t="s">
        <v>2164</v>
      </c>
      <c r="N3919" s="14" t="s">
        <v>367</v>
      </c>
      <c r="O3919" s="14">
        <v>45.0</v>
      </c>
      <c r="P3919" s="23">
        <v>0.4545</v>
      </c>
      <c r="Q3919" s="22" t="str">
        <f>"+9.09%"</f>
        <v>+9.09%</v>
      </c>
      <c r="R3919" s="18" t="str">
        <f>"+0.00%"</f>
        <v>+0.00%</v>
      </c>
      <c r="S3919" s="14" t="s">
        <v>2165</v>
      </c>
    </row>
    <row r="3920">
      <c r="A3920" s="13">
        <v>45901.0</v>
      </c>
      <c r="B3920" s="14" t="s">
        <v>47</v>
      </c>
      <c r="C3920" s="14" t="s">
        <v>48</v>
      </c>
      <c r="D3920" s="14" t="s">
        <v>85</v>
      </c>
      <c r="E3920" s="14" t="s">
        <v>86</v>
      </c>
      <c r="F3920" s="15" t="s">
        <v>51</v>
      </c>
      <c r="G3920" s="14" t="s">
        <v>148</v>
      </c>
      <c r="H3920" s="14" t="s">
        <v>85</v>
      </c>
      <c r="I3920" s="14" t="s">
        <v>59</v>
      </c>
      <c r="J3920" s="14" t="s">
        <v>200</v>
      </c>
      <c r="K3920" s="14" t="s">
        <v>228</v>
      </c>
      <c r="L3920" s="14" t="s">
        <v>253</v>
      </c>
      <c r="M3920" s="14" t="s">
        <v>389</v>
      </c>
      <c r="N3920" s="14" t="s">
        <v>390</v>
      </c>
      <c r="O3920" s="14">
        <v>100.0</v>
      </c>
      <c r="P3920" s="23">
        <v>1.0</v>
      </c>
      <c r="Q3920" s="22" t="str">
        <f t="shared" ref="Q3920:R3920" si="2331">"+0.00%"</f>
        <v>+0.00%</v>
      </c>
      <c r="R3920" s="18" t="str">
        <f t="shared" si="2331"/>
        <v>+0.00%</v>
      </c>
      <c r="S3920" s="14" t="s">
        <v>713</v>
      </c>
    </row>
    <row r="3921">
      <c r="A3921" s="13">
        <v>45901.0</v>
      </c>
      <c r="B3921" s="14" t="s">
        <v>47</v>
      </c>
      <c r="C3921" s="14" t="s">
        <v>48</v>
      </c>
      <c r="D3921" s="14" t="s">
        <v>125</v>
      </c>
      <c r="E3921" s="14" t="s">
        <v>126</v>
      </c>
      <c r="F3921" s="15" t="s">
        <v>51</v>
      </c>
      <c r="G3921" s="14" t="s">
        <v>127</v>
      </c>
      <c r="H3921" s="14" t="s">
        <v>125</v>
      </c>
      <c r="I3921" s="14" t="s">
        <v>59</v>
      </c>
      <c r="J3921" s="14" t="s">
        <v>199</v>
      </c>
      <c r="K3921" s="14" t="s">
        <v>208</v>
      </c>
      <c r="L3921" s="14" t="s">
        <v>412</v>
      </c>
      <c r="M3921" s="14" t="s">
        <v>412</v>
      </c>
      <c r="N3921" s="14" t="s">
        <v>413</v>
      </c>
      <c r="O3921" s="14">
        <v>0.0</v>
      </c>
      <c r="P3921" s="21">
        <v>0.0</v>
      </c>
      <c r="Q3921" s="22" t="str">
        <f t="shared" ref="Q3921:R3921" si="2332">"+0"</f>
        <v>+0</v>
      </c>
      <c r="R3921" s="18" t="str">
        <f t="shared" si="2332"/>
        <v>+0</v>
      </c>
      <c r="S3921" s="14" t="s">
        <v>260</v>
      </c>
    </row>
    <row r="3922">
      <c r="A3922" s="13">
        <v>45901.0</v>
      </c>
      <c r="B3922" s="14" t="s">
        <v>47</v>
      </c>
      <c r="C3922" s="14" t="s">
        <v>48</v>
      </c>
      <c r="D3922" s="14" t="s">
        <v>108</v>
      </c>
      <c r="E3922" s="14" t="s">
        <v>109</v>
      </c>
      <c r="F3922" s="15" t="s">
        <v>51</v>
      </c>
      <c r="G3922" s="14" t="s">
        <v>110</v>
      </c>
      <c r="H3922" s="14" t="s">
        <v>108</v>
      </c>
      <c r="I3922" s="14" t="s">
        <v>59</v>
      </c>
      <c r="J3922" s="14" t="s">
        <v>200</v>
      </c>
      <c r="K3922" s="14" t="s">
        <v>213</v>
      </c>
      <c r="L3922" s="14" t="s">
        <v>289</v>
      </c>
      <c r="M3922" s="14" t="s">
        <v>984</v>
      </c>
      <c r="N3922" s="14" t="s">
        <v>985</v>
      </c>
      <c r="O3922" s="14">
        <v>0.0</v>
      </c>
      <c r="P3922" s="23">
        <v>0.0</v>
      </c>
      <c r="Q3922" s="22" t="str">
        <f>"+0.00%"</f>
        <v>+0.00%</v>
      </c>
      <c r="S3922" s="14" t="s">
        <v>285</v>
      </c>
    </row>
    <row r="3923">
      <c r="A3923" s="13">
        <v>45901.0</v>
      </c>
      <c r="B3923" s="14" t="s">
        <v>47</v>
      </c>
      <c r="C3923" s="14" t="s">
        <v>48</v>
      </c>
      <c r="D3923" s="14" t="s">
        <v>174</v>
      </c>
      <c r="E3923" s="14" t="s">
        <v>175</v>
      </c>
      <c r="F3923" s="15" t="s">
        <v>51</v>
      </c>
      <c r="G3923" s="14" t="s">
        <v>176</v>
      </c>
      <c r="H3923" s="14" t="s">
        <v>174</v>
      </c>
      <c r="I3923" s="14" t="s">
        <v>59</v>
      </c>
      <c r="J3923" s="14" t="s">
        <v>199</v>
      </c>
      <c r="K3923" s="14" t="s">
        <v>206</v>
      </c>
      <c r="L3923" s="14" t="s">
        <v>295</v>
      </c>
      <c r="M3923" s="14" t="s">
        <v>651</v>
      </c>
      <c r="N3923" s="14" t="s">
        <v>652</v>
      </c>
      <c r="O3923" s="14">
        <v>0.0</v>
      </c>
      <c r="P3923" s="21">
        <v>0.0</v>
      </c>
      <c r="Q3923" s="22" t="str">
        <f t="shared" ref="Q3923:R3923" si="2333">"+0"</f>
        <v>+0</v>
      </c>
      <c r="R3923" s="18" t="str">
        <f t="shared" si="2333"/>
        <v>+0</v>
      </c>
      <c r="S3923" s="14" t="s">
        <v>260</v>
      </c>
    </row>
    <row r="3924">
      <c r="A3924" s="13">
        <v>45901.0</v>
      </c>
      <c r="B3924" s="14" t="s">
        <v>47</v>
      </c>
      <c r="C3924" s="14" t="s">
        <v>48</v>
      </c>
      <c r="D3924" s="14" t="s">
        <v>112</v>
      </c>
      <c r="E3924" s="14" t="s">
        <v>113</v>
      </c>
      <c r="F3924" s="15" t="s">
        <v>51</v>
      </c>
      <c r="G3924" s="14" t="s">
        <v>114</v>
      </c>
      <c r="H3924" s="14" t="s">
        <v>112</v>
      </c>
      <c r="I3924" s="14" t="s">
        <v>59</v>
      </c>
      <c r="J3924" s="14" t="s">
        <v>198</v>
      </c>
      <c r="K3924" s="14" t="s">
        <v>205</v>
      </c>
      <c r="L3924" s="14" t="s">
        <v>274</v>
      </c>
      <c r="M3924" s="14" t="s">
        <v>387</v>
      </c>
      <c r="N3924" s="14" t="s">
        <v>388</v>
      </c>
      <c r="O3924" s="14">
        <v>0.0</v>
      </c>
      <c r="P3924" s="21">
        <v>0.0</v>
      </c>
      <c r="Q3924" s="22" t="str">
        <f>"+0"</f>
        <v>+0</v>
      </c>
      <c r="S3924" s="14" t="s">
        <v>281</v>
      </c>
    </row>
    <row r="3925">
      <c r="A3925" s="13">
        <v>45901.0</v>
      </c>
      <c r="B3925" s="14" t="s">
        <v>47</v>
      </c>
      <c r="C3925" s="14" t="s">
        <v>48</v>
      </c>
      <c r="D3925" s="14" t="s">
        <v>77</v>
      </c>
      <c r="E3925" s="14" t="s">
        <v>78</v>
      </c>
      <c r="F3925" s="15" t="s">
        <v>51</v>
      </c>
      <c r="G3925" s="14" t="s">
        <v>128</v>
      </c>
      <c r="H3925" s="14" t="s">
        <v>81</v>
      </c>
      <c r="I3925" s="14" t="s">
        <v>59</v>
      </c>
      <c r="J3925" s="14" t="s">
        <v>200</v>
      </c>
      <c r="K3925" s="14" t="s">
        <v>223</v>
      </c>
      <c r="L3925" s="14" t="s">
        <v>571</v>
      </c>
      <c r="M3925" s="14" t="s">
        <v>578</v>
      </c>
      <c r="N3925" s="14" t="s">
        <v>579</v>
      </c>
      <c r="O3925" s="14">
        <v>0.0</v>
      </c>
      <c r="P3925" s="23">
        <v>0.0</v>
      </c>
      <c r="Q3925" s="22" t="str">
        <f t="shared" ref="Q3925:R3925" si="2334">"+0.00%"</f>
        <v>+0.00%</v>
      </c>
      <c r="R3925" s="18" t="str">
        <f t="shared" si="2334"/>
        <v>+0.00%</v>
      </c>
      <c r="S3925" s="14" t="s">
        <v>285</v>
      </c>
    </row>
    <row r="3926">
      <c r="A3926" s="13">
        <v>45901.0</v>
      </c>
      <c r="B3926" s="14" t="s">
        <v>47</v>
      </c>
      <c r="C3926" s="14" t="s">
        <v>48</v>
      </c>
      <c r="D3926" s="14" t="s">
        <v>174</v>
      </c>
      <c r="E3926" s="14" t="s">
        <v>175</v>
      </c>
      <c r="F3926" s="15" t="s">
        <v>51</v>
      </c>
      <c r="G3926" s="14" t="s">
        <v>176</v>
      </c>
      <c r="H3926" s="14" t="s">
        <v>174</v>
      </c>
      <c r="I3926" s="14" t="s">
        <v>59</v>
      </c>
      <c r="J3926" s="14" t="s">
        <v>198</v>
      </c>
      <c r="K3926" s="14" t="s">
        <v>212</v>
      </c>
      <c r="L3926" s="14" t="s">
        <v>249</v>
      </c>
      <c r="M3926" s="14" t="s">
        <v>250</v>
      </c>
      <c r="N3926" s="14" t="s">
        <v>251</v>
      </c>
      <c r="O3926" s="14">
        <v>86.0</v>
      </c>
      <c r="P3926" s="21">
        <v>10565.0</v>
      </c>
      <c r="Q3926" s="22" t="str">
        <f>"+366"</f>
        <v>+366</v>
      </c>
      <c r="R3926" s="18" t="str">
        <f>"-6,007"</f>
        <v>-6,007</v>
      </c>
      <c r="S3926" s="14" t="s">
        <v>2166</v>
      </c>
    </row>
    <row r="3927">
      <c r="A3927" s="13">
        <v>45901.0</v>
      </c>
      <c r="B3927" s="14" t="s">
        <v>47</v>
      </c>
      <c r="C3927" s="14" t="s">
        <v>48</v>
      </c>
      <c r="D3927" s="14" t="s">
        <v>108</v>
      </c>
      <c r="E3927" s="14" t="s">
        <v>109</v>
      </c>
      <c r="F3927" s="15" t="s">
        <v>51</v>
      </c>
      <c r="G3927" s="14" t="s">
        <v>110</v>
      </c>
      <c r="H3927" s="14" t="s">
        <v>108</v>
      </c>
      <c r="I3927" s="14" t="s">
        <v>59</v>
      </c>
      <c r="J3927" s="14" t="s">
        <v>199</v>
      </c>
      <c r="K3927" s="14" t="s">
        <v>203</v>
      </c>
      <c r="L3927" s="14" t="s">
        <v>736</v>
      </c>
      <c r="M3927" s="14" t="s">
        <v>736</v>
      </c>
      <c r="N3927" s="14" t="s">
        <v>737</v>
      </c>
      <c r="O3927" s="14">
        <v>0.0</v>
      </c>
      <c r="P3927" s="21">
        <v>0.0</v>
      </c>
      <c r="Q3927" s="22" t="str">
        <f t="shared" ref="Q3927:R3927" si="2335">"+0"</f>
        <v>+0</v>
      </c>
      <c r="R3927" s="18" t="str">
        <f t="shared" si="2335"/>
        <v>+0</v>
      </c>
      <c r="S3927" s="14" t="s">
        <v>260</v>
      </c>
    </row>
    <row r="3928">
      <c r="A3928" s="13">
        <v>45901.0</v>
      </c>
      <c r="B3928" s="14" t="s">
        <v>47</v>
      </c>
      <c r="C3928" s="14" t="s">
        <v>48</v>
      </c>
      <c r="D3928" s="14" t="s">
        <v>56</v>
      </c>
      <c r="E3928" s="14" t="s">
        <v>57</v>
      </c>
      <c r="F3928" s="15" t="s">
        <v>51</v>
      </c>
      <c r="G3928" s="14" t="s">
        <v>58</v>
      </c>
      <c r="H3928" s="14" t="s">
        <v>56</v>
      </c>
      <c r="I3928" s="14" t="s">
        <v>59</v>
      </c>
      <c r="J3928" s="14" t="s">
        <v>199</v>
      </c>
      <c r="K3928" s="14" t="s">
        <v>208</v>
      </c>
      <c r="L3928" s="14" t="s">
        <v>412</v>
      </c>
      <c r="M3928" s="14" t="s">
        <v>412</v>
      </c>
      <c r="N3928" s="14" t="s">
        <v>413</v>
      </c>
      <c r="O3928" s="14">
        <v>75.0</v>
      </c>
      <c r="P3928" s="21">
        <v>1.0</v>
      </c>
      <c r="Q3928" s="22" t="str">
        <f t="shared" ref="Q3928:R3928" si="2336">"+0"</f>
        <v>+0</v>
      </c>
      <c r="R3928" s="18" t="str">
        <f t="shared" si="2336"/>
        <v>+0</v>
      </c>
      <c r="S3928" s="14" t="s">
        <v>260</v>
      </c>
    </row>
    <row r="3929">
      <c r="A3929" s="13">
        <v>45901.0</v>
      </c>
      <c r="B3929" s="14" t="s">
        <v>47</v>
      </c>
      <c r="C3929" s="14" t="s">
        <v>48</v>
      </c>
      <c r="D3929" s="14" t="s">
        <v>155</v>
      </c>
      <c r="E3929" s="14" t="s">
        <v>156</v>
      </c>
      <c r="F3929" s="15" t="s">
        <v>51</v>
      </c>
      <c r="G3929" s="14" t="s">
        <v>157</v>
      </c>
      <c r="H3929" s="14" t="s">
        <v>155</v>
      </c>
      <c r="I3929" s="14" t="s">
        <v>59</v>
      </c>
      <c r="J3929" s="14" t="s">
        <v>200</v>
      </c>
      <c r="K3929" s="14" t="s">
        <v>223</v>
      </c>
      <c r="L3929" s="14" t="s">
        <v>261</v>
      </c>
      <c r="M3929" s="14" t="s">
        <v>808</v>
      </c>
      <c r="N3929" s="14" t="s">
        <v>809</v>
      </c>
      <c r="O3929" s="14">
        <v>0.0</v>
      </c>
      <c r="P3929" s="17"/>
      <c r="Q3929" s="22"/>
      <c r="S3929" s="14" t="s">
        <v>2167</v>
      </c>
    </row>
    <row r="3930">
      <c r="A3930" s="13">
        <v>45901.0</v>
      </c>
      <c r="B3930" s="14" t="s">
        <v>47</v>
      </c>
      <c r="C3930" s="14" t="s">
        <v>48</v>
      </c>
      <c r="D3930" s="14" t="s">
        <v>168</v>
      </c>
      <c r="E3930" s="14" t="s">
        <v>169</v>
      </c>
      <c r="F3930" s="15" t="s">
        <v>51</v>
      </c>
      <c r="G3930" s="14" t="s">
        <v>170</v>
      </c>
      <c r="H3930" s="14" t="s">
        <v>168</v>
      </c>
      <c r="I3930" s="14" t="s">
        <v>59</v>
      </c>
      <c r="J3930" s="14" t="s">
        <v>200</v>
      </c>
      <c r="K3930" s="14" t="s">
        <v>213</v>
      </c>
      <c r="L3930" s="14" t="s">
        <v>307</v>
      </c>
      <c r="M3930" s="14" t="s">
        <v>502</v>
      </c>
      <c r="N3930" s="14" t="s">
        <v>503</v>
      </c>
      <c r="O3930" s="14">
        <v>0.0</v>
      </c>
      <c r="P3930" s="23">
        <v>0.0</v>
      </c>
      <c r="Q3930" s="22" t="str">
        <f t="shared" ref="Q3930:R3930" si="2337">"+0.00%"</f>
        <v>+0.00%</v>
      </c>
      <c r="R3930" s="18" t="str">
        <f t="shared" si="2337"/>
        <v>+0.00%</v>
      </c>
      <c r="S3930" s="14" t="s">
        <v>2168</v>
      </c>
    </row>
    <row r="3931">
      <c r="A3931" s="13">
        <v>45901.0</v>
      </c>
      <c r="B3931" s="14" t="s">
        <v>47</v>
      </c>
      <c r="C3931" s="14" t="s">
        <v>48</v>
      </c>
      <c r="D3931" s="14" t="s">
        <v>121</v>
      </c>
      <c r="E3931" s="14" t="s">
        <v>122</v>
      </c>
      <c r="F3931" s="15" t="s">
        <v>51</v>
      </c>
      <c r="G3931" s="14" t="s">
        <v>123</v>
      </c>
      <c r="H3931" s="14" t="s">
        <v>124</v>
      </c>
      <c r="I3931" s="14" t="s">
        <v>59</v>
      </c>
      <c r="J3931" s="14" t="s">
        <v>200</v>
      </c>
      <c r="K3931" s="14" t="s">
        <v>232</v>
      </c>
      <c r="L3931" s="14" t="s">
        <v>375</v>
      </c>
      <c r="M3931" s="14" t="s">
        <v>902</v>
      </c>
      <c r="N3931" s="14" t="s">
        <v>903</v>
      </c>
      <c r="O3931" s="14">
        <v>0.0</v>
      </c>
      <c r="P3931" s="23">
        <v>0.0</v>
      </c>
      <c r="Q3931" s="22" t="str">
        <f t="shared" ref="Q3931:R3931" si="2338">"+0.00%"</f>
        <v>+0.00%</v>
      </c>
      <c r="R3931" s="18" t="str">
        <f t="shared" si="2338"/>
        <v>+0.00%</v>
      </c>
      <c r="S3931" s="14" t="s">
        <v>285</v>
      </c>
    </row>
    <row r="3932">
      <c r="A3932" s="13">
        <v>45901.0</v>
      </c>
      <c r="B3932" s="14" t="s">
        <v>47</v>
      </c>
      <c r="C3932" s="14" t="s">
        <v>48</v>
      </c>
      <c r="D3932" s="14" t="s">
        <v>155</v>
      </c>
      <c r="E3932" s="14" t="s">
        <v>156</v>
      </c>
      <c r="F3932" s="15" t="s">
        <v>51</v>
      </c>
      <c r="G3932" s="14" t="s">
        <v>157</v>
      </c>
      <c r="H3932" s="14" t="s">
        <v>155</v>
      </c>
      <c r="I3932" s="14" t="s">
        <v>59</v>
      </c>
      <c r="J3932" s="14" t="s">
        <v>200</v>
      </c>
      <c r="K3932" s="14" t="s">
        <v>223</v>
      </c>
      <c r="L3932" s="14" t="s">
        <v>607</v>
      </c>
      <c r="M3932" s="14" t="s">
        <v>1027</v>
      </c>
      <c r="N3932" s="14" t="s">
        <v>1028</v>
      </c>
      <c r="O3932" s="14">
        <v>0.0</v>
      </c>
      <c r="P3932" s="23">
        <v>-1.0</v>
      </c>
      <c r="Q3932" s="22" t="str">
        <f t="shared" ref="Q3932:R3932" si="2339">"+0.00%"</f>
        <v>+0.00%</v>
      </c>
      <c r="R3932" s="18" t="str">
        <f t="shared" si="2339"/>
        <v>+0.00%</v>
      </c>
      <c r="S3932" s="14" t="s">
        <v>2169</v>
      </c>
    </row>
    <row r="3933">
      <c r="A3933" s="13">
        <v>45901.0</v>
      </c>
      <c r="B3933" s="14" t="s">
        <v>47</v>
      </c>
      <c r="C3933" s="14" t="s">
        <v>48</v>
      </c>
      <c r="D3933" s="14" t="s">
        <v>60</v>
      </c>
      <c r="E3933" s="14" t="s">
        <v>61</v>
      </c>
      <c r="F3933" s="15" t="s">
        <v>51</v>
      </c>
      <c r="G3933" s="14" t="s">
        <v>62</v>
      </c>
      <c r="H3933" s="14" t="s">
        <v>60</v>
      </c>
      <c r="I3933" s="14" t="s">
        <v>59</v>
      </c>
      <c r="J3933" s="14" t="s">
        <v>200</v>
      </c>
      <c r="K3933" s="14" t="s">
        <v>223</v>
      </c>
      <c r="L3933" s="14" t="s">
        <v>289</v>
      </c>
      <c r="M3933" s="14" t="s">
        <v>384</v>
      </c>
      <c r="N3933" s="14" t="s">
        <v>385</v>
      </c>
      <c r="O3933" s="14">
        <v>1.0</v>
      </c>
      <c r="P3933" s="23">
        <v>0.0196</v>
      </c>
      <c r="Q3933" s="22" t="str">
        <f t="shared" ref="Q3933:R3933" si="2340">"+1.96%"</f>
        <v>+1.96%</v>
      </c>
      <c r="R3933" s="18" t="str">
        <f t="shared" si="2340"/>
        <v>+1.96%</v>
      </c>
      <c r="S3933" s="14" t="s">
        <v>2170</v>
      </c>
    </row>
    <row r="3934">
      <c r="A3934" s="13">
        <v>45901.0</v>
      </c>
      <c r="B3934" s="14" t="s">
        <v>47</v>
      </c>
      <c r="C3934" s="14" t="s">
        <v>48</v>
      </c>
      <c r="D3934" s="14" t="s">
        <v>121</v>
      </c>
      <c r="E3934" s="14" t="s">
        <v>122</v>
      </c>
      <c r="F3934" s="15" t="s">
        <v>51</v>
      </c>
      <c r="G3934" s="14" t="s">
        <v>123</v>
      </c>
      <c r="H3934" s="14" t="s">
        <v>124</v>
      </c>
      <c r="I3934" s="14" t="s">
        <v>59</v>
      </c>
      <c r="J3934" s="14" t="s">
        <v>200</v>
      </c>
      <c r="K3934" s="14" t="s">
        <v>232</v>
      </c>
      <c r="L3934" s="14" t="s">
        <v>286</v>
      </c>
      <c r="M3934" s="14" t="s">
        <v>1199</v>
      </c>
      <c r="N3934" s="14" t="s">
        <v>1200</v>
      </c>
      <c r="O3934" s="14">
        <v>0.0</v>
      </c>
      <c r="P3934" s="23">
        <v>0.0</v>
      </c>
      <c r="Q3934" s="22" t="str">
        <f t="shared" ref="Q3934:R3934" si="2341">"+0.00%"</f>
        <v>+0.00%</v>
      </c>
      <c r="R3934" s="18" t="str">
        <f t="shared" si="2341"/>
        <v>+0.00%</v>
      </c>
      <c r="S3934" s="14" t="s">
        <v>285</v>
      </c>
    </row>
    <row r="3935">
      <c r="A3935" s="13">
        <v>45901.0</v>
      </c>
      <c r="B3935" s="14" t="s">
        <v>47</v>
      </c>
      <c r="C3935" s="14" t="s">
        <v>48</v>
      </c>
      <c r="D3935" s="14" t="s">
        <v>165</v>
      </c>
      <c r="E3935" s="14" t="s">
        <v>166</v>
      </c>
      <c r="F3935" s="15" t="s">
        <v>51</v>
      </c>
      <c r="G3935" s="14" t="s">
        <v>167</v>
      </c>
      <c r="H3935" s="14" t="s">
        <v>165</v>
      </c>
      <c r="I3935" s="14" t="s">
        <v>54</v>
      </c>
      <c r="J3935" s="14" t="s">
        <v>200</v>
      </c>
      <c r="K3935" s="14" t="s">
        <v>227</v>
      </c>
      <c r="L3935" s="14" t="s">
        <v>721</v>
      </c>
      <c r="M3935" s="14" t="s">
        <v>722</v>
      </c>
      <c r="N3935" s="14" t="s">
        <v>723</v>
      </c>
      <c r="O3935" s="14">
        <v>54.0</v>
      </c>
      <c r="P3935" s="23">
        <v>0.0985</v>
      </c>
      <c r="Q3935" s="22" t="str">
        <f>"+21.17%"</f>
        <v>+21.17%</v>
      </c>
      <c r="R3935" s="18" t="str">
        <f>"+2.91%"</f>
        <v>+2.91%</v>
      </c>
      <c r="S3935" s="14" t="s">
        <v>724</v>
      </c>
    </row>
    <row r="3936">
      <c r="A3936" s="13">
        <v>45901.0</v>
      </c>
      <c r="B3936" s="14" t="s">
        <v>47</v>
      </c>
      <c r="C3936" s="14" t="s">
        <v>48</v>
      </c>
      <c r="D3936" s="14" t="s">
        <v>165</v>
      </c>
      <c r="E3936" s="14" t="s">
        <v>166</v>
      </c>
      <c r="F3936" s="14" t="s">
        <v>111</v>
      </c>
      <c r="G3936" s="14">
        <v>7116371.0</v>
      </c>
      <c r="H3936" s="14" t="s">
        <v>165</v>
      </c>
      <c r="I3936" s="14" t="s">
        <v>59</v>
      </c>
      <c r="J3936" s="14" t="s">
        <v>199</v>
      </c>
      <c r="K3936" s="14" t="s">
        <v>203</v>
      </c>
      <c r="L3936" s="14" t="s">
        <v>340</v>
      </c>
      <c r="M3936" s="14" t="s">
        <v>340</v>
      </c>
      <c r="N3936" s="14" t="s">
        <v>341</v>
      </c>
      <c r="O3936" s="14">
        <v>0.0</v>
      </c>
      <c r="P3936" s="21">
        <v>0.0</v>
      </c>
      <c r="Q3936" s="22" t="str">
        <f t="shared" ref="Q3936:R3936" si="2342">"+0"</f>
        <v>+0</v>
      </c>
      <c r="R3936" s="18" t="str">
        <f t="shared" si="2342"/>
        <v>+0</v>
      </c>
      <c r="S3936" s="14" t="s">
        <v>260</v>
      </c>
    </row>
    <row r="3937">
      <c r="A3937" s="13">
        <v>45901.0</v>
      </c>
      <c r="B3937" s="14" t="s">
        <v>47</v>
      </c>
      <c r="C3937" s="14" t="s">
        <v>48</v>
      </c>
      <c r="D3937" s="14" t="s">
        <v>118</v>
      </c>
      <c r="E3937" s="14" t="s">
        <v>119</v>
      </c>
      <c r="F3937" s="15" t="s">
        <v>51</v>
      </c>
      <c r="G3937" s="14" t="s">
        <v>120</v>
      </c>
      <c r="H3937" s="14" t="s">
        <v>118</v>
      </c>
      <c r="I3937" s="14" t="s">
        <v>59</v>
      </c>
      <c r="J3937" s="14" t="s">
        <v>198</v>
      </c>
      <c r="K3937" s="14" t="s">
        <v>205</v>
      </c>
      <c r="L3937" s="14" t="s">
        <v>274</v>
      </c>
      <c r="M3937" s="14" t="s">
        <v>575</v>
      </c>
      <c r="N3937" s="14" t="s">
        <v>576</v>
      </c>
      <c r="O3937" s="14">
        <v>100.0</v>
      </c>
      <c r="P3937" s="21">
        <v>90.0</v>
      </c>
      <c r="Q3937" s="22" t="str">
        <f>"+0"</f>
        <v>+0</v>
      </c>
      <c r="S3937" s="14" t="s">
        <v>577</v>
      </c>
    </row>
    <row r="3938">
      <c r="A3938" s="13">
        <v>45901.0</v>
      </c>
      <c r="B3938" s="14" t="s">
        <v>47</v>
      </c>
      <c r="C3938" s="14" t="s">
        <v>48</v>
      </c>
      <c r="D3938" s="14" t="s">
        <v>91</v>
      </c>
      <c r="E3938" s="14" t="s">
        <v>92</v>
      </c>
      <c r="F3938" s="14" t="s">
        <v>79</v>
      </c>
      <c r="G3938" s="14" t="s">
        <v>164</v>
      </c>
      <c r="H3938" s="14" t="s">
        <v>91</v>
      </c>
      <c r="I3938" s="14" t="s">
        <v>154</v>
      </c>
      <c r="J3938" s="14" t="s">
        <v>199</v>
      </c>
      <c r="K3938" s="14" t="s">
        <v>206</v>
      </c>
      <c r="L3938" s="14" t="s">
        <v>569</v>
      </c>
      <c r="M3938" s="14" t="s">
        <v>569</v>
      </c>
      <c r="N3938" s="14" t="s">
        <v>570</v>
      </c>
      <c r="O3938" s="14">
        <v>100.0</v>
      </c>
      <c r="P3938" s="21">
        <v>10.0</v>
      </c>
      <c r="Q3938" s="22" t="str">
        <f>"-2"</f>
        <v>-2</v>
      </c>
      <c r="R3938" s="18" t="str">
        <f>"-7"</f>
        <v>-7</v>
      </c>
      <c r="S3938" s="14" t="s">
        <v>383</v>
      </c>
    </row>
    <row r="3939">
      <c r="A3939" s="13">
        <v>45901.0</v>
      </c>
      <c r="B3939" s="14" t="s">
        <v>47</v>
      </c>
      <c r="C3939" s="14" t="s">
        <v>48</v>
      </c>
      <c r="D3939" s="14" t="s">
        <v>192</v>
      </c>
      <c r="E3939" s="14" t="s">
        <v>193</v>
      </c>
      <c r="F3939" s="15" t="s">
        <v>51</v>
      </c>
      <c r="G3939" s="14" t="s">
        <v>194</v>
      </c>
      <c r="H3939" s="14" t="s">
        <v>192</v>
      </c>
      <c r="I3939" s="14" t="s">
        <v>54</v>
      </c>
      <c r="J3939" s="14" t="s">
        <v>200</v>
      </c>
      <c r="K3939" s="14" t="s">
        <v>231</v>
      </c>
      <c r="L3939" s="14" t="s">
        <v>372</v>
      </c>
      <c r="M3939" s="14" t="s">
        <v>1807</v>
      </c>
      <c r="N3939" s="14" t="s">
        <v>1808</v>
      </c>
      <c r="O3939" s="14">
        <v>0.0</v>
      </c>
      <c r="P3939" s="23">
        <v>0.0</v>
      </c>
      <c r="Q3939" s="22" t="str">
        <f t="shared" ref="Q3939:R3939" si="2343">"+0.00%"</f>
        <v>+0.00%</v>
      </c>
      <c r="R3939" s="18" t="str">
        <f t="shared" si="2343"/>
        <v>+0.00%</v>
      </c>
      <c r="S3939" s="14" t="s">
        <v>2171</v>
      </c>
    </row>
    <row r="3940">
      <c r="A3940" s="13">
        <v>45901.0</v>
      </c>
      <c r="B3940" s="14" t="s">
        <v>47</v>
      </c>
      <c r="C3940" s="14" t="s">
        <v>48</v>
      </c>
      <c r="D3940" s="14" t="s">
        <v>192</v>
      </c>
      <c r="E3940" s="14" t="s">
        <v>193</v>
      </c>
      <c r="F3940" s="15" t="s">
        <v>51</v>
      </c>
      <c r="G3940" s="14" t="s">
        <v>194</v>
      </c>
      <c r="H3940" s="14" t="s">
        <v>192</v>
      </c>
      <c r="I3940" s="14" t="s">
        <v>54</v>
      </c>
      <c r="J3940" s="14" t="s">
        <v>200</v>
      </c>
      <c r="K3940" s="14" t="s">
        <v>225</v>
      </c>
      <c r="L3940" s="14" t="s">
        <v>253</v>
      </c>
      <c r="M3940" s="14" t="s">
        <v>2164</v>
      </c>
      <c r="N3940" s="14" t="s">
        <v>367</v>
      </c>
      <c r="O3940" s="14">
        <v>0.0</v>
      </c>
      <c r="P3940" s="23">
        <v>0.0</v>
      </c>
      <c r="Q3940" s="22" t="str">
        <f t="shared" ref="Q3940:R3940" si="2344">"+0.00%"</f>
        <v>+0.00%</v>
      </c>
      <c r="R3940" s="18" t="str">
        <f t="shared" si="2344"/>
        <v>+0.00%</v>
      </c>
      <c r="S3940" s="14" t="s">
        <v>2172</v>
      </c>
    </row>
    <row r="3941">
      <c r="A3941" s="13">
        <v>45901.0</v>
      </c>
      <c r="B3941" s="14" t="s">
        <v>47</v>
      </c>
      <c r="C3941" s="14" t="s">
        <v>48</v>
      </c>
      <c r="D3941" s="14" t="s">
        <v>66</v>
      </c>
      <c r="E3941" s="14" t="s">
        <v>67</v>
      </c>
      <c r="F3941" s="15" t="s">
        <v>51</v>
      </c>
      <c r="G3941" s="14" t="s">
        <v>68</v>
      </c>
      <c r="H3941" s="14" t="s">
        <v>66</v>
      </c>
      <c r="I3941" s="14" t="s">
        <v>59</v>
      </c>
      <c r="J3941" s="14" t="s">
        <v>199</v>
      </c>
      <c r="K3941" s="14" t="s">
        <v>206</v>
      </c>
      <c r="L3941" s="14" t="s">
        <v>381</v>
      </c>
      <c r="M3941" s="14" t="s">
        <v>381</v>
      </c>
      <c r="N3941" s="14" t="s">
        <v>382</v>
      </c>
      <c r="O3941" s="14">
        <v>0.0</v>
      </c>
      <c r="P3941" s="21">
        <v>0.0</v>
      </c>
      <c r="Q3941" s="22" t="str">
        <f t="shared" ref="Q3941:R3941" si="2345">"+0"</f>
        <v>+0</v>
      </c>
      <c r="R3941" s="18" t="str">
        <f t="shared" si="2345"/>
        <v>+0</v>
      </c>
      <c r="S3941" s="14" t="s">
        <v>383</v>
      </c>
    </row>
    <row r="3942">
      <c r="A3942" s="13">
        <v>45901.0</v>
      </c>
      <c r="B3942" s="14" t="s">
        <v>47</v>
      </c>
      <c r="C3942" s="14" t="s">
        <v>48</v>
      </c>
      <c r="D3942" s="14" t="s">
        <v>66</v>
      </c>
      <c r="E3942" s="14" t="s">
        <v>67</v>
      </c>
      <c r="F3942" s="15" t="s">
        <v>51</v>
      </c>
      <c r="G3942" s="14" t="s">
        <v>68</v>
      </c>
      <c r="H3942" s="14" t="s">
        <v>66</v>
      </c>
      <c r="I3942" s="14" t="s">
        <v>59</v>
      </c>
      <c r="J3942" s="14" t="s">
        <v>200</v>
      </c>
      <c r="K3942" s="14" t="s">
        <v>227</v>
      </c>
      <c r="L3942" s="14" t="s">
        <v>253</v>
      </c>
      <c r="M3942" s="14" t="s">
        <v>849</v>
      </c>
      <c r="N3942" s="14" t="s">
        <v>850</v>
      </c>
      <c r="O3942" s="14">
        <v>0.0</v>
      </c>
      <c r="P3942" s="23">
        <v>0.0</v>
      </c>
      <c r="Q3942" s="22" t="str">
        <f t="shared" ref="Q3942:R3942" si="2346">"+0.00%"</f>
        <v>+0.00%</v>
      </c>
      <c r="R3942" s="18" t="str">
        <f t="shared" si="2346"/>
        <v>+0.00%</v>
      </c>
      <c r="S3942" s="14" t="s">
        <v>851</v>
      </c>
    </row>
    <row r="3943">
      <c r="A3943" s="13">
        <v>45901.0</v>
      </c>
      <c r="B3943" s="14" t="s">
        <v>47</v>
      </c>
      <c r="C3943" s="14" t="s">
        <v>48</v>
      </c>
      <c r="D3943" s="14" t="s">
        <v>93</v>
      </c>
      <c r="E3943" s="14" t="s">
        <v>94</v>
      </c>
      <c r="F3943" s="15" t="s">
        <v>51</v>
      </c>
      <c r="G3943" s="14" t="s">
        <v>191</v>
      </c>
      <c r="H3943" s="14" t="s">
        <v>95</v>
      </c>
      <c r="I3943" s="14" t="s">
        <v>59</v>
      </c>
      <c r="J3943" s="14" t="s">
        <v>198</v>
      </c>
      <c r="K3943" s="14" t="s">
        <v>212</v>
      </c>
      <c r="L3943" s="14" t="s">
        <v>249</v>
      </c>
      <c r="M3943" s="14" t="s">
        <v>250</v>
      </c>
      <c r="N3943" s="14" t="s">
        <v>251</v>
      </c>
      <c r="O3943" s="14">
        <v>100.0</v>
      </c>
      <c r="P3943" s="21">
        <v>0.0</v>
      </c>
      <c r="Q3943" s="22" t="str">
        <f t="shared" ref="Q3943:R3943" si="2347">"+0"</f>
        <v>+0</v>
      </c>
      <c r="R3943" s="18" t="str">
        <f t="shared" si="2347"/>
        <v>+0</v>
      </c>
      <c r="S3943" s="14" t="s">
        <v>281</v>
      </c>
    </row>
    <row r="3944">
      <c r="A3944" s="13">
        <v>45901.0</v>
      </c>
      <c r="B3944" s="14" t="s">
        <v>47</v>
      </c>
      <c r="C3944" s="14" t="s">
        <v>48</v>
      </c>
      <c r="D3944" s="14" t="s">
        <v>73</v>
      </c>
      <c r="E3944" s="14" t="s">
        <v>74</v>
      </c>
      <c r="F3944" s="15" t="s">
        <v>51</v>
      </c>
      <c r="G3944" s="14" t="s">
        <v>75</v>
      </c>
      <c r="H3944" s="14" t="s">
        <v>76</v>
      </c>
      <c r="I3944" s="14" t="s">
        <v>59</v>
      </c>
      <c r="J3944" s="14" t="s">
        <v>200</v>
      </c>
      <c r="K3944" s="14" t="s">
        <v>227</v>
      </c>
      <c r="L3944" s="14" t="s">
        <v>328</v>
      </c>
      <c r="M3944" s="14" t="s">
        <v>329</v>
      </c>
      <c r="N3944" s="14" t="s">
        <v>330</v>
      </c>
      <c r="O3944" s="14">
        <v>0.0</v>
      </c>
      <c r="P3944" s="21">
        <v>0.0</v>
      </c>
      <c r="Q3944" s="22" t="str">
        <f t="shared" ref="Q3944:R3944" si="2348">"+0"</f>
        <v>+0</v>
      </c>
      <c r="R3944" s="18" t="str">
        <f t="shared" si="2348"/>
        <v>+0</v>
      </c>
      <c r="S3944" s="14" t="s">
        <v>260</v>
      </c>
    </row>
    <row r="3945">
      <c r="A3945" s="13">
        <v>45901.0</v>
      </c>
      <c r="B3945" s="14" t="s">
        <v>47</v>
      </c>
      <c r="C3945" s="14" t="s">
        <v>48</v>
      </c>
      <c r="D3945" s="14" t="s">
        <v>143</v>
      </c>
      <c r="E3945" s="14" t="s">
        <v>144</v>
      </c>
      <c r="F3945" s="15" t="s">
        <v>51</v>
      </c>
      <c r="G3945" s="14" t="s">
        <v>145</v>
      </c>
      <c r="H3945" s="14" t="s">
        <v>143</v>
      </c>
      <c r="I3945" s="14" t="s">
        <v>59</v>
      </c>
      <c r="J3945" s="14" t="s">
        <v>200</v>
      </c>
      <c r="K3945" s="14" t="s">
        <v>201</v>
      </c>
      <c r="L3945" s="14" t="s">
        <v>253</v>
      </c>
      <c r="M3945" s="14" t="s">
        <v>585</v>
      </c>
      <c r="N3945" s="14" t="s">
        <v>586</v>
      </c>
      <c r="O3945" s="14">
        <v>1.0</v>
      </c>
      <c r="P3945" s="23">
        <v>1.0E-4</v>
      </c>
      <c r="Q3945" s="22" t="str">
        <f>"+0.00%"</f>
        <v>+0.00%</v>
      </c>
      <c r="R3945" s="18" t="str">
        <f>"-0.01%"</f>
        <v>-0.01%</v>
      </c>
      <c r="S3945" s="14" t="s">
        <v>1071</v>
      </c>
    </row>
    <row r="3946">
      <c r="A3946" s="13">
        <v>45901.0</v>
      </c>
      <c r="B3946" s="14" t="s">
        <v>47</v>
      </c>
      <c r="C3946" s="14" t="s">
        <v>48</v>
      </c>
      <c r="D3946" s="14" t="s">
        <v>73</v>
      </c>
      <c r="E3946" s="14" t="s">
        <v>74</v>
      </c>
      <c r="F3946" s="15" t="s">
        <v>51</v>
      </c>
      <c r="G3946" s="14" t="s">
        <v>75</v>
      </c>
      <c r="H3946" s="14" t="s">
        <v>76</v>
      </c>
      <c r="I3946" s="14" t="s">
        <v>59</v>
      </c>
      <c r="J3946" s="14" t="s">
        <v>198</v>
      </c>
      <c r="K3946" s="14" t="s">
        <v>205</v>
      </c>
      <c r="L3946" s="14" t="s">
        <v>274</v>
      </c>
      <c r="M3946" s="14" t="s">
        <v>354</v>
      </c>
      <c r="N3946" s="14" t="s">
        <v>355</v>
      </c>
      <c r="O3946" s="14">
        <v>28.0</v>
      </c>
      <c r="P3946" s="21">
        <v>10.0</v>
      </c>
      <c r="Q3946" s="22" t="str">
        <f t="shared" ref="Q3946:Q3947" si="2349">"+0"</f>
        <v>+0</v>
      </c>
      <c r="S3946" s="14" t="s">
        <v>356</v>
      </c>
    </row>
    <row r="3947">
      <c r="A3947" s="13">
        <v>45901.0</v>
      </c>
      <c r="B3947" s="14" t="s">
        <v>47</v>
      </c>
      <c r="C3947" s="14" t="s">
        <v>48</v>
      </c>
      <c r="D3947" s="14" t="s">
        <v>103</v>
      </c>
      <c r="E3947" s="14" t="s">
        <v>104</v>
      </c>
      <c r="F3947" s="15" t="s">
        <v>51</v>
      </c>
      <c r="G3947" s="14" t="s">
        <v>105</v>
      </c>
      <c r="H3947" s="14" t="s">
        <v>106</v>
      </c>
      <c r="I3947" s="14" t="s">
        <v>59</v>
      </c>
      <c r="J3947" s="14" t="s">
        <v>198</v>
      </c>
      <c r="K3947" s="14" t="s">
        <v>210</v>
      </c>
      <c r="L3947" s="14" t="s">
        <v>264</v>
      </c>
      <c r="M3947" s="14" t="s">
        <v>524</v>
      </c>
      <c r="N3947" s="14" t="s">
        <v>525</v>
      </c>
      <c r="O3947" s="14">
        <v>100.0</v>
      </c>
      <c r="P3947" s="21">
        <v>0.0</v>
      </c>
      <c r="Q3947" s="22" t="str">
        <f t="shared" si="2349"/>
        <v>+0</v>
      </c>
      <c r="R3947" s="18" t="str">
        <f>"+0"</f>
        <v>+0</v>
      </c>
      <c r="S3947" s="14" t="s">
        <v>281</v>
      </c>
    </row>
    <row r="3948">
      <c r="A3948" s="13">
        <v>45901.0</v>
      </c>
      <c r="B3948" s="14" t="s">
        <v>47</v>
      </c>
      <c r="C3948" s="14" t="s">
        <v>48</v>
      </c>
      <c r="D3948" s="14" t="s">
        <v>73</v>
      </c>
      <c r="E3948" s="14" t="s">
        <v>74</v>
      </c>
      <c r="F3948" s="15" t="s">
        <v>51</v>
      </c>
      <c r="G3948" s="14" t="s">
        <v>75</v>
      </c>
      <c r="H3948" s="14" t="s">
        <v>76</v>
      </c>
      <c r="I3948" s="14" t="s">
        <v>59</v>
      </c>
      <c r="J3948" s="14" t="s">
        <v>200</v>
      </c>
      <c r="K3948" s="14" t="s">
        <v>232</v>
      </c>
      <c r="L3948" s="14" t="s">
        <v>487</v>
      </c>
      <c r="M3948" s="14" t="s">
        <v>1075</v>
      </c>
      <c r="N3948" s="14" t="s">
        <v>1076</v>
      </c>
      <c r="O3948" s="14">
        <v>0.0</v>
      </c>
      <c r="P3948" s="23">
        <v>0.0</v>
      </c>
      <c r="Q3948" s="22" t="str">
        <f t="shared" ref="Q3948:R3948" si="2350">"+0.00%"</f>
        <v>+0.00%</v>
      </c>
      <c r="R3948" s="18" t="str">
        <f t="shared" si="2350"/>
        <v>+0.00%</v>
      </c>
      <c r="S3948" s="14" t="s">
        <v>285</v>
      </c>
    </row>
    <row r="3949">
      <c r="A3949" s="13">
        <v>45901.0</v>
      </c>
      <c r="B3949" s="14" t="s">
        <v>47</v>
      </c>
      <c r="C3949" s="14" t="s">
        <v>48</v>
      </c>
      <c r="D3949" s="14" t="s">
        <v>149</v>
      </c>
      <c r="E3949" s="14" t="s">
        <v>150</v>
      </c>
      <c r="F3949" s="15" t="s">
        <v>51</v>
      </c>
      <c r="G3949" s="14" t="s">
        <v>151</v>
      </c>
      <c r="H3949" s="14" t="s">
        <v>152</v>
      </c>
      <c r="I3949" s="14" t="s">
        <v>54</v>
      </c>
      <c r="J3949" s="14" t="s">
        <v>200</v>
      </c>
      <c r="K3949" s="14" t="s">
        <v>223</v>
      </c>
      <c r="L3949" s="14" t="s">
        <v>253</v>
      </c>
      <c r="M3949" s="14" t="s">
        <v>552</v>
      </c>
      <c r="N3949" s="14" t="s">
        <v>553</v>
      </c>
      <c r="O3949" s="14">
        <v>60.0</v>
      </c>
      <c r="P3949" s="23">
        <v>0.6076</v>
      </c>
      <c r="Q3949" s="22" t="str">
        <f>"+2.34%"</f>
        <v>+2.34%</v>
      </c>
      <c r="R3949" s="18" t="str">
        <f>"+2.78%"</f>
        <v>+2.78%</v>
      </c>
      <c r="S3949" s="14" t="s">
        <v>2173</v>
      </c>
    </row>
    <row r="3950">
      <c r="A3950" s="13">
        <v>45901.0</v>
      </c>
      <c r="B3950" s="14" t="s">
        <v>47</v>
      </c>
      <c r="C3950" s="14" t="s">
        <v>48</v>
      </c>
      <c r="D3950" s="14" t="s">
        <v>149</v>
      </c>
      <c r="E3950" s="14" t="s">
        <v>150</v>
      </c>
      <c r="F3950" s="15" t="s">
        <v>51</v>
      </c>
      <c r="G3950" s="14" t="s">
        <v>151</v>
      </c>
      <c r="H3950" s="14" t="s">
        <v>152</v>
      </c>
      <c r="I3950" s="14" t="s">
        <v>54</v>
      </c>
      <c r="J3950" s="14" t="s">
        <v>200</v>
      </c>
      <c r="K3950" s="14" t="s">
        <v>224</v>
      </c>
      <c r="L3950" s="14" t="s">
        <v>594</v>
      </c>
      <c r="M3950" s="14" t="s">
        <v>595</v>
      </c>
      <c r="N3950" s="14" t="s">
        <v>596</v>
      </c>
      <c r="O3950" s="14">
        <v>66.0</v>
      </c>
      <c r="P3950" s="23">
        <v>0.6667</v>
      </c>
      <c r="Q3950" s="22" t="str">
        <f t="shared" ref="Q3950:R3950" si="2351">"+16.67%"</f>
        <v>+16.67%</v>
      </c>
      <c r="R3950" s="18" t="str">
        <f t="shared" si="2351"/>
        <v>+16.67%</v>
      </c>
      <c r="S3950" s="14" t="s">
        <v>2174</v>
      </c>
    </row>
    <row r="3951">
      <c r="A3951" s="13">
        <v>45901.0</v>
      </c>
      <c r="B3951" s="14" t="s">
        <v>47</v>
      </c>
      <c r="C3951" s="14" t="s">
        <v>48</v>
      </c>
      <c r="D3951" s="14" t="s">
        <v>129</v>
      </c>
      <c r="E3951" s="14" t="s">
        <v>130</v>
      </c>
      <c r="F3951" s="15" t="s">
        <v>51</v>
      </c>
      <c r="G3951" s="14" t="s">
        <v>131</v>
      </c>
      <c r="H3951" s="14" t="s">
        <v>129</v>
      </c>
      <c r="I3951" s="14" t="s">
        <v>59</v>
      </c>
      <c r="J3951" s="14" t="s">
        <v>200</v>
      </c>
      <c r="K3951" s="14" t="s">
        <v>231</v>
      </c>
      <c r="L3951" s="14" t="s">
        <v>372</v>
      </c>
      <c r="M3951" s="14" t="s">
        <v>1807</v>
      </c>
      <c r="N3951" s="14" t="s">
        <v>1808</v>
      </c>
      <c r="O3951" s="14">
        <v>0.0</v>
      </c>
      <c r="P3951" s="23">
        <v>0.0</v>
      </c>
      <c r="Q3951" s="22" t="str">
        <f t="shared" ref="Q3951:R3951" si="2352">"+0.00%"</f>
        <v>+0.00%</v>
      </c>
      <c r="R3951" s="18" t="str">
        <f t="shared" si="2352"/>
        <v>+0.00%</v>
      </c>
      <c r="S3951" s="14" t="s">
        <v>2175</v>
      </c>
    </row>
    <row r="3952">
      <c r="A3952" s="13">
        <v>45901.0</v>
      </c>
      <c r="B3952" s="14" t="s">
        <v>47</v>
      </c>
      <c r="C3952" s="14" t="s">
        <v>48</v>
      </c>
      <c r="D3952" s="14" t="s">
        <v>149</v>
      </c>
      <c r="E3952" s="14" t="s">
        <v>150</v>
      </c>
      <c r="F3952" s="15" t="s">
        <v>51</v>
      </c>
      <c r="G3952" s="14" t="s">
        <v>151</v>
      </c>
      <c r="H3952" s="14" t="s">
        <v>152</v>
      </c>
      <c r="I3952" s="14" t="s">
        <v>54</v>
      </c>
      <c r="J3952" s="14" t="s">
        <v>198</v>
      </c>
      <c r="K3952" s="14" t="s">
        <v>205</v>
      </c>
      <c r="L3952" s="14" t="s">
        <v>274</v>
      </c>
      <c r="M3952" s="14" t="s">
        <v>482</v>
      </c>
      <c r="N3952" s="14" t="s">
        <v>483</v>
      </c>
      <c r="O3952" s="14">
        <v>100.0</v>
      </c>
      <c r="P3952" s="21">
        <v>8.0</v>
      </c>
      <c r="Q3952" s="22" t="str">
        <f t="shared" ref="Q3952:Q3953" si="2353">"+0"</f>
        <v>+0</v>
      </c>
      <c r="S3952" s="14" t="s">
        <v>484</v>
      </c>
    </row>
    <row r="3953">
      <c r="A3953" s="13">
        <v>45901.0</v>
      </c>
      <c r="B3953" s="14" t="s">
        <v>47</v>
      </c>
      <c r="C3953" s="14" t="s">
        <v>48</v>
      </c>
      <c r="D3953" s="14" t="s">
        <v>87</v>
      </c>
      <c r="E3953" s="14" t="s">
        <v>88</v>
      </c>
      <c r="F3953" s="15" t="s">
        <v>51</v>
      </c>
      <c r="G3953" s="14" t="s">
        <v>89</v>
      </c>
      <c r="H3953" s="14" t="s">
        <v>90</v>
      </c>
      <c r="I3953" s="14" t="s">
        <v>59</v>
      </c>
      <c r="J3953" s="14" t="s">
        <v>199</v>
      </c>
      <c r="K3953" s="14" t="s">
        <v>206</v>
      </c>
      <c r="L3953" s="14" t="s">
        <v>295</v>
      </c>
      <c r="M3953" s="14" t="s">
        <v>529</v>
      </c>
      <c r="N3953" s="14" t="s">
        <v>530</v>
      </c>
      <c r="O3953" s="14">
        <v>100.0</v>
      </c>
      <c r="P3953" s="21">
        <v>4.0</v>
      </c>
      <c r="Q3953" s="22" t="str">
        <f t="shared" si="2353"/>
        <v>+0</v>
      </c>
      <c r="R3953" s="18" t="str">
        <f>"+0"</f>
        <v>+0</v>
      </c>
      <c r="S3953" s="14" t="s">
        <v>260</v>
      </c>
    </row>
    <row r="3954">
      <c r="A3954" s="13">
        <v>45901.0</v>
      </c>
      <c r="B3954" s="14" t="s">
        <v>47</v>
      </c>
      <c r="C3954" s="14" t="s">
        <v>48</v>
      </c>
      <c r="D3954" s="14" t="s">
        <v>129</v>
      </c>
      <c r="E3954" s="14" t="s">
        <v>130</v>
      </c>
      <c r="F3954" s="15" t="s">
        <v>51</v>
      </c>
      <c r="G3954" s="14" t="s">
        <v>131</v>
      </c>
      <c r="H3954" s="14" t="s">
        <v>129</v>
      </c>
      <c r="I3954" s="14" t="s">
        <v>59</v>
      </c>
      <c r="J3954" s="14" t="s">
        <v>200</v>
      </c>
      <c r="K3954" s="14" t="s">
        <v>231</v>
      </c>
      <c r="L3954" s="14" t="s">
        <v>751</v>
      </c>
      <c r="M3954" s="14" t="s">
        <v>752</v>
      </c>
      <c r="N3954" s="14" t="s">
        <v>753</v>
      </c>
      <c r="O3954" s="14">
        <v>70.0</v>
      </c>
      <c r="P3954" s="23">
        <v>0.4181</v>
      </c>
      <c r="Q3954" s="22" t="str">
        <f>"+18.36%"</f>
        <v>+18.36%</v>
      </c>
      <c r="R3954" s="18" t="str">
        <f>"-7.62%"</f>
        <v>-7.62%</v>
      </c>
      <c r="S3954" s="14" t="s">
        <v>1510</v>
      </c>
    </row>
    <row r="3955">
      <c r="A3955" s="13">
        <v>45901.0</v>
      </c>
      <c r="B3955" s="14" t="s">
        <v>47</v>
      </c>
      <c r="C3955" s="14" t="s">
        <v>48</v>
      </c>
      <c r="D3955" s="14" t="s">
        <v>136</v>
      </c>
      <c r="E3955" s="14" t="s">
        <v>137</v>
      </c>
      <c r="F3955" s="15" t="s">
        <v>51</v>
      </c>
      <c r="G3955" s="14" t="s">
        <v>138</v>
      </c>
      <c r="H3955" s="14" t="s">
        <v>139</v>
      </c>
      <c r="I3955" s="14" t="s">
        <v>59</v>
      </c>
      <c r="J3955" s="14" t="s">
        <v>200</v>
      </c>
      <c r="K3955" s="14" t="s">
        <v>224</v>
      </c>
      <c r="L3955" s="14" t="s">
        <v>253</v>
      </c>
      <c r="M3955" s="14" t="s">
        <v>952</v>
      </c>
      <c r="N3955" s="14" t="s">
        <v>953</v>
      </c>
      <c r="O3955" s="14">
        <v>100.0</v>
      </c>
      <c r="P3955" s="23">
        <v>1.0</v>
      </c>
      <c r="Q3955" s="22" t="str">
        <f>"+0.00%"</f>
        <v>+0.00%</v>
      </c>
      <c r="R3955" s="18" t="str">
        <f>"+40.00%"</f>
        <v>+40.00%</v>
      </c>
      <c r="S3955" s="14" t="s">
        <v>2176</v>
      </c>
    </row>
    <row r="3956">
      <c r="A3956" s="13">
        <v>45901.0</v>
      </c>
      <c r="B3956" s="14" t="s">
        <v>47</v>
      </c>
      <c r="C3956" s="14" t="s">
        <v>48</v>
      </c>
      <c r="D3956" s="14" t="s">
        <v>149</v>
      </c>
      <c r="E3956" s="14" t="s">
        <v>150</v>
      </c>
      <c r="F3956" s="15" t="s">
        <v>51</v>
      </c>
      <c r="G3956" s="14" t="s">
        <v>151</v>
      </c>
      <c r="H3956" s="14" t="s">
        <v>152</v>
      </c>
      <c r="I3956" s="14" t="s">
        <v>54</v>
      </c>
      <c r="J3956" s="14" t="s">
        <v>200</v>
      </c>
      <c r="K3956" s="14" t="s">
        <v>231</v>
      </c>
      <c r="L3956" s="14" t="s">
        <v>751</v>
      </c>
      <c r="M3956" s="14" t="s">
        <v>872</v>
      </c>
      <c r="N3956" s="14" t="s">
        <v>873</v>
      </c>
      <c r="O3956" s="14">
        <v>0.0</v>
      </c>
      <c r="P3956" s="21">
        <v>0.0</v>
      </c>
      <c r="Q3956" s="22" t="str">
        <f t="shared" ref="Q3956:R3956" si="2354">"+0"</f>
        <v>+0</v>
      </c>
      <c r="R3956" s="18" t="str">
        <f t="shared" si="2354"/>
        <v>+0</v>
      </c>
      <c r="S3956" s="14" t="s">
        <v>260</v>
      </c>
    </row>
    <row r="3957">
      <c r="A3957" s="13">
        <v>45901.0</v>
      </c>
      <c r="B3957" s="14" t="s">
        <v>47</v>
      </c>
      <c r="C3957" s="14" t="s">
        <v>48</v>
      </c>
      <c r="D3957" s="14" t="s">
        <v>69</v>
      </c>
      <c r="E3957" s="14" t="s">
        <v>70</v>
      </c>
      <c r="F3957" s="15" t="s">
        <v>51</v>
      </c>
      <c r="G3957" s="14" t="s">
        <v>115</v>
      </c>
      <c r="H3957" s="14" t="s">
        <v>72</v>
      </c>
      <c r="I3957" s="14" t="s">
        <v>54</v>
      </c>
      <c r="J3957" s="14" t="s">
        <v>199</v>
      </c>
      <c r="K3957" s="14" t="s">
        <v>206</v>
      </c>
      <c r="L3957" s="14" t="s">
        <v>531</v>
      </c>
      <c r="M3957" s="14" t="s">
        <v>531</v>
      </c>
      <c r="N3957" s="14" t="s">
        <v>532</v>
      </c>
      <c r="O3957" s="14">
        <v>90.0</v>
      </c>
      <c r="P3957" s="21">
        <v>4.0</v>
      </c>
      <c r="Q3957" s="22" t="str">
        <f t="shared" ref="Q3957:R3957" si="2355">"+0"</f>
        <v>+0</v>
      </c>
      <c r="R3957" s="18" t="str">
        <f t="shared" si="2355"/>
        <v>+0</v>
      </c>
      <c r="S3957" s="14" t="s">
        <v>260</v>
      </c>
    </row>
    <row r="3958">
      <c r="A3958" s="13">
        <v>45901.0</v>
      </c>
      <c r="B3958" s="14" t="s">
        <v>47</v>
      </c>
      <c r="C3958" s="14" t="s">
        <v>48</v>
      </c>
      <c r="D3958" s="14" t="s">
        <v>96</v>
      </c>
      <c r="E3958" s="14" t="s">
        <v>97</v>
      </c>
      <c r="F3958" s="15" t="s">
        <v>51</v>
      </c>
      <c r="G3958" s="14" t="s">
        <v>98</v>
      </c>
      <c r="H3958" s="14" t="s">
        <v>96</v>
      </c>
      <c r="I3958" s="14" t="s">
        <v>59</v>
      </c>
      <c r="J3958" s="14" t="s">
        <v>200</v>
      </c>
      <c r="K3958" s="14" t="s">
        <v>223</v>
      </c>
      <c r="L3958" s="14" t="s">
        <v>487</v>
      </c>
      <c r="M3958" s="14" t="s">
        <v>962</v>
      </c>
      <c r="N3958" s="14" t="s">
        <v>963</v>
      </c>
      <c r="O3958" s="14">
        <v>0.0</v>
      </c>
      <c r="P3958" s="23">
        <v>0.0</v>
      </c>
      <c r="Q3958" s="22" t="str">
        <f t="shared" ref="Q3958:R3958" si="2356">"+0.00%"</f>
        <v>+0.00%</v>
      </c>
      <c r="R3958" s="18" t="str">
        <f t="shared" si="2356"/>
        <v>+0.00%</v>
      </c>
      <c r="S3958" s="14" t="s">
        <v>285</v>
      </c>
    </row>
    <row r="3959">
      <c r="A3959" s="13">
        <v>45901.0</v>
      </c>
      <c r="B3959" s="14" t="s">
        <v>47</v>
      </c>
      <c r="C3959" s="14" t="s">
        <v>48</v>
      </c>
      <c r="D3959" s="14" t="s">
        <v>96</v>
      </c>
      <c r="E3959" s="14" t="s">
        <v>97</v>
      </c>
      <c r="F3959" s="15" t="s">
        <v>51</v>
      </c>
      <c r="G3959" s="14" t="s">
        <v>98</v>
      </c>
      <c r="H3959" s="14" t="s">
        <v>96</v>
      </c>
      <c r="I3959" s="14" t="s">
        <v>59</v>
      </c>
      <c r="J3959" s="14" t="s">
        <v>198</v>
      </c>
      <c r="K3959" s="14" t="s">
        <v>205</v>
      </c>
      <c r="L3959" s="14" t="s">
        <v>274</v>
      </c>
      <c r="M3959" s="14" t="s">
        <v>696</v>
      </c>
      <c r="N3959" s="14" t="s">
        <v>697</v>
      </c>
      <c r="O3959" s="14">
        <v>100.0</v>
      </c>
      <c r="P3959" s="21">
        <v>1.0</v>
      </c>
      <c r="Q3959" s="22" t="str">
        <f>"+0"</f>
        <v>+0</v>
      </c>
      <c r="S3959" s="14" t="s">
        <v>281</v>
      </c>
    </row>
    <row r="3960">
      <c r="A3960" s="13">
        <v>45901.0</v>
      </c>
      <c r="B3960" s="14" t="s">
        <v>47</v>
      </c>
      <c r="C3960" s="14" t="s">
        <v>48</v>
      </c>
      <c r="D3960" s="14" t="s">
        <v>158</v>
      </c>
      <c r="E3960" s="14" t="s">
        <v>159</v>
      </c>
      <c r="F3960" s="15" t="s">
        <v>51</v>
      </c>
      <c r="G3960" s="14" t="s">
        <v>160</v>
      </c>
      <c r="H3960" s="14" t="s">
        <v>158</v>
      </c>
      <c r="I3960" s="14" t="s">
        <v>54</v>
      </c>
      <c r="J3960" s="14" t="s">
        <v>200</v>
      </c>
      <c r="K3960" s="14" t="s">
        <v>224</v>
      </c>
      <c r="L3960" s="14" t="s">
        <v>964</v>
      </c>
      <c r="M3960" s="14" t="s">
        <v>965</v>
      </c>
      <c r="N3960" s="14" t="s">
        <v>966</v>
      </c>
      <c r="O3960" s="14">
        <v>0.0</v>
      </c>
      <c r="P3960" s="17"/>
      <c r="Q3960" s="22"/>
      <c r="S3960" s="14" t="s">
        <v>2177</v>
      </c>
    </row>
    <row r="3961">
      <c r="A3961" s="13">
        <v>45901.0</v>
      </c>
      <c r="B3961" s="14" t="s">
        <v>47</v>
      </c>
      <c r="C3961" s="14" t="s">
        <v>48</v>
      </c>
      <c r="D3961" s="14" t="s">
        <v>108</v>
      </c>
      <c r="E3961" s="14" t="s">
        <v>109</v>
      </c>
      <c r="F3961" s="15" t="s">
        <v>51</v>
      </c>
      <c r="G3961" s="14" t="s">
        <v>110</v>
      </c>
      <c r="H3961" s="14" t="s">
        <v>108</v>
      </c>
      <c r="I3961" s="14" t="s">
        <v>59</v>
      </c>
      <c r="J3961" s="14" t="s">
        <v>200</v>
      </c>
      <c r="K3961" s="14" t="s">
        <v>209</v>
      </c>
      <c r="L3961" s="14" t="s">
        <v>253</v>
      </c>
      <c r="M3961" s="14" t="s">
        <v>402</v>
      </c>
      <c r="N3961" s="14" t="s">
        <v>403</v>
      </c>
      <c r="O3961" s="14">
        <v>0.0</v>
      </c>
      <c r="P3961" s="23">
        <v>0.0</v>
      </c>
      <c r="Q3961" s="22" t="str">
        <f t="shared" ref="Q3961:R3961" si="2357">"+0.00%"</f>
        <v>+0.00%</v>
      </c>
      <c r="R3961" s="18" t="str">
        <f t="shared" si="2357"/>
        <v>+0.00%</v>
      </c>
      <c r="S3961" s="14" t="s">
        <v>2178</v>
      </c>
    </row>
    <row r="3962">
      <c r="A3962" s="13">
        <v>45901.0</v>
      </c>
      <c r="B3962" s="14" t="s">
        <v>47</v>
      </c>
      <c r="C3962" s="14" t="s">
        <v>48</v>
      </c>
      <c r="D3962" s="14" t="s">
        <v>108</v>
      </c>
      <c r="E3962" s="14" t="s">
        <v>109</v>
      </c>
      <c r="F3962" s="15" t="s">
        <v>51</v>
      </c>
      <c r="G3962" s="14" t="s">
        <v>110</v>
      </c>
      <c r="H3962" s="14" t="s">
        <v>108</v>
      </c>
      <c r="I3962" s="14" t="s">
        <v>59</v>
      </c>
      <c r="J3962" s="14" t="s">
        <v>200</v>
      </c>
      <c r="K3962" s="14" t="s">
        <v>233</v>
      </c>
      <c r="L3962" s="14" t="s">
        <v>292</v>
      </c>
      <c r="M3962" s="14" t="s">
        <v>2179</v>
      </c>
      <c r="N3962" s="14" t="s">
        <v>2180</v>
      </c>
      <c r="O3962" s="14">
        <v>0.0</v>
      </c>
      <c r="P3962" s="21">
        <v>0.0</v>
      </c>
      <c r="Q3962" s="22" t="str">
        <f>"+0"</f>
        <v>+0</v>
      </c>
      <c r="S3962" s="14" t="s">
        <v>260</v>
      </c>
    </row>
    <row r="3963">
      <c r="A3963" s="13">
        <v>45901.0</v>
      </c>
      <c r="B3963" s="14" t="s">
        <v>47</v>
      </c>
      <c r="C3963" s="14" t="s">
        <v>48</v>
      </c>
      <c r="D3963" s="14" t="s">
        <v>174</v>
      </c>
      <c r="E3963" s="14" t="s">
        <v>175</v>
      </c>
      <c r="F3963" s="15" t="s">
        <v>51</v>
      </c>
      <c r="G3963" s="14" t="s">
        <v>176</v>
      </c>
      <c r="H3963" s="14" t="s">
        <v>174</v>
      </c>
      <c r="I3963" s="14" t="s">
        <v>59</v>
      </c>
      <c r="J3963" s="14" t="s">
        <v>200</v>
      </c>
      <c r="K3963" s="14" t="s">
        <v>213</v>
      </c>
      <c r="L3963" s="14" t="s">
        <v>307</v>
      </c>
      <c r="M3963" s="14" t="s">
        <v>1176</v>
      </c>
      <c r="N3963" s="14" t="s">
        <v>1177</v>
      </c>
      <c r="O3963" s="14">
        <v>0.0</v>
      </c>
      <c r="P3963" s="23">
        <v>0.0</v>
      </c>
      <c r="Q3963" s="22" t="str">
        <f t="shared" ref="Q3963:R3963" si="2358">"+0.00%"</f>
        <v>+0.00%</v>
      </c>
      <c r="R3963" s="18" t="str">
        <f t="shared" si="2358"/>
        <v>+0.00%</v>
      </c>
      <c r="S3963" s="14" t="s">
        <v>285</v>
      </c>
    </row>
    <row r="3964">
      <c r="A3964" s="13">
        <v>45901.0</v>
      </c>
      <c r="B3964" s="14" t="s">
        <v>47</v>
      </c>
      <c r="C3964" s="14" t="s">
        <v>48</v>
      </c>
      <c r="D3964" s="14" t="s">
        <v>77</v>
      </c>
      <c r="E3964" s="14" t="s">
        <v>78</v>
      </c>
      <c r="F3964" s="15" t="s">
        <v>51</v>
      </c>
      <c r="G3964" s="14" t="s">
        <v>128</v>
      </c>
      <c r="H3964" s="14" t="s">
        <v>81</v>
      </c>
      <c r="I3964" s="14" t="s">
        <v>59</v>
      </c>
      <c r="J3964" s="14" t="s">
        <v>198</v>
      </c>
      <c r="K3964" s="14" t="s">
        <v>205</v>
      </c>
      <c r="L3964" s="14" t="s">
        <v>274</v>
      </c>
      <c r="M3964" s="14" t="s">
        <v>636</v>
      </c>
      <c r="N3964" s="14" t="s">
        <v>637</v>
      </c>
      <c r="O3964" s="14">
        <v>0.0</v>
      </c>
      <c r="P3964" s="21">
        <v>0.0</v>
      </c>
      <c r="Q3964" s="22" t="str">
        <f t="shared" ref="Q3964:Q3967" si="2359">"+0"</f>
        <v>+0</v>
      </c>
      <c r="S3964" s="14" t="s">
        <v>281</v>
      </c>
    </row>
    <row r="3965">
      <c r="A3965" s="13">
        <v>45901.0</v>
      </c>
      <c r="B3965" s="14" t="s">
        <v>47</v>
      </c>
      <c r="C3965" s="14" t="s">
        <v>48</v>
      </c>
      <c r="D3965" s="14" t="s">
        <v>174</v>
      </c>
      <c r="E3965" s="14" t="s">
        <v>175</v>
      </c>
      <c r="F3965" s="15" t="s">
        <v>51</v>
      </c>
      <c r="G3965" s="14" t="s">
        <v>176</v>
      </c>
      <c r="H3965" s="14" t="s">
        <v>174</v>
      </c>
      <c r="I3965" s="14" t="s">
        <v>59</v>
      </c>
      <c r="J3965" s="14" t="s">
        <v>198</v>
      </c>
      <c r="K3965" s="14" t="s">
        <v>210</v>
      </c>
      <c r="L3965" s="14" t="s">
        <v>278</v>
      </c>
      <c r="M3965" s="14" t="s">
        <v>279</v>
      </c>
      <c r="N3965" s="14" t="s">
        <v>280</v>
      </c>
      <c r="O3965" s="14">
        <v>100.0</v>
      </c>
      <c r="P3965" s="21">
        <v>0.0</v>
      </c>
      <c r="Q3965" s="22" t="str">
        <f t="shared" si="2359"/>
        <v>+0</v>
      </c>
      <c r="R3965" s="18" t="str">
        <f t="shared" ref="R3965:R3967" si="2360">"+0"</f>
        <v>+0</v>
      </c>
      <c r="S3965" s="14" t="s">
        <v>281</v>
      </c>
    </row>
    <row r="3966">
      <c r="A3966" s="13">
        <v>45901.0</v>
      </c>
      <c r="B3966" s="14" t="s">
        <v>47</v>
      </c>
      <c r="C3966" s="14" t="s">
        <v>48</v>
      </c>
      <c r="D3966" s="14" t="s">
        <v>108</v>
      </c>
      <c r="E3966" s="14" t="s">
        <v>109</v>
      </c>
      <c r="F3966" s="15" t="s">
        <v>51</v>
      </c>
      <c r="G3966" s="14" t="s">
        <v>110</v>
      </c>
      <c r="H3966" s="14" t="s">
        <v>108</v>
      </c>
      <c r="I3966" s="14" t="s">
        <v>59</v>
      </c>
      <c r="J3966" s="14" t="s">
        <v>199</v>
      </c>
      <c r="K3966" s="14" t="s">
        <v>206</v>
      </c>
      <c r="L3966" s="14" t="s">
        <v>515</v>
      </c>
      <c r="M3966" s="14" t="s">
        <v>515</v>
      </c>
      <c r="N3966" s="14" t="s">
        <v>516</v>
      </c>
      <c r="O3966" s="14">
        <v>0.0</v>
      </c>
      <c r="P3966" s="21">
        <v>0.0</v>
      </c>
      <c r="Q3966" s="22" t="str">
        <f t="shared" si="2359"/>
        <v>+0</v>
      </c>
      <c r="R3966" s="18" t="str">
        <f t="shared" si="2360"/>
        <v>+0</v>
      </c>
      <c r="S3966" s="14" t="s">
        <v>383</v>
      </c>
    </row>
    <row r="3967">
      <c r="A3967" s="13">
        <v>45901.0</v>
      </c>
      <c r="B3967" s="14" t="s">
        <v>47</v>
      </c>
      <c r="C3967" s="14" t="s">
        <v>48</v>
      </c>
      <c r="D3967" s="14" t="s">
        <v>181</v>
      </c>
      <c r="E3967" s="14" t="s">
        <v>182</v>
      </c>
      <c r="F3967" s="15" t="s">
        <v>51</v>
      </c>
      <c r="G3967" s="14" t="s">
        <v>183</v>
      </c>
      <c r="H3967" s="14" t="s">
        <v>181</v>
      </c>
      <c r="I3967" s="14" t="s">
        <v>59</v>
      </c>
      <c r="J3967" s="14" t="s">
        <v>199</v>
      </c>
      <c r="K3967" s="14" t="s">
        <v>206</v>
      </c>
      <c r="L3967" s="14" t="s">
        <v>381</v>
      </c>
      <c r="M3967" s="14" t="s">
        <v>381</v>
      </c>
      <c r="N3967" s="14" t="s">
        <v>382</v>
      </c>
      <c r="O3967" s="14">
        <v>0.0</v>
      </c>
      <c r="P3967" s="21">
        <v>0.0</v>
      </c>
      <c r="Q3967" s="22" t="str">
        <f t="shared" si="2359"/>
        <v>+0</v>
      </c>
      <c r="R3967" s="18" t="str">
        <f t="shared" si="2360"/>
        <v>+0</v>
      </c>
      <c r="S3967" s="14" t="s">
        <v>383</v>
      </c>
    </row>
    <row r="3968">
      <c r="A3968" s="13">
        <v>45901.0</v>
      </c>
      <c r="B3968" s="14" t="s">
        <v>47</v>
      </c>
      <c r="C3968" s="14" t="s">
        <v>48</v>
      </c>
      <c r="D3968" s="14" t="s">
        <v>56</v>
      </c>
      <c r="E3968" s="14" t="s">
        <v>57</v>
      </c>
      <c r="F3968" s="15" t="s">
        <v>51</v>
      </c>
      <c r="G3968" s="14" t="s">
        <v>58</v>
      </c>
      <c r="H3968" s="14" t="s">
        <v>56</v>
      </c>
      <c r="I3968" s="14" t="s">
        <v>59</v>
      </c>
      <c r="J3968" s="14" t="s">
        <v>200</v>
      </c>
      <c r="K3968" s="14" t="s">
        <v>223</v>
      </c>
      <c r="L3968" s="14" t="s">
        <v>883</v>
      </c>
      <c r="M3968" s="14" t="s">
        <v>884</v>
      </c>
      <c r="N3968" s="14" t="s">
        <v>885</v>
      </c>
      <c r="O3968" s="14">
        <v>100.0</v>
      </c>
      <c r="P3968" s="23">
        <v>0.4</v>
      </c>
      <c r="Q3968" s="22" t="str">
        <f>"+0.00%"</f>
        <v>+0.00%</v>
      </c>
      <c r="R3968" s="18" t="str">
        <f>"-5.83%"</f>
        <v>-5.83%</v>
      </c>
      <c r="S3968" s="14" t="s">
        <v>285</v>
      </c>
    </row>
    <row r="3969">
      <c r="A3969" s="13">
        <v>45901.0</v>
      </c>
      <c r="B3969" s="14" t="s">
        <v>47</v>
      </c>
      <c r="C3969" s="14" t="s">
        <v>48</v>
      </c>
      <c r="D3969" s="14" t="s">
        <v>168</v>
      </c>
      <c r="E3969" s="14" t="s">
        <v>169</v>
      </c>
      <c r="F3969" s="15" t="s">
        <v>51</v>
      </c>
      <c r="G3969" s="14" t="s">
        <v>170</v>
      </c>
      <c r="H3969" s="14" t="s">
        <v>168</v>
      </c>
      <c r="I3969" s="14" t="s">
        <v>59</v>
      </c>
      <c r="J3969" s="14" t="s">
        <v>198</v>
      </c>
      <c r="K3969" s="14" t="s">
        <v>205</v>
      </c>
      <c r="L3969" s="14" t="s">
        <v>274</v>
      </c>
      <c r="M3969" s="14" t="s">
        <v>738</v>
      </c>
      <c r="N3969" s="14" t="s">
        <v>739</v>
      </c>
      <c r="O3969" s="14">
        <v>0.0</v>
      </c>
      <c r="P3969" s="21">
        <v>0.0</v>
      </c>
      <c r="Q3969" s="22" t="str">
        <f>"+0"</f>
        <v>+0</v>
      </c>
      <c r="S3969" s="14" t="s">
        <v>281</v>
      </c>
    </row>
    <row r="3970">
      <c r="A3970" s="13">
        <v>45901.0</v>
      </c>
      <c r="B3970" s="14" t="s">
        <v>47</v>
      </c>
      <c r="C3970" s="14" t="s">
        <v>48</v>
      </c>
      <c r="D3970" s="14" t="s">
        <v>168</v>
      </c>
      <c r="E3970" s="14" t="s">
        <v>169</v>
      </c>
      <c r="F3970" s="15" t="s">
        <v>51</v>
      </c>
      <c r="G3970" s="14" t="s">
        <v>170</v>
      </c>
      <c r="H3970" s="14" t="s">
        <v>168</v>
      </c>
      <c r="I3970" s="14" t="s">
        <v>59</v>
      </c>
      <c r="J3970" s="14" t="s">
        <v>200</v>
      </c>
      <c r="K3970" s="14" t="s">
        <v>227</v>
      </c>
      <c r="L3970" s="14" t="s">
        <v>721</v>
      </c>
      <c r="M3970" s="14" t="s">
        <v>748</v>
      </c>
      <c r="N3970" s="14" t="s">
        <v>749</v>
      </c>
      <c r="O3970" s="14">
        <v>0.0</v>
      </c>
      <c r="P3970" s="23">
        <v>-1.0</v>
      </c>
      <c r="Q3970" s="22" t="str">
        <f t="shared" ref="Q3970:R3970" si="2361">"+0.00%"</f>
        <v>+0.00%</v>
      </c>
      <c r="R3970" s="18" t="str">
        <f t="shared" si="2361"/>
        <v>+0.00%</v>
      </c>
      <c r="S3970" s="14" t="s">
        <v>750</v>
      </c>
    </row>
    <row r="3971">
      <c r="A3971" s="13">
        <v>45901.0</v>
      </c>
      <c r="B3971" s="14" t="s">
        <v>47</v>
      </c>
      <c r="C3971" s="14" t="s">
        <v>48</v>
      </c>
      <c r="D3971" s="14" t="s">
        <v>155</v>
      </c>
      <c r="E3971" s="14" t="s">
        <v>156</v>
      </c>
      <c r="F3971" s="15" t="s">
        <v>51</v>
      </c>
      <c r="G3971" s="14" t="s">
        <v>157</v>
      </c>
      <c r="H3971" s="14" t="s">
        <v>155</v>
      </c>
      <c r="I3971" s="14" t="s">
        <v>59</v>
      </c>
      <c r="J3971" s="14" t="s">
        <v>198</v>
      </c>
      <c r="K3971" s="14" t="s">
        <v>205</v>
      </c>
      <c r="L3971" s="14" t="s">
        <v>274</v>
      </c>
      <c r="M3971" s="14" t="s">
        <v>275</v>
      </c>
      <c r="N3971" s="14" t="s">
        <v>276</v>
      </c>
      <c r="O3971" s="14">
        <v>0.0</v>
      </c>
      <c r="P3971" s="21">
        <v>1.0</v>
      </c>
      <c r="Q3971" s="22" t="str">
        <f>"+0"</f>
        <v>+0</v>
      </c>
      <c r="S3971" s="14" t="s">
        <v>277</v>
      </c>
    </row>
    <row r="3972">
      <c r="A3972" s="13">
        <v>45901.0</v>
      </c>
      <c r="B3972" s="14" t="s">
        <v>47</v>
      </c>
      <c r="C3972" s="14" t="s">
        <v>48</v>
      </c>
      <c r="D3972" s="14" t="s">
        <v>181</v>
      </c>
      <c r="E3972" s="14" t="s">
        <v>182</v>
      </c>
      <c r="F3972" s="15" t="s">
        <v>51</v>
      </c>
      <c r="G3972" s="14" t="s">
        <v>183</v>
      </c>
      <c r="H3972" s="14" t="s">
        <v>181</v>
      </c>
      <c r="I3972" s="14" t="s">
        <v>59</v>
      </c>
      <c r="J3972" s="14" t="s">
        <v>200</v>
      </c>
      <c r="K3972" s="14" t="s">
        <v>232</v>
      </c>
      <c r="L3972" s="14" t="s">
        <v>286</v>
      </c>
      <c r="M3972" s="14" t="s">
        <v>1199</v>
      </c>
      <c r="N3972" s="14" t="s">
        <v>1200</v>
      </c>
      <c r="O3972" s="14">
        <v>0.0</v>
      </c>
      <c r="P3972" s="23">
        <v>0.0</v>
      </c>
      <c r="Q3972" s="22" t="str">
        <f t="shared" ref="Q3972:R3972" si="2362">"+0.00%"</f>
        <v>+0.00%</v>
      </c>
      <c r="R3972" s="18" t="str">
        <f t="shared" si="2362"/>
        <v>+0.00%</v>
      </c>
      <c r="S3972" s="14" t="s">
        <v>285</v>
      </c>
    </row>
    <row r="3973">
      <c r="A3973" s="13">
        <v>45901.0</v>
      </c>
      <c r="B3973" s="14" t="s">
        <v>47</v>
      </c>
      <c r="C3973" s="14" t="s">
        <v>48</v>
      </c>
      <c r="D3973" s="14" t="s">
        <v>60</v>
      </c>
      <c r="E3973" s="14" t="s">
        <v>61</v>
      </c>
      <c r="F3973" s="15" t="s">
        <v>51</v>
      </c>
      <c r="G3973" s="14" t="s">
        <v>62</v>
      </c>
      <c r="H3973" s="14" t="s">
        <v>60</v>
      </c>
      <c r="I3973" s="14" t="s">
        <v>59</v>
      </c>
      <c r="J3973" s="14" t="s">
        <v>200</v>
      </c>
      <c r="K3973" s="14" t="s">
        <v>223</v>
      </c>
      <c r="L3973" s="14" t="s">
        <v>304</v>
      </c>
      <c r="M3973" s="14" t="s">
        <v>305</v>
      </c>
      <c r="N3973" s="14" t="s">
        <v>306</v>
      </c>
      <c r="O3973" s="14">
        <v>0.0</v>
      </c>
      <c r="P3973" s="21">
        <v>0.0</v>
      </c>
      <c r="Q3973" s="22" t="str">
        <f t="shared" ref="Q3973:R3973" si="2363">"+0"</f>
        <v>+0</v>
      </c>
      <c r="R3973" s="18" t="str">
        <f t="shared" si="2363"/>
        <v>+0</v>
      </c>
      <c r="S3973" s="14" t="s">
        <v>260</v>
      </c>
    </row>
    <row r="3974">
      <c r="A3974" s="13">
        <v>45901.0</v>
      </c>
      <c r="B3974" s="14" t="s">
        <v>47</v>
      </c>
      <c r="C3974" s="14" t="s">
        <v>48</v>
      </c>
      <c r="D3974" s="14" t="s">
        <v>49</v>
      </c>
      <c r="E3974" s="14" t="s">
        <v>50</v>
      </c>
      <c r="F3974" s="15" t="s">
        <v>51</v>
      </c>
      <c r="G3974" s="14" t="s">
        <v>52</v>
      </c>
      <c r="H3974" s="14" t="s">
        <v>53</v>
      </c>
      <c r="I3974" s="14" t="s">
        <v>54</v>
      </c>
      <c r="J3974" s="14" t="s">
        <v>200</v>
      </c>
      <c r="K3974" s="14" t="s">
        <v>224</v>
      </c>
      <c r="L3974" s="14" t="s">
        <v>427</v>
      </c>
      <c r="M3974" s="14" t="s">
        <v>925</v>
      </c>
      <c r="N3974" s="14" t="s">
        <v>926</v>
      </c>
      <c r="O3974" s="14">
        <v>66.0</v>
      </c>
      <c r="P3974" s="23">
        <v>0.6667</v>
      </c>
      <c r="Q3974" s="22" t="str">
        <f>"+16.67%"</f>
        <v>+16.67%</v>
      </c>
      <c r="R3974" s="18" t="str">
        <f>"-4.76%"</f>
        <v>-4.76%</v>
      </c>
      <c r="S3974" s="14" t="s">
        <v>927</v>
      </c>
    </row>
    <row r="3975">
      <c r="A3975" s="13">
        <v>45901.0</v>
      </c>
      <c r="B3975" s="14" t="s">
        <v>47</v>
      </c>
      <c r="C3975" s="14" t="s">
        <v>48</v>
      </c>
      <c r="D3975" s="14" t="s">
        <v>49</v>
      </c>
      <c r="E3975" s="14" t="s">
        <v>50</v>
      </c>
      <c r="F3975" s="15" t="s">
        <v>51</v>
      </c>
      <c r="G3975" s="14" t="s">
        <v>52</v>
      </c>
      <c r="H3975" s="14" t="s">
        <v>53</v>
      </c>
      <c r="I3975" s="14" t="s">
        <v>54</v>
      </c>
      <c r="J3975" s="14" t="s">
        <v>200</v>
      </c>
      <c r="K3975" s="14" t="s">
        <v>224</v>
      </c>
      <c r="L3975" s="14" t="s">
        <v>392</v>
      </c>
      <c r="M3975" s="14" t="s">
        <v>1424</v>
      </c>
      <c r="N3975" s="14" t="s">
        <v>1425</v>
      </c>
      <c r="O3975" s="14">
        <v>0.0</v>
      </c>
      <c r="P3975" s="23">
        <v>0.0</v>
      </c>
      <c r="Q3975" s="22" t="str">
        <f t="shared" ref="Q3975:R3975" si="2364">"+0.00%"</f>
        <v>+0.00%</v>
      </c>
      <c r="R3975" s="18" t="str">
        <f t="shared" si="2364"/>
        <v>+0.00%</v>
      </c>
      <c r="S3975" s="14" t="s">
        <v>2181</v>
      </c>
    </row>
    <row r="3976">
      <c r="A3976" s="13">
        <v>45901.0</v>
      </c>
      <c r="B3976" s="14" t="s">
        <v>47</v>
      </c>
      <c r="C3976" s="14" t="s">
        <v>48</v>
      </c>
      <c r="D3976" s="14" t="s">
        <v>91</v>
      </c>
      <c r="E3976" s="14" t="s">
        <v>92</v>
      </c>
      <c r="F3976" s="14" t="s">
        <v>71</v>
      </c>
      <c r="G3976" s="14">
        <v>7295600.0</v>
      </c>
      <c r="H3976" s="14" t="s">
        <v>91</v>
      </c>
      <c r="I3976" s="14" t="s">
        <v>54</v>
      </c>
      <c r="J3976" s="14" t="s">
        <v>199</v>
      </c>
      <c r="K3976" s="14" t="s">
        <v>206</v>
      </c>
      <c r="L3976" s="14" t="s">
        <v>295</v>
      </c>
      <c r="M3976" s="14" t="s">
        <v>986</v>
      </c>
      <c r="N3976" s="14" t="s">
        <v>987</v>
      </c>
      <c r="O3976" s="14">
        <v>0.0</v>
      </c>
      <c r="P3976" s="21">
        <v>0.0</v>
      </c>
      <c r="Q3976" s="22" t="str">
        <f t="shared" ref="Q3976:R3976" si="2365">"-6"</f>
        <v>-6</v>
      </c>
      <c r="R3976" s="18" t="str">
        <f t="shared" si="2365"/>
        <v>-6</v>
      </c>
      <c r="S3976" s="14" t="s">
        <v>260</v>
      </c>
    </row>
    <row r="3977">
      <c r="A3977" s="13">
        <v>45901.0</v>
      </c>
      <c r="B3977" s="14" t="s">
        <v>47</v>
      </c>
      <c r="C3977" s="14" t="s">
        <v>48</v>
      </c>
      <c r="D3977" s="14" t="s">
        <v>91</v>
      </c>
      <c r="E3977" s="14" t="s">
        <v>92</v>
      </c>
      <c r="F3977" s="14" t="s">
        <v>71</v>
      </c>
      <c r="G3977" s="14">
        <v>5.00008343E8</v>
      </c>
      <c r="H3977" s="14" t="s">
        <v>91</v>
      </c>
      <c r="I3977" s="14" t="s">
        <v>59</v>
      </c>
      <c r="J3977" s="14" t="s">
        <v>199</v>
      </c>
      <c r="K3977" s="14" t="s">
        <v>203</v>
      </c>
      <c r="L3977" s="14" t="s">
        <v>736</v>
      </c>
      <c r="M3977" s="14" t="s">
        <v>736</v>
      </c>
      <c r="N3977" s="14" t="s">
        <v>737</v>
      </c>
      <c r="O3977" s="14">
        <v>100.0</v>
      </c>
      <c r="P3977" s="21">
        <v>5.0</v>
      </c>
      <c r="Q3977" s="22" t="str">
        <f t="shared" ref="Q3977:R3977" si="2366">"+0"</f>
        <v>+0</v>
      </c>
      <c r="R3977" s="18" t="str">
        <f t="shared" si="2366"/>
        <v>+0</v>
      </c>
      <c r="S3977" s="14" t="s">
        <v>260</v>
      </c>
    </row>
    <row r="3978">
      <c r="A3978" s="13">
        <v>45901.0</v>
      </c>
      <c r="B3978" s="14" t="s">
        <v>47</v>
      </c>
      <c r="C3978" s="14" t="s">
        <v>48</v>
      </c>
      <c r="D3978" s="14" t="s">
        <v>91</v>
      </c>
      <c r="E3978" s="14" t="s">
        <v>92</v>
      </c>
      <c r="F3978" s="14" t="s">
        <v>79</v>
      </c>
      <c r="G3978" s="14" t="s">
        <v>164</v>
      </c>
      <c r="H3978" s="14" t="s">
        <v>91</v>
      </c>
      <c r="I3978" s="14" t="s">
        <v>154</v>
      </c>
      <c r="J3978" s="14" t="s">
        <v>200</v>
      </c>
      <c r="K3978" s="14" t="s">
        <v>237</v>
      </c>
      <c r="L3978" s="14" t="s">
        <v>333</v>
      </c>
      <c r="M3978" s="14" t="s">
        <v>1238</v>
      </c>
      <c r="N3978" s="14" t="s">
        <v>1239</v>
      </c>
      <c r="O3978" s="14">
        <v>50.0</v>
      </c>
      <c r="P3978" s="23">
        <v>0.0</v>
      </c>
      <c r="Q3978" s="22" t="str">
        <f>"+0.00%"</f>
        <v>+0.00%</v>
      </c>
      <c r="R3978" s="18" t="str">
        <f>"+100.00%"</f>
        <v>+100.00%</v>
      </c>
      <c r="S3978" s="14" t="s">
        <v>336</v>
      </c>
    </row>
    <row r="3979">
      <c r="A3979" s="13">
        <v>45901.0</v>
      </c>
      <c r="B3979" s="14" t="s">
        <v>47</v>
      </c>
      <c r="C3979" s="14" t="s">
        <v>48</v>
      </c>
      <c r="D3979" s="14" t="s">
        <v>184</v>
      </c>
      <c r="E3979" s="14" t="s">
        <v>185</v>
      </c>
      <c r="F3979" s="15" t="s">
        <v>51</v>
      </c>
      <c r="G3979" s="14" t="s">
        <v>186</v>
      </c>
      <c r="H3979" s="14" t="s">
        <v>187</v>
      </c>
      <c r="I3979" s="14" t="s">
        <v>59</v>
      </c>
      <c r="J3979" s="14" t="s">
        <v>200</v>
      </c>
      <c r="K3979" s="14" t="s">
        <v>224</v>
      </c>
      <c r="L3979" s="14" t="s">
        <v>453</v>
      </c>
      <c r="M3979" s="14" t="s">
        <v>716</v>
      </c>
      <c r="N3979" s="14" t="s">
        <v>717</v>
      </c>
      <c r="O3979" s="14">
        <v>0.0</v>
      </c>
      <c r="P3979" s="17"/>
      <c r="Q3979" s="22"/>
      <c r="S3979" s="14" t="s">
        <v>718</v>
      </c>
    </row>
    <row r="3980">
      <c r="A3980" s="13">
        <v>45901.0</v>
      </c>
      <c r="B3980" s="14" t="s">
        <v>47</v>
      </c>
      <c r="C3980" s="14" t="s">
        <v>48</v>
      </c>
      <c r="D3980" s="14" t="s">
        <v>192</v>
      </c>
      <c r="E3980" s="14" t="s">
        <v>193</v>
      </c>
      <c r="F3980" s="15" t="s">
        <v>51</v>
      </c>
      <c r="G3980" s="14" t="s">
        <v>194</v>
      </c>
      <c r="H3980" s="14" t="s">
        <v>192</v>
      </c>
      <c r="I3980" s="14" t="s">
        <v>54</v>
      </c>
      <c r="J3980" s="14" t="s">
        <v>198</v>
      </c>
      <c r="K3980" s="14" t="s">
        <v>210</v>
      </c>
      <c r="L3980" s="14" t="s">
        <v>264</v>
      </c>
      <c r="M3980" s="14" t="s">
        <v>407</v>
      </c>
      <c r="N3980" s="14" t="s">
        <v>408</v>
      </c>
      <c r="O3980" s="14">
        <v>0.0</v>
      </c>
      <c r="P3980" s="21">
        <v>70528.0</v>
      </c>
      <c r="Q3980" s="22" t="str">
        <f>"-11,487"</f>
        <v>-11,487</v>
      </c>
      <c r="R3980" s="18" t="str">
        <f>"+10,251"</f>
        <v>+10,251</v>
      </c>
      <c r="S3980" s="14" t="s">
        <v>2182</v>
      </c>
    </row>
    <row r="3981">
      <c r="A3981" s="13">
        <v>45901.0</v>
      </c>
      <c r="B3981" s="14" t="s">
        <v>47</v>
      </c>
      <c r="C3981" s="14" t="s">
        <v>48</v>
      </c>
      <c r="D3981" s="14" t="s">
        <v>132</v>
      </c>
      <c r="E3981" s="14" t="s">
        <v>133</v>
      </c>
      <c r="F3981" s="15" t="s">
        <v>51</v>
      </c>
      <c r="G3981" s="14" t="s">
        <v>134</v>
      </c>
      <c r="H3981" s="14" t="s">
        <v>135</v>
      </c>
      <c r="I3981" s="14" t="s">
        <v>59</v>
      </c>
      <c r="J3981" s="14" t="s">
        <v>200</v>
      </c>
      <c r="K3981" s="14" t="s">
        <v>213</v>
      </c>
      <c r="L3981" s="14" t="s">
        <v>307</v>
      </c>
      <c r="M3981" s="14" t="s">
        <v>502</v>
      </c>
      <c r="N3981" s="14" t="s">
        <v>503</v>
      </c>
      <c r="O3981" s="14">
        <v>0.0</v>
      </c>
      <c r="P3981" s="23">
        <v>0.0</v>
      </c>
      <c r="Q3981" s="22" t="str">
        <f t="shared" ref="Q3981:R3981" si="2367">"+0.00%"</f>
        <v>+0.00%</v>
      </c>
      <c r="R3981" s="18" t="str">
        <f t="shared" si="2367"/>
        <v>+0.00%</v>
      </c>
      <c r="S3981" s="14" t="s">
        <v>1583</v>
      </c>
    </row>
    <row r="3982">
      <c r="A3982" s="13">
        <v>45901.0</v>
      </c>
      <c r="B3982" s="14" t="s">
        <v>47</v>
      </c>
      <c r="C3982" s="14" t="s">
        <v>48</v>
      </c>
      <c r="D3982" s="14" t="s">
        <v>103</v>
      </c>
      <c r="E3982" s="14" t="s">
        <v>104</v>
      </c>
      <c r="F3982" s="15" t="s">
        <v>51</v>
      </c>
      <c r="G3982" s="14" t="s">
        <v>105</v>
      </c>
      <c r="H3982" s="14" t="s">
        <v>106</v>
      </c>
      <c r="I3982" s="14" t="s">
        <v>59</v>
      </c>
      <c r="J3982" s="14" t="s">
        <v>200</v>
      </c>
      <c r="K3982" s="14" t="s">
        <v>232</v>
      </c>
      <c r="L3982" s="14" t="s">
        <v>253</v>
      </c>
      <c r="M3982" s="14" t="s">
        <v>552</v>
      </c>
      <c r="N3982" s="14" t="s">
        <v>553</v>
      </c>
      <c r="O3982" s="14">
        <v>10.0</v>
      </c>
      <c r="P3982" s="23">
        <v>0.1061</v>
      </c>
      <c r="Q3982" s="22" t="str">
        <f>"+0.01%"</f>
        <v>+0.01%</v>
      </c>
      <c r="R3982" s="18" t="str">
        <f>"+1.45%"</f>
        <v>+1.45%</v>
      </c>
      <c r="S3982" s="14" t="s">
        <v>1906</v>
      </c>
    </row>
    <row r="3983">
      <c r="A3983" s="13">
        <v>45901.0</v>
      </c>
      <c r="B3983" s="14" t="s">
        <v>47</v>
      </c>
      <c r="C3983" s="14" t="s">
        <v>48</v>
      </c>
      <c r="D3983" s="14" t="s">
        <v>73</v>
      </c>
      <c r="E3983" s="14" t="s">
        <v>74</v>
      </c>
      <c r="F3983" s="15" t="s">
        <v>51</v>
      </c>
      <c r="G3983" s="14" t="s">
        <v>75</v>
      </c>
      <c r="H3983" s="14" t="s">
        <v>76</v>
      </c>
      <c r="I3983" s="14" t="s">
        <v>59</v>
      </c>
      <c r="J3983" s="14" t="s">
        <v>200</v>
      </c>
      <c r="K3983" s="14" t="s">
        <v>232</v>
      </c>
      <c r="L3983" s="14" t="s">
        <v>607</v>
      </c>
      <c r="M3983" s="14" t="s">
        <v>886</v>
      </c>
      <c r="N3983" s="14" t="s">
        <v>887</v>
      </c>
      <c r="O3983" s="14">
        <v>0.0</v>
      </c>
      <c r="P3983" s="23">
        <v>0.0</v>
      </c>
      <c r="Q3983" s="22" t="str">
        <f t="shared" ref="Q3983:R3983" si="2368">"+0.00%"</f>
        <v>+0.00%</v>
      </c>
      <c r="R3983" s="18" t="str">
        <f t="shared" si="2368"/>
        <v>+0.00%</v>
      </c>
      <c r="S3983" s="14" t="s">
        <v>2183</v>
      </c>
    </row>
    <row r="3984">
      <c r="A3984" s="13">
        <v>45901.0</v>
      </c>
      <c r="B3984" s="14" t="s">
        <v>47</v>
      </c>
      <c r="C3984" s="14" t="s">
        <v>48</v>
      </c>
      <c r="D3984" s="14" t="s">
        <v>87</v>
      </c>
      <c r="E3984" s="14" t="s">
        <v>88</v>
      </c>
      <c r="F3984" s="15" t="s">
        <v>51</v>
      </c>
      <c r="G3984" s="14" t="s">
        <v>89</v>
      </c>
      <c r="H3984" s="14" t="s">
        <v>90</v>
      </c>
      <c r="I3984" s="14" t="s">
        <v>59</v>
      </c>
      <c r="J3984" s="14" t="s">
        <v>199</v>
      </c>
      <c r="K3984" s="14" t="s">
        <v>206</v>
      </c>
      <c r="L3984" s="14" t="s">
        <v>531</v>
      </c>
      <c r="M3984" s="14" t="s">
        <v>531</v>
      </c>
      <c r="N3984" s="14" t="s">
        <v>532</v>
      </c>
      <c r="O3984" s="14">
        <v>75.0</v>
      </c>
      <c r="P3984" s="21">
        <v>1.0</v>
      </c>
      <c r="Q3984" s="22" t="str">
        <f t="shared" ref="Q3984:R3984" si="2369">"+0"</f>
        <v>+0</v>
      </c>
      <c r="R3984" s="18" t="str">
        <f t="shared" si="2369"/>
        <v>+0</v>
      </c>
      <c r="S3984" s="14" t="s">
        <v>260</v>
      </c>
    </row>
    <row r="3985">
      <c r="A3985" s="13">
        <v>45901.0</v>
      </c>
      <c r="B3985" s="14" t="s">
        <v>47</v>
      </c>
      <c r="C3985" s="14" t="s">
        <v>48</v>
      </c>
      <c r="D3985" s="14" t="s">
        <v>87</v>
      </c>
      <c r="E3985" s="14" t="s">
        <v>88</v>
      </c>
      <c r="F3985" s="15" t="s">
        <v>51</v>
      </c>
      <c r="G3985" s="14" t="s">
        <v>89</v>
      </c>
      <c r="H3985" s="14" t="s">
        <v>90</v>
      </c>
      <c r="I3985" s="14" t="s">
        <v>59</v>
      </c>
      <c r="J3985" s="14" t="s">
        <v>199</v>
      </c>
      <c r="K3985" s="14" t="s">
        <v>206</v>
      </c>
      <c r="L3985" s="14" t="s">
        <v>295</v>
      </c>
      <c r="M3985" s="14" t="s">
        <v>651</v>
      </c>
      <c r="N3985" s="14" t="s">
        <v>652</v>
      </c>
      <c r="O3985" s="14">
        <v>0.0</v>
      </c>
      <c r="P3985" s="21">
        <v>0.0</v>
      </c>
      <c r="Q3985" s="22" t="str">
        <f t="shared" ref="Q3985:R3985" si="2370">"+0"</f>
        <v>+0</v>
      </c>
      <c r="R3985" s="18" t="str">
        <f t="shared" si="2370"/>
        <v>+0</v>
      </c>
      <c r="S3985" s="14" t="s">
        <v>260</v>
      </c>
    </row>
    <row r="3986">
      <c r="A3986" s="13">
        <v>45901.0</v>
      </c>
      <c r="B3986" s="14" t="s">
        <v>47</v>
      </c>
      <c r="C3986" s="14" t="s">
        <v>48</v>
      </c>
      <c r="D3986" s="14" t="s">
        <v>149</v>
      </c>
      <c r="E3986" s="14" t="s">
        <v>150</v>
      </c>
      <c r="F3986" s="15" t="s">
        <v>51</v>
      </c>
      <c r="G3986" s="14" t="s">
        <v>151</v>
      </c>
      <c r="H3986" s="14" t="s">
        <v>152</v>
      </c>
      <c r="I3986" s="14" t="s">
        <v>54</v>
      </c>
      <c r="J3986" s="14" t="s">
        <v>200</v>
      </c>
      <c r="K3986" s="14" t="s">
        <v>231</v>
      </c>
      <c r="L3986" s="14" t="s">
        <v>512</v>
      </c>
      <c r="M3986" s="14" t="s">
        <v>1481</v>
      </c>
      <c r="N3986" s="14" t="s">
        <v>1482</v>
      </c>
      <c r="O3986" s="14">
        <v>0.0</v>
      </c>
      <c r="P3986" s="21">
        <v>0.0</v>
      </c>
      <c r="Q3986" s="22" t="str">
        <f t="shared" ref="Q3986:R3986" si="2371">"+0"</f>
        <v>+0</v>
      </c>
      <c r="R3986" s="18" t="str">
        <f t="shared" si="2371"/>
        <v>+0</v>
      </c>
      <c r="S3986" s="14" t="s">
        <v>260</v>
      </c>
    </row>
    <row r="3987">
      <c r="A3987" s="13">
        <v>45901.0</v>
      </c>
      <c r="B3987" s="14" t="s">
        <v>47</v>
      </c>
      <c r="C3987" s="14" t="s">
        <v>48</v>
      </c>
      <c r="D3987" s="14" t="s">
        <v>149</v>
      </c>
      <c r="E3987" s="14" t="s">
        <v>150</v>
      </c>
      <c r="F3987" s="15" t="s">
        <v>51</v>
      </c>
      <c r="G3987" s="14" t="s">
        <v>151</v>
      </c>
      <c r="H3987" s="14" t="s">
        <v>152</v>
      </c>
      <c r="I3987" s="14" t="s">
        <v>54</v>
      </c>
      <c r="J3987" s="14" t="s">
        <v>200</v>
      </c>
      <c r="K3987" s="14" t="s">
        <v>211</v>
      </c>
      <c r="L3987" s="14" t="s">
        <v>991</v>
      </c>
      <c r="M3987" s="14" t="s">
        <v>992</v>
      </c>
      <c r="N3987" s="14" t="s">
        <v>993</v>
      </c>
      <c r="O3987" s="14">
        <v>7.0</v>
      </c>
      <c r="P3987" s="23">
        <v>-0.845</v>
      </c>
      <c r="Q3987" s="22" t="str">
        <f>"-18.51%"</f>
        <v>-18.51%</v>
      </c>
      <c r="R3987" s="18" t="str">
        <f>"-135.58%"</f>
        <v>-135.58%</v>
      </c>
      <c r="S3987" s="14" t="s">
        <v>2184</v>
      </c>
    </row>
    <row r="3988">
      <c r="A3988" s="13">
        <v>45901.0</v>
      </c>
      <c r="B3988" s="14" t="s">
        <v>47</v>
      </c>
      <c r="C3988" s="14" t="s">
        <v>48</v>
      </c>
      <c r="D3988" s="14" t="s">
        <v>129</v>
      </c>
      <c r="E3988" s="14" t="s">
        <v>130</v>
      </c>
      <c r="F3988" s="15" t="s">
        <v>51</v>
      </c>
      <c r="G3988" s="14" t="s">
        <v>131</v>
      </c>
      <c r="H3988" s="14" t="s">
        <v>129</v>
      </c>
      <c r="I3988" s="14" t="s">
        <v>59</v>
      </c>
      <c r="J3988" s="14" t="s">
        <v>200</v>
      </c>
      <c r="K3988" s="14" t="s">
        <v>231</v>
      </c>
      <c r="L3988" s="14" t="s">
        <v>751</v>
      </c>
      <c r="M3988" s="14" t="s">
        <v>1926</v>
      </c>
      <c r="N3988" s="14" t="s">
        <v>1927</v>
      </c>
      <c r="O3988" s="14">
        <v>0.0</v>
      </c>
      <c r="P3988" s="21">
        <v>0.0</v>
      </c>
      <c r="Q3988" s="22" t="str">
        <f t="shared" ref="Q3988:R3988" si="2372">"+0"</f>
        <v>+0</v>
      </c>
      <c r="R3988" s="18" t="str">
        <f t="shared" si="2372"/>
        <v>+0</v>
      </c>
      <c r="S3988" s="14" t="s">
        <v>260</v>
      </c>
    </row>
    <row r="3989">
      <c r="A3989" s="13">
        <v>45901.0</v>
      </c>
      <c r="B3989" s="14" t="s">
        <v>47</v>
      </c>
      <c r="C3989" s="14" t="s">
        <v>48</v>
      </c>
      <c r="D3989" s="14" t="s">
        <v>149</v>
      </c>
      <c r="E3989" s="14" t="s">
        <v>150</v>
      </c>
      <c r="F3989" s="15" t="s">
        <v>51</v>
      </c>
      <c r="G3989" s="14" t="s">
        <v>151</v>
      </c>
      <c r="H3989" s="14" t="s">
        <v>152</v>
      </c>
      <c r="I3989" s="14" t="s">
        <v>54</v>
      </c>
      <c r="J3989" s="14" t="s">
        <v>198</v>
      </c>
      <c r="K3989" s="14" t="s">
        <v>210</v>
      </c>
      <c r="L3989" s="14" t="s">
        <v>505</v>
      </c>
      <c r="M3989" s="14" t="s">
        <v>746</v>
      </c>
      <c r="N3989" s="14" t="s">
        <v>747</v>
      </c>
      <c r="O3989" s="14">
        <v>0.0</v>
      </c>
      <c r="P3989" s="21">
        <v>0.0</v>
      </c>
      <c r="Q3989" s="22" t="str">
        <f t="shared" ref="Q3989:R3989" si="2373">"+0"</f>
        <v>+0</v>
      </c>
      <c r="R3989" s="18" t="str">
        <f t="shared" si="2373"/>
        <v>+0</v>
      </c>
      <c r="S3989" s="14" t="s">
        <v>277</v>
      </c>
    </row>
    <row r="3990">
      <c r="A3990" s="13">
        <v>45901.0</v>
      </c>
      <c r="B3990" s="14" t="s">
        <v>47</v>
      </c>
      <c r="C3990" s="14" t="s">
        <v>48</v>
      </c>
      <c r="D3990" s="14" t="s">
        <v>69</v>
      </c>
      <c r="E3990" s="14" t="s">
        <v>70</v>
      </c>
      <c r="F3990" s="15" t="s">
        <v>51</v>
      </c>
      <c r="G3990" s="14" t="s">
        <v>115</v>
      </c>
      <c r="H3990" s="14" t="s">
        <v>72</v>
      </c>
      <c r="I3990" s="14" t="s">
        <v>54</v>
      </c>
      <c r="J3990" s="14" t="s">
        <v>199</v>
      </c>
      <c r="K3990" s="14" t="s">
        <v>206</v>
      </c>
      <c r="L3990" s="14" t="s">
        <v>295</v>
      </c>
      <c r="M3990" s="14" t="s">
        <v>461</v>
      </c>
      <c r="N3990" s="14" t="s">
        <v>462</v>
      </c>
      <c r="O3990" s="14">
        <v>0.0</v>
      </c>
      <c r="P3990" s="21">
        <v>0.0</v>
      </c>
      <c r="Q3990" s="22" t="str">
        <f t="shared" ref="Q3990:R3990" si="2374">"+0"</f>
        <v>+0</v>
      </c>
      <c r="R3990" s="18" t="str">
        <f t="shared" si="2374"/>
        <v>+0</v>
      </c>
      <c r="S3990" s="14" t="s">
        <v>260</v>
      </c>
    </row>
    <row r="3991">
      <c r="A3991" s="13">
        <v>45901.0</v>
      </c>
      <c r="B3991" s="14" t="s">
        <v>47</v>
      </c>
      <c r="C3991" s="14" t="s">
        <v>48</v>
      </c>
      <c r="D3991" s="14" t="s">
        <v>69</v>
      </c>
      <c r="E3991" s="14" t="s">
        <v>70</v>
      </c>
      <c r="F3991" s="15" t="s">
        <v>51</v>
      </c>
      <c r="G3991" s="14" t="s">
        <v>115</v>
      </c>
      <c r="H3991" s="14" t="s">
        <v>72</v>
      </c>
      <c r="I3991" s="14" t="s">
        <v>54</v>
      </c>
      <c r="J3991" s="14" t="s">
        <v>199</v>
      </c>
      <c r="K3991" s="14" t="s">
        <v>203</v>
      </c>
      <c r="L3991" s="14" t="s">
        <v>679</v>
      </c>
      <c r="M3991" s="14" t="s">
        <v>679</v>
      </c>
      <c r="N3991" s="14" t="s">
        <v>680</v>
      </c>
      <c r="O3991" s="14">
        <v>100.0</v>
      </c>
      <c r="P3991" s="21">
        <v>1.0</v>
      </c>
      <c r="Q3991" s="22" t="str">
        <f t="shared" ref="Q3991:R3991" si="2375">"+0"</f>
        <v>+0</v>
      </c>
      <c r="R3991" s="18" t="str">
        <f t="shared" si="2375"/>
        <v>+0</v>
      </c>
      <c r="S3991" s="14" t="s">
        <v>260</v>
      </c>
    </row>
    <row r="3992">
      <c r="A3992" s="13">
        <v>45901.0</v>
      </c>
      <c r="B3992" s="14" t="s">
        <v>47</v>
      </c>
      <c r="C3992" s="14" t="s">
        <v>48</v>
      </c>
      <c r="D3992" s="14" t="s">
        <v>85</v>
      </c>
      <c r="E3992" s="14" t="s">
        <v>86</v>
      </c>
      <c r="F3992" s="15" t="s">
        <v>51</v>
      </c>
      <c r="G3992" s="14" t="s">
        <v>148</v>
      </c>
      <c r="H3992" s="14" t="s">
        <v>85</v>
      </c>
      <c r="I3992" s="14" t="s">
        <v>59</v>
      </c>
      <c r="J3992" s="14" t="s">
        <v>199</v>
      </c>
      <c r="K3992" s="14" t="s">
        <v>206</v>
      </c>
      <c r="L3992" s="14" t="s">
        <v>295</v>
      </c>
      <c r="M3992" s="14" t="s">
        <v>651</v>
      </c>
      <c r="N3992" s="14" t="s">
        <v>652</v>
      </c>
      <c r="O3992" s="14">
        <v>0.0</v>
      </c>
      <c r="P3992" s="21">
        <v>0.0</v>
      </c>
      <c r="Q3992" s="22" t="str">
        <f t="shared" ref="Q3992:R3992" si="2376">"+0"</f>
        <v>+0</v>
      </c>
      <c r="R3992" s="18" t="str">
        <f t="shared" si="2376"/>
        <v>+0</v>
      </c>
      <c r="S3992" s="14" t="s">
        <v>260</v>
      </c>
    </row>
    <row r="3993">
      <c r="A3993" s="13">
        <v>45901.0</v>
      </c>
      <c r="B3993" s="14" t="s">
        <v>47</v>
      </c>
      <c r="C3993" s="14" t="s">
        <v>48</v>
      </c>
      <c r="D3993" s="14" t="s">
        <v>116</v>
      </c>
      <c r="E3993" s="14" t="s">
        <v>117</v>
      </c>
      <c r="F3993" s="15" t="s">
        <v>51</v>
      </c>
      <c r="G3993" s="14" t="s">
        <v>161</v>
      </c>
      <c r="H3993" s="14" t="s">
        <v>116</v>
      </c>
      <c r="I3993" s="14" t="s">
        <v>54</v>
      </c>
      <c r="J3993" s="14" t="s">
        <v>200</v>
      </c>
      <c r="K3993" s="14" t="s">
        <v>211</v>
      </c>
      <c r="L3993" s="14" t="s">
        <v>253</v>
      </c>
      <c r="M3993" s="14" t="s">
        <v>2185</v>
      </c>
      <c r="N3993" s="14" t="s">
        <v>2186</v>
      </c>
      <c r="O3993" s="14">
        <v>0.0</v>
      </c>
      <c r="P3993" s="23">
        <v>0.0</v>
      </c>
      <c r="Q3993" s="22" t="str">
        <f t="shared" ref="Q3993:R3993" si="2377">"+0.00%"</f>
        <v>+0.00%</v>
      </c>
      <c r="R3993" s="18" t="str">
        <f t="shared" si="2377"/>
        <v>+0.00%</v>
      </c>
      <c r="S3993" s="14" t="s">
        <v>2187</v>
      </c>
    </row>
    <row r="3994">
      <c r="A3994" s="13">
        <v>45901.0</v>
      </c>
      <c r="B3994" s="14" t="s">
        <v>47</v>
      </c>
      <c r="C3994" s="14" t="s">
        <v>48</v>
      </c>
      <c r="D3994" s="14" t="s">
        <v>108</v>
      </c>
      <c r="E3994" s="14" t="s">
        <v>109</v>
      </c>
      <c r="F3994" s="15" t="s">
        <v>51</v>
      </c>
      <c r="G3994" s="14" t="s">
        <v>110</v>
      </c>
      <c r="H3994" s="14" t="s">
        <v>108</v>
      </c>
      <c r="I3994" s="14" t="s">
        <v>59</v>
      </c>
      <c r="J3994" s="14" t="s">
        <v>200</v>
      </c>
      <c r="K3994" s="14" t="s">
        <v>233</v>
      </c>
      <c r="L3994" s="14" t="s">
        <v>292</v>
      </c>
      <c r="M3994" s="14" t="s">
        <v>2188</v>
      </c>
      <c r="N3994" s="14" t="s">
        <v>2189</v>
      </c>
      <c r="O3994" s="14">
        <v>0.0</v>
      </c>
      <c r="P3994" s="21">
        <v>0.0</v>
      </c>
      <c r="Q3994" s="22" t="str">
        <f>"+0"</f>
        <v>+0</v>
      </c>
      <c r="S3994" s="14" t="s">
        <v>260</v>
      </c>
    </row>
    <row r="3995">
      <c r="A3995" s="13">
        <v>45901.0</v>
      </c>
      <c r="B3995" s="14" t="s">
        <v>47</v>
      </c>
      <c r="C3995" s="14" t="s">
        <v>48</v>
      </c>
      <c r="D3995" s="14" t="s">
        <v>112</v>
      </c>
      <c r="E3995" s="14" t="s">
        <v>113</v>
      </c>
      <c r="F3995" s="15" t="s">
        <v>51</v>
      </c>
      <c r="G3995" s="14" t="s">
        <v>114</v>
      </c>
      <c r="H3995" s="14" t="s">
        <v>112</v>
      </c>
      <c r="I3995" s="14" t="s">
        <v>59</v>
      </c>
      <c r="J3995" s="14" t="s">
        <v>200</v>
      </c>
      <c r="K3995" s="14" t="s">
        <v>213</v>
      </c>
      <c r="L3995" s="14" t="s">
        <v>440</v>
      </c>
      <c r="M3995" s="14" t="s">
        <v>441</v>
      </c>
      <c r="N3995" s="14" t="s">
        <v>442</v>
      </c>
      <c r="O3995" s="14">
        <v>0.0</v>
      </c>
      <c r="P3995" s="23">
        <v>0.0</v>
      </c>
      <c r="Q3995" s="22" t="str">
        <f t="shared" ref="Q3995:R3995" si="2378">"+0.00%"</f>
        <v>+0.00%</v>
      </c>
      <c r="R3995" s="18" t="str">
        <f t="shared" si="2378"/>
        <v>+0.00%</v>
      </c>
      <c r="S3995" s="14" t="s">
        <v>285</v>
      </c>
    </row>
    <row r="3996">
      <c r="A3996" s="13">
        <v>45901.0</v>
      </c>
      <c r="B3996" s="14" t="s">
        <v>47</v>
      </c>
      <c r="C3996" s="14" t="s">
        <v>48</v>
      </c>
      <c r="D3996" s="14" t="s">
        <v>116</v>
      </c>
      <c r="E3996" s="14" t="s">
        <v>117</v>
      </c>
      <c r="F3996" s="15" t="s">
        <v>51</v>
      </c>
      <c r="G3996" s="14" t="s">
        <v>161</v>
      </c>
      <c r="H3996" s="14" t="s">
        <v>116</v>
      </c>
      <c r="I3996" s="14" t="s">
        <v>54</v>
      </c>
      <c r="J3996" s="14" t="s">
        <v>198</v>
      </c>
      <c r="K3996" s="14" t="s">
        <v>205</v>
      </c>
      <c r="L3996" s="14" t="s">
        <v>274</v>
      </c>
      <c r="M3996" s="14" t="s">
        <v>636</v>
      </c>
      <c r="N3996" s="14" t="s">
        <v>637</v>
      </c>
      <c r="O3996" s="14">
        <v>0.0</v>
      </c>
      <c r="P3996" s="21">
        <v>0.0</v>
      </c>
      <c r="Q3996" s="22" t="str">
        <f>"+0"</f>
        <v>+0</v>
      </c>
      <c r="S3996" s="14" t="s">
        <v>281</v>
      </c>
    </row>
    <row r="3997">
      <c r="A3997" s="13">
        <v>45901.0</v>
      </c>
      <c r="B3997" s="14" t="s">
        <v>47</v>
      </c>
      <c r="C3997" s="14" t="s">
        <v>48</v>
      </c>
      <c r="D3997" s="14" t="s">
        <v>77</v>
      </c>
      <c r="E3997" s="14" t="s">
        <v>78</v>
      </c>
      <c r="F3997" s="14" t="s">
        <v>79</v>
      </c>
      <c r="G3997" s="14" t="s">
        <v>80</v>
      </c>
      <c r="H3997" s="14" t="s">
        <v>81</v>
      </c>
      <c r="J3997" s="14" t="s">
        <v>200</v>
      </c>
      <c r="K3997" s="14" t="s">
        <v>237</v>
      </c>
      <c r="L3997" s="14" t="s">
        <v>333</v>
      </c>
      <c r="M3997" s="14" t="s">
        <v>1190</v>
      </c>
      <c r="N3997" s="14" t="s">
        <v>1191</v>
      </c>
      <c r="O3997" s="14">
        <v>84.0</v>
      </c>
      <c r="P3997" s="23">
        <v>0.6949</v>
      </c>
      <c r="Q3997" s="22" t="str">
        <f>"-30.51%"</f>
        <v>-30.51%</v>
      </c>
      <c r="R3997" s="18" t="str">
        <f>"+169.49%"</f>
        <v>+169.49%</v>
      </c>
      <c r="S3997" s="14" t="s">
        <v>336</v>
      </c>
    </row>
    <row r="3998">
      <c r="A3998" s="13">
        <v>45901.0</v>
      </c>
      <c r="B3998" s="14" t="s">
        <v>47</v>
      </c>
      <c r="C3998" s="14" t="s">
        <v>48</v>
      </c>
      <c r="D3998" s="14" t="s">
        <v>174</v>
      </c>
      <c r="E3998" s="14" t="s">
        <v>175</v>
      </c>
      <c r="F3998" s="15" t="s">
        <v>51</v>
      </c>
      <c r="G3998" s="14" t="s">
        <v>176</v>
      </c>
      <c r="H3998" s="14" t="s">
        <v>174</v>
      </c>
      <c r="I3998" s="14" t="s">
        <v>59</v>
      </c>
      <c r="J3998" s="14" t="s">
        <v>200</v>
      </c>
      <c r="K3998" s="14" t="s">
        <v>213</v>
      </c>
      <c r="L3998" s="14" t="s">
        <v>257</v>
      </c>
      <c r="M3998" s="14" t="s">
        <v>258</v>
      </c>
      <c r="N3998" s="14" t="s">
        <v>259</v>
      </c>
      <c r="O3998" s="14">
        <v>100.0</v>
      </c>
      <c r="P3998" s="21">
        <v>37.0</v>
      </c>
      <c r="Q3998" s="22" t="str">
        <f t="shared" ref="Q3998:R3998" si="2379">"+0"</f>
        <v>+0</v>
      </c>
      <c r="R3998" s="18" t="str">
        <f t="shared" si="2379"/>
        <v>+0</v>
      </c>
      <c r="S3998" s="14" t="s">
        <v>260</v>
      </c>
    </row>
    <row r="3999">
      <c r="A3999" s="13">
        <v>45901.0</v>
      </c>
      <c r="B3999" s="14" t="s">
        <v>47</v>
      </c>
      <c r="C3999" s="14" t="s">
        <v>48</v>
      </c>
      <c r="D3999" s="14" t="s">
        <v>174</v>
      </c>
      <c r="E3999" s="14" t="s">
        <v>175</v>
      </c>
      <c r="F3999" s="15" t="s">
        <v>51</v>
      </c>
      <c r="G3999" s="14" t="s">
        <v>176</v>
      </c>
      <c r="H3999" s="14" t="s">
        <v>174</v>
      </c>
      <c r="I3999" s="14" t="s">
        <v>59</v>
      </c>
      <c r="J3999" s="14" t="s">
        <v>198</v>
      </c>
      <c r="K3999" s="14" t="s">
        <v>205</v>
      </c>
      <c r="L3999" s="14" t="s">
        <v>274</v>
      </c>
      <c r="M3999" s="14" t="s">
        <v>425</v>
      </c>
      <c r="N3999" s="14" t="s">
        <v>426</v>
      </c>
      <c r="O3999" s="14">
        <v>0.0</v>
      </c>
      <c r="P3999" s="21">
        <v>0.0</v>
      </c>
      <c r="Q3999" s="22" t="str">
        <f>"+0"</f>
        <v>+0</v>
      </c>
      <c r="S3999" s="14" t="s">
        <v>281</v>
      </c>
    </row>
    <row r="4000">
      <c r="A4000" s="13">
        <v>45901.0</v>
      </c>
      <c r="B4000" s="14" t="s">
        <v>47</v>
      </c>
      <c r="C4000" s="14" t="s">
        <v>48</v>
      </c>
      <c r="D4000" s="14" t="s">
        <v>108</v>
      </c>
      <c r="E4000" s="14" t="s">
        <v>109</v>
      </c>
      <c r="F4000" s="14" t="s">
        <v>79</v>
      </c>
      <c r="G4000" s="14" t="s">
        <v>153</v>
      </c>
      <c r="H4000" s="14" t="s">
        <v>108</v>
      </c>
      <c r="I4000" s="14" t="s">
        <v>154</v>
      </c>
      <c r="J4000" s="14" t="s">
        <v>200</v>
      </c>
      <c r="K4000" s="14" t="s">
        <v>238</v>
      </c>
      <c r="L4000" s="14" t="s">
        <v>253</v>
      </c>
      <c r="M4000" s="14" t="s">
        <v>1591</v>
      </c>
      <c r="N4000" s="14" t="s">
        <v>1592</v>
      </c>
      <c r="O4000" s="14">
        <v>0.0</v>
      </c>
      <c r="P4000" s="23">
        <v>0.0</v>
      </c>
      <c r="Q4000" s="22" t="str">
        <f>"+0.00%"</f>
        <v>+0.00%</v>
      </c>
      <c r="S4000" s="14" t="s">
        <v>1552</v>
      </c>
    </row>
    <row r="4001">
      <c r="A4001" s="13">
        <v>45901.0</v>
      </c>
      <c r="B4001" s="14" t="s">
        <v>47</v>
      </c>
      <c r="C4001" s="14" t="s">
        <v>48</v>
      </c>
      <c r="D4001" s="14" t="s">
        <v>112</v>
      </c>
      <c r="E4001" s="14" t="s">
        <v>113</v>
      </c>
      <c r="F4001" s="15" t="s">
        <v>51</v>
      </c>
      <c r="G4001" s="14" t="s">
        <v>114</v>
      </c>
      <c r="H4001" s="14" t="s">
        <v>112</v>
      </c>
      <c r="I4001" s="14" t="s">
        <v>59</v>
      </c>
      <c r="J4001" s="14" t="s">
        <v>198</v>
      </c>
      <c r="K4001" s="14" t="s">
        <v>205</v>
      </c>
      <c r="L4001" s="14" t="s">
        <v>274</v>
      </c>
      <c r="M4001" s="14" t="s">
        <v>451</v>
      </c>
      <c r="N4001" s="14" t="s">
        <v>452</v>
      </c>
      <c r="O4001" s="14">
        <v>0.0</v>
      </c>
      <c r="P4001" s="21">
        <v>0.0</v>
      </c>
      <c r="Q4001" s="22" t="str">
        <f>"+0"</f>
        <v>+0</v>
      </c>
      <c r="S4001" s="14" t="s">
        <v>281</v>
      </c>
    </row>
    <row r="4002">
      <c r="A4002" s="13">
        <v>45901.0</v>
      </c>
      <c r="B4002" s="14" t="s">
        <v>47</v>
      </c>
      <c r="C4002" s="14" t="s">
        <v>48</v>
      </c>
      <c r="D4002" s="14" t="s">
        <v>108</v>
      </c>
      <c r="E4002" s="14" t="s">
        <v>109</v>
      </c>
      <c r="F4002" s="15" t="s">
        <v>51</v>
      </c>
      <c r="G4002" s="14" t="s">
        <v>110</v>
      </c>
      <c r="H4002" s="14" t="s">
        <v>108</v>
      </c>
      <c r="I4002" s="14" t="s">
        <v>59</v>
      </c>
      <c r="J4002" s="14" t="s">
        <v>200</v>
      </c>
      <c r="K4002" s="14" t="s">
        <v>215</v>
      </c>
      <c r="L4002" s="14" t="s">
        <v>548</v>
      </c>
      <c r="M4002" s="14" t="s">
        <v>1568</v>
      </c>
      <c r="N4002" s="14" t="s">
        <v>1569</v>
      </c>
      <c r="O4002" s="14">
        <v>50.0</v>
      </c>
      <c r="P4002" s="23">
        <v>0.0</v>
      </c>
      <c r="Q4002" s="22" t="str">
        <f t="shared" ref="Q4002:R4002" si="2380">"+100.00%"</f>
        <v>+100.00%</v>
      </c>
      <c r="R4002" s="18" t="str">
        <f t="shared" si="2380"/>
        <v>+100.00%</v>
      </c>
      <c r="S4002" s="14" t="s">
        <v>2190</v>
      </c>
    </row>
    <row r="4003">
      <c r="A4003" s="13">
        <v>45901.0</v>
      </c>
      <c r="B4003" s="14" t="s">
        <v>47</v>
      </c>
      <c r="C4003" s="14" t="s">
        <v>48</v>
      </c>
      <c r="D4003" s="14" t="s">
        <v>112</v>
      </c>
      <c r="E4003" s="14" t="s">
        <v>113</v>
      </c>
      <c r="F4003" s="15" t="s">
        <v>51</v>
      </c>
      <c r="G4003" s="14" t="s">
        <v>114</v>
      </c>
      <c r="H4003" s="14" t="s">
        <v>112</v>
      </c>
      <c r="I4003" s="14" t="s">
        <v>59</v>
      </c>
      <c r="J4003" s="14" t="s">
        <v>198</v>
      </c>
      <c r="K4003" s="14" t="s">
        <v>205</v>
      </c>
      <c r="L4003" s="14" t="s">
        <v>274</v>
      </c>
      <c r="M4003" s="14" t="s">
        <v>636</v>
      </c>
      <c r="N4003" s="14" t="s">
        <v>637</v>
      </c>
      <c r="O4003" s="14">
        <v>0.0</v>
      </c>
      <c r="P4003" s="21">
        <v>0.0</v>
      </c>
      <c r="Q4003" s="22" t="str">
        <f t="shared" ref="Q4003:Q4005" si="2381">"+0"</f>
        <v>+0</v>
      </c>
      <c r="S4003" s="14" t="s">
        <v>281</v>
      </c>
    </row>
    <row r="4004">
      <c r="A4004" s="13">
        <v>45901.0</v>
      </c>
      <c r="B4004" s="14" t="s">
        <v>47</v>
      </c>
      <c r="C4004" s="14" t="s">
        <v>48</v>
      </c>
      <c r="D4004" s="14" t="s">
        <v>121</v>
      </c>
      <c r="E4004" s="14" t="s">
        <v>122</v>
      </c>
      <c r="F4004" s="15" t="s">
        <v>51</v>
      </c>
      <c r="G4004" s="14" t="s">
        <v>123</v>
      </c>
      <c r="H4004" s="14" t="s">
        <v>124</v>
      </c>
      <c r="I4004" s="14" t="s">
        <v>59</v>
      </c>
      <c r="J4004" s="14" t="s">
        <v>198</v>
      </c>
      <c r="K4004" s="14" t="s">
        <v>205</v>
      </c>
      <c r="L4004" s="14" t="s">
        <v>274</v>
      </c>
      <c r="M4004" s="14" t="s">
        <v>696</v>
      </c>
      <c r="N4004" s="14" t="s">
        <v>697</v>
      </c>
      <c r="O4004" s="14">
        <v>100.0</v>
      </c>
      <c r="P4004" s="21">
        <v>1.0</v>
      </c>
      <c r="Q4004" s="22" t="str">
        <f t="shared" si="2381"/>
        <v>+0</v>
      </c>
      <c r="S4004" s="14" t="s">
        <v>281</v>
      </c>
    </row>
    <row r="4005">
      <c r="A4005" s="13">
        <v>45901.0</v>
      </c>
      <c r="B4005" s="14" t="s">
        <v>47</v>
      </c>
      <c r="C4005" s="14" t="s">
        <v>48</v>
      </c>
      <c r="D4005" s="14" t="s">
        <v>140</v>
      </c>
      <c r="E4005" s="14" t="s">
        <v>141</v>
      </c>
      <c r="F4005" s="15" t="s">
        <v>51</v>
      </c>
      <c r="G4005" s="14" t="s">
        <v>142</v>
      </c>
      <c r="H4005" s="14" t="s">
        <v>140</v>
      </c>
      <c r="I4005" s="14" t="s">
        <v>59</v>
      </c>
      <c r="J4005" s="14" t="s">
        <v>198</v>
      </c>
      <c r="K4005" s="14" t="s">
        <v>205</v>
      </c>
      <c r="L4005" s="14" t="s">
        <v>274</v>
      </c>
      <c r="M4005" s="14" t="s">
        <v>387</v>
      </c>
      <c r="N4005" s="14" t="s">
        <v>388</v>
      </c>
      <c r="O4005" s="14">
        <v>0.0</v>
      </c>
      <c r="P4005" s="21">
        <v>0.0</v>
      </c>
      <c r="Q4005" s="22" t="str">
        <f t="shared" si="2381"/>
        <v>+0</v>
      </c>
      <c r="S4005" s="14" t="s">
        <v>281</v>
      </c>
    </row>
    <row r="4006">
      <c r="A4006" s="13">
        <v>45901.0</v>
      </c>
      <c r="B4006" s="14" t="s">
        <v>47</v>
      </c>
      <c r="C4006" s="14" t="s">
        <v>48</v>
      </c>
      <c r="D4006" s="14" t="s">
        <v>60</v>
      </c>
      <c r="E4006" s="14" t="s">
        <v>61</v>
      </c>
      <c r="F4006" s="15" t="s">
        <v>51</v>
      </c>
      <c r="G4006" s="14" t="s">
        <v>62</v>
      </c>
      <c r="H4006" s="14" t="s">
        <v>60</v>
      </c>
      <c r="I4006" s="14" t="s">
        <v>59</v>
      </c>
      <c r="J4006" s="14" t="s">
        <v>200</v>
      </c>
      <c r="K4006" s="14" t="s">
        <v>223</v>
      </c>
      <c r="L4006" s="14" t="s">
        <v>359</v>
      </c>
      <c r="M4006" s="14" t="s">
        <v>360</v>
      </c>
      <c r="N4006" s="14" t="s">
        <v>361</v>
      </c>
      <c r="O4006" s="14">
        <v>0.0</v>
      </c>
      <c r="P4006" s="23">
        <v>0.0</v>
      </c>
      <c r="Q4006" s="22" t="str">
        <f t="shared" ref="Q4006:R4006" si="2382">"+0.00%"</f>
        <v>+0.00%</v>
      </c>
      <c r="R4006" s="18" t="str">
        <f t="shared" si="2382"/>
        <v>+0.00%</v>
      </c>
      <c r="S4006" s="14" t="s">
        <v>2147</v>
      </c>
    </row>
    <row r="4007">
      <c r="A4007" s="13">
        <v>45901.0</v>
      </c>
      <c r="B4007" s="14" t="s">
        <v>47</v>
      </c>
      <c r="C4007" s="14" t="s">
        <v>48</v>
      </c>
      <c r="D4007" s="14" t="s">
        <v>60</v>
      </c>
      <c r="E4007" s="14" t="s">
        <v>61</v>
      </c>
      <c r="F4007" s="15" t="s">
        <v>51</v>
      </c>
      <c r="G4007" s="14" t="s">
        <v>62</v>
      </c>
      <c r="H4007" s="14" t="s">
        <v>60</v>
      </c>
      <c r="I4007" s="14" t="s">
        <v>59</v>
      </c>
      <c r="J4007" s="14" t="s">
        <v>200</v>
      </c>
      <c r="K4007" s="14" t="s">
        <v>216</v>
      </c>
      <c r="L4007" s="14" t="s">
        <v>1870</v>
      </c>
      <c r="M4007" s="14" t="s">
        <v>1871</v>
      </c>
      <c r="N4007" s="14" t="s">
        <v>1872</v>
      </c>
      <c r="O4007" s="14">
        <v>0.0</v>
      </c>
      <c r="P4007" s="21">
        <v>0.0</v>
      </c>
      <c r="Q4007" s="22" t="str">
        <f t="shared" ref="Q4007:R4007" si="2383">"+0"</f>
        <v>+0</v>
      </c>
      <c r="R4007" s="18" t="str">
        <f t="shared" si="2383"/>
        <v>+0</v>
      </c>
      <c r="S4007" s="14" t="s">
        <v>260</v>
      </c>
    </row>
    <row r="4008">
      <c r="A4008" s="13">
        <v>45901.0</v>
      </c>
      <c r="B4008" s="14" t="s">
        <v>47</v>
      </c>
      <c r="C4008" s="14" t="s">
        <v>48</v>
      </c>
      <c r="D4008" s="14" t="s">
        <v>181</v>
      </c>
      <c r="E4008" s="14" t="s">
        <v>182</v>
      </c>
      <c r="F4008" s="15" t="s">
        <v>51</v>
      </c>
      <c r="G4008" s="14" t="s">
        <v>183</v>
      </c>
      <c r="H4008" s="14" t="s">
        <v>181</v>
      </c>
      <c r="I4008" s="14" t="s">
        <v>59</v>
      </c>
      <c r="J4008" s="14" t="s">
        <v>200</v>
      </c>
      <c r="K4008" s="14" t="s">
        <v>232</v>
      </c>
      <c r="L4008" s="14" t="s">
        <v>487</v>
      </c>
      <c r="M4008" s="14" t="s">
        <v>962</v>
      </c>
      <c r="N4008" s="14" t="s">
        <v>963</v>
      </c>
      <c r="O4008" s="14">
        <v>0.0</v>
      </c>
      <c r="P4008" s="23">
        <v>0.0</v>
      </c>
      <c r="Q4008" s="22" t="str">
        <f t="shared" ref="Q4008:R4008" si="2384">"+0.00%"</f>
        <v>+0.00%</v>
      </c>
      <c r="R4008" s="18" t="str">
        <f t="shared" si="2384"/>
        <v>+0.00%</v>
      </c>
      <c r="S4008" s="14" t="s">
        <v>285</v>
      </c>
    </row>
    <row r="4009">
      <c r="A4009" s="13">
        <v>45901.0</v>
      </c>
      <c r="B4009" s="14" t="s">
        <v>47</v>
      </c>
      <c r="C4009" s="14" t="s">
        <v>48</v>
      </c>
      <c r="D4009" s="14" t="s">
        <v>165</v>
      </c>
      <c r="E4009" s="14" t="s">
        <v>166</v>
      </c>
      <c r="F4009" s="15" t="s">
        <v>51</v>
      </c>
      <c r="G4009" s="14" t="s">
        <v>167</v>
      </c>
      <c r="H4009" s="14" t="s">
        <v>165</v>
      </c>
      <c r="I4009" s="14" t="s">
        <v>54</v>
      </c>
      <c r="J4009" s="14" t="s">
        <v>200</v>
      </c>
      <c r="K4009" s="14" t="s">
        <v>228</v>
      </c>
      <c r="L4009" s="14" t="s">
        <v>253</v>
      </c>
      <c r="M4009" s="14" t="s">
        <v>366</v>
      </c>
      <c r="N4009" s="14" t="s">
        <v>367</v>
      </c>
      <c r="O4009" s="14">
        <v>6.0</v>
      </c>
      <c r="P4009" s="23">
        <v>0.066</v>
      </c>
      <c r="Q4009" s="22" t="str">
        <f t="shared" ref="Q4009:R4009" si="2385">"+0.20%"</f>
        <v>+0.20%</v>
      </c>
      <c r="R4009" s="18" t="str">
        <f t="shared" si="2385"/>
        <v>+0.20%</v>
      </c>
      <c r="S4009" s="14" t="s">
        <v>2191</v>
      </c>
    </row>
    <row r="4010">
      <c r="A4010" s="13">
        <v>45901.0</v>
      </c>
      <c r="B4010" s="14" t="s">
        <v>47</v>
      </c>
      <c r="C4010" s="14" t="s">
        <v>48</v>
      </c>
      <c r="D4010" s="14" t="s">
        <v>49</v>
      </c>
      <c r="E4010" s="14" t="s">
        <v>50</v>
      </c>
      <c r="F4010" s="15" t="s">
        <v>51</v>
      </c>
      <c r="G4010" s="14" t="s">
        <v>52</v>
      </c>
      <c r="H4010" s="14" t="s">
        <v>53</v>
      </c>
      <c r="I4010" s="14" t="s">
        <v>54</v>
      </c>
      <c r="J4010" s="14" t="s">
        <v>199</v>
      </c>
      <c r="K4010" s="14" t="s">
        <v>208</v>
      </c>
      <c r="L4010" s="14" t="s">
        <v>352</v>
      </c>
      <c r="M4010" s="14" t="s">
        <v>352</v>
      </c>
      <c r="N4010" s="14" t="s">
        <v>353</v>
      </c>
      <c r="O4010" s="14">
        <v>100.0</v>
      </c>
      <c r="P4010" s="21">
        <v>39.0</v>
      </c>
      <c r="Q4010" s="22" t="str">
        <f t="shared" ref="Q4010:R4010" si="2386">"+0"</f>
        <v>+0</v>
      </c>
      <c r="R4010" s="18" t="str">
        <f t="shared" si="2386"/>
        <v>+0</v>
      </c>
      <c r="S4010" s="14" t="s">
        <v>260</v>
      </c>
    </row>
    <row r="4011">
      <c r="A4011" s="13">
        <v>45901.0</v>
      </c>
      <c r="B4011" s="14" t="s">
        <v>47</v>
      </c>
      <c r="C4011" s="14" t="s">
        <v>48</v>
      </c>
      <c r="D4011" s="14" t="s">
        <v>91</v>
      </c>
      <c r="E4011" s="14" t="s">
        <v>92</v>
      </c>
      <c r="F4011" s="14" t="s">
        <v>146</v>
      </c>
      <c r="G4011" s="14" t="s">
        <v>147</v>
      </c>
      <c r="H4011" s="14" t="s">
        <v>91</v>
      </c>
      <c r="I4011" s="14" t="s">
        <v>107</v>
      </c>
      <c r="J4011" s="14" t="s">
        <v>200</v>
      </c>
      <c r="K4011" s="14" t="s">
        <v>226</v>
      </c>
      <c r="L4011" s="14" t="s">
        <v>672</v>
      </c>
      <c r="M4011" s="14" t="s">
        <v>2192</v>
      </c>
      <c r="N4011" s="14" t="s">
        <v>2193</v>
      </c>
      <c r="O4011" s="14">
        <v>99.0</v>
      </c>
      <c r="P4011" s="23">
        <v>0.1382</v>
      </c>
      <c r="Q4011" s="22" t="str">
        <f>"-4.49%"</f>
        <v>-4.49%</v>
      </c>
      <c r="R4011" s="18" t="str">
        <f>"-15.41%"</f>
        <v>-15.41%</v>
      </c>
      <c r="S4011" s="14" t="s">
        <v>2194</v>
      </c>
    </row>
    <row r="4012">
      <c r="A4012" s="13">
        <v>45901.0</v>
      </c>
      <c r="B4012" s="14" t="s">
        <v>47</v>
      </c>
      <c r="C4012" s="14" t="s">
        <v>48</v>
      </c>
      <c r="D4012" s="14" t="s">
        <v>91</v>
      </c>
      <c r="E4012" s="14" t="s">
        <v>92</v>
      </c>
      <c r="F4012" s="14" t="s">
        <v>146</v>
      </c>
      <c r="G4012" s="14" t="s">
        <v>147</v>
      </c>
      <c r="H4012" s="14" t="s">
        <v>91</v>
      </c>
      <c r="I4012" s="14" t="s">
        <v>107</v>
      </c>
      <c r="J4012" s="14" t="s">
        <v>199</v>
      </c>
      <c r="K4012" s="14" t="s">
        <v>206</v>
      </c>
      <c r="L4012" s="14" t="s">
        <v>295</v>
      </c>
      <c r="M4012" s="14" t="s">
        <v>651</v>
      </c>
      <c r="N4012" s="14" t="s">
        <v>652</v>
      </c>
      <c r="O4012" s="14">
        <v>0.0</v>
      </c>
      <c r="P4012" s="21">
        <v>0.0</v>
      </c>
      <c r="Q4012" s="22" t="str">
        <f t="shared" ref="Q4012:R4012" si="2387">"+0"</f>
        <v>+0</v>
      </c>
      <c r="R4012" s="18" t="str">
        <f t="shared" si="2387"/>
        <v>+0</v>
      </c>
      <c r="S4012" s="14" t="s">
        <v>260</v>
      </c>
    </row>
    <row r="4013">
      <c r="A4013" s="13">
        <v>45901.0</v>
      </c>
      <c r="B4013" s="14" t="s">
        <v>47</v>
      </c>
      <c r="C4013" s="14" t="s">
        <v>48</v>
      </c>
      <c r="D4013" s="14" t="s">
        <v>91</v>
      </c>
      <c r="E4013" s="14" t="s">
        <v>92</v>
      </c>
      <c r="F4013" s="15" t="s">
        <v>51</v>
      </c>
      <c r="G4013" s="14" t="s">
        <v>163</v>
      </c>
      <c r="H4013" s="14" t="s">
        <v>91</v>
      </c>
      <c r="I4013" s="14" t="s">
        <v>59</v>
      </c>
      <c r="J4013" s="14" t="s">
        <v>200</v>
      </c>
      <c r="K4013" s="14" t="s">
        <v>223</v>
      </c>
      <c r="L4013" s="14" t="s">
        <v>440</v>
      </c>
      <c r="M4013" s="14" t="s">
        <v>441</v>
      </c>
      <c r="N4013" s="14" t="s">
        <v>442</v>
      </c>
      <c r="O4013" s="14">
        <v>0.0</v>
      </c>
      <c r="P4013" s="23">
        <v>0.0</v>
      </c>
      <c r="Q4013" s="22" t="str">
        <f t="shared" ref="Q4013:R4013" si="2388">"+0.00%"</f>
        <v>+0.00%</v>
      </c>
      <c r="R4013" s="18" t="str">
        <f t="shared" si="2388"/>
        <v>+0.00%</v>
      </c>
      <c r="S4013" s="14" t="s">
        <v>285</v>
      </c>
    </row>
    <row r="4014">
      <c r="A4014" s="13">
        <v>45901.0</v>
      </c>
      <c r="B4014" s="14" t="s">
        <v>47</v>
      </c>
      <c r="C4014" s="14" t="s">
        <v>48</v>
      </c>
      <c r="D4014" s="14" t="s">
        <v>63</v>
      </c>
      <c r="E4014" s="14" t="s">
        <v>64</v>
      </c>
      <c r="F4014" s="15" t="s">
        <v>51</v>
      </c>
      <c r="G4014" s="14" t="s">
        <v>65</v>
      </c>
      <c r="H4014" s="14" t="s">
        <v>63</v>
      </c>
      <c r="I4014" s="14" t="s">
        <v>54</v>
      </c>
      <c r="J4014" s="14" t="s">
        <v>200</v>
      </c>
      <c r="K4014" s="14" t="s">
        <v>213</v>
      </c>
      <c r="L4014" s="14" t="s">
        <v>676</v>
      </c>
      <c r="M4014" s="14" t="s">
        <v>858</v>
      </c>
      <c r="N4014" s="14" t="s">
        <v>859</v>
      </c>
      <c r="O4014" s="14">
        <v>0.0</v>
      </c>
      <c r="P4014" s="23">
        <v>-1.0</v>
      </c>
      <c r="Q4014" s="22" t="str">
        <f t="shared" ref="Q4014:R4014" si="2389">"+0.00%"</f>
        <v>+0.00%</v>
      </c>
      <c r="R4014" s="18" t="str">
        <f t="shared" si="2389"/>
        <v>+0.00%</v>
      </c>
      <c r="S4014" s="14" t="s">
        <v>1019</v>
      </c>
    </row>
    <row r="4015">
      <c r="A4015" s="13">
        <v>45901.0</v>
      </c>
      <c r="B4015" s="14" t="s">
        <v>47</v>
      </c>
      <c r="C4015" s="14" t="s">
        <v>48</v>
      </c>
      <c r="D4015" s="14" t="s">
        <v>91</v>
      </c>
      <c r="E4015" s="14" t="s">
        <v>92</v>
      </c>
      <c r="F4015" s="14" t="s">
        <v>79</v>
      </c>
      <c r="G4015" s="14" t="s">
        <v>164</v>
      </c>
      <c r="H4015" s="14" t="s">
        <v>91</v>
      </c>
      <c r="I4015" s="14" t="s">
        <v>154</v>
      </c>
      <c r="J4015" s="14" t="s">
        <v>199</v>
      </c>
      <c r="K4015" s="14" t="s">
        <v>203</v>
      </c>
      <c r="L4015" s="14" t="s">
        <v>601</v>
      </c>
      <c r="M4015" s="14" t="s">
        <v>601</v>
      </c>
      <c r="N4015" s="14" t="s">
        <v>602</v>
      </c>
      <c r="O4015" s="14">
        <v>0.0</v>
      </c>
      <c r="P4015" s="21">
        <v>0.0</v>
      </c>
      <c r="Q4015" s="22" t="str">
        <f t="shared" ref="Q4015:R4015" si="2390">"+0"</f>
        <v>+0</v>
      </c>
      <c r="R4015" s="18" t="str">
        <f t="shared" si="2390"/>
        <v>+0</v>
      </c>
      <c r="S4015" s="14" t="s">
        <v>260</v>
      </c>
    </row>
    <row r="4016">
      <c r="A4016" s="13">
        <v>45901.0</v>
      </c>
      <c r="B4016" s="14" t="s">
        <v>47</v>
      </c>
      <c r="C4016" s="14" t="s">
        <v>48</v>
      </c>
      <c r="D4016" s="14" t="s">
        <v>63</v>
      </c>
      <c r="E4016" s="14" t="s">
        <v>64</v>
      </c>
      <c r="F4016" s="15" t="s">
        <v>51</v>
      </c>
      <c r="G4016" s="14" t="s">
        <v>65</v>
      </c>
      <c r="H4016" s="14" t="s">
        <v>63</v>
      </c>
      <c r="I4016" s="14" t="s">
        <v>54</v>
      </c>
      <c r="J4016" s="14" t="s">
        <v>200</v>
      </c>
      <c r="K4016" s="14" t="s">
        <v>224</v>
      </c>
      <c r="L4016" s="14" t="s">
        <v>453</v>
      </c>
      <c r="M4016" s="14" t="s">
        <v>611</v>
      </c>
      <c r="N4016" s="14" t="s">
        <v>612</v>
      </c>
      <c r="O4016" s="14">
        <v>35.0</v>
      </c>
      <c r="P4016" s="23">
        <v>0.3571</v>
      </c>
      <c r="Q4016" s="22" t="str">
        <f>"-2.38%"</f>
        <v>-2.38%</v>
      </c>
      <c r="R4016" s="18" t="str">
        <f>"-5.19%"</f>
        <v>-5.19%</v>
      </c>
      <c r="S4016" s="14" t="s">
        <v>523</v>
      </c>
    </row>
    <row r="4017">
      <c r="A4017" s="13">
        <v>45901.0</v>
      </c>
      <c r="B4017" s="14" t="s">
        <v>47</v>
      </c>
      <c r="C4017" s="14" t="s">
        <v>48</v>
      </c>
      <c r="D4017" s="14" t="s">
        <v>118</v>
      </c>
      <c r="E4017" s="14" t="s">
        <v>119</v>
      </c>
      <c r="F4017" s="15" t="s">
        <v>51</v>
      </c>
      <c r="G4017" s="14" t="s">
        <v>120</v>
      </c>
      <c r="H4017" s="14" t="s">
        <v>118</v>
      </c>
      <c r="I4017" s="14" t="s">
        <v>59</v>
      </c>
      <c r="J4017" s="14" t="s">
        <v>198</v>
      </c>
      <c r="K4017" s="14" t="s">
        <v>205</v>
      </c>
      <c r="L4017" s="14" t="s">
        <v>274</v>
      </c>
      <c r="M4017" s="14" t="s">
        <v>425</v>
      </c>
      <c r="N4017" s="14" t="s">
        <v>426</v>
      </c>
      <c r="O4017" s="14">
        <v>0.0</v>
      </c>
      <c r="P4017" s="21">
        <v>0.0</v>
      </c>
      <c r="Q4017" s="22" t="str">
        <f t="shared" ref="Q4017:Q4020" si="2391">"+0"</f>
        <v>+0</v>
      </c>
      <c r="S4017" s="14" t="s">
        <v>281</v>
      </c>
    </row>
    <row r="4018">
      <c r="A4018" s="13">
        <v>45901.0</v>
      </c>
      <c r="B4018" s="14" t="s">
        <v>47</v>
      </c>
      <c r="C4018" s="14" t="s">
        <v>48</v>
      </c>
      <c r="D4018" s="14" t="s">
        <v>63</v>
      </c>
      <c r="E4018" s="14" t="s">
        <v>64</v>
      </c>
      <c r="F4018" s="15" t="s">
        <v>51</v>
      </c>
      <c r="G4018" s="14" t="s">
        <v>65</v>
      </c>
      <c r="H4018" s="14" t="s">
        <v>63</v>
      </c>
      <c r="I4018" s="14" t="s">
        <v>54</v>
      </c>
      <c r="J4018" s="14" t="s">
        <v>198</v>
      </c>
      <c r="K4018" s="14" t="s">
        <v>212</v>
      </c>
      <c r="L4018" s="14" t="s">
        <v>249</v>
      </c>
      <c r="M4018" s="14" t="s">
        <v>1346</v>
      </c>
      <c r="N4018" s="14" t="s">
        <v>1347</v>
      </c>
      <c r="O4018" s="14">
        <v>0.0</v>
      </c>
      <c r="P4018" s="21">
        <v>0.0</v>
      </c>
      <c r="Q4018" s="22" t="str">
        <f t="shared" si="2391"/>
        <v>+0</v>
      </c>
      <c r="R4018" s="18" t="str">
        <f t="shared" ref="R4018:R4020" si="2392">"+0"</f>
        <v>+0</v>
      </c>
      <c r="S4018" s="14" t="s">
        <v>277</v>
      </c>
    </row>
    <row r="4019">
      <c r="A4019" s="13">
        <v>45901.0</v>
      </c>
      <c r="B4019" s="14" t="s">
        <v>47</v>
      </c>
      <c r="C4019" s="14" t="s">
        <v>48</v>
      </c>
      <c r="D4019" s="14" t="s">
        <v>73</v>
      </c>
      <c r="E4019" s="14" t="s">
        <v>74</v>
      </c>
      <c r="F4019" s="15" t="s">
        <v>51</v>
      </c>
      <c r="G4019" s="14" t="s">
        <v>75</v>
      </c>
      <c r="H4019" s="14" t="s">
        <v>76</v>
      </c>
      <c r="I4019" s="14" t="s">
        <v>59</v>
      </c>
      <c r="J4019" s="14" t="s">
        <v>199</v>
      </c>
      <c r="K4019" s="14" t="s">
        <v>206</v>
      </c>
      <c r="L4019" s="14" t="s">
        <v>295</v>
      </c>
      <c r="M4019" s="14" t="s">
        <v>651</v>
      </c>
      <c r="N4019" s="14" t="s">
        <v>652</v>
      </c>
      <c r="O4019" s="14">
        <v>0.0</v>
      </c>
      <c r="P4019" s="21">
        <v>0.0</v>
      </c>
      <c r="Q4019" s="22" t="str">
        <f t="shared" si="2391"/>
        <v>+0</v>
      </c>
      <c r="R4019" s="18" t="str">
        <f t="shared" si="2392"/>
        <v>+0</v>
      </c>
      <c r="S4019" s="14" t="s">
        <v>260</v>
      </c>
    </row>
    <row r="4020">
      <c r="A4020" s="13">
        <v>45901.0</v>
      </c>
      <c r="B4020" s="14" t="s">
        <v>47</v>
      </c>
      <c r="C4020" s="14" t="s">
        <v>48</v>
      </c>
      <c r="D4020" s="14" t="s">
        <v>85</v>
      </c>
      <c r="E4020" s="14" t="s">
        <v>86</v>
      </c>
      <c r="F4020" s="14" t="s">
        <v>146</v>
      </c>
      <c r="G4020" s="14" t="s">
        <v>162</v>
      </c>
      <c r="H4020" s="14" t="s">
        <v>85</v>
      </c>
      <c r="I4020" s="14" t="s">
        <v>107</v>
      </c>
      <c r="J4020" s="14" t="s">
        <v>199</v>
      </c>
      <c r="K4020" s="14" t="s">
        <v>206</v>
      </c>
      <c r="L4020" s="14" t="s">
        <v>515</v>
      </c>
      <c r="M4020" s="14" t="s">
        <v>515</v>
      </c>
      <c r="N4020" s="14" t="s">
        <v>516</v>
      </c>
      <c r="O4020" s="14">
        <v>0.0</v>
      </c>
      <c r="P4020" s="21">
        <v>0.0</v>
      </c>
      <c r="Q4020" s="22" t="str">
        <f t="shared" si="2391"/>
        <v>+0</v>
      </c>
      <c r="R4020" s="18" t="str">
        <f t="shared" si="2392"/>
        <v>+0</v>
      </c>
      <c r="S4020" s="14" t="s">
        <v>383</v>
      </c>
    </row>
    <row r="4021">
      <c r="A4021" s="13">
        <v>45901.0</v>
      </c>
      <c r="B4021" s="14" t="s">
        <v>47</v>
      </c>
      <c r="C4021" s="14" t="s">
        <v>48</v>
      </c>
      <c r="D4021" s="14" t="s">
        <v>174</v>
      </c>
      <c r="E4021" s="14" t="s">
        <v>175</v>
      </c>
      <c r="F4021" s="15" t="s">
        <v>51</v>
      </c>
      <c r="G4021" s="14" t="s">
        <v>176</v>
      </c>
      <c r="H4021" s="14" t="s">
        <v>174</v>
      </c>
      <c r="I4021" s="14" t="s">
        <v>59</v>
      </c>
      <c r="J4021" s="14" t="s">
        <v>200</v>
      </c>
      <c r="K4021" s="14" t="s">
        <v>213</v>
      </c>
      <c r="L4021" s="14" t="s">
        <v>440</v>
      </c>
      <c r="M4021" s="14" t="s">
        <v>441</v>
      </c>
      <c r="N4021" s="14" t="s">
        <v>442</v>
      </c>
      <c r="O4021" s="14">
        <v>0.0</v>
      </c>
      <c r="P4021" s="23">
        <v>0.0</v>
      </c>
      <c r="Q4021" s="22" t="str">
        <f t="shared" ref="Q4021:R4021" si="2393">"+0.00%"</f>
        <v>+0.00%</v>
      </c>
      <c r="R4021" s="18" t="str">
        <f t="shared" si="2393"/>
        <v>+0.00%</v>
      </c>
      <c r="S4021" s="14" t="s">
        <v>285</v>
      </c>
    </row>
    <row r="4022">
      <c r="A4022" s="13">
        <v>45901.0</v>
      </c>
      <c r="B4022" s="14" t="s">
        <v>47</v>
      </c>
      <c r="C4022" s="14" t="s">
        <v>48</v>
      </c>
      <c r="D4022" s="14" t="s">
        <v>140</v>
      </c>
      <c r="E4022" s="14" t="s">
        <v>141</v>
      </c>
      <c r="F4022" s="15" t="s">
        <v>51</v>
      </c>
      <c r="G4022" s="14" t="s">
        <v>142</v>
      </c>
      <c r="H4022" s="14" t="s">
        <v>140</v>
      </c>
      <c r="I4022" s="14" t="s">
        <v>59</v>
      </c>
      <c r="J4022" s="14" t="s">
        <v>200</v>
      </c>
      <c r="K4022" s="14" t="s">
        <v>213</v>
      </c>
      <c r="L4022" s="14" t="s">
        <v>307</v>
      </c>
      <c r="M4022" s="14" t="s">
        <v>1176</v>
      </c>
      <c r="N4022" s="14" t="s">
        <v>1177</v>
      </c>
      <c r="O4022" s="14">
        <v>0.0</v>
      </c>
      <c r="P4022" s="23">
        <v>0.0</v>
      </c>
      <c r="Q4022" s="22" t="str">
        <f t="shared" ref="Q4022:R4022" si="2394">"+0.00%"</f>
        <v>+0.00%</v>
      </c>
      <c r="R4022" s="18" t="str">
        <f t="shared" si="2394"/>
        <v>+0.00%</v>
      </c>
      <c r="S4022" s="14" t="s">
        <v>285</v>
      </c>
    </row>
    <row r="4023">
      <c r="A4023" s="13">
        <v>45901.0</v>
      </c>
      <c r="B4023" s="14" t="s">
        <v>47</v>
      </c>
      <c r="C4023" s="14" t="s">
        <v>48</v>
      </c>
      <c r="D4023" s="14" t="s">
        <v>165</v>
      </c>
      <c r="E4023" s="14" t="s">
        <v>166</v>
      </c>
      <c r="F4023" s="15" t="s">
        <v>51</v>
      </c>
      <c r="G4023" s="14" t="s">
        <v>167</v>
      </c>
      <c r="H4023" s="14" t="s">
        <v>165</v>
      </c>
      <c r="I4023" s="14" t="s">
        <v>54</v>
      </c>
      <c r="J4023" s="14" t="s">
        <v>198</v>
      </c>
      <c r="K4023" s="14" t="s">
        <v>210</v>
      </c>
      <c r="L4023" s="14" t="s">
        <v>264</v>
      </c>
      <c r="M4023" s="14" t="s">
        <v>802</v>
      </c>
      <c r="N4023" s="14" t="s">
        <v>803</v>
      </c>
      <c r="O4023" s="14">
        <v>0.0</v>
      </c>
      <c r="P4023" s="21">
        <v>0.0</v>
      </c>
      <c r="Q4023" s="22" t="str">
        <f t="shared" ref="Q4023:R4023" si="2395">"+0"</f>
        <v>+0</v>
      </c>
      <c r="R4023" s="18" t="str">
        <f t="shared" si="2395"/>
        <v>+0</v>
      </c>
      <c r="S4023" s="14" t="s">
        <v>277</v>
      </c>
    </row>
    <row r="4024">
      <c r="A4024" s="13">
        <v>45901.0</v>
      </c>
      <c r="B4024" s="14" t="s">
        <v>47</v>
      </c>
      <c r="C4024" s="14" t="s">
        <v>48</v>
      </c>
      <c r="D4024" s="14" t="s">
        <v>99</v>
      </c>
      <c r="E4024" s="14" t="s">
        <v>100</v>
      </c>
      <c r="F4024" s="15" t="s">
        <v>51</v>
      </c>
      <c r="G4024" s="14" t="s">
        <v>101</v>
      </c>
      <c r="H4024" s="14" t="s">
        <v>102</v>
      </c>
      <c r="I4024" s="14" t="s">
        <v>54</v>
      </c>
      <c r="J4024" s="14" t="s">
        <v>198</v>
      </c>
      <c r="K4024" s="14" t="s">
        <v>210</v>
      </c>
      <c r="L4024" s="14" t="s">
        <v>505</v>
      </c>
      <c r="M4024" s="14" t="s">
        <v>1111</v>
      </c>
      <c r="N4024" s="14" t="s">
        <v>1112</v>
      </c>
      <c r="O4024" s="14">
        <v>0.0</v>
      </c>
      <c r="P4024" s="21">
        <v>0.0</v>
      </c>
      <c r="Q4024" s="22" t="str">
        <f t="shared" ref="Q4024:R4024" si="2396">"+0"</f>
        <v>+0</v>
      </c>
      <c r="R4024" s="18" t="str">
        <f t="shared" si="2396"/>
        <v>+0</v>
      </c>
      <c r="S4024" s="14" t="s">
        <v>277</v>
      </c>
    </row>
    <row r="4025">
      <c r="A4025" s="13">
        <v>45901.0</v>
      </c>
      <c r="B4025" s="14" t="s">
        <v>47</v>
      </c>
      <c r="C4025" s="14" t="s">
        <v>48</v>
      </c>
      <c r="D4025" s="14" t="s">
        <v>63</v>
      </c>
      <c r="E4025" s="14" t="s">
        <v>64</v>
      </c>
      <c r="F4025" s="15" t="s">
        <v>51</v>
      </c>
      <c r="G4025" s="14" t="s">
        <v>65</v>
      </c>
      <c r="H4025" s="14" t="s">
        <v>63</v>
      </c>
      <c r="I4025" s="14" t="s">
        <v>54</v>
      </c>
      <c r="J4025" s="14" t="s">
        <v>200</v>
      </c>
      <c r="K4025" s="14" t="s">
        <v>245</v>
      </c>
      <c r="L4025" s="14" t="s">
        <v>253</v>
      </c>
      <c r="M4025" s="14" t="s">
        <v>820</v>
      </c>
      <c r="N4025" s="14" t="s">
        <v>821</v>
      </c>
      <c r="O4025" s="14">
        <v>0.0</v>
      </c>
      <c r="P4025" s="23">
        <v>0.0</v>
      </c>
      <c r="Q4025" s="22" t="str">
        <f t="shared" ref="Q4025:R4025" si="2397">"+0.00%"</f>
        <v>+0.00%</v>
      </c>
      <c r="R4025" s="18" t="str">
        <f t="shared" si="2397"/>
        <v>+0.00%</v>
      </c>
      <c r="S4025" s="14" t="s">
        <v>822</v>
      </c>
    </row>
    <row r="4026">
      <c r="A4026" s="13">
        <v>45901.0</v>
      </c>
      <c r="B4026" s="14" t="s">
        <v>47</v>
      </c>
      <c r="C4026" s="14" t="s">
        <v>48</v>
      </c>
      <c r="D4026" s="14" t="s">
        <v>63</v>
      </c>
      <c r="E4026" s="14" t="s">
        <v>64</v>
      </c>
      <c r="F4026" s="15" t="s">
        <v>51</v>
      </c>
      <c r="G4026" s="14" t="s">
        <v>65</v>
      </c>
      <c r="H4026" s="14" t="s">
        <v>63</v>
      </c>
      <c r="I4026" s="14" t="s">
        <v>54</v>
      </c>
      <c r="J4026" s="14" t="s">
        <v>200</v>
      </c>
      <c r="K4026" s="14" t="s">
        <v>222</v>
      </c>
      <c r="L4026" s="14" t="s">
        <v>1158</v>
      </c>
      <c r="M4026" s="14" t="s">
        <v>1572</v>
      </c>
      <c r="N4026" s="14" t="s">
        <v>1573</v>
      </c>
      <c r="O4026" s="14">
        <v>0.0</v>
      </c>
      <c r="P4026" s="21">
        <v>0.0</v>
      </c>
      <c r="Q4026" s="22" t="str">
        <f t="shared" ref="Q4026:R4026" si="2398">"+0"</f>
        <v>+0</v>
      </c>
      <c r="R4026" s="18" t="str">
        <f t="shared" si="2398"/>
        <v>+0</v>
      </c>
      <c r="S4026" s="14" t="s">
        <v>260</v>
      </c>
    </row>
    <row r="4027">
      <c r="A4027" s="13">
        <v>45901.0</v>
      </c>
      <c r="B4027" s="14" t="s">
        <v>47</v>
      </c>
      <c r="C4027" s="14" t="s">
        <v>48</v>
      </c>
      <c r="D4027" s="14" t="s">
        <v>82</v>
      </c>
      <c r="E4027" s="14" t="s">
        <v>83</v>
      </c>
      <c r="F4027" s="15" t="s">
        <v>51</v>
      </c>
      <c r="G4027" s="14" t="s">
        <v>84</v>
      </c>
      <c r="H4027" s="14" t="s">
        <v>82</v>
      </c>
      <c r="I4027" s="14" t="s">
        <v>59</v>
      </c>
      <c r="J4027" s="14" t="s">
        <v>200</v>
      </c>
      <c r="K4027" s="14" t="s">
        <v>201</v>
      </c>
      <c r="L4027" s="14" t="s">
        <v>253</v>
      </c>
      <c r="M4027" s="14" t="s">
        <v>585</v>
      </c>
      <c r="N4027" s="14" t="s">
        <v>586</v>
      </c>
      <c r="O4027" s="14">
        <v>1.0</v>
      </c>
      <c r="P4027" s="23">
        <v>4.0E-4</v>
      </c>
      <c r="Q4027" s="22" t="str">
        <f t="shared" ref="Q4027:R4027" si="2399">"+0.02%"</f>
        <v>+0.02%</v>
      </c>
      <c r="R4027" s="18" t="str">
        <f t="shared" si="2399"/>
        <v>+0.02%</v>
      </c>
      <c r="S4027" s="14" t="s">
        <v>1071</v>
      </c>
    </row>
    <row r="4028">
      <c r="A4028" s="13">
        <v>45901.0</v>
      </c>
      <c r="B4028" s="14" t="s">
        <v>47</v>
      </c>
      <c r="C4028" s="14" t="s">
        <v>48</v>
      </c>
      <c r="D4028" s="14" t="s">
        <v>192</v>
      </c>
      <c r="E4028" s="14" t="s">
        <v>193</v>
      </c>
      <c r="F4028" s="15" t="s">
        <v>51</v>
      </c>
      <c r="G4028" s="14" t="s">
        <v>194</v>
      </c>
      <c r="H4028" s="14" t="s">
        <v>192</v>
      </c>
      <c r="I4028" s="14" t="s">
        <v>54</v>
      </c>
      <c r="J4028" s="14" t="s">
        <v>198</v>
      </c>
      <c r="K4028" s="14" t="s">
        <v>210</v>
      </c>
      <c r="L4028" s="14" t="s">
        <v>278</v>
      </c>
      <c r="M4028" s="14" t="s">
        <v>1227</v>
      </c>
      <c r="N4028" s="14" t="s">
        <v>1228</v>
      </c>
      <c r="O4028" s="14">
        <v>0.0</v>
      </c>
      <c r="P4028" s="21">
        <v>0.0</v>
      </c>
      <c r="Q4028" s="22" t="str">
        <f t="shared" ref="Q4028:R4028" si="2400">"+0"</f>
        <v>+0</v>
      </c>
      <c r="R4028" s="18" t="str">
        <f t="shared" si="2400"/>
        <v>+0</v>
      </c>
      <c r="S4028" s="14" t="s">
        <v>277</v>
      </c>
    </row>
    <row r="4029">
      <c r="A4029" s="13">
        <v>45901.0</v>
      </c>
      <c r="B4029" s="14" t="s">
        <v>47</v>
      </c>
      <c r="C4029" s="14" t="s">
        <v>48</v>
      </c>
      <c r="D4029" s="14" t="s">
        <v>184</v>
      </c>
      <c r="E4029" s="14" t="s">
        <v>185</v>
      </c>
      <c r="F4029" s="15" t="s">
        <v>51</v>
      </c>
      <c r="G4029" s="14" t="s">
        <v>186</v>
      </c>
      <c r="H4029" s="14" t="s">
        <v>187</v>
      </c>
      <c r="I4029" s="14" t="s">
        <v>59</v>
      </c>
      <c r="J4029" s="14" t="s">
        <v>200</v>
      </c>
      <c r="K4029" s="14" t="s">
        <v>227</v>
      </c>
      <c r="L4029" s="14" t="s">
        <v>721</v>
      </c>
      <c r="M4029" s="14" t="s">
        <v>1060</v>
      </c>
      <c r="N4029" s="14" t="s">
        <v>1061</v>
      </c>
      <c r="O4029" s="14">
        <v>29.0</v>
      </c>
      <c r="P4029" s="23">
        <v>-0.4179</v>
      </c>
      <c r="Q4029" s="22" t="str">
        <f>"+10.62%"</f>
        <v>+10.62%</v>
      </c>
      <c r="R4029" s="18" t="str">
        <f>"-52.79%"</f>
        <v>-52.79%</v>
      </c>
      <c r="S4029" s="14" t="s">
        <v>1062</v>
      </c>
    </row>
    <row r="4030">
      <c r="A4030" s="13">
        <v>45901.0</v>
      </c>
      <c r="B4030" s="14" t="s">
        <v>47</v>
      </c>
      <c r="C4030" s="14" t="s">
        <v>48</v>
      </c>
      <c r="D4030" s="14" t="s">
        <v>103</v>
      </c>
      <c r="E4030" s="14" t="s">
        <v>104</v>
      </c>
      <c r="F4030" s="15" t="s">
        <v>51</v>
      </c>
      <c r="G4030" s="14" t="s">
        <v>105</v>
      </c>
      <c r="H4030" s="14" t="s">
        <v>106</v>
      </c>
      <c r="I4030" s="14" t="s">
        <v>59</v>
      </c>
      <c r="J4030" s="14" t="s">
        <v>198</v>
      </c>
      <c r="K4030" s="14" t="s">
        <v>210</v>
      </c>
      <c r="L4030" s="14" t="s">
        <v>505</v>
      </c>
      <c r="M4030" s="14" t="s">
        <v>506</v>
      </c>
      <c r="N4030" s="14" t="s">
        <v>507</v>
      </c>
      <c r="O4030" s="14">
        <v>100.0</v>
      </c>
      <c r="P4030" s="21">
        <v>0.0</v>
      </c>
      <c r="Q4030" s="22" t="str">
        <f t="shared" ref="Q4030:R4030" si="2401">"+0"</f>
        <v>+0</v>
      </c>
      <c r="R4030" s="18" t="str">
        <f t="shared" si="2401"/>
        <v>+0</v>
      </c>
      <c r="S4030" s="14" t="s">
        <v>281</v>
      </c>
    </row>
    <row r="4031">
      <c r="A4031" s="13">
        <v>45901.0</v>
      </c>
      <c r="B4031" s="14" t="s">
        <v>47</v>
      </c>
      <c r="C4031" s="14" t="s">
        <v>48</v>
      </c>
      <c r="D4031" s="14" t="s">
        <v>143</v>
      </c>
      <c r="E4031" s="14" t="s">
        <v>144</v>
      </c>
      <c r="F4031" s="15" t="s">
        <v>51</v>
      </c>
      <c r="G4031" s="14" t="s">
        <v>145</v>
      </c>
      <c r="H4031" s="14" t="s">
        <v>143</v>
      </c>
      <c r="I4031" s="14" t="s">
        <v>59</v>
      </c>
      <c r="J4031" s="14" t="s">
        <v>200</v>
      </c>
      <c r="K4031" s="14" t="s">
        <v>232</v>
      </c>
      <c r="L4031" s="14" t="s">
        <v>286</v>
      </c>
      <c r="M4031" s="14" t="s">
        <v>656</v>
      </c>
      <c r="N4031" s="14" t="s">
        <v>657</v>
      </c>
      <c r="O4031" s="14">
        <v>0.0</v>
      </c>
      <c r="P4031" s="23">
        <v>0.0</v>
      </c>
      <c r="Q4031" s="22" t="str">
        <f t="shared" ref="Q4031:R4031" si="2402">"+0.00%"</f>
        <v>+0.00%</v>
      </c>
      <c r="R4031" s="18" t="str">
        <f t="shared" si="2402"/>
        <v>+0.00%</v>
      </c>
      <c r="S4031" s="14" t="s">
        <v>285</v>
      </c>
    </row>
    <row r="4032">
      <c r="A4032" s="13">
        <v>45901.0</v>
      </c>
      <c r="B4032" s="14" t="s">
        <v>47</v>
      </c>
      <c r="C4032" s="14" t="s">
        <v>48</v>
      </c>
      <c r="D4032" s="14" t="s">
        <v>136</v>
      </c>
      <c r="E4032" s="14" t="s">
        <v>137</v>
      </c>
      <c r="F4032" s="15" t="s">
        <v>51</v>
      </c>
      <c r="G4032" s="14" t="s">
        <v>138</v>
      </c>
      <c r="H4032" s="14" t="s">
        <v>139</v>
      </c>
      <c r="I4032" s="14" t="s">
        <v>59</v>
      </c>
      <c r="J4032" s="14" t="s">
        <v>198</v>
      </c>
      <c r="K4032" s="14" t="s">
        <v>210</v>
      </c>
      <c r="L4032" s="14" t="s">
        <v>264</v>
      </c>
      <c r="M4032" s="14" t="s">
        <v>265</v>
      </c>
      <c r="N4032" s="14" t="s">
        <v>266</v>
      </c>
      <c r="O4032" s="14">
        <v>67.0</v>
      </c>
      <c r="P4032" s="21">
        <v>82.0</v>
      </c>
      <c r="Q4032" s="22" t="str">
        <f>"-5"</f>
        <v>-5</v>
      </c>
      <c r="R4032" s="18" t="str">
        <f>"-429"</f>
        <v>-429</v>
      </c>
      <c r="S4032" s="14" t="s">
        <v>2195</v>
      </c>
    </row>
    <row r="4033">
      <c r="A4033" s="13">
        <v>45901.0</v>
      </c>
      <c r="B4033" s="14" t="s">
        <v>47</v>
      </c>
      <c r="C4033" s="14" t="s">
        <v>48</v>
      </c>
      <c r="D4033" s="14" t="s">
        <v>87</v>
      </c>
      <c r="E4033" s="14" t="s">
        <v>88</v>
      </c>
      <c r="F4033" s="15" t="s">
        <v>51</v>
      </c>
      <c r="G4033" s="14" t="s">
        <v>89</v>
      </c>
      <c r="H4033" s="14" t="s">
        <v>90</v>
      </c>
      <c r="I4033" s="14" t="s">
        <v>59</v>
      </c>
      <c r="J4033" s="14" t="s">
        <v>198</v>
      </c>
      <c r="K4033" s="14" t="s">
        <v>205</v>
      </c>
      <c r="L4033" s="14" t="s">
        <v>274</v>
      </c>
      <c r="M4033" s="14" t="s">
        <v>473</v>
      </c>
      <c r="N4033" s="14" t="s">
        <v>474</v>
      </c>
      <c r="O4033" s="14">
        <v>50.0</v>
      </c>
      <c r="P4033" s="21">
        <v>15.0</v>
      </c>
      <c r="Q4033" s="22" t="str">
        <f>"+0"</f>
        <v>+0</v>
      </c>
      <c r="S4033" s="14" t="s">
        <v>475</v>
      </c>
    </row>
    <row r="4034">
      <c r="A4034" s="13">
        <v>45901.0</v>
      </c>
      <c r="B4034" s="14" t="s">
        <v>47</v>
      </c>
      <c r="C4034" s="14" t="s">
        <v>48</v>
      </c>
      <c r="D4034" s="14" t="s">
        <v>136</v>
      </c>
      <c r="E4034" s="14" t="s">
        <v>137</v>
      </c>
      <c r="F4034" s="15" t="s">
        <v>51</v>
      </c>
      <c r="G4034" s="14" t="s">
        <v>138</v>
      </c>
      <c r="H4034" s="14" t="s">
        <v>139</v>
      </c>
      <c r="I4034" s="14" t="s">
        <v>59</v>
      </c>
      <c r="J4034" s="14" t="s">
        <v>199</v>
      </c>
      <c r="K4034" s="14" t="s">
        <v>206</v>
      </c>
      <c r="L4034" s="14" t="s">
        <v>433</v>
      </c>
      <c r="M4034" s="14" t="s">
        <v>433</v>
      </c>
      <c r="N4034" s="14" t="s">
        <v>434</v>
      </c>
      <c r="O4034" s="14">
        <v>75.0</v>
      </c>
      <c r="P4034" s="21">
        <v>33.0</v>
      </c>
      <c r="Q4034" s="22" t="str">
        <f>"+29"</f>
        <v>+29</v>
      </c>
      <c r="R4034" s="18" t="str">
        <f>"+0"</f>
        <v>+0</v>
      </c>
      <c r="S4034" s="14" t="s">
        <v>383</v>
      </c>
    </row>
    <row r="4035">
      <c r="A4035" s="13">
        <v>45901.0</v>
      </c>
      <c r="B4035" s="14" t="s">
        <v>47</v>
      </c>
      <c r="C4035" s="14" t="s">
        <v>48</v>
      </c>
      <c r="D4035" s="14" t="s">
        <v>69</v>
      </c>
      <c r="E4035" s="14" t="s">
        <v>70</v>
      </c>
      <c r="F4035" s="15" t="s">
        <v>51</v>
      </c>
      <c r="G4035" s="14" t="s">
        <v>115</v>
      </c>
      <c r="H4035" s="14" t="s">
        <v>72</v>
      </c>
      <c r="I4035" s="14" t="s">
        <v>54</v>
      </c>
      <c r="J4035" s="14" t="s">
        <v>199</v>
      </c>
      <c r="K4035" s="14" t="s">
        <v>206</v>
      </c>
      <c r="L4035" s="14" t="s">
        <v>268</v>
      </c>
      <c r="M4035" s="14" t="s">
        <v>268</v>
      </c>
      <c r="N4035" s="14" t="s">
        <v>269</v>
      </c>
      <c r="O4035" s="14">
        <v>90.0</v>
      </c>
      <c r="P4035" s="21">
        <v>4.0</v>
      </c>
      <c r="Q4035" s="22" t="str">
        <f>"+2"</f>
        <v>+2</v>
      </c>
      <c r="R4035" s="18" t="str">
        <f>"+4"</f>
        <v>+4</v>
      </c>
      <c r="S4035" s="14" t="s">
        <v>260</v>
      </c>
    </row>
    <row r="4036">
      <c r="A4036" s="13">
        <v>45901.0</v>
      </c>
      <c r="B4036" s="14" t="s">
        <v>47</v>
      </c>
      <c r="C4036" s="14" t="s">
        <v>48</v>
      </c>
      <c r="D4036" s="14" t="s">
        <v>69</v>
      </c>
      <c r="E4036" s="14" t="s">
        <v>70</v>
      </c>
      <c r="F4036" s="15" t="s">
        <v>51</v>
      </c>
      <c r="G4036" s="14" t="s">
        <v>115</v>
      </c>
      <c r="H4036" s="14" t="s">
        <v>72</v>
      </c>
      <c r="I4036" s="14" t="s">
        <v>54</v>
      </c>
      <c r="J4036" s="14" t="s">
        <v>200</v>
      </c>
      <c r="K4036" s="14" t="s">
        <v>213</v>
      </c>
      <c r="L4036" s="14" t="s">
        <v>257</v>
      </c>
      <c r="M4036" s="14" t="s">
        <v>622</v>
      </c>
      <c r="N4036" s="14" t="s">
        <v>623</v>
      </c>
      <c r="O4036" s="14">
        <v>46.0</v>
      </c>
      <c r="P4036" s="23">
        <v>-0.0722</v>
      </c>
      <c r="Q4036" s="22" t="str">
        <f>"+11.77%"</f>
        <v>+11.77%</v>
      </c>
      <c r="R4036" s="18" t="str">
        <f>"+1.45%"</f>
        <v>+1.45%</v>
      </c>
      <c r="S4036" s="14" t="s">
        <v>2196</v>
      </c>
    </row>
    <row r="4037">
      <c r="A4037" s="13">
        <v>45901.0</v>
      </c>
      <c r="B4037" s="14" t="s">
        <v>47</v>
      </c>
      <c r="C4037" s="14" t="s">
        <v>48</v>
      </c>
      <c r="D4037" s="14" t="s">
        <v>85</v>
      </c>
      <c r="E4037" s="14" t="s">
        <v>86</v>
      </c>
      <c r="F4037" s="15" t="s">
        <v>51</v>
      </c>
      <c r="G4037" s="14" t="s">
        <v>148</v>
      </c>
      <c r="H4037" s="14" t="s">
        <v>85</v>
      </c>
      <c r="I4037" s="14" t="s">
        <v>59</v>
      </c>
      <c r="J4037" s="14" t="s">
        <v>200</v>
      </c>
      <c r="K4037" s="14" t="s">
        <v>227</v>
      </c>
      <c r="L4037" s="14" t="s">
        <v>270</v>
      </c>
      <c r="M4037" s="14" t="s">
        <v>417</v>
      </c>
      <c r="N4037" s="14" t="s">
        <v>418</v>
      </c>
      <c r="O4037" s="14">
        <v>100.0</v>
      </c>
      <c r="P4037" s="21">
        <v>6.0</v>
      </c>
      <c r="Q4037" s="22" t="str">
        <f>"+1"</f>
        <v>+1</v>
      </c>
      <c r="R4037" s="18" t="str">
        <f>"+0"</f>
        <v>+0</v>
      </c>
      <c r="S4037" s="14" t="s">
        <v>260</v>
      </c>
    </row>
    <row r="4038">
      <c r="A4038" s="13">
        <v>45901.0</v>
      </c>
      <c r="B4038" s="14" t="s">
        <v>47</v>
      </c>
      <c r="C4038" s="14" t="s">
        <v>48</v>
      </c>
      <c r="D4038" s="14" t="s">
        <v>125</v>
      </c>
      <c r="E4038" s="14" t="s">
        <v>126</v>
      </c>
      <c r="F4038" s="15" t="s">
        <v>51</v>
      </c>
      <c r="G4038" s="14" t="s">
        <v>127</v>
      </c>
      <c r="H4038" s="14" t="s">
        <v>125</v>
      </c>
      <c r="I4038" s="14" t="s">
        <v>59</v>
      </c>
      <c r="J4038" s="14" t="s">
        <v>200</v>
      </c>
      <c r="K4038" s="14" t="s">
        <v>232</v>
      </c>
      <c r="L4038" s="14" t="s">
        <v>363</v>
      </c>
      <c r="M4038" s="14" t="s">
        <v>842</v>
      </c>
      <c r="N4038" s="14" t="s">
        <v>843</v>
      </c>
      <c r="O4038" s="14">
        <v>100.0</v>
      </c>
      <c r="P4038" s="21">
        <v>17.0</v>
      </c>
      <c r="Q4038" s="22" t="str">
        <f t="shared" ref="Q4038:R4038" si="2403">"+0"</f>
        <v>+0</v>
      </c>
      <c r="R4038" s="18" t="str">
        <f t="shared" si="2403"/>
        <v>+0</v>
      </c>
      <c r="S4038" s="14" t="s">
        <v>260</v>
      </c>
    </row>
    <row r="4039">
      <c r="A4039" s="13">
        <v>45901.0</v>
      </c>
      <c r="B4039" s="14" t="s">
        <v>47</v>
      </c>
      <c r="C4039" s="14" t="s">
        <v>48</v>
      </c>
      <c r="D4039" s="14" t="s">
        <v>69</v>
      </c>
      <c r="E4039" s="14" t="s">
        <v>70</v>
      </c>
      <c r="F4039" s="15" t="s">
        <v>51</v>
      </c>
      <c r="G4039" s="14" t="s">
        <v>115</v>
      </c>
      <c r="H4039" s="14" t="s">
        <v>72</v>
      </c>
      <c r="I4039" s="14" t="s">
        <v>54</v>
      </c>
      <c r="J4039" s="14" t="s">
        <v>198</v>
      </c>
      <c r="K4039" s="14" t="s">
        <v>205</v>
      </c>
      <c r="L4039" s="14" t="s">
        <v>274</v>
      </c>
      <c r="M4039" s="14" t="s">
        <v>451</v>
      </c>
      <c r="N4039" s="14" t="s">
        <v>452</v>
      </c>
      <c r="O4039" s="14">
        <v>0.0</v>
      </c>
      <c r="P4039" s="21">
        <v>0.0</v>
      </c>
      <c r="Q4039" s="22" t="str">
        <f t="shared" ref="Q4039:Q4040" si="2404">"+0"</f>
        <v>+0</v>
      </c>
      <c r="S4039" s="14" t="s">
        <v>281</v>
      </c>
    </row>
    <row r="4040">
      <c r="A4040" s="13">
        <v>45901.0</v>
      </c>
      <c r="B4040" s="14" t="s">
        <v>47</v>
      </c>
      <c r="C4040" s="14" t="s">
        <v>48</v>
      </c>
      <c r="D4040" s="14" t="s">
        <v>69</v>
      </c>
      <c r="E4040" s="14" t="s">
        <v>70</v>
      </c>
      <c r="F4040" s="15" t="s">
        <v>51</v>
      </c>
      <c r="G4040" s="14" t="s">
        <v>115</v>
      </c>
      <c r="H4040" s="14" t="s">
        <v>72</v>
      </c>
      <c r="I4040" s="14" t="s">
        <v>54</v>
      </c>
      <c r="J4040" s="14" t="s">
        <v>198</v>
      </c>
      <c r="K4040" s="14" t="s">
        <v>210</v>
      </c>
      <c r="L4040" s="14" t="s">
        <v>264</v>
      </c>
      <c r="M4040" s="14" t="s">
        <v>641</v>
      </c>
      <c r="N4040" s="14" t="s">
        <v>642</v>
      </c>
      <c r="O4040" s="14">
        <v>0.0</v>
      </c>
      <c r="P4040" s="21">
        <v>0.0</v>
      </c>
      <c r="Q4040" s="22" t="str">
        <f t="shared" si="2404"/>
        <v>+0</v>
      </c>
      <c r="R4040" s="18" t="str">
        <f>"+0"</f>
        <v>+0</v>
      </c>
      <c r="S4040" s="14" t="s">
        <v>277</v>
      </c>
    </row>
    <row r="4041">
      <c r="A4041" s="13">
        <v>45901.0</v>
      </c>
      <c r="B4041" s="14" t="s">
        <v>47</v>
      </c>
      <c r="C4041" s="14" t="s">
        <v>48</v>
      </c>
      <c r="D4041" s="14" t="s">
        <v>158</v>
      </c>
      <c r="E4041" s="14" t="s">
        <v>159</v>
      </c>
      <c r="F4041" s="15" t="s">
        <v>51</v>
      </c>
      <c r="G4041" s="14" t="s">
        <v>160</v>
      </c>
      <c r="H4041" s="14" t="s">
        <v>158</v>
      </c>
      <c r="I4041" s="14" t="s">
        <v>54</v>
      </c>
      <c r="J4041" s="14" t="s">
        <v>200</v>
      </c>
      <c r="K4041" s="14" t="s">
        <v>204</v>
      </c>
      <c r="L4041" s="14" t="s">
        <v>253</v>
      </c>
      <c r="M4041" s="14" t="s">
        <v>490</v>
      </c>
      <c r="N4041" s="14" t="s">
        <v>491</v>
      </c>
      <c r="O4041" s="14">
        <v>0.0</v>
      </c>
      <c r="P4041" s="23">
        <v>0.0</v>
      </c>
      <c r="Q4041" s="22" t="str">
        <f t="shared" ref="Q4041:R4041" si="2405">"+0.00%"</f>
        <v>+0.00%</v>
      </c>
      <c r="R4041" s="18" t="str">
        <f t="shared" si="2405"/>
        <v>+0.00%</v>
      </c>
      <c r="S4041" s="14" t="s">
        <v>1862</v>
      </c>
    </row>
    <row r="4042">
      <c r="A4042" s="13">
        <v>45901.0</v>
      </c>
      <c r="B4042" s="14" t="s">
        <v>47</v>
      </c>
      <c r="C4042" s="14" t="s">
        <v>48</v>
      </c>
      <c r="D4042" s="14" t="s">
        <v>77</v>
      </c>
      <c r="E4042" s="14" t="s">
        <v>78</v>
      </c>
      <c r="F4042" s="15" t="s">
        <v>51</v>
      </c>
      <c r="G4042" s="14" t="s">
        <v>128</v>
      </c>
      <c r="H4042" s="14" t="s">
        <v>81</v>
      </c>
      <c r="I4042" s="14" t="s">
        <v>59</v>
      </c>
      <c r="J4042" s="14" t="s">
        <v>200</v>
      </c>
      <c r="K4042" s="14" t="s">
        <v>223</v>
      </c>
      <c r="L4042" s="14" t="s">
        <v>304</v>
      </c>
      <c r="M4042" s="14" t="s">
        <v>688</v>
      </c>
      <c r="N4042" s="14" t="s">
        <v>689</v>
      </c>
      <c r="O4042" s="14">
        <v>0.0</v>
      </c>
      <c r="P4042" s="23">
        <v>0.0</v>
      </c>
      <c r="Q4042" s="22" t="str">
        <f t="shared" ref="Q4042:R4042" si="2406">"+0.00%"</f>
        <v>+0.00%</v>
      </c>
      <c r="R4042" s="18" t="str">
        <f t="shared" si="2406"/>
        <v>+0.00%</v>
      </c>
      <c r="S4042" s="14" t="s">
        <v>2197</v>
      </c>
    </row>
    <row r="4043">
      <c r="A4043" s="13">
        <v>45901.0</v>
      </c>
      <c r="B4043" s="14" t="s">
        <v>47</v>
      </c>
      <c r="C4043" s="14" t="s">
        <v>48</v>
      </c>
      <c r="D4043" s="14" t="s">
        <v>108</v>
      </c>
      <c r="E4043" s="14" t="s">
        <v>109</v>
      </c>
      <c r="F4043" s="15" t="s">
        <v>51</v>
      </c>
      <c r="G4043" s="14" t="s">
        <v>110</v>
      </c>
      <c r="H4043" s="14" t="s">
        <v>108</v>
      </c>
      <c r="I4043" s="14" t="s">
        <v>59</v>
      </c>
      <c r="J4043" s="14" t="s">
        <v>198</v>
      </c>
      <c r="K4043" s="14" t="s">
        <v>210</v>
      </c>
      <c r="L4043" s="14" t="s">
        <v>458</v>
      </c>
      <c r="M4043" s="14" t="s">
        <v>459</v>
      </c>
      <c r="N4043" s="14" t="s">
        <v>460</v>
      </c>
      <c r="O4043" s="14">
        <v>100.0</v>
      </c>
      <c r="P4043" s="21">
        <v>0.0</v>
      </c>
      <c r="Q4043" s="22" t="str">
        <f t="shared" ref="Q4043:R4043" si="2407">"+0"</f>
        <v>+0</v>
      </c>
      <c r="R4043" s="18" t="str">
        <f t="shared" si="2407"/>
        <v>+0</v>
      </c>
      <c r="S4043" s="14" t="s">
        <v>281</v>
      </c>
    </row>
    <row r="4044">
      <c r="A4044" s="13">
        <v>45901.0</v>
      </c>
      <c r="B4044" s="14" t="s">
        <v>47</v>
      </c>
      <c r="C4044" s="14" t="s">
        <v>48</v>
      </c>
      <c r="D4044" s="14" t="s">
        <v>174</v>
      </c>
      <c r="E4044" s="14" t="s">
        <v>175</v>
      </c>
      <c r="F4044" s="15" t="s">
        <v>51</v>
      </c>
      <c r="G4044" s="14" t="s">
        <v>176</v>
      </c>
      <c r="H4044" s="14" t="s">
        <v>174</v>
      </c>
      <c r="I4044" s="14" t="s">
        <v>59</v>
      </c>
      <c r="J4044" s="14" t="s">
        <v>200</v>
      </c>
      <c r="K4044" s="14" t="s">
        <v>227</v>
      </c>
      <c r="L4044" s="14" t="s">
        <v>253</v>
      </c>
      <c r="M4044" s="14" t="s">
        <v>811</v>
      </c>
      <c r="N4044" s="14" t="s">
        <v>812</v>
      </c>
      <c r="O4044" s="14">
        <v>100.0</v>
      </c>
      <c r="P4044" s="23">
        <v>1.0</v>
      </c>
      <c r="Q4044" s="22" t="str">
        <f t="shared" ref="Q4044:R4044" si="2408">"+0.00%"</f>
        <v>+0.00%</v>
      </c>
      <c r="R4044" s="18" t="str">
        <f t="shared" si="2408"/>
        <v>+0.00%</v>
      </c>
      <c r="S4044" s="14" t="s">
        <v>398</v>
      </c>
    </row>
    <row r="4045">
      <c r="A4045" s="13">
        <v>45901.0</v>
      </c>
      <c r="B4045" s="14" t="s">
        <v>47</v>
      </c>
      <c r="C4045" s="14" t="s">
        <v>48</v>
      </c>
      <c r="D4045" s="14" t="s">
        <v>158</v>
      </c>
      <c r="E4045" s="14" t="s">
        <v>159</v>
      </c>
      <c r="F4045" s="15" t="s">
        <v>51</v>
      </c>
      <c r="G4045" s="14" t="s">
        <v>160</v>
      </c>
      <c r="H4045" s="14" t="s">
        <v>158</v>
      </c>
      <c r="I4045" s="14" t="s">
        <v>54</v>
      </c>
      <c r="J4045" s="14" t="s">
        <v>198</v>
      </c>
      <c r="K4045" s="14" t="s">
        <v>207</v>
      </c>
      <c r="L4045" s="14" t="s">
        <v>648</v>
      </c>
      <c r="M4045" s="14" t="s">
        <v>649</v>
      </c>
      <c r="N4045" s="14" t="s">
        <v>650</v>
      </c>
      <c r="O4045" s="14">
        <v>100.0</v>
      </c>
      <c r="P4045" s="21">
        <v>1.0</v>
      </c>
      <c r="Q4045" s="22" t="str">
        <f t="shared" ref="Q4045:Q4047" si="2409">"+0"</f>
        <v>+0</v>
      </c>
      <c r="S4045" s="14" t="s">
        <v>281</v>
      </c>
    </row>
    <row r="4046">
      <c r="A4046" s="13">
        <v>45901.0</v>
      </c>
      <c r="B4046" s="14" t="s">
        <v>47</v>
      </c>
      <c r="C4046" s="14" t="s">
        <v>48</v>
      </c>
      <c r="D4046" s="14" t="s">
        <v>158</v>
      </c>
      <c r="E4046" s="14" t="s">
        <v>159</v>
      </c>
      <c r="F4046" s="15" t="s">
        <v>51</v>
      </c>
      <c r="G4046" s="14" t="s">
        <v>160</v>
      </c>
      <c r="H4046" s="14" t="s">
        <v>158</v>
      </c>
      <c r="I4046" s="14" t="s">
        <v>54</v>
      </c>
      <c r="J4046" s="14" t="s">
        <v>198</v>
      </c>
      <c r="K4046" s="14" t="s">
        <v>210</v>
      </c>
      <c r="L4046" s="14" t="s">
        <v>458</v>
      </c>
      <c r="M4046" s="14" t="s">
        <v>1439</v>
      </c>
      <c r="N4046" s="14" t="s">
        <v>1440</v>
      </c>
      <c r="O4046" s="14">
        <v>0.0</v>
      </c>
      <c r="P4046" s="21">
        <v>0.0</v>
      </c>
      <c r="Q4046" s="22" t="str">
        <f t="shared" si="2409"/>
        <v>+0</v>
      </c>
      <c r="R4046" s="18" t="str">
        <f t="shared" ref="R4046:R4047" si="2410">"+0"</f>
        <v>+0</v>
      </c>
      <c r="S4046" s="14" t="s">
        <v>277</v>
      </c>
    </row>
    <row r="4047">
      <c r="A4047" s="13">
        <v>45901.0</v>
      </c>
      <c r="B4047" s="14" t="s">
        <v>47</v>
      </c>
      <c r="C4047" s="14" t="s">
        <v>48</v>
      </c>
      <c r="D4047" s="14" t="s">
        <v>158</v>
      </c>
      <c r="E4047" s="14" t="s">
        <v>159</v>
      </c>
      <c r="F4047" s="15" t="s">
        <v>51</v>
      </c>
      <c r="G4047" s="14" t="s">
        <v>160</v>
      </c>
      <c r="H4047" s="14" t="s">
        <v>158</v>
      </c>
      <c r="I4047" s="14" t="s">
        <v>54</v>
      </c>
      <c r="J4047" s="14" t="s">
        <v>199</v>
      </c>
      <c r="K4047" s="14" t="s">
        <v>206</v>
      </c>
      <c r="L4047" s="14" t="s">
        <v>515</v>
      </c>
      <c r="M4047" s="14" t="s">
        <v>515</v>
      </c>
      <c r="N4047" s="14" t="s">
        <v>516</v>
      </c>
      <c r="O4047" s="14">
        <v>0.0</v>
      </c>
      <c r="P4047" s="21">
        <v>0.0</v>
      </c>
      <c r="Q4047" s="22" t="str">
        <f t="shared" si="2409"/>
        <v>+0</v>
      </c>
      <c r="R4047" s="18" t="str">
        <f t="shared" si="2410"/>
        <v>+0</v>
      </c>
      <c r="S4047" s="14" t="s">
        <v>383</v>
      </c>
    </row>
    <row r="4048">
      <c r="A4048" s="13">
        <v>45901.0</v>
      </c>
      <c r="B4048" s="14" t="s">
        <v>47</v>
      </c>
      <c r="C4048" s="14" t="s">
        <v>48</v>
      </c>
      <c r="D4048" s="14" t="s">
        <v>56</v>
      </c>
      <c r="E4048" s="14" t="s">
        <v>57</v>
      </c>
      <c r="F4048" s="15" t="s">
        <v>51</v>
      </c>
      <c r="G4048" s="14" t="s">
        <v>58</v>
      </c>
      <c r="H4048" s="14" t="s">
        <v>56</v>
      </c>
      <c r="I4048" s="14" t="s">
        <v>59</v>
      </c>
      <c r="J4048" s="14" t="s">
        <v>200</v>
      </c>
      <c r="K4048" s="14" t="s">
        <v>223</v>
      </c>
      <c r="L4048" s="14" t="s">
        <v>676</v>
      </c>
      <c r="M4048" s="14" t="s">
        <v>836</v>
      </c>
      <c r="N4048" s="14" t="s">
        <v>837</v>
      </c>
      <c r="O4048" s="14">
        <v>16.0</v>
      </c>
      <c r="P4048" s="23">
        <v>0.16</v>
      </c>
      <c r="Q4048" s="22" t="str">
        <f>"+6.00%"</f>
        <v>+6.00%</v>
      </c>
      <c r="R4048" s="18" t="str">
        <f>"+7.67%"</f>
        <v>+7.67%</v>
      </c>
      <c r="S4048" s="14" t="s">
        <v>2198</v>
      </c>
    </row>
    <row r="4049">
      <c r="A4049" s="13">
        <v>45901.0</v>
      </c>
      <c r="B4049" s="14" t="s">
        <v>47</v>
      </c>
      <c r="C4049" s="14" t="s">
        <v>48</v>
      </c>
      <c r="D4049" s="14" t="s">
        <v>181</v>
      </c>
      <c r="E4049" s="14" t="s">
        <v>182</v>
      </c>
      <c r="F4049" s="15" t="s">
        <v>51</v>
      </c>
      <c r="G4049" s="14" t="s">
        <v>183</v>
      </c>
      <c r="H4049" s="14" t="s">
        <v>181</v>
      </c>
      <c r="I4049" s="14" t="s">
        <v>59</v>
      </c>
      <c r="J4049" s="14" t="s">
        <v>200</v>
      </c>
      <c r="K4049" s="14" t="s">
        <v>227</v>
      </c>
      <c r="L4049" s="14" t="s">
        <v>270</v>
      </c>
      <c r="M4049" s="14" t="s">
        <v>400</v>
      </c>
      <c r="N4049" s="14" t="s">
        <v>401</v>
      </c>
      <c r="O4049" s="14">
        <v>0.0</v>
      </c>
      <c r="P4049" s="21">
        <v>0.0</v>
      </c>
      <c r="Q4049" s="22" t="str">
        <f t="shared" ref="Q4049:R4049" si="2411">"+0"</f>
        <v>+0</v>
      </c>
      <c r="R4049" s="18" t="str">
        <f t="shared" si="2411"/>
        <v>+0</v>
      </c>
      <c r="S4049" s="14" t="s">
        <v>260</v>
      </c>
    </row>
    <row r="4050">
      <c r="A4050" s="13">
        <v>45901.0</v>
      </c>
      <c r="B4050" s="14" t="s">
        <v>47</v>
      </c>
      <c r="C4050" s="14" t="s">
        <v>48</v>
      </c>
      <c r="D4050" s="14" t="s">
        <v>60</v>
      </c>
      <c r="E4050" s="14" t="s">
        <v>61</v>
      </c>
      <c r="F4050" s="15" t="s">
        <v>51</v>
      </c>
      <c r="G4050" s="14" t="s">
        <v>62</v>
      </c>
      <c r="H4050" s="14" t="s">
        <v>60</v>
      </c>
      <c r="I4050" s="14" t="s">
        <v>59</v>
      </c>
      <c r="J4050" s="14" t="s">
        <v>199</v>
      </c>
      <c r="K4050" s="14" t="s">
        <v>206</v>
      </c>
      <c r="L4050" s="14" t="s">
        <v>381</v>
      </c>
      <c r="M4050" s="14" t="s">
        <v>381</v>
      </c>
      <c r="N4050" s="14" t="s">
        <v>382</v>
      </c>
      <c r="O4050" s="14">
        <v>0.0</v>
      </c>
      <c r="P4050" s="21">
        <v>0.0</v>
      </c>
      <c r="Q4050" s="22" t="str">
        <f t="shared" ref="Q4050:R4050" si="2412">"+0"</f>
        <v>+0</v>
      </c>
      <c r="R4050" s="18" t="str">
        <f t="shared" si="2412"/>
        <v>+0</v>
      </c>
      <c r="S4050" s="14" t="s">
        <v>383</v>
      </c>
    </row>
    <row r="4051">
      <c r="A4051" s="13">
        <v>45901.0</v>
      </c>
      <c r="B4051" s="14" t="s">
        <v>47</v>
      </c>
      <c r="C4051" s="14" t="s">
        <v>48</v>
      </c>
      <c r="D4051" s="14" t="s">
        <v>165</v>
      </c>
      <c r="E4051" s="14" t="s">
        <v>166</v>
      </c>
      <c r="F4051" s="15" t="s">
        <v>51</v>
      </c>
      <c r="G4051" s="14" t="s">
        <v>167</v>
      </c>
      <c r="H4051" s="14" t="s">
        <v>165</v>
      </c>
      <c r="I4051" s="14" t="s">
        <v>54</v>
      </c>
      <c r="J4051" s="14" t="s">
        <v>199</v>
      </c>
      <c r="K4051" s="14" t="s">
        <v>203</v>
      </c>
      <c r="L4051" s="14" t="s">
        <v>601</v>
      </c>
      <c r="M4051" s="14" t="s">
        <v>601</v>
      </c>
      <c r="N4051" s="14" t="s">
        <v>602</v>
      </c>
      <c r="O4051" s="14">
        <v>0.0</v>
      </c>
      <c r="P4051" s="21">
        <v>0.0</v>
      </c>
      <c r="Q4051" s="22" t="str">
        <f t="shared" ref="Q4051:R4051" si="2413">"+0"</f>
        <v>+0</v>
      </c>
      <c r="R4051" s="18" t="str">
        <f t="shared" si="2413"/>
        <v>+0</v>
      </c>
      <c r="S4051" s="14" t="s">
        <v>260</v>
      </c>
    </row>
    <row r="4052">
      <c r="A4052" s="13">
        <v>45901.0</v>
      </c>
      <c r="B4052" s="14" t="s">
        <v>47</v>
      </c>
      <c r="C4052" s="14" t="s">
        <v>48</v>
      </c>
      <c r="D4052" s="14" t="s">
        <v>63</v>
      </c>
      <c r="E4052" s="14" t="s">
        <v>64</v>
      </c>
      <c r="F4052" s="15" t="s">
        <v>51</v>
      </c>
      <c r="G4052" s="14" t="s">
        <v>65</v>
      </c>
      <c r="H4052" s="14" t="s">
        <v>63</v>
      </c>
      <c r="I4052" s="14" t="s">
        <v>54</v>
      </c>
      <c r="J4052" s="14" t="s">
        <v>198</v>
      </c>
      <c r="K4052" s="14" t="s">
        <v>210</v>
      </c>
      <c r="L4052" s="14" t="s">
        <v>264</v>
      </c>
      <c r="M4052" s="14" t="s">
        <v>641</v>
      </c>
      <c r="N4052" s="14" t="s">
        <v>642</v>
      </c>
      <c r="O4052" s="14">
        <v>0.0</v>
      </c>
      <c r="P4052" s="21">
        <v>0.0</v>
      </c>
      <c r="Q4052" s="22" t="str">
        <f t="shared" ref="Q4052:R4052" si="2414">"+0"</f>
        <v>+0</v>
      </c>
      <c r="R4052" s="18" t="str">
        <f t="shared" si="2414"/>
        <v>+0</v>
      </c>
      <c r="S4052" s="14" t="s">
        <v>277</v>
      </c>
    </row>
    <row r="4053">
      <c r="A4053" s="13">
        <v>45901.0</v>
      </c>
      <c r="B4053" s="14" t="s">
        <v>47</v>
      </c>
      <c r="C4053" s="14" t="s">
        <v>48</v>
      </c>
      <c r="D4053" s="14" t="s">
        <v>91</v>
      </c>
      <c r="E4053" s="14" t="s">
        <v>92</v>
      </c>
      <c r="F4053" s="15" t="s">
        <v>51</v>
      </c>
      <c r="G4053" s="14" t="s">
        <v>163</v>
      </c>
      <c r="H4053" s="14" t="s">
        <v>91</v>
      </c>
      <c r="I4053" s="14" t="s">
        <v>59</v>
      </c>
      <c r="J4053" s="14" t="s">
        <v>200</v>
      </c>
      <c r="K4053" s="14" t="s">
        <v>223</v>
      </c>
      <c r="L4053" s="14" t="s">
        <v>307</v>
      </c>
      <c r="M4053" s="14" t="s">
        <v>502</v>
      </c>
      <c r="N4053" s="14" t="s">
        <v>503</v>
      </c>
      <c r="O4053" s="14">
        <v>0.0</v>
      </c>
      <c r="P4053" s="23">
        <v>0.0</v>
      </c>
      <c r="Q4053" s="22" t="str">
        <f t="shared" ref="Q4053:R4053" si="2415">"+0.00%"</f>
        <v>+0.00%</v>
      </c>
      <c r="R4053" s="18" t="str">
        <f t="shared" si="2415"/>
        <v>+0.00%</v>
      </c>
      <c r="S4053" s="14" t="s">
        <v>2199</v>
      </c>
    </row>
    <row r="4054">
      <c r="A4054" s="13">
        <v>45901.0</v>
      </c>
      <c r="B4054" s="14" t="s">
        <v>47</v>
      </c>
      <c r="C4054" s="14" t="s">
        <v>48</v>
      </c>
      <c r="D4054" s="14" t="s">
        <v>91</v>
      </c>
      <c r="E4054" s="14" t="s">
        <v>92</v>
      </c>
      <c r="F4054" s="15" t="s">
        <v>51</v>
      </c>
      <c r="G4054" s="14" t="s">
        <v>163</v>
      </c>
      <c r="H4054" s="14" t="s">
        <v>91</v>
      </c>
      <c r="I4054" s="14" t="s">
        <v>59</v>
      </c>
      <c r="J4054" s="14" t="s">
        <v>198</v>
      </c>
      <c r="K4054" s="14" t="s">
        <v>212</v>
      </c>
      <c r="L4054" s="14" t="s">
        <v>249</v>
      </c>
      <c r="M4054" s="14" t="s">
        <v>250</v>
      </c>
      <c r="N4054" s="14" t="s">
        <v>251</v>
      </c>
      <c r="O4054" s="14">
        <v>19.0</v>
      </c>
      <c r="P4054" s="21">
        <v>36780.0</v>
      </c>
      <c r="Q4054" s="22" t="str">
        <f>"-1,326"</f>
        <v>-1,326</v>
      </c>
      <c r="R4054" s="18" t="str">
        <f>"-36,324"</f>
        <v>-36,324</v>
      </c>
      <c r="S4054" s="14" t="s">
        <v>2200</v>
      </c>
    </row>
    <row r="4055">
      <c r="A4055" s="13">
        <v>45901.0</v>
      </c>
      <c r="B4055" s="14" t="s">
        <v>47</v>
      </c>
      <c r="C4055" s="14" t="s">
        <v>48</v>
      </c>
      <c r="D4055" s="14" t="s">
        <v>99</v>
      </c>
      <c r="E4055" s="14" t="s">
        <v>100</v>
      </c>
      <c r="F4055" s="15" t="s">
        <v>51</v>
      </c>
      <c r="G4055" s="14" t="s">
        <v>101</v>
      </c>
      <c r="H4055" s="14" t="s">
        <v>102</v>
      </c>
      <c r="I4055" s="14" t="s">
        <v>54</v>
      </c>
      <c r="J4055" s="14" t="s">
        <v>198</v>
      </c>
      <c r="K4055" s="14" t="s">
        <v>210</v>
      </c>
      <c r="L4055" s="14" t="s">
        <v>278</v>
      </c>
      <c r="M4055" s="14" t="s">
        <v>853</v>
      </c>
      <c r="N4055" s="14" t="s">
        <v>854</v>
      </c>
      <c r="O4055" s="14">
        <v>0.0</v>
      </c>
      <c r="P4055" s="21">
        <v>0.0</v>
      </c>
      <c r="Q4055" s="22" t="str">
        <f t="shared" ref="Q4055:R4055" si="2416">"+0"</f>
        <v>+0</v>
      </c>
      <c r="R4055" s="18" t="str">
        <f t="shared" si="2416"/>
        <v>+0</v>
      </c>
      <c r="S4055" s="14" t="s">
        <v>277</v>
      </c>
    </row>
    <row r="4056">
      <c r="A4056" s="13">
        <v>45901.0</v>
      </c>
      <c r="B4056" s="14" t="s">
        <v>47</v>
      </c>
      <c r="C4056" s="14" t="s">
        <v>48</v>
      </c>
      <c r="D4056" s="14" t="s">
        <v>91</v>
      </c>
      <c r="E4056" s="14" t="s">
        <v>92</v>
      </c>
      <c r="F4056" s="15" t="s">
        <v>51</v>
      </c>
      <c r="G4056" s="14" t="s">
        <v>163</v>
      </c>
      <c r="H4056" s="14" t="s">
        <v>91</v>
      </c>
      <c r="I4056" s="14" t="s">
        <v>59</v>
      </c>
      <c r="J4056" s="14" t="s">
        <v>199</v>
      </c>
      <c r="K4056" s="14" t="s">
        <v>206</v>
      </c>
      <c r="L4056" s="14" t="s">
        <v>515</v>
      </c>
      <c r="M4056" s="14" t="s">
        <v>515</v>
      </c>
      <c r="N4056" s="14" t="s">
        <v>516</v>
      </c>
      <c r="O4056" s="14">
        <v>25.0</v>
      </c>
      <c r="P4056" s="21">
        <v>1.0</v>
      </c>
      <c r="Q4056" s="22" t="str">
        <f t="shared" ref="Q4056:R4056" si="2417">"+0"</f>
        <v>+0</v>
      </c>
      <c r="R4056" s="18" t="str">
        <f t="shared" si="2417"/>
        <v>+0</v>
      </c>
      <c r="S4056" s="14" t="s">
        <v>383</v>
      </c>
    </row>
    <row r="4057">
      <c r="A4057" s="13">
        <v>45901.0</v>
      </c>
      <c r="B4057" s="14" t="s">
        <v>47</v>
      </c>
      <c r="C4057" s="14" t="s">
        <v>48</v>
      </c>
      <c r="D4057" s="14" t="s">
        <v>99</v>
      </c>
      <c r="E4057" s="14" t="s">
        <v>100</v>
      </c>
      <c r="F4057" s="15" t="s">
        <v>51</v>
      </c>
      <c r="G4057" s="14" t="s">
        <v>101</v>
      </c>
      <c r="H4057" s="14" t="s">
        <v>102</v>
      </c>
      <c r="I4057" s="14" t="s">
        <v>54</v>
      </c>
      <c r="J4057" s="14" t="s">
        <v>200</v>
      </c>
      <c r="K4057" s="14" t="s">
        <v>213</v>
      </c>
      <c r="L4057" s="14" t="s">
        <v>307</v>
      </c>
      <c r="M4057" s="14" t="s">
        <v>856</v>
      </c>
      <c r="N4057" s="14" t="s">
        <v>857</v>
      </c>
      <c r="O4057" s="14">
        <v>0.0</v>
      </c>
      <c r="P4057" s="23">
        <v>0.0</v>
      </c>
      <c r="Q4057" s="22" t="str">
        <f t="shared" ref="Q4057:R4057" si="2418">"+0.00%"</f>
        <v>+0.00%</v>
      </c>
      <c r="R4057" s="18" t="str">
        <f t="shared" si="2418"/>
        <v>+0.00%</v>
      </c>
      <c r="S4057" s="14" t="s">
        <v>285</v>
      </c>
    </row>
    <row r="4058">
      <c r="A4058" s="13">
        <v>45901.0</v>
      </c>
      <c r="B4058" s="14" t="s">
        <v>47</v>
      </c>
      <c r="C4058" s="14" t="s">
        <v>48</v>
      </c>
      <c r="D4058" s="14" t="s">
        <v>91</v>
      </c>
      <c r="E4058" s="14" t="s">
        <v>92</v>
      </c>
      <c r="F4058" s="14" t="s">
        <v>71</v>
      </c>
      <c r="G4058" s="14">
        <v>5.00008613E8</v>
      </c>
      <c r="H4058" s="14" t="s">
        <v>91</v>
      </c>
      <c r="I4058" s="14" t="s">
        <v>59</v>
      </c>
      <c r="J4058" s="14" t="s">
        <v>199</v>
      </c>
      <c r="K4058" s="14" t="s">
        <v>208</v>
      </c>
      <c r="L4058" s="14" t="s">
        <v>352</v>
      </c>
      <c r="M4058" s="14" t="s">
        <v>352</v>
      </c>
      <c r="N4058" s="14" t="s">
        <v>353</v>
      </c>
      <c r="O4058" s="14">
        <v>100.0</v>
      </c>
      <c r="P4058" s="21">
        <v>59.0</v>
      </c>
      <c r="Q4058" s="22" t="str">
        <f>"+1"</f>
        <v>+1</v>
      </c>
      <c r="R4058" s="18" t="str">
        <f>"+2"</f>
        <v>+2</v>
      </c>
      <c r="S4058" s="14" t="s">
        <v>260</v>
      </c>
    </row>
    <row r="4059">
      <c r="A4059" s="13">
        <v>45901.0</v>
      </c>
      <c r="B4059" s="14" t="s">
        <v>47</v>
      </c>
      <c r="C4059" s="14" t="s">
        <v>48</v>
      </c>
      <c r="D4059" s="14" t="s">
        <v>93</v>
      </c>
      <c r="E4059" s="14" t="s">
        <v>94</v>
      </c>
      <c r="F4059" s="15" t="s">
        <v>51</v>
      </c>
      <c r="G4059" s="14" t="s">
        <v>191</v>
      </c>
      <c r="H4059" s="14" t="s">
        <v>95</v>
      </c>
      <c r="I4059" s="14" t="s">
        <v>59</v>
      </c>
      <c r="J4059" s="14" t="s">
        <v>200</v>
      </c>
      <c r="K4059" s="14" t="s">
        <v>215</v>
      </c>
      <c r="L4059" s="14" t="s">
        <v>1341</v>
      </c>
      <c r="M4059" s="14" t="s">
        <v>2035</v>
      </c>
      <c r="N4059" s="14" t="s">
        <v>1367</v>
      </c>
      <c r="O4059" s="14">
        <v>50.0</v>
      </c>
      <c r="P4059" s="23">
        <v>1.0E-4</v>
      </c>
      <c r="Q4059" s="22" t="str">
        <f>"+57.15%"</f>
        <v>+57.15%</v>
      </c>
      <c r="R4059" s="18" t="str">
        <f>"-0.00%"</f>
        <v>-0.00%</v>
      </c>
      <c r="S4059" s="14" t="s">
        <v>2201</v>
      </c>
    </row>
    <row r="4060">
      <c r="A4060" s="13">
        <v>45901.0</v>
      </c>
      <c r="B4060" s="14" t="s">
        <v>47</v>
      </c>
      <c r="C4060" s="14" t="s">
        <v>48</v>
      </c>
      <c r="D4060" s="14" t="s">
        <v>93</v>
      </c>
      <c r="E4060" s="14" t="s">
        <v>94</v>
      </c>
      <c r="F4060" s="15" t="s">
        <v>51</v>
      </c>
      <c r="G4060" s="14" t="s">
        <v>191</v>
      </c>
      <c r="H4060" s="14" t="s">
        <v>95</v>
      </c>
      <c r="I4060" s="14" t="s">
        <v>59</v>
      </c>
      <c r="J4060" s="14" t="s">
        <v>200</v>
      </c>
      <c r="K4060" s="14" t="s">
        <v>215</v>
      </c>
      <c r="L4060" s="14" t="s">
        <v>1361</v>
      </c>
      <c r="M4060" s="14" t="s">
        <v>1362</v>
      </c>
      <c r="N4060" s="14" t="s">
        <v>1363</v>
      </c>
      <c r="O4060" s="14">
        <v>41.0</v>
      </c>
      <c r="P4060" s="23">
        <v>-0.1616</v>
      </c>
      <c r="Q4060" s="22" t="str">
        <f>"+27.20%"</f>
        <v>+27.20%</v>
      </c>
      <c r="R4060" s="18" t="str">
        <f>"+3.95%"</f>
        <v>+3.95%</v>
      </c>
      <c r="S4060" s="14" t="s">
        <v>2202</v>
      </c>
    </row>
    <row r="4061">
      <c r="A4061" s="13">
        <v>45901.0</v>
      </c>
      <c r="B4061" s="14" t="s">
        <v>47</v>
      </c>
      <c r="C4061" s="14" t="s">
        <v>48</v>
      </c>
      <c r="D4061" s="14" t="s">
        <v>192</v>
      </c>
      <c r="E4061" s="14" t="s">
        <v>193</v>
      </c>
      <c r="F4061" s="15" t="s">
        <v>51</v>
      </c>
      <c r="G4061" s="14" t="s">
        <v>194</v>
      </c>
      <c r="H4061" s="14" t="s">
        <v>192</v>
      </c>
      <c r="I4061" s="14" t="s">
        <v>54</v>
      </c>
      <c r="J4061" s="14" t="s">
        <v>198</v>
      </c>
      <c r="K4061" s="14" t="s">
        <v>210</v>
      </c>
      <c r="L4061" s="14" t="s">
        <v>505</v>
      </c>
      <c r="M4061" s="14" t="s">
        <v>1475</v>
      </c>
      <c r="N4061" s="14" t="s">
        <v>1476</v>
      </c>
      <c r="O4061" s="14">
        <v>0.0</v>
      </c>
      <c r="P4061" s="21">
        <v>0.0</v>
      </c>
      <c r="Q4061" s="22" t="str">
        <f t="shared" ref="Q4061:R4061" si="2419">"+0"</f>
        <v>+0</v>
      </c>
      <c r="R4061" s="18" t="str">
        <f t="shared" si="2419"/>
        <v>+0</v>
      </c>
      <c r="S4061" s="14" t="s">
        <v>277</v>
      </c>
    </row>
    <row r="4062">
      <c r="A4062" s="13">
        <v>45901.0</v>
      </c>
      <c r="B4062" s="14" t="s">
        <v>47</v>
      </c>
      <c r="C4062" s="14" t="s">
        <v>48</v>
      </c>
      <c r="D4062" s="14" t="s">
        <v>192</v>
      </c>
      <c r="E4062" s="14" t="s">
        <v>193</v>
      </c>
      <c r="F4062" s="15" t="s">
        <v>51</v>
      </c>
      <c r="G4062" s="14" t="s">
        <v>194</v>
      </c>
      <c r="H4062" s="14" t="s">
        <v>192</v>
      </c>
      <c r="I4062" s="14" t="s">
        <v>54</v>
      </c>
      <c r="J4062" s="14" t="s">
        <v>200</v>
      </c>
      <c r="K4062" s="14" t="s">
        <v>231</v>
      </c>
      <c r="L4062" s="14" t="s">
        <v>751</v>
      </c>
      <c r="M4062" s="14" t="s">
        <v>1926</v>
      </c>
      <c r="N4062" s="14" t="s">
        <v>1927</v>
      </c>
      <c r="O4062" s="14">
        <v>0.0</v>
      </c>
      <c r="P4062" s="21">
        <v>0.0</v>
      </c>
      <c r="Q4062" s="22" t="str">
        <f t="shared" ref="Q4062:R4062" si="2420">"+0"</f>
        <v>+0</v>
      </c>
      <c r="R4062" s="18" t="str">
        <f t="shared" si="2420"/>
        <v>+0</v>
      </c>
      <c r="S4062" s="14" t="s">
        <v>260</v>
      </c>
    </row>
    <row r="4063">
      <c r="A4063" s="13">
        <v>45901.0</v>
      </c>
      <c r="B4063" s="14" t="s">
        <v>47</v>
      </c>
      <c r="C4063" s="14" t="s">
        <v>48</v>
      </c>
      <c r="D4063" s="14" t="s">
        <v>66</v>
      </c>
      <c r="E4063" s="14" t="s">
        <v>67</v>
      </c>
      <c r="F4063" s="15" t="s">
        <v>51</v>
      </c>
      <c r="G4063" s="14" t="s">
        <v>68</v>
      </c>
      <c r="H4063" s="14" t="s">
        <v>66</v>
      </c>
      <c r="I4063" s="14" t="s">
        <v>59</v>
      </c>
      <c r="J4063" s="14" t="s">
        <v>200</v>
      </c>
      <c r="K4063" s="14" t="s">
        <v>223</v>
      </c>
      <c r="L4063" s="14" t="s">
        <v>375</v>
      </c>
      <c r="M4063" s="14" t="s">
        <v>376</v>
      </c>
      <c r="N4063" s="14" t="s">
        <v>377</v>
      </c>
      <c r="O4063" s="14">
        <v>0.0</v>
      </c>
      <c r="P4063" s="23">
        <v>0.0</v>
      </c>
      <c r="Q4063" s="22" t="str">
        <f t="shared" ref="Q4063:R4063" si="2421">"+0.00%"</f>
        <v>+0.00%</v>
      </c>
      <c r="R4063" s="18" t="str">
        <f t="shared" si="2421"/>
        <v>+0.00%</v>
      </c>
      <c r="S4063" s="14" t="s">
        <v>2203</v>
      </c>
    </row>
    <row r="4064">
      <c r="A4064" s="13">
        <v>45901.0</v>
      </c>
      <c r="B4064" s="14" t="s">
        <v>47</v>
      </c>
      <c r="C4064" s="14" t="s">
        <v>48</v>
      </c>
      <c r="D4064" s="14" t="s">
        <v>66</v>
      </c>
      <c r="E4064" s="14" t="s">
        <v>67</v>
      </c>
      <c r="F4064" s="15" t="s">
        <v>51</v>
      </c>
      <c r="G4064" s="14" t="s">
        <v>68</v>
      </c>
      <c r="H4064" s="14" t="s">
        <v>66</v>
      </c>
      <c r="I4064" s="14" t="s">
        <v>59</v>
      </c>
      <c r="J4064" s="14" t="s">
        <v>200</v>
      </c>
      <c r="K4064" s="14" t="s">
        <v>223</v>
      </c>
      <c r="L4064" s="14" t="s">
        <v>257</v>
      </c>
      <c r="M4064" s="14" t="s">
        <v>499</v>
      </c>
      <c r="N4064" s="14" t="s">
        <v>500</v>
      </c>
      <c r="O4064" s="14">
        <v>0.0</v>
      </c>
      <c r="P4064" s="23">
        <v>0.0</v>
      </c>
      <c r="Q4064" s="22" t="str">
        <f t="shared" ref="Q4064:R4064" si="2422">"+0.00%"</f>
        <v>+0.00%</v>
      </c>
      <c r="R4064" s="18" t="str">
        <f t="shared" si="2422"/>
        <v>+0.00%</v>
      </c>
      <c r="S4064" s="14" t="s">
        <v>2204</v>
      </c>
    </row>
    <row r="4065">
      <c r="A4065" s="13">
        <v>45901.0</v>
      </c>
      <c r="B4065" s="14" t="s">
        <v>47</v>
      </c>
      <c r="C4065" s="14" t="s">
        <v>48</v>
      </c>
      <c r="D4065" s="14" t="s">
        <v>103</v>
      </c>
      <c r="E4065" s="14" t="s">
        <v>104</v>
      </c>
      <c r="F4065" s="15" t="s">
        <v>51</v>
      </c>
      <c r="G4065" s="14" t="s">
        <v>105</v>
      </c>
      <c r="H4065" s="14" t="s">
        <v>106</v>
      </c>
      <c r="I4065" s="14" t="s">
        <v>59</v>
      </c>
      <c r="J4065" s="14" t="s">
        <v>200</v>
      </c>
      <c r="K4065" s="14" t="s">
        <v>232</v>
      </c>
      <c r="L4065" s="14" t="s">
        <v>607</v>
      </c>
      <c r="M4065" s="14" t="s">
        <v>758</v>
      </c>
      <c r="N4065" s="14" t="s">
        <v>759</v>
      </c>
      <c r="O4065" s="14">
        <v>0.0</v>
      </c>
      <c r="P4065" s="23">
        <v>-1.0</v>
      </c>
      <c r="Q4065" s="22" t="str">
        <f t="shared" ref="Q4065:R4065" si="2423">"+0.00%"</f>
        <v>+0.00%</v>
      </c>
      <c r="R4065" s="18" t="str">
        <f t="shared" si="2423"/>
        <v>+0.00%</v>
      </c>
      <c r="S4065" s="14" t="s">
        <v>2205</v>
      </c>
    </row>
    <row r="4066">
      <c r="A4066" s="13">
        <v>45901.0</v>
      </c>
      <c r="B4066" s="14" t="s">
        <v>47</v>
      </c>
      <c r="C4066" s="14" t="s">
        <v>48</v>
      </c>
      <c r="D4066" s="14" t="s">
        <v>149</v>
      </c>
      <c r="E4066" s="14" t="s">
        <v>150</v>
      </c>
      <c r="F4066" s="15" t="s">
        <v>51</v>
      </c>
      <c r="G4066" s="14" t="s">
        <v>151</v>
      </c>
      <c r="H4066" s="14" t="s">
        <v>152</v>
      </c>
      <c r="I4066" s="14" t="s">
        <v>54</v>
      </c>
      <c r="J4066" s="14" t="s">
        <v>198</v>
      </c>
      <c r="K4066" s="14" t="s">
        <v>205</v>
      </c>
      <c r="L4066" s="14" t="s">
        <v>274</v>
      </c>
      <c r="M4066" s="14" t="s">
        <v>275</v>
      </c>
      <c r="N4066" s="14" t="s">
        <v>276</v>
      </c>
      <c r="O4066" s="14">
        <v>0.0</v>
      </c>
      <c r="P4066" s="21">
        <v>1.0</v>
      </c>
      <c r="Q4066" s="22" t="str">
        <f>"+0"</f>
        <v>+0</v>
      </c>
      <c r="S4066" s="14" t="s">
        <v>277</v>
      </c>
    </row>
    <row r="4067">
      <c r="A4067" s="13">
        <v>45901.0</v>
      </c>
      <c r="B4067" s="14" t="s">
        <v>47</v>
      </c>
      <c r="C4067" s="14" t="s">
        <v>48</v>
      </c>
      <c r="D4067" s="14" t="s">
        <v>136</v>
      </c>
      <c r="E4067" s="14" t="s">
        <v>137</v>
      </c>
      <c r="F4067" s="15" t="s">
        <v>51</v>
      </c>
      <c r="G4067" s="14" t="s">
        <v>138</v>
      </c>
      <c r="H4067" s="14" t="s">
        <v>139</v>
      </c>
      <c r="I4067" s="14" t="s">
        <v>59</v>
      </c>
      <c r="J4067" s="14" t="s">
        <v>200</v>
      </c>
      <c r="K4067" s="14" t="s">
        <v>224</v>
      </c>
      <c r="L4067" s="14" t="s">
        <v>427</v>
      </c>
      <c r="M4067" s="14" t="s">
        <v>925</v>
      </c>
      <c r="N4067" s="14" t="s">
        <v>926</v>
      </c>
      <c r="O4067" s="14">
        <v>0.0</v>
      </c>
      <c r="P4067" s="23">
        <v>0.0</v>
      </c>
      <c r="Q4067" s="22" t="str">
        <f t="shared" ref="Q4067:Q4070" si="2424">"+0.00%"</f>
        <v>+0.00%</v>
      </c>
      <c r="S4067" s="14" t="s">
        <v>927</v>
      </c>
    </row>
    <row r="4068">
      <c r="A4068" s="13">
        <v>45901.0</v>
      </c>
      <c r="B4068" s="14" t="s">
        <v>47</v>
      </c>
      <c r="C4068" s="14" t="s">
        <v>48</v>
      </c>
      <c r="D4068" s="14" t="s">
        <v>136</v>
      </c>
      <c r="E4068" s="14" t="s">
        <v>137</v>
      </c>
      <c r="F4068" s="15" t="s">
        <v>51</v>
      </c>
      <c r="G4068" s="14" t="s">
        <v>138</v>
      </c>
      <c r="H4068" s="14" t="s">
        <v>139</v>
      </c>
      <c r="I4068" s="14" t="s">
        <v>59</v>
      </c>
      <c r="J4068" s="14" t="s">
        <v>200</v>
      </c>
      <c r="K4068" s="14" t="s">
        <v>227</v>
      </c>
      <c r="L4068" s="14" t="s">
        <v>253</v>
      </c>
      <c r="M4068" s="14" t="s">
        <v>849</v>
      </c>
      <c r="N4068" s="14" t="s">
        <v>850</v>
      </c>
      <c r="O4068" s="14">
        <v>20.0</v>
      </c>
      <c r="P4068" s="23">
        <v>0.2</v>
      </c>
      <c r="Q4068" s="22" t="str">
        <f t="shared" si="2424"/>
        <v>+0.00%</v>
      </c>
      <c r="R4068" s="18" t="str">
        <f>"+0.00%"</f>
        <v>+0.00%</v>
      </c>
      <c r="S4068" s="14" t="s">
        <v>851</v>
      </c>
    </row>
    <row r="4069">
      <c r="A4069" s="13">
        <v>45901.0</v>
      </c>
      <c r="B4069" s="14" t="s">
        <v>47</v>
      </c>
      <c r="C4069" s="14" t="s">
        <v>48</v>
      </c>
      <c r="D4069" s="14" t="s">
        <v>136</v>
      </c>
      <c r="E4069" s="14" t="s">
        <v>137</v>
      </c>
      <c r="F4069" s="15" t="s">
        <v>51</v>
      </c>
      <c r="G4069" s="14" t="s">
        <v>138</v>
      </c>
      <c r="H4069" s="14" t="s">
        <v>139</v>
      </c>
      <c r="I4069" s="14" t="s">
        <v>59</v>
      </c>
      <c r="J4069" s="14" t="s">
        <v>200</v>
      </c>
      <c r="K4069" s="14" t="s">
        <v>224</v>
      </c>
      <c r="L4069" s="14" t="s">
        <v>427</v>
      </c>
      <c r="M4069" s="14" t="s">
        <v>428</v>
      </c>
      <c r="N4069" s="14" t="s">
        <v>429</v>
      </c>
      <c r="O4069" s="14">
        <v>0.0</v>
      </c>
      <c r="P4069" s="23">
        <v>0.0</v>
      </c>
      <c r="Q4069" s="22" t="str">
        <f t="shared" si="2424"/>
        <v>+0.00%</v>
      </c>
      <c r="S4069" s="14" t="s">
        <v>2206</v>
      </c>
    </row>
    <row r="4070">
      <c r="A4070" s="13">
        <v>45901.0</v>
      </c>
      <c r="B4070" s="14" t="s">
        <v>47</v>
      </c>
      <c r="C4070" s="14" t="s">
        <v>48</v>
      </c>
      <c r="D4070" s="14" t="s">
        <v>96</v>
      </c>
      <c r="E4070" s="14" t="s">
        <v>97</v>
      </c>
      <c r="F4070" s="15" t="s">
        <v>51</v>
      </c>
      <c r="G4070" s="14" t="s">
        <v>98</v>
      </c>
      <c r="H4070" s="14" t="s">
        <v>96</v>
      </c>
      <c r="I4070" s="14" t="s">
        <v>59</v>
      </c>
      <c r="J4070" s="14" t="s">
        <v>200</v>
      </c>
      <c r="K4070" s="14" t="s">
        <v>223</v>
      </c>
      <c r="L4070" s="14" t="s">
        <v>710</v>
      </c>
      <c r="M4070" s="14" t="s">
        <v>711</v>
      </c>
      <c r="N4070" s="14" t="s">
        <v>712</v>
      </c>
      <c r="O4070" s="14">
        <v>0.0</v>
      </c>
      <c r="P4070" s="23">
        <v>0.0</v>
      </c>
      <c r="Q4070" s="22" t="str">
        <f t="shared" si="2424"/>
        <v>+0.00%</v>
      </c>
      <c r="R4070" s="18" t="str">
        <f>"+0.00%"</f>
        <v>+0.00%</v>
      </c>
      <c r="S4070" s="14" t="s">
        <v>285</v>
      </c>
    </row>
    <row r="4071">
      <c r="A4071" s="13">
        <v>45901.0</v>
      </c>
      <c r="B4071" s="14" t="s">
        <v>47</v>
      </c>
      <c r="C4071" s="14" t="s">
        <v>48</v>
      </c>
      <c r="D4071" s="14" t="s">
        <v>116</v>
      </c>
      <c r="E4071" s="14" t="s">
        <v>117</v>
      </c>
      <c r="F4071" s="15" t="s">
        <v>51</v>
      </c>
      <c r="G4071" s="14" t="s">
        <v>161</v>
      </c>
      <c r="H4071" s="14" t="s">
        <v>116</v>
      </c>
      <c r="I4071" s="14" t="s">
        <v>54</v>
      </c>
      <c r="J4071" s="14" t="s">
        <v>200</v>
      </c>
      <c r="K4071" s="14" t="s">
        <v>214</v>
      </c>
      <c r="L4071" s="14" t="s">
        <v>253</v>
      </c>
      <c r="M4071" s="14" t="s">
        <v>366</v>
      </c>
      <c r="N4071" s="14" t="s">
        <v>367</v>
      </c>
      <c r="O4071" s="14">
        <v>87.0</v>
      </c>
      <c r="P4071" s="23">
        <v>0.875</v>
      </c>
      <c r="Q4071" s="22" t="str">
        <f>"+6.39%"</f>
        <v>+6.39%</v>
      </c>
      <c r="R4071" s="18" t="str">
        <f>"+1.11%"</f>
        <v>+1.11%</v>
      </c>
      <c r="S4071" s="14" t="s">
        <v>2207</v>
      </c>
    </row>
    <row r="4072">
      <c r="A4072" s="13">
        <v>45901.0</v>
      </c>
      <c r="B4072" s="14" t="s">
        <v>47</v>
      </c>
      <c r="C4072" s="14" t="s">
        <v>48</v>
      </c>
      <c r="D4072" s="14" t="s">
        <v>116</v>
      </c>
      <c r="E4072" s="14" t="s">
        <v>117</v>
      </c>
      <c r="F4072" s="15" t="s">
        <v>51</v>
      </c>
      <c r="G4072" s="14" t="s">
        <v>161</v>
      </c>
      <c r="H4072" s="14" t="s">
        <v>116</v>
      </c>
      <c r="I4072" s="14" t="s">
        <v>54</v>
      </c>
      <c r="J4072" s="14" t="s">
        <v>199</v>
      </c>
      <c r="K4072" s="14" t="s">
        <v>206</v>
      </c>
      <c r="L4072" s="14" t="s">
        <v>381</v>
      </c>
      <c r="M4072" s="14" t="s">
        <v>381</v>
      </c>
      <c r="N4072" s="14" t="s">
        <v>382</v>
      </c>
      <c r="O4072" s="14">
        <v>0.0</v>
      </c>
      <c r="P4072" s="21">
        <v>0.0</v>
      </c>
      <c r="Q4072" s="22" t="str">
        <f t="shared" ref="Q4072:R4072" si="2425">"+0"</f>
        <v>+0</v>
      </c>
      <c r="R4072" s="18" t="str">
        <f t="shared" si="2425"/>
        <v>+0</v>
      </c>
      <c r="S4072" s="14" t="s">
        <v>383</v>
      </c>
    </row>
    <row r="4073">
      <c r="A4073" s="13">
        <v>45901.0</v>
      </c>
      <c r="B4073" s="14" t="s">
        <v>47</v>
      </c>
      <c r="C4073" s="14" t="s">
        <v>48</v>
      </c>
      <c r="D4073" s="14" t="s">
        <v>108</v>
      </c>
      <c r="E4073" s="14" t="s">
        <v>109</v>
      </c>
      <c r="F4073" s="15" t="s">
        <v>51</v>
      </c>
      <c r="G4073" s="14" t="s">
        <v>110</v>
      </c>
      <c r="H4073" s="14" t="s">
        <v>108</v>
      </c>
      <c r="I4073" s="14" t="s">
        <v>59</v>
      </c>
      <c r="J4073" s="14" t="s">
        <v>200</v>
      </c>
      <c r="K4073" s="14" t="s">
        <v>222</v>
      </c>
      <c r="L4073" s="14" t="s">
        <v>337</v>
      </c>
      <c r="M4073" s="14" t="s">
        <v>734</v>
      </c>
      <c r="N4073" s="14" t="s">
        <v>735</v>
      </c>
      <c r="O4073" s="14">
        <v>0.0</v>
      </c>
      <c r="P4073" s="21">
        <v>0.0</v>
      </c>
      <c r="Q4073" s="22" t="str">
        <f t="shared" ref="Q4073:R4073" si="2426">"+0"</f>
        <v>+0</v>
      </c>
      <c r="R4073" s="18" t="str">
        <f t="shared" si="2426"/>
        <v>+0</v>
      </c>
      <c r="S4073" s="14" t="s">
        <v>260</v>
      </c>
    </row>
    <row r="4074">
      <c r="A4074" s="13">
        <v>45901.0</v>
      </c>
      <c r="B4074" s="14" t="s">
        <v>47</v>
      </c>
      <c r="C4074" s="14" t="s">
        <v>48</v>
      </c>
      <c r="D4074" s="14" t="s">
        <v>116</v>
      </c>
      <c r="E4074" s="14" t="s">
        <v>117</v>
      </c>
      <c r="F4074" s="15" t="s">
        <v>51</v>
      </c>
      <c r="G4074" s="14" t="s">
        <v>161</v>
      </c>
      <c r="H4074" s="14" t="s">
        <v>116</v>
      </c>
      <c r="I4074" s="14" t="s">
        <v>54</v>
      </c>
      <c r="J4074" s="14" t="s">
        <v>198</v>
      </c>
      <c r="K4074" s="14" t="s">
        <v>210</v>
      </c>
      <c r="L4074" s="14" t="s">
        <v>264</v>
      </c>
      <c r="M4074" s="14" t="s">
        <v>834</v>
      </c>
      <c r="N4074" s="14" t="s">
        <v>835</v>
      </c>
      <c r="O4074" s="14">
        <v>0.0</v>
      </c>
      <c r="P4074" s="21">
        <v>0.0</v>
      </c>
      <c r="Q4074" s="22" t="str">
        <f t="shared" ref="Q4074:R4074" si="2427">"+0"</f>
        <v>+0</v>
      </c>
      <c r="R4074" s="18" t="str">
        <f t="shared" si="2427"/>
        <v>+0</v>
      </c>
      <c r="S4074" s="14" t="s">
        <v>277</v>
      </c>
    </row>
    <row r="4075">
      <c r="A4075" s="13">
        <v>45901.0</v>
      </c>
      <c r="B4075" s="14" t="s">
        <v>47</v>
      </c>
      <c r="C4075" s="14" t="s">
        <v>48</v>
      </c>
      <c r="D4075" s="14" t="s">
        <v>56</v>
      </c>
      <c r="E4075" s="14" t="s">
        <v>57</v>
      </c>
      <c r="F4075" s="15" t="s">
        <v>51</v>
      </c>
      <c r="G4075" s="14" t="s">
        <v>58</v>
      </c>
      <c r="H4075" s="14" t="s">
        <v>56</v>
      </c>
      <c r="I4075" s="14" t="s">
        <v>59</v>
      </c>
      <c r="J4075" s="14" t="s">
        <v>200</v>
      </c>
      <c r="K4075" s="14" t="s">
        <v>214</v>
      </c>
      <c r="L4075" s="14" t="s">
        <v>253</v>
      </c>
      <c r="M4075" s="14" t="s">
        <v>366</v>
      </c>
      <c r="N4075" s="14" t="s">
        <v>367</v>
      </c>
      <c r="O4075" s="14">
        <v>84.0</v>
      </c>
      <c r="P4075" s="23">
        <v>0.84</v>
      </c>
      <c r="Q4075" s="22" t="str">
        <f t="shared" ref="Q4075:R4075" si="2428">"+0.00%"</f>
        <v>+0.00%</v>
      </c>
      <c r="R4075" s="18" t="str">
        <f t="shared" si="2428"/>
        <v>+0.00%</v>
      </c>
      <c r="S4075" s="14" t="s">
        <v>2112</v>
      </c>
    </row>
    <row r="4076">
      <c r="A4076" s="13">
        <v>45901.0</v>
      </c>
      <c r="B4076" s="14" t="s">
        <v>47</v>
      </c>
      <c r="C4076" s="14" t="s">
        <v>48</v>
      </c>
      <c r="D4076" s="14" t="s">
        <v>165</v>
      </c>
      <c r="E4076" s="14" t="s">
        <v>166</v>
      </c>
      <c r="F4076" s="15" t="s">
        <v>51</v>
      </c>
      <c r="G4076" s="14" t="s">
        <v>167</v>
      </c>
      <c r="H4076" s="14" t="s">
        <v>165</v>
      </c>
      <c r="I4076" s="14" t="s">
        <v>54</v>
      </c>
      <c r="J4076" s="14" t="s">
        <v>200</v>
      </c>
      <c r="K4076" s="14" t="s">
        <v>202</v>
      </c>
      <c r="L4076" s="14" t="s">
        <v>253</v>
      </c>
      <c r="M4076" s="14" t="s">
        <v>347</v>
      </c>
      <c r="N4076" s="14" t="s">
        <v>348</v>
      </c>
      <c r="O4076" s="14">
        <v>31.0</v>
      </c>
      <c r="P4076" s="23">
        <v>0.3158</v>
      </c>
      <c r="Q4076" s="22" t="str">
        <f t="shared" ref="Q4076:R4076" si="2429">"+10.53%"</f>
        <v>+10.53%</v>
      </c>
      <c r="R4076" s="18" t="str">
        <f t="shared" si="2429"/>
        <v>+10.53%</v>
      </c>
      <c r="S4076" s="14" t="s">
        <v>2208</v>
      </c>
    </row>
    <row r="4077">
      <c r="A4077" s="13">
        <v>45901.0</v>
      </c>
      <c r="B4077" s="14" t="s">
        <v>47</v>
      </c>
      <c r="C4077" s="14" t="s">
        <v>48</v>
      </c>
      <c r="D4077" s="14" t="s">
        <v>49</v>
      </c>
      <c r="E4077" s="14" t="s">
        <v>50</v>
      </c>
      <c r="F4077" s="15" t="s">
        <v>51</v>
      </c>
      <c r="G4077" s="14" t="s">
        <v>52</v>
      </c>
      <c r="H4077" s="14" t="s">
        <v>53</v>
      </c>
      <c r="I4077" s="14" t="s">
        <v>54</v>
      </c>
      <c r="J4077" s="14" t="s">
        <v>199</v>
      </c>
      <c r="K4077" s="14" t="s">
        <v>206</v>
      </c>
      <c r="L4077" s="14" t="s">
        <v>268</v>
      </c>
      <c r="M4077" s="14" t="s">
        <v>268</v>
      </c>
      <c r="N4077" s="14" t="s">
        <v>269</v>
      </c>
      <c r="O4077" s="14">
        <v>90.0</v>
      </c>
      <c r="P4077" s="21">
        <v>4.0</v>
      </c>
      <c r="Q4077" s="22" t="str">
        <f t="shared" ref="Q4077:R4077" si="2430">"+2"</f>
        <v>+2</v>
      </c>
      <c r="R4077" s="18" t="str">
        <f t="shared" si="2430"/>
        <v>+2</v>
      </c>
      <c r="S4077" s="14" t="s">
        <v>260</v>
      </c>
    </row>
    <row r="4078">
      <c r="A4078" s="13">
        <v>45901.0</v>
      </c>
      <c r="B4078" s="14" t="s">
        <v>47</v>
      </c>
      <c r="C4078" s="14" t="s">
        <v>48</v>
      </c>
      <c r="D4078" s="14" t="s">
        <v>91</v>
      </c>
      <c r="E4078" s="14" t="s">
        <v>92</v>
      </c>
      <c r="F4078" s="15" t="s">
        <v>51</v>
      </c>
      <c r="G4078" s="14" t="s">
        <v>163</v>
      </c>
      <c r="H4078" s="14" t="s">
        <v>91</v>
      </c>
      <c r="I4078" s="14" t="s">
        <v>59</v>
      </c>
      <c r="J4078" s="14" t="s">
        <v>200</v>
      </c>
      <c r="K4078" s="14" t="s">
        <v>223</v>
      </c>
      <c r="L4078" s="14" t="s">
        <v>257</v>
      </c>
      <c r="M4078" s="14" t="s">
        <v>493</v>
      </c>
      <c r="N4078" s="14" t="s">
        <v>494</v>
      </c>
      <c r="O4078" s="14">
        <v>52.0</v>
      </c>
      <c r="P4078" s="23">
        <v>0.0483</v>
      </c>
      <c r="Q4078" s="22" t="str">
        <f>"+49.79%"</f>
        <v>+49.79%</v>
      </c>
      <c r="R4078" s="18" t="str">
        <f>"-23.20%"</f>
        <v>-23.20%</v>
      </c>
      <c r="S4078" s="14" t="s">
        <v>2209</v>
      </c>
    </row>
    <row r="4079">
      <c r="A4079" s="13">
        <v>45901.0</v>
      </c>
      <c r="B4079" s="14" t="s">
        <v>47</v>
      </c>
      <c r="C4079" s="14" t="s">
        <v>48</v>
      </c>
      <c r="D4079" s="14" t="s">
        <v>63</v>
      </c>
      <c r="E4079" s="14" t="s">
        <v>64</v>
      </c>
      <c r="F4079" s="15" t="s">
        <v>51</v>
      </c>
      <c r="G4079" s="14" t="s">
        <v>65</v>
      </c>
      <c r="H4079" s="14" t="s">
        <v>63</v>
      </c>
      <c r="I4079" s="14" t="s">
        <v>54</v>
      </c>
      <c r="J4079" s="14" t="s">
        <v>198</v>
      </c>
      <c r="K4079" s="14" t="s">
        <v>210</v>
      </c>
      <c r="L4079" s="14" t="s">
        <v>264</v>
      </c>
      <c r="M4079" s="14" t="s">
        <v>1064</v>
      </c>
      <c r="N4079" s="14" t="s">
        <v>1065</v>
      </c>
      <c r="O4079" s="14">
        <v>0.0</v>
      </c>
      <c r="P4079" s="21">
        <v>0.0</v>
      </c>
      <c r="Q4079" s="22" t="str">
        <f t="shared" ref="Q4079:R4079" si="2431">"+0"</f>
        <v>+0</v>
      </c>
      <c r="R4079" s="18" t="str">
        <f t="shared" si="2431"/>
        <v>+0</v>
      </c>
      <c r="S4079" s="14" t="s">
        <v>277</v>
      </c>
    </row>
    <row r="4080">
      <c r="A4080" s="13">
        <v>45901.0</v>
      </c>
      <c r="B4080" s="14" t="s">
        <v>47</v>
      </c>
      <c r="C4080" s="14" t="s">
        <v>48</v>
      </c>
      <c r="D4080" s="14" t="s">
        <v>118</v>
      </c>
      <c r="E4080" s="14" t="s">
        <v>119</v>
      </c>
      <c r="F4080" s="15" t="s">
        <v>51</v>
      </c>
      <c r="G4080" s="14" t="s">
        <v>120</v>
      </c>
      <c r="H4080" s="14" t="s">
        <v>118</v>
      </c>
      <c r="I4080" s="14" t="s">
        <v>59</v>
      </c>
      <c r="J4080" s="14" t="s">
        <v>200</v>
      </c>
      <c r="K4080" s="14" t="s">
        <v>213</v>
      </c>
      <c r="L4080" s="14" t="s">
        <v>307</v>
      </c>
      <c r="M4080" s="14" t="s">
        <v>856</v>
      </c>
      <c r="N4080" s="14" t="s">
        <v>857</v>
      </c>
      <c r="O4080" s="14">
        <v>0.0</v>
      </c>
      <c r="P4080" s="23">
        <v>0.0</v>
      </c>
      <c r="Q4080" s="22" t="str">
        <f t="shared" ref="Q4080:R4080" si="2432">"+0.00%"</f>
        <v>+0.00%</v>
      </c>
      <c r="R4080" s="18" t="str">
        <f t="shared" si="2432"/>
        <v>+0.00%</v>
      </c>
      <c r="S4080" s="14" t="s">
        <v>285</v>
      </c>
    </row>
    <row r="4081">
      <c r="A4081" s="13">
        <v>45901.0</v>
      </c>
      <c r="B4081" s="14" t="s">
        <v>47</v>
      </c>
      <c r="C4081" s="14" t="s">
        <v>48</v>
      </c>
      <c r="D4081" s="14" t="s">
        <v>63</v>
      </c>
      <c r="E4081" s="14" t="s">
        <v>64</v>
      </c>
      <c r="F4081" s="15" t="s">
        <v>51</v>
      </c>
      <c r="G4081" s="14" t="s">
        <v>65</v>
      </c>
      <c r="H4081" s="14" t="s">
        <v>63</v>
      </c>
      <c r="I4081" s="14" t="s">
        <v>54</v>
      </c>
      <c r="J4081" s="14" t="s">
        <v>199</v>
      </c>
      <c r="K4081" s="14" t="s">
        <v>203</v>
      </c>
      <c r="L4081" s="14" t="s">
        <v>340</v>
      </c>
      <c r="M4081" s="14" t="s">
        <v>340</v>
      </c>
      <c r="N4081" s="14" t="s">
        <v>341</v>
      </c>
      <c r="O4081" s="14">
        <v>0.0</v>
      </c>
      <c r="P4081" s="21">
        <v>0.0</v>
      </c>
      <c r="Q4081" s="22" t="str">
        <f t="shared" ref="Q4081:R4081" si="2433">"+0"</f>
        <v>+0</v>
      </c>
      <c r="R4081" s="18" t="str">
        <f t="shared" si="2433"/>
        <v>+0</v>
      </c>
      <c r="S4081" s="14" t="s">
        <v>260</v>
      </c>
    </row>
    <row r="4082">
      <c r="A4082" s="13">
        <v>45901.0</v>
      </c>
      <c r="B4082" s="14" t="s">
        <v>47</v>
      </c>
      <c r="C4082" s="14" t="s">
        <v>48</v>
      </c>
      <c r="D4082" s="14" t="s">
        <v>73</v>
      </c>
      <c r="E4082" s="14" t="s">
        <v>74</v>
      </c>
      <c r="F4082" s="15" t="s">
        <v>51</v>
      </c>
      <c r="G4082" s="14" t="s">
        <v>75</v>
      </c>
      <c r="H4082" s="14" t="s">
        <v>76</v>
      </c>
      <c r="I4082" s="14" t="s">
        <v>59</v>
      </c>
      <c r="J4082" s="14" t="s">
        <v>200</v>
      </c>
      <c r="K4082" s="14" t="s">
        <v>232</v>
      </c>
      <c r="L4082" s="14" t="s">
        <v>710</v>
      </c>
      <c r="M4082" s="14" t="s">
        <v>806</v>
      </c>
      <c r="N4082" s="14" t="s">
        <v>807</v>
      </c>
      <c r="O4082" s="14">
        <v>0.0</v>
      </c>
      <c r="P4082" s="23">
        <v>0.0</v>
      </c>
      <c r="Q4082" s="22" t="str">
        <f t="shared" ref="Q4082:R4082" si="2434">"+0.00%"</f>
        <v>+0.00%</v>
      </c>
      <c r="R4082" s="18" t="str">
        <f t="shared" si="2434"/>
        <v>+0.00%</v>
      </c>
      <c r="S4082" s="14" t="s">
        <v>285</v>
      </c>
    </row>
    <row r="4083">
      <c r="A4083" s="13">
        <v>45901.0</v>
      </c>
      <c r="B4083" s="14" t="s">
        <v>47</v>
      </c>
      <c r="C4083" s="14" t="s">
        <v>48</v>
      </c>
      <c r="D4083" s="14" t="s">
        <v>66</v>
      </c>
      <c r="E4083" s="14" t="s">
        <v>67</v>
      </c>
      <c r="F4083" s="15" t="s">
        <v>51</v>
      </c>
      <c r="G4083" s="14" t="s">
        <v>68</v>
      </c>
      <c r="H4083" s="14" t="s">
        <v>66</v>
      </c>
      <c r="I4083" s="14" t="s">
        <v>59</v>
      </c>
      <c r="J4083" s="14" t="s">
        <v>200</v>
      </c>
      <c r="K4083" s="14" t="s">
        <v>231</v>
      </c>
      <c r="L4083" s="14" t="s">
        <v>512</v>
      </c>
      <c r="M4083" s="14" t="s">
        <v>1276</v>
      </c>
      <c r="N4083" s="14" t="s">
        <v>1277</v>
      </c>
      <c r="O4083" s="14">
        <v>0.0</v>
      </c>
      <c r="P4083" s="21">
        <v>0.0</v>
      </c>
      <c r="Q4083" s="22" t="str">
        <f t="shared" ref="Q4083:R4083" si="2435">"+0"</f>
        <v>+0</v>
      </c>
      <c r="R4083" s="18" t="str">
        <f t="shared" si="2435"/>
        <v>+0</v>
      </c>
      <c r="S4083" s="14" t="s">
        <v>260</v>
      </c>
    </row>
    <row r="4084">
      <c r="A4084" s="13">
        <v>45901.0</v>
      </c>
      <c r="B4084" s="14" t="s">
        <v>47</v>
      </c>
      <c r="C4084" s="14" t="s">
        <v>48</v>
      </c>
      <c r="D4084" s="14" t="s">
        <v>66</v>
      </c>
      <c r="E4084" s="14" t="s">
        <v>67</v>
      </c>
      <c r="F4084" s="15" t="s">
        <v>51</v>
      </c>
      <c r="G4084" s="14" t="s">
        <v>68</v>
      </c>
      <c r="H4084" s="14" t="s">
        <v>66</v>
      </c>
      <c r="I4084" s="14" t="s">
        <v>59</v>
      </c>
      <c r="J4084" s="14" t="s">
        <v>200</v>
      </c>
      <c r="K4084" s="14" t="s">
        <v>223</v>
      </c>
      <c r="L4084" s="14" t="s">
        <v>257</v>
      </c>
      <c r="M4084" s="14" t="s">
        <v>493</v>
      </c>
      <c r="N4084" s="14" t="s">
        <v>494</v>
      </c>
      <c r="O4084" s="14">
        <v>0.0</v>
      </c>
      <c r="P4084" s="23">
        <v>-1.0</v>
      </c>
      <c r="Q4084" s="22" t="str">
        <f t="shared" ref="Q4084:R4084" si="2436">"+0.00%"</f>
        <v>+0.00%</v>
      </c>
      <c r="R4084" s="18" t="str">
        <f t="shared" si="2436"/>
        <v>+0.00%</v>
      </c>
      <c r="S4084" s="14" t="s">
        <v>664</v>
      </c>
    </row>
    <row r="4085">
      <c r="A4085" s="13">
        <v>45901.0</v>
      </c>
      <c r="B4085" s="14" t="s">
        <v>47</v>
      </c>
      <c r="C4085" s="14" t="s">
        <v>48</v>
      </c>
      <c r="D4085" s="14" t="s">
        <v>136</v>
      </c>
      <c r="E4085" s="14" t="s">
        <v>137</v>
      </c>
      <c r="F4085" s="15" t="s">
        <v>51</v>
      </c>
      <c r="G4085" s="14" t="s">
        <v>138</v>
      </c>
      <c r="H4085" s="14" t="s">
        <v>139</v>
      </c>
      <c r="I4085" s="14" t="s">
        <v>59</v>
      </c>
      <c r="J4085" s="14" t="s">
        <v>200</v>
      </c>
      <c r="K4085" s="14" t="s">
        <v>213</v>
      </c>
      <c r="L4085" s="14" t="s">
        <v>257</v>
      </c>
      <c r="M4085" s="14" t="s">
        <v>499</v>
      </c>
      <c r="N4085" s="14" t="s">
        <v>500</v>
      </c>
      <c r="O4085" s="14">
        <v>0.0</v>
      </c>
      <c r="P4085" s="23">
        <v>0.0</v>
      </c>
      <c r="Q4085" s="22" t="str">
        <f t="shared" ref="Q4085:R4085" si="2437">"+0.00%"</f>
        <v>+0.00%</v>
      </c>
      <c r="R4085" s="18" t="str">
        <f t="shared" si="2437"/>
        <v>+0.00%</v>
      </c>
      <c r="S4085" s="14" t="s">
        <v>2210</v>
      </c>
    </row>
    <row r="4086">
      <c r="A4086" s="13">
        <v>45901.0</v>
      </c>
      <c r="B4086" s="14" t="s">
        <v>47</v>
      </c>
      <c r="C4086" s="14" t="s">
        <v>48</v>
      </c>
      <c r="D4086" s="14" t="s">
        <v>85</v>
      </c>
      <c r="E4086" s="14" t="s">
        <v>86</v>
      </c>
      <c r="F4086" s="15" t="s">
        <v>51</v>
      </c>
      <c r="G4086" s="14" t="s">
        <v>148</v>
      </c>
      <c r="H4086" s="14" t="s">
        <v>85</v>
      </c>
      <c r="I4086" s="14" t="s">
        <v>59</v>
      </c>
      <c r="J4086" s="14" t="s">
        <v>199</v>
      </c>
      <c r="K4086" s="14" t="s">
        <v>203</v>
      </c>
      <c r="L4086" s="14" t="s">
        <v>431</v>
      </c>
      <c r="M4086" s="14" t="s">
        <v>431</v>
      </c>
      <c r="N4086" s="14" t="s">
        <v>432</v>
      </c>
      <c r="O4086" s="14">
        <v>0.0</v>
      </c>
      <c r="P4086" s="21">
        <v>0.0</v>
      </c>
      <c r="Q4086" s="22" t="str">
        <f t="shared" ref="Q4086:R4086" si="2438">"+0"</f>
        <v>+0</v>
      </c>
      <c r="R4086" s="18" t="str">
        <f t="shared" si="2438"/>
        <v>+0</v>
      </c>
      <c r="S4086" s="14" t="s">
        <v>260</v>
      </c>
    </row>
    <row r="4087">
      <c r="A4087" s="13">
        <v>45901.0</v>
      </c>
      <c r="B4087" s="14" t="s">
        <v>47</v>
      </c>
      <c r="C4087" s="14" t="s">
        <v>48</v>
      </c>
      <c r="D4087" s="14" t="s">
        <v>116</v>
      </c>
      <c r="E4087" s="14" t="s">
        <v>117</v>
      </c>
      <c r="F4087" s="15" t="s">
        <v>51</v>
      </c>
      <c r="G4087" s="14" t="s">
        <v>161</v>
      </c>
      <c r="H4087" s="14" t="s">
        <v>116</v>
      </c>
      <c r="I4087" s="14" t="s">
        <v>54</v>
      </c>
      <c r="J4087" s="14" t="s">
        <v>200</v>
      </c>
      <c r="K4087" s="14" t="s">
        <v>227</v>
      </c>
      <c r="L4087" s="14" t="s">
        <v>721</v>
      </c>
      <c r="M4087" s="14" t="s">
        <v>748</v>
      </c>
      <c r="N4087" s="14" t="s">
        <v>749</v>
      </c>
      <c r="O4087" s="14">
        <v>23.0</v>
      </c>
      <c r="P4087" s="23">
        <v>-0.5385</v>
      </c>
      <c r="Q4087" s="22" t="str">
        <f>"+0.00%"</f>
        <v>+0.00%</v>
      </c>
      <c r="R4087" s="18" t="str">
        <f>"+16.15%"</f>
        <v>+16.15%</v>
      </c>
      <c r="S4087" s="14" t="s">
        <v>750</v>
      </c>
    </row>
    <row r="4088">
      <c r="A4088" s="13">
        <v>45901.0</v>
      </c>
      <c r="B4088" s="14" t="s">
        <v>47</v>
      </c>
      <c r="C4088" s="14" t="s">
        <v>48</v>
      </c>
      <c r="D4088" s="14" t="s">
        <v>77</v>
      </c>
      <c r="E4088" s="14" t="s">
        <v>78</v>
      </c>
      <c r="F4088" s="14" t="s">
        <v>79</v>
      </c>
      <c r="G4088" s="14" t="s">
        <v>80</v>
      </c>
      <c r="H4088" s="14" t="s">
        <v>81</v>
      </c>
      <c r="J4088" s="14" t="s">
        <v>200</v>
      </c>
      <c r="K4088" s="14" t="s">
        <v>237</v>
      </c>
      <c r="L4088" s="14" t="s">
        <v>333</v>
      </c>
      <c r="M4088" s="14" t="s">
        <v>1441</v>
      </c>
      <c r="N4088" s="14" t="s">
        <v>1442</v>
      </c>
      <c r="O4088" s="14">
        <v>100.0</v>
      </c>
      <c r="P4088" s="21">
        <v>1.0</v>
      </c>
      <c r="Q4088" s="22" t="str">
        <f t="shared" ref="Q4088:Q4092" si="2439">"+0"</f>
        <v>+0</v>
      </c>
      <c r="R4088" s="18" t="str">
        <f>"+1"</f>
        <v>+1</v>
      </c>
      <c r="S4088" s="14" t="s">
        <v>260</v>
      </c>
    </row>
    <row r="4089">
      <c r="A4089" s="13">
        <v>45901.0</v>
      </c>
      <c r="B4089" s="14" t="s">
        <v>47</v>
      </c>
      <c r="C4089" s="14" t="s">
        <v>48</v>
      </c>
      <c r="D4089" s="14" t="s">
        <v>136</v>
      </c>
      <c r="E4089" s="14" t="s">
        <v>137</v>
      </c>
      <c r="F4089" s="15" t="s">
        <v>51</v>
      </c>
      <c r="G4089" s="14" t="s">
        <v>138</v>
      </c>
      <c r="H4089" s="14" t="s">
        <v>139</v>
      </c>
      <c r="I4089" s="14" t="s">
        <v>59</v>
      </c>
      <c r="J4089" s="14" t="s">
        <v>199</v>
      </c>
      <c r="K4089" s="14" t="s">
        <v>206</v>
      </c>
      <c r="L4089" s="14" t="s">
        <v>295</v>
      </c>
      <c r="M4089" s="14" t="s">
        <v>986</v>
      </c>
      <c r="N4089" s="14" t="s">
        <v>987</v>
      </c>
      <c r="O4089" s="14">
        <v>0.0</v>
      </c>
      <c r="P4089" s="21">
        <v>0.0</v>
      </c>
      <c r="Q4089" s="22" t="str">
        <f t="shared" si="2439"/>
        <v>+0</v>
      </c>
      <c r="R4089" s="18" t="str">
        <f t="shared" ref="R4089:R4092" si="2440">"+0"</f>
        <v>+0</v>
      </c>
      <c r="S4089" s="14" t="s">
        <v>260</v>
      </c>
    </row>
    <row r="4090">
      <c r="A4090" s="13">
        <v>45901.0</v>
      </c>
      <c r="B4090" s="14" t="s">
        <v>47</v>
      </c>
      <c r="C4090" s="14" t="s">
        <v>48</v>
      </c>
      <c r="D4090" s="14" t="s">
        <v>149</v>
      </c>
      <c r="E4090" s="14" t="s">
        <v>150</v>
      </c>
      <c r="F4090" s="15" t="s">
        <v>51</v>
      </c>
      <c r="G4090" s="14" t="s">
        <v>151</v>
      </c>
      <c r="H4090" s="14" t="s">
        <v>152</v>
      </c>
      <c r="I4090" s="14" t="s">
        <v>54</v>
      </c>
      <c r="J4090" s="14" t="s">
        <v>199</v>
      </c>
      <c r="K4090" s="14" t="s">
        <v>203</v>
      </c>
      <c r="L4090" s="14" t="s">
        <v>1095</v>
      </c>
      <c r="M4090" s="14" t="s">
        <v>1095</v>
      </c>
      <c r="N4090" s="14" t="s">
        <v>1096</v>
      </c>
      <c r="O4090" s="14">
        <v>100.0</v>
      </c>
      <c r="P4090" s="21">
        <v>1.0</v>
      </c>
      <c r="Q4090" s="22" t="str">
        <f t="shared" si="2439"/>
        <v>+0</v>
      </c>
      <c r="R4090" s="18" t="str">
        <f t="shared" si="2440"/>
        <v>+0</v>
      </c>
      <c r="S4090" s="14" t="s">
        <v>260</v>
      </c>
    </row>
    <row r="4091">
      <c r="A4091" s="13">
        <v>45901.0</v>
      </c>
      <c r="B4091" s="14" t="s">
        <v>47</v>
      </c>
      <c r="C4091" s="14" t="s">
        <v>48</v>
      </c>
      <c r="D4091" s="14" t="s">
        <v>184</v>
      </c>
      <c r="E4091" s="14" t="s">
        <v>185</v>
      </c>
      <c r="F4091" s="15" t="s">
        <v>51</v>
      </c>
      <c r="G4091" s="14" t="s">
        <v>186</v>
      </c>
      <c r="H4091" s="14" t="s">
        <v>187</v>
      </c>
      <c r="I4091" s="14" t="s">
        <v>59</v>
      </c>
      <c r="J4091" s="14" t="s">
        <v>199</v>
      </c>
      <c r="K4091" s="14" t="s">
        <v>206</v>
      </c>
      <c r="L4091" s="14" t="s">
        <v>381</v>
      </c>
      <c r="M4091" s="14" t="s">
        <v>381</v>
      </c>
      <c r="N4091" s="14" t="s">
        <v>382</v>
      </c>
      <c r="O4091" s="14">
        <v>0.0</v>
      </c>
      <c r="P4091" s="21">
        <v>0.0</v>
      </c>
      <c r="Q4091" s="22" t="str">
        <f t="shared" si="2439"/>
        <v>+0</v>
      </c>
      <c r="R4091" s="18" t="str">
        <f t="shared" si="2440"/>
        <v>+0</v>
      </c>
      <c r="S4091" s="14" t="s">
        <v>383</v>
      </c>
    </row>
    <row r="4092">
      <c r="A4092" s="13">
        <v>45901.0</v>
      </c>
      <c r="B4092" s="14" t="s">
        <v>47</v>
      </c>
      <c r="C4092" s="14" t="s">
        <v>48</v>
      </c>
      <c r="D4092" s="14" t="s">
        <v>192</v>
      </c>
      <c r="E4092" s="14" t="s">
        <v>193</v>
      </c>
      <c r="F4092" s="15" t="s">
        <v>51</v>
      </c>
      <c r="G4092" s="14" t="s">
        <v>194</v>
      </c>
      <c r="H4092" s="14" t="s">
        <v>192</v>
      </c>
      <c r="I4092" s="14" t="s">
        <v>54</v>
      </c>
      <c r="J4092" s="14" t="s">
        <v>198</v>
      </c>
      <c r="K4092" s="14" t="s">
        <v>210</v>
      </c>
      <c r="L4092" s="14" t="s">
        <v>278</v>
      </c>
      <c r="M4092" s="14" t="s">
        <v>468</v>
      </c>
      <c r="N4092" s="14" t="s">
        <v>469</v>
      </c>
      <c r="O4092" s="14">
        <v>0.0</v>
      </c>
      <c r="P4092" s="21">
        <v>0.0</v>
      </c>
      <c r="Q4092" s="22" t="str">
        <f t="shared" si="2439"/>
        <v>+0</v>
      </c>
      <c r="R4092" s="18" t="str">
        <f t="shared" si="2440"/>
        <v>+0</v>
      </c>
      <c r="S4092" s="14" t="s">
        <v>277</v>
      </c>
    </row>
    <row r="4093">
      <c r="A4093" s="13">
        <v>45901.0</v>
      </c>
      <c r="B4093" s="14" t="s">
        <v>47</v>
      </c>
      <c r="C4093" s="14" t="s">
        <v>48</v>
      </c>
      <c r="D4093" s="14" t="s">
        <v>66</v>
      </c>
      <c r="E4093" s="14" t="s">
        <v>67</v>
      </c>
      <c r="F4093" s="15" t="s">
        <v>51</v>
      </c>
      <c r="G4093" s="14" t="s">
        <v>68</v>
      </c>
      <c r="H4093" s="14" t="s">
        <v>66</v>
      </c>
      <c r="I4093" s="14" t="s">
        <v>59</v>
      </c>
      <c r="J4093" s="14" t="s">
        <v>200</v>
      </c>
      <c r="K4093" s="14" t="s">
        <v>223</v>
      </c>
      <c r="L4093" s="14" t="s">
        <v>307</v>
      </c>
      <c r="M4093" s="14" t="s">
        <v>856</v>
      </c>
      <c r="N4093" s="14" t="s">
        <v>857</v>
      </c>
      <c r="O4093" s="14">
        <v>0.0</v>
      </c>
      <c r="P4093" s="23">
        <v>0.0</v>
      </c>
      <c r="Q4093" s="22" t="str">
        <f t="shared" ref="Q4093:R4093" si="2441">"+0.00%"</f>
        <v>+0.00%</v>
      </c>
      <c r="R4093" s="18" t="str">
        <f t="shared" si="2441"/>
        <v>+0.00%</v>
      </c>
      <c r="S4093" s="14" t="s">
        <v>285</v>
      </c>
    </row>
    <row r="4094">
      <c r="A4094" s="13">
        <v>45901.0</v>
      </c>
      <c r="B4094" s="14" t="s">
        <v>47</v>
      </c>
      <c r="C4094" s="14" t="s">
        <v>48</v>
      </c>
      <c r="D4094" s="14" t="s">
        <v>184</v>
      </c>
      <c r="E4094" s="14" t="s">
        <v>185</v>
      </c>
      <c r="F4094" s="15" t="s">
        <v>51</v>
      </c>
      <c r="G4094" s="14" t="s">
        <v>186</v>
      </c>
      <c r="H4094" s="14" t="s">
        <v>187</v>
      </c>
      <c r="I4094" s="14" t="s">
        <v>59</v>
      </c>
      <c r="J4094" s="14" t="s">
        <v>200</v>
      </c>
      <c r="K4094" s="14" t="s">
        <v>224</v>
      </c>
      <c r="L4094" s="14" t="s">
        <v>427</v>
      </c>
      <c r="M4094" s="14" t="s">
        <v>925</v>
      </c>
      <c r="N4094" s="14" t="s">
        <v>926</v>
      </c>
      <c r="O4094" s="14">
        <v>0.0</v>
      </c>
      <c r="P4094" s="17"/>
      <c r="Q4094" s="22"/>
      <c r="S4094" s="14" t="s">
        <v>927</v>
      </c>
    </row>
    <row r="4095">
      <c r="A4095" s="13">
        <v>45901.0</v>
      </c>
      <c r="B4095" s="14" t="s">
        <v>47</v>
      </c>
      <c r="C4095" s="14" t="s">
        <v>48</v>
      </c>
      <c r="D4095" s="14" t="s">
        <v>143</v>
      </c>
      <c r="E4095" s="14" t="s">
        <v>144</v>
      </c>
      <c r="F4095" s="15" t="s">
        <v>51</v>
      </c>
      <c r="G4095" s="14" t="s">
        <v>145</v>
      </c>
      <c r="H4095" s="14" t="s">
        <v>143</v>
      </c>
      <c r="I4095" s="14" t="s">
        <v>59</v>
      </c>
      <c r="J4095" s="14" t="s">
        <v>200</v>
      </c>
      <c r="K4095" s="14" t="s">
        <v>224</v>
      </c>
      <c r="L4095" s="14" t="s">
        <v>964</v>
      </c>
      <c r="M4095" s="14" t="s">
        <v>1288</v>
      </c>
      <c r="N4095" s="14" t="s">
        <v>1289</v>
      </c>
      <c r="O4095" s="14">
        <v>0.0</v>
      </c>
      <c r="P4095" s="23">
        <v>0.0</v>
      </c>
      <c r="Q4095" s="22" t="str">
        <f t="shared" ref="Q4095:Q4097" si="2442">"+0.00%"</f>
        <v>+0.00%</v>
      </c>
      <c r="S4095" s="14" t="s">
        <v>2211</v>
      </c>
    </row>
    <row r="4096">
      <c r="A4096" s="13">
        <v>45901.0</v>
      </c>
      <c r="B4096" s="14" t="s">
        <v>47</v>
      </c>
      <c r="C4096" s="14" t="s">
        <v>48</v>
      </c>
      <c r="D4096" s="14" t="s">
        <v>143</v>
      </c>
      <c r="E4096" s="14" t="s">
        <v>144</v>
      </c>
      <c r="F4096" s="15" t="s">
        <v>51</v>
      </c>
      <c r="G4096" s="14" t="s">
        <v>145</v>
      </c>
      <c r="H4096" s="14" t="s">
        <v>143</v>
      </c>
      <c r="I4096" s="14" t="s">
        <v>59</v>
      </c>
      <c r="J4096" s="14" t="s">
        <v>200</v>
      </c>
      <c r="K4096" s="14" t="s">
        <v>209</v>
      </c>
      <c r="L4096" s="14" t="s">
        <v>253</v>
      </c>
      <c r="M4096" s="14" t="s">
        <v>402</v>
      </c>
      <c r="N4096" s="14" t="s">
        <v>403</v>
      </c>
      <c r="O4096" s="14">
        <v>1.0</v>
      </c>
      <c r="P4096" s="23">
        <v>6.0E-4</v>
      </c>
      <c r="Q4096" s="22" t="str">
        <f t="shared" si="2442"/>
        <v>+0.00%</v>
      </c>
      <c r="R4096" s="18" t="str">
        <f t="shared" ref="R4096:R4097" si="2443">"+0.00%"</f>
        <v>+0.00%</v>
      </c>
      <c r="S4096" s="14" t="s">
        <v>2212</v>
      </c>
    </row>
    <row r="4097">
      <c r="A4097" s="13">
        <v>45901.0</v>
      </c>
      <c r="B4097" s="14" t="s">
        <v>47</v>
      </c>
      <c r="C4097" s="14" t="s">
        <v>48</v>
      </c>
      <c r="D4097" s="14" t="s">
        <v>103</v>
      </c>
      <c r="E4097" s="14" t="s">
        <v>104</v>
      </c>
      <c r="F4097" s="15" t="s">
        <v>51</v>
      </c>
      <c r="G4097" s="14" t="s">
        <v>105</v>
      </c>
      <c r="H4097" s="14" t="s">
        <v>106</v>
      </c>
      <c r="I4097" s="14" t="s">
        <v>59</v>
      </c>
      <c r="J4097" s="14" t="s">
        <v>200</v>
      </c>
      <c r="K4097" s="14" t="s">
        <v>232</v>
      </c>
      <c r="L4097" s="14" t="s">
        <v>607</v>
      </c>
      <c r="M4097" s="14" t="s">
        <v>608</v>
      </c>
      <c r="N4097" s="14" t="s">
        <v>609</v>
      </c>
      <c r="O4097" s="14">
        <v>0.0</v>
      </c>
      <c r="P4097" s="23">
        <v>0.0</v>
      </c>
      <c r="Q4097" s="22" t="str">
        <f t="shared" si="2442"/>
        <v>+0.00%</v>
      </c>
      <c r="R4097" s="18" t="str">
        <f t="shared" si="2443"/>
        <v>+0.00%</v>
      </c>
      <c r="S4097" s="14" t="s">
        <v>2213</v>
      </c>
    </row>
    <row r="4098">
      <c r="A4098" s="13">
        <v>45901.0</v>
      </c>
      <c r="B4098" s="14" t="s">
        <v>47</v>
      </c>
      <c r="C4098" s="14" t="s">
        <v>48</v>
      </c>
      <c r="D4098" s="14" t="s">
        <v>87</v>
      </c>
      <c r="E4098" s="14" t="s">
        <v>88</v>
      </c>
      <c r="F4098" s="15" t="s">
        <v>51</v>
      </c>
      <c r="G4098" s="14" t="s">
        <v>89</v>
      </c>
      <c r="H4098" s="14" t="s">
        <v>90</v>
      </c>
      <c r="I4098" s="14" t="s">
        <v>59</v>
      </c>
      <c r="J4098" s="14" t="s">
        <v>199</v>
      </c>
      <c r="K4098" s="14" t="s">
        <v>203</v>
      </c>
      <c r="L4098" s="14" t="s">
        <v>601</v>
      </c>
      <c r="M4098" s="14" t="s">
        <v>601</v>
      </c>
      <c r="N4098" s="14" t="s">
        <v>602</v>
      </c>
      <c r="O4098" s="14">
        <v>0.0</v>
      </c>
      <c r="P4098" s="21">
        <v>0.0</v>
      </c>
      <c r="Q4098" s="22" t="str">
        <f t="shared" ref="Q4098:R4098" si="2444">"+0"</f>
        <v>+0</v>
      </c>
      <c r="R4098" s="18" t="str">
        <f t="shared" si="2444"/>
        <v>+0</v>
      </c>
      <c r="S4098" s="14" t="s">
        <v>260</v>
      </c>
    </row>
    <row r="4099">
      <c r="A4099" s="13">
        <v>45901.0</v>
      </c>
      <c r="B4099" s="14" t="s">
        <v>47</v>
      </c>
      <c r="C4099" s="14" t="s">
        <v>48</v>
      </c>
      <c r="D4099" s="14" t="s">
        <v>136</v>
      </c>
      <c r="E4099" s="14" t="s">
        <v>137</v>
      </c>
      <c r="F4099" s="15" t="s">
        <v>51</v>
      </c>
      <c r="G4099" s="14" t="s">
        <v>138</v>
      </c>
      <c r="H4099" s="14" t="s">
        <v>139</v>
      </c>
      <c r="I4099" s="14" t="s">
        <v>59</v>
      </c>
      <c r="J4099" s="14" t="s">
        <v>200</v>
      </c>
      <c r="K4099" s="14" t="s">
        <v>224</v>
      </c>
      <c r="L4099" s="14" t="s">
        <v>453</v>
      </c>
      <c r="M4099" s="14" t="s">
        <v>555</v>
      </c>
      <c r="N4099" s="14" t="s">
        <v>556</v>
      </c>
      <c r="O4099" s="14">
        <v>0.0</v>
      </c>
      <c r="P4099" s="23">
        <v>0.0</v>
      </c>
      <c r="Q4099" s="22" t="str">
        <f>"+0.00%"</f>
        <v>+0.00%</v>
      </c>
      <c r="S4099" s="14" t="s">
        <v>557</v>
      </c>
    </row>
    <row r="4100">
      <c r="A4100" s="13">
        <v>45901.0</v>
      </c>
      <c r="B4100" s="14" t="s">
        <v>47</v>
      </c>
      <c r="C4100" s="14" t="s">
        <v>48</v>
      </c>
      <c r="D4100" s="14" t="s">
        <v>149</v>
      </c>
      <c r="E4100" s="14" t="s">
        <v>150</v>
      </c>
      <c r="F4100" s="15" t="s">
        <v>51</v>
      </c>
      <c r="G4100" s="14" t="s">
        <v>151</v>
      </c>
      <c r="H4100" s="14" t="s">
        <v>152</v>
      </c>
      <c r="I4100" s="14" t="s">
        <v>54</v>
      </c>
      <c r="J4100" s="14" t="s">
        <v>200</v>
      </c>
      <c r="K4100" s="14" t="s">
        <v>211</v>
      </c>
      <c r="L4100" s="14" t="s">
        <v>889</v>
      </c>
      <c r="M4100" s="14" t="s">
        <v>1578</v>
      </c>
      <c r="N4100" s="14" t="s">
        <v>1579</v>
      </c>
      <c r="O4100" s="14">
        <v>41.0</v>
      </c>
      <c r="P4100" s="23">
        <v>-0.1712</v>
      </c>
      <c r="Q4100" s="22" t="str">
        <f>"-12.67%"</f>
        <v>-12.67%</v>
      </c>
      <c r="R4100" s="18" t="str">
        <f>"-46.64%"</f>
        <v>-46.64%</v>
      </c>
      <c r="S4100" s="14" t="s">
        <v>336</v>
      </c>
    </row>
    <row r="4101">
      <c r="A4101" s="13">
        <v>45901.0</v>
      </c>
      <c r="B4101" s="14" t="s">
        <v>47</v>
      </c>
      <c r="C4101" s="14" t="s">
        <v>48</v>
      </c>
      <c r="D4101" s="14" t="s">
        <v>69</v>
      </c>
      <c r="E4101" s="14" t="s">
        <v>70</v>
      </c>
      <c r="F4101" s="15" t="s">
        <v>51</v>
      </c>
      <c r="G4101" s="14" t="s">
        <v>115</v>
      </c>
      <c r="H4101" s="14" t="s">
        <v>72</v>
      </c>
      <c r="I4101" s="14" t="s">
        <v>54</v>
      </c>
      <c r="J4101" s="14" t="s">
        <v>200</v>
      </c>
      <c r="K4101" s="14" t="s">
        <v>227</v>
      </c>
      <c r="L4101" s="14" t="s">
        <v>270</v>
      </c>
      <c r="M4101" s="14" t="s">
        <v>271</v>
      </c>
      <c r="N4101" s="14" t="s">
        <v>272</v>
      </c>
      <c r="O4101" s="14">
        <v>18.0</v>
      </c>
      <c r="P4101" s="23">
        <v>-0.6228</v>
      </c>
      <c r="Q4101" s="22" t="str">
        <f>"-162.28%"</f>
        <v>-162.28%</v>
      </c>
      <c r="R4101" s="18" t="str">
        <f>"-55.16%"</f>
        <v>-55.16%</v>
      </c>
      <c r="S4101" s="14" t="s">
        <v>273</v>
      </c>
    </row>
    <row r="4102">
      <c r="A4102" s="13">
        <v>45901.0</v>
      </c>
      <c r="B4102" s="14" t="s">
        <v>47</v>
      </c>
      <c r="C4102" s="14" t="s">
        <v>48</v>
      </c>
      <c r="D4102" s="14" t="s">
        <v>69</v>
      </c>
      <c r="E4102" s="14" t="s">
        <v>70</v>
      </c>
      <c r="F4102" s="15" t="s">
        <v>51</v>
      </c>
      <c r="G4102" s="14" t="s">
        <v>115</v>
      </c>
      <c r="H4102" s="14" t="s">
        <v>72</v>
      </c>
      <c r="I4102" s="14" t="s">
        <v>54</v>
      </c>
      <c r="J4102" s="14" t="s">
        <v>198</v>
      </c>
      <c r="K4102" s="14" t="s">
        <v>210</v>
      </c>
      <c r="L4102" s="14" t="s">
        <v>264</v>
      </c>
      <c r="M4102" s="14" t="s">
        <v>1033</v>
      </c>
      <c r="N4102" s="14" t="s">
        <v>1034</v>
      </c>
      <c r="O4102" s="14">
        <v>0.0</v>
      </c>
      <c r="P4102" s="21">
        <v>0.0</v>
      </c>
      <c r="Q4102" s="22" t="str">
        <f t="shared" ref="Q4102:R4102" si="2445">"+0"</f>
        <v>+0</v>
      </c>
      <c r="R4102" s="18" t="str">
        <f t="shared" si="2445"/>
        <v>+0</v>
      </c>
      <c r="S4102" s="14" t="s">
        <v>277</v>
      </c>
    </row>
    <row r="4103">
      <c r="A4103" s="13">
        <v>45901.0</v>
      </c>
      <c r="B4103" s="14" t="s">
        <v>47</v>
      </c>
      <c r="C4103" s="14" t="s">
        <v>48</v>
      </c>
      <c r="D4103" s="14" t="s">
        <v>85</v>
      </c>
      <c r="E4103" s="14" t="s">
        <v>86</v>
      </c>
      <c r="F4103" s="15" t="s">
        <v>51</v>
      </c>
      <c r="G4103" s="14" t="s">
        <v>148</v>
      </c>
      <c r="H4103" s="14" t="s">
        <v>85</v>
      </c>
      <c r="I4103" s="14" t="s">
        <v>59</v>
      </c>
      <c r="J4103" s="14" t="s">
        <v>200</v>
      </c>
      <c r="K4103" s="14" t="s">
        <v>213</v>
      </c>
      <c r="L4103" s="14" t="s">
        <v>307</v>
      </c>
      <c r="M4103" s="14" t="s">
        <v>1176</v>
      </c>
      <c r="N4103" s="14" t="s">
        <v>1177</v>
      </c>
      <c r="O4103" s="14">
        <v>0.0</v>
      </c>
      <c r="P4103" s="23">
        <v>0.0</v>
      </c>
      <c r="Q4103" s="22" t="str">
        <f t="shared" ref="Q4103:R4103" si="2446">"+0.00%"</f>
        <v>+0.00%</v>
      </c>
      <c r="R4103" s="18" t="str">
        <f t="shared" si="2446"/>
        <v>+0.00%</v>
      </c>
      <c r="S4103" s="14" t="s">
        <v>285</v>
      </c>
    </row>
    <row r="4104">
      <c r="A4104" s="13">
        <v>45901.0</v>
      </c>
      <c r="B4104" s="14" t="s">
        <v>47</v>
      </c>
      <c r="C4104" s="14" t="s">
        <v>48</v>
      </c>
      <c r="D4104" s="14" t="s">
        <v>96</v>
      </c>
      <c r="E4104" s="14" t="s">
        <v>97</v>
      </c>
      <c r="F4104" s="15" t="s">
        <v>51</v>
      </c>
      <c r="G4104" s="14" t="s">
        <v>98</v>
      </c>
      <c r="H4104" s="14" t="s">
        <v>96</v>
      </c>
      <c r="I4104" s="14" t="s">
        <v>59</v>
      </c>
      <c r="J4104" s="14" t="s">
        <v>198</v>
      </c>
      <c r="K4104" s="14" t="s">
        <v>205</v>
      </c>
      <c r="L4104" s="14" t="s">
        <v>274</v>
      </c>
      <c r="M4104" s="14" t="s">
        <v>791</v>
      </c>
      <c r="N4104" s="14" t="s">
        <v>792</v>
      </c>
      <c r="O4104" s="14">
        <v>100.0</v>
      </c>
      <c r="P4104" s="21">
        <v>4.0</v>
      </c>
      <c r="Q4104" s="22" t="str">
        <f t="shared" ref="Q4104:Q4107" si="2447">"+0"</f>
        <v>+0</v>
      </c>
      <c r="S4104" s="14" t="s">
        <v>260</v>
      </c>
    </row>
    <row r="4105">
      <c r="A4105" s="13">
        <v>45901.0</v>
      </c>
      <c r="B4105" s="14" t="s">
        <v>47</v>
      </c>
      <c r="C4105" s="14" t="s">
        <v>48</v>
      </c>
      <c r="D4105" s="14" t="s">
        <v>85</v>
      </c>
      <c r="E4105" s="14" t="s">
        <v>86</v>
      </c>
      <c r="F4105" s="14" t="s">
        <v>71</v>
      </c>
      <c r="G4105" s="14">
        <v>88285.0</v>
      </c>
      <c r="H4105" s="14" t="s">
        <v>85</v>
      </c>
      <c r="I4105" s="14" t="s">
        <v>59</v>
      </c>
      <c r="J4105" s="14" t="s">
        <v>199</v>
      </c>
      <c r="K4105" s="14" t="s">
        <v>208</v>
      </c>
      <c r="L4105" s="14" t="s">
        <v>352</v>
      </c>
      <c r="M4105" s="14" t="s">
        <v>352</v>
      </c>
      <c r="N4105" s="14" t="s">
        <v>353</v>
      </c>
      <c r="O4105" s="14">
        <v>75.0</v>
      </c>
      <c r="P4105" s="21">
        <v>1.0</v>
      </c>
      <c r="Q4105" s="22" t="str">
        <f t="shared" si="2447"/>
        <v>+0</v>
      </c>
      <c r="R4105" s="18" t="str">
        <f t="shared" ref="R4105:R4107" si="2448">"+0"</f>
        <v>+0</v>
      </c>
      <c r="S4105" s="14" t="s">
        <v>260</v>
      </c>
    </row>
    <row r="4106">
      <c r="A4106" s="13">
        <v>45901.0</v>
      </c>
      <c r="B4106" s="14" t="s">
        <v>47</v>
      </c>
      <c r="C4106" s="14" t="s">
        <v>48</v>
      </c>
      <c r="D4106" s="14" t="s">
        <v>69</v>
      </c>
      <c r="E4106" s="14" t="s">
        <v>70</v>
      </c>
      <c r="F4106" s="15" t="s">
        <v>51</v>
      </c>
      <c r="G4106" s="14" t="s">
        <v>115</v>
      </c>
      <c r="H4106" s="14" t="s">
        <v>72</v>
      </c>
      <c r="I4106" s="14" t="s">
        <v>54</v>
      </c>
      <c r="J4106" s="14" t="s">
        <v>199</v>
      </c>
      <c r="K4106" s="14" t="s">
        <v>206</v>
      </c>
      <c r="L4106" s="14" t="s">
        <v>295</v>
      </c>
      <c r="M4106" s="14" t="s">
        <v>529</v>
      </c>
      <c r="N4106" s="14" t="s">
        <v>530</v>
      </c>
      <c r="O4106" s="14">
        <v>100.0</v>
      </c>
      <c r="P4106" s="21">
        <v>20.0</v>
      </c>
      <c r="Q4106" s="22" t="str">
        <f t="shared" si="2447"/>
        <v>+0</v>
      </c>
      <c r="R4106" s="18" t="str">
        <f t="shared" si="2448"/>
        <v>+0</v>
      </c>
      <c r="S4106" s="14" t="s">
        <v>260</v>
      </c>
    </row>
    <row r="4107">
      <c r="A4107" s="13">
        <v>45901.0</v>
      </c>
      <c r="B4107" s="14" t="s">
        <v>47</v>
      </c>
      <c r="C4107" s="14" t="s">
        <v>48</v>
      </c>
      <c r="D4107" s="14" t="s">
        <v>69</v>
      </c>
      <c r="E4107" s="14" t="s">
        <v>70</v>
      </c>
      <c r="F4107" s="15" t="s">
        <v>51</v>
      </c>
      <c r="G4107" s="14" t="s">
        <v>115</v>
      </c>
      <c r="H4107" s="14" t="s">
        <v>72</v>
      </c>
      <c r="I4107" s="14" t="s">
        <v>54</v>
      </c>
      <c r="J4107" s="14" t="s">
        <v>199</v>
      </c>
      <c r="K4107" s="14" t="s">
        <v>206</v>
      </c>
      <c r="L4107" s="14" t="s">
        <v>295</v>
      </c>
      <c r="M4107" s="14" t="s">
        <v>651</v>
      </c>
      <c r="N4107" s="14" t="s">
        <v>652</v>
      </c>
      <c r="O4107" s="14">
        <v>0.0</v>
      </c>
      <c r="P4107" s="21">
        <v>0.0</v>
      </c>
      <c r="Q4107" s="22" t="str">
        <f t="shared" si="2447"/>
        <v>+0</v>
      </c>
      <c r="R4107" s="18" t="str">
        <f t="shared" si="2448"/>
        <v>+0</v>
      </c>
      <c r="S4107" s="14" t="s">
        <v>260</v>
      </c>
    </row>
    <row r="4108">
      <c r="A4108" s="13">
        <v>45901.0</v>
      </c>
      <c r="B4108" s="14" t="s">
        <v>47</v>
      </c>
      <c r="C4108" s="14" t="s">
        <v>48</v>
      </c>
      <c r="D4108" s="14" t="s">
        <v>85</v>
      </c>
      <c r="E4108" s="14" t="s">
        <v>86</v>
      </c>
      <c r="F4108" s="15" t="s">
        <v>51</v>
      </c>
      <c r="G4108" s="14" t="s">
        <v>148</v>
      </c>
      <c r="H4108" s="14" t="s">
        <v>85</v>
      </c>
      <c r="I4108" s="14" t="s">
        <v>59</v>
      </c>
      <c r="J4108" s="14" t="s">
        <v>200</v>
      </c>
      <c r="K4108" s="14" t="s">
        <v>227</v>
      </c>
      <c r="L4108" s="14" t="s">
        <v>721</v>
      </c>
      <c r="M4108" s="14" t="s">
        <v>1060</v>
      </c>
      <c r="N4108" s="14" t="s">
        <v>1061</v>
      </c>
      <c r="O4108" s="14">
        <v>44.0</v>
      </c>
      <c r="P4108" s="23">
        <v>-0.1003</v>
      </c>
      <c r="Q4108" s="22" t="str">
        <f>"+2.37%"</f>
        <v>+2.37%</v>
      </c>
      <c r="R4108" s="18" t="str">
        <f>"-31.56%"</f>
        <v>-31.56%</v>
      </c>
      <c r="S4108" s="14" t="s">
        <v>1062</v>
      </c>
    </row>
    <row r="4109">
      <c r="A4109" s="13">
        <v>45901.0</v>
      </c>
      <c r="B4109" s="14" t="s">
        <v>47</v>
      </c>
      <c r="C4109" s="14" t="s">
        <v>48</v>
      </c>
      <c r="D4109" s="14" t="s">
        <v>125</v>
      </c>
      <c r="E4109" s="14" t="s">
        <v>126</v>
      </c>
      <c r="F4109" s="15" t="s">
        <v>51</v>
      </c>
      <c r="G4109" s="14" t="s">
        <v>127</v>
      </c>
      <c r="H4109" s="14" t="s">
        <v>125</v>
      </c>
      <c r="I4109" s="14" t="s">
        <v>59</v>
      </c>
      <c r="J4109" s="14" t="s">
        <v>200</v>
      </c>
      <c r="K4109" s="14" t="s">
        <v>204</v>
      </c>
      <c r="L4109" s="14" t="s">
        <v>253</v>
      </c>
      <c r="M4109" s="14" t="s">
        <v>844</v>
      </c>
      <c r="N4109" s="14" t="s">
        <v>845</v>
      </c>
      <c r="O4109" s="14">
        <v>0.0</v>
      </c>
      <c r="P4109" s="17"/>
      <c r="Q4109" s="22"/>
      <c r="S4109" s="14" t="s">
        <v>846</v>
      </c>
    </row>
    <row r="4110">
      <c r="A4110" s="13">
        <v>45901.0</v>
      </c>
      <c r="B4110" s="14" t="s">
        <v>47</v>
      </c>
      <c r="C4110" s="14" t="s">
        <v>48</v>
      </c>
      <c r="D4110" s="14" t="s">
        <v>112</v>
      </c>
      <c r="E4110" s="14" t="s">
        <v>113</v>
      </c>
      <c r="F4110" s="15" t="s">
        <v>51</v>
      </c>
      <c r="G4110" s="14" t="s">
        <v>114</v>
      </c>
      <c r="H4110" s="14" t="s">
        <v>112</v>
      </c>
      <c r="I4110" s="14" t="s">
        <v>59</v>
      </c>
      <c r="J4110" s="14" t="s">
        <v>200</v>
      </c>
      <c r="K4110" s="14" t="s">
        <v>213</v>
      </c>
      <c r="L4110" s="14" t="s">
        <v>571</v>
      </c>
      <c r="M4110" s="14" t="s">
        <v>578</v>
      </c>
      <c r="N4110" s="14" t="s">
        <v>579</v>
      </c>
      <c r="O4110" s="14">
        <v>0.0</v>
      </c>
      <c r="P4110" s="23">
        <v>0.0</v>
      </c>
      <c r="Q4110" s="22" t="str">
        <f t="shared" ref="Q4110:R4110" si="2449">"+0.00%"</f>
        <v>+0.00%</v>
      </c>
      <c r="R4110" s="18" t="str">
        <f t="shared" si="2449"/>
        <v>+0.00%</v>
      </c>
      <c r="S4110" s="14" t="s">
        <v>285</v>
      </c>
    </row>
    <row r="4111">
      <c r="A4111" s="13">
        <v>45901.0</v>
      </c>
      <c r="B4111" s="14" t="s">
        <v>47</v>
      </c>
      <c r="C4111" s="14" t="s">
        <v>48</v>
      </c>
      <c r="D4111" s="14" t="s">
        <v>116</v>
      </c>
      <c r="E4111" s="14" t="s">
        <v>117</v>
      </c>
      <c r="F4111" s="15" t="s">
        <v>51</v>
      </c>
      <c r="G4111" s="14" t="s">
        <v>161</v>
      </c>
      <c r="H4111" s="14" t="s">
        <v>116</v>
      </c>
      <c r="I4111" s="14" t="s">
        <v>54</v>
      </c>
      <c r="J4111" s="14" t="s">
        <v>198</v>
      </c>
      <c r="K4111" s="14" t="s">
        <v>210</v>
      </c>
      <c r="L4111" s="14" t="s">
        <v>278</v>
      </c>
      <c r="M4111" s="14" t="s">
        <v>668</v>
      </c>
      <c r="N4111" s="14" t="s">
        <v>669</v>
      </c>
      <c r="O4111" s="14">
        <v>0.0</v>
      </c>
      <c r="P4111" s="21">
        <v>0.0</v>
      </c>
      <c r="Q4111" s="22" t="str">
        <f t="shared" ref="Q4111:R4111" si="2450">"+0"</f>
        <v>+0</v>
      </c>
      <c r="R4111" s="18" t="str">
        <f t="shared" si="2450"/>
        <v>+0</v>
      </c>
      <c r="S4111" s="14" t="s">
        <v>277</v>
      </c>
    </row>
    <row r="4112">
      <c r="A4112" s="13">
        <v>45901.0</v>
      </c>
      <c r="B4112" s="14" t="s">
        <v>47</v>
      </c>
      <c r="C4112" s="14" t="s">
        <v>48</v>
      </c>
      <c r="D4112" s="14" t="s">
        <v>77</v>
      </c>
      <c r="E4112" s="14" t="s">
        <v>78</v>
      </c>
      <c r="F4112" s="15" t="s">
        <v>51</v>
      </c>
      <c r="G4112" s="14" t="s">
        <v>128</v>
      </c>
      <c r="H4112" s="14" t="s">
        <v>81</v>
      </c>
      <c r="I4112" s="14" t="s">
        <v>59</v>
      </c>
      <c r="J4112" s="14" t="s">
        <v>200</v>
      </c>
      <c r="K4112" s="14" t="s">
        <v>223</v>
      </c>
      <c r="L4112" s="14" t="s">
        <v>363</v>
      </c>
      <c r="M4112" s="14" t="s">
        <v>1634</v>
      </c>
      <c r="N4112" s="14" t="s">
        <v>1635</v>
      </c>
      <c r="O4112" s="14">
        <v>0.0</v>
      </c>
      <c r="P4112" s="23">
        <v>0.0</v>
      </c>
      <c r="Q4112" s="22" t="str">
        <f t="shared" ref="Q4112:R4112" si="2451">"+0.00%"</f>
        <v>+0.00%</v>
      </c>
      <c r="R4112" s="18" t="str">
        <f t="shared" si="2451"/>
        <v>+0.00%</v>
      </c>
      <c r="S4112" s="14" t="s">
        <v>285</v>
      </c>
    </row>
    <row r="4113">
      <c r="A4113" s="13">
        <v>45901.0</v>
      </c>
      <c r="B4113" s="14" t="s">
        <v>47</v>
      </c>
      <c r="C4113" s="14" t="s">
        <v>48</v>
      </c>
      <c r="D4113" s="14" t="s">
        <v>108</v>
      </c>
      <c r="E4113" s="14" t="s">
        <v>109</v>
      </c>
      <c r="F4113" s="15" t="s">
        <v>51</v>
      </c>
      <c r="G4113" s="14" t="s">
        <v>110</v>
      </c>
      <c r="H4113" s="14" t="s">
        <v>108</v>
      </c>
      <c r="I4113" s="14" t="s">
        <v>59</v>
      </c>
      <c r="J4113" s="14" t="s">
        <v>198</v>
      </c>
      <c r="K4113" s="14" t="s">
        <v>205</v>
      </c>
      <c r="L4113" s="14" t="s">
        <v>274</v>
      </c>
      <c r="M4113" s="14" t="s">
        <v>482</v>
      </c>
      <c r="N4113" s="14" t="s">
        <v>483</v>
      </c>
      <c r="O4113" s="14">
        <v>100.0</v>
      </c>
      <c r="P4113" s="21">
        <v>8.0</v>
      </c>
      <c r="Q4113" s="22" t="str">
        <f t="shared" ref="Q4113:Q4115" si="2452">"+0"</f>
        <v>+0</v>
      </c>
      <c r="S4113" s="14" t="s">
        <v>484</v>
      </c>
    </row>
    <row r="4114">
      <c r="A4114" s="13">
        <v>45901.0</v>
      </c>
      <c r="B4114" s="14" t="s">
        <v>47</v>
      </c>
      <c r="C4114" s="14" t="s">
        <v>48</v>
      </c>
      <c r="D4114" s="14" t="s">
        <v>116</v>
      </c>
      <c r="E4114" s="14" t="s">
        <v>117</v>
      </c>
      <c r="F4114" s="15" t="s">
        <v>51</v>
      </c>
      <c r="G4114" s="14" t="s">
        <v>161</v>
      </c>
      <c r="H4114" s="14" t="s">
        <v>116</v>
      </c>
      <c r="I4114" s="14" t="s">
        <v>54</v>
      </c>
      <c r="J4114" s="14" t="s">
        <v>198</v>
      </c>
      <c r="K4114" s="14" t="s">
        <v>210</v>
      </c>
      <c r="L4114" s="14" t="s">
        <v>264</v>
      </c>
      <c r="M4114" s="14" t="s">
        <v>1802</v>
      </c>
      <c r="N4114" s="14" t="s">
        <v>1803</v>
      </c>
      <c r="O4114" s="14">
        <v>0.0</v>
      </c>
      <c r="P4114" s="21">
        <v>0.0</v>
      </c>
      <c r="Q4114" s="22" t="str">
        <f t="shared" si="2452"/>
        <v>+0</v>
      </c>
      <c r="R4114" s="18" t="str">
        <f>"+0"</f>
        <v>+0</v>
      </c>
      <c r="S4114" s="14" t="s">
        <v>277</v>
      </c>
    </row>
    <row r="4115">
      <c r="A4115" s="13">
        <v>45901.0</v>
      </c>
      <c r="B4115" s="14" t="s">
        <v>47</v>
      </c>
      <c r="C4115" s="14" t="s">
        <v>48</v>
      </c>
      <c r="D4115" s="14" t="s">
        <v>112</v>
      </c>
      <c r="E4115" s="14" t="s">
        <v>113</v>
      </c>
      <c r="F4115" s="15" t="s">
        <v>51</v>
      </c>
      <c r="G4115" s="14" t="s">
        <v>114</v>
      </c>
      <c r="H4115" s="14" t="s">
        <v>112</v>
      </c>
      <c r="I4115" s="14" t="s">
        <v>59</v>
      </c>
      <c r="J4115" s="14" t="s">
        <v>198</v>
      </c>
      <c r="K4115" s="14" t="s">
        <v>207</v>
      </c>
      <c r="L4115" s="14" t="s">
        <v>318</v>
      </c>
      <c r="M4115" s="14" t="s">
        <v>319</v>
      </c>
      <c r="N4115" s="14" t="s">
        <v>320</v>
      </c>
      <c r="O4115" s="14">
        <v>0.0</v>
      </c>
      <c r="P4115" s="21">
        <v>0.0</v>
      </c>
      <c r="Q4115" s="22" t="str">
        <f t="shared" si="2452"/>
        <v>+0</v>
      </c>
      <c r="S4115" s="14" t="s">
        <v>281</v>
      </c>
    </row>
    <row r="4116">
      <c r="A4116" s="13">
        <v>45901.0</v>
      </c>
      <c r="B4116" s="14" t="s">
        <v>47</v>
      </c>
      <c r="C4116" s="14" t="s">
        <v>48</v>
      </c>
      <c r="D4116" s="14" t="s">
        <v>116</v>
      </c>
      <c r="E4116" s="14" t="s">
        <v>117</v>
      </c>
      <c r="F4116" s="15" t="s">
        <v>51</v>
      </c>
      <c r="G4116" s="14" t="s">
        <v>161</v>
      </c>
      <c r="H4116" s="14" t="s">
        <v>116</v>
      </c>
      <c r="I4116" s="14" t="s">
        <v>54</v>
      </c>
      <c r="J4116" s="14" t="s">
        <v>200</v>
      </c>
      <c r="K4116" s="14" t="s">
        <v>213</v>
      </c>
      <c r="L4116" s="14" t="s">
        <v>307</v>
      </c>
      <c r="M4116" s="14" t="s">
        <v>561</v>
      </c>
      <c r="N4116" s="14" t="s">
        <v>562</v>
      </c>
      <c r="O4116" s="14">
        <v>0.0</v>
      </c>
      <c r="P4116" s="23">
        <v>0.0</v>
      </c>
      <c r="Q4116" s="22" t="str">
        <f t="shared" ref="Q4116:R4116" si="2453">"+0.00%"</f>
        <v>+0.00%</v>
      </c>
      <c r="R4116" s="18" t="str">
        <f t="shared" si="2453"/>
        <v>+0.00%</v>
      </c>
      <c r="S4116" s="14" t="s">
        <v>285</v>
      </c>
    </row>
    <row r="4117">
      <c r="A4117" s="13">
        <v>45901.0</v>
      </c>
      <c r="B4117" s="14" t="s">
        <v>47</v>
      </c>
      <c r="C4117" s="14" t="s">
        <v>48</v>
      </c>
      <c r="D4117" s="14" t="s">
        <v>155</v>
      </c>
      <c r="E4117" s="14" t="s">
        <v>156</v>
      </c>
      <c r="F4117" s="15" t="s">
        <v>51</v>
      </c>
      <c r="G4117" s="14" t="s">
        <v>157</v>
      </c>
      <c r="H4117" s="14" t="s">
        <v>155</v>
      </c>
      <c r="I4117" s="14" t="s">
        <v>59</v>
      </c>
      <c r="J4117" s="14" t="s">
        <v>199</v>
      </c>
      <c r="K4117" s="14" t="s">
        <v>206</v>
      </c>
      <c r="L4117" s="14" t="s">
        <v>295</v>
      </c>
      <c r="M4117" s="14" t="s">
        <v>461</v>
      </c>
      <c r="N4117" s="14" t="s">
        <v>462</v>
      </c>
      <c r="O4117" s="14">
        <v>0.0</v>
      </c>
      <c r="P4117" s="21">
        <v>0.0</v>
      </c>
      <c r="Q4117" s="22" t="str">
        <f t="shared" ref="Q4117:R4117" si="2454">"+0"</f>
        <v>+0</v>
      </c>
      <c r="R4117" s="18" t="str">
        <f t="shared" si="2454"/>
        <v>+0</v>
      </c>
      <c r="S4117" s="14" t="s">
        <v>260</v>
      </c>
    </row>
    <row r="4118">
      <c r="A4118" s="13">
        <v>45901.0</v>
      </c>
      <c r="B4118" s="14" t="s">
        <v>47</v>
      </c>
      <c r="C4118" s="14" t="s">
        <v>48</v>
      </c>
      <c r="D4118" s="14" t="s">
        <v>63</v>
      </c>
      <c r="E4118" s="14" t="s">
        <v>64</v>
      </c>
      <c r="F4118" s="15" t="s">
        <v>51</v>
      </c>
      <c r="G4118" s="14" t="s">
        <v>65</v>
      </c>
      <c r="H4118" s="14" t="s">
        <v>63</v>
      </c>
      <c r="I4118" s="14" t="s">
        <v>54</v>
      </c>
      <c r="J4118" s="14" t="s">
        <v>200</v>
      </c>
      <c r="K4118" s="14" t="s">
        <v>224</v>
      </c>
      <c r="L4118" s="14" t="s">
        <v>253</v>
      </c>
      <c r="M4118" s="14" t="s">
        <v>1224</v>
      </c>
      <c r="N4118" s="14" t="s">
        <v>1225</v>
      </c>
      <c r="O4118" s="14">
        <v>63.0</v>
      </c>
      <c r="P4118" s="23">
        <v>0.6364</v>
      </c>
      <c r="Q4118" s="22" t="str">
        <f>"+14.80%"</f>
        <v>+14.80%</v>
      </c>
      <c r="R4118" s="18" t="str">
        <f>"+13.64%"</f>
        <v>+13.64%</v>
      </c>
      <c r="S4118" s="14" t="s">
        <v>2214</v>
      </c>
    </row>
    <row r="4119">
      <c r="A4119" s="13">
        <v>45901.0</v>
      </c>
      <c r="B4119" s="14" t="s">
        <v>47</v>
      </c>
      <c r="C4119" s="14" t="s">
        <v>48</v>
      </c>
      <c r="D4119" s="14" t="s">
        <v>91</v>
      </c>
      <c r="E4119" s="14" t="s">
        <v>92</v>
      </c>
      <c r="F4119" s="15" t="s">
        <v>51</v>
      </c>
      <c r="G4119" s="14" t="s">
        <v>163</v>
      </c>
      <c r="H4119" s="14" t="s">
        <v>91</v>
      </c>
      <c r="I4119" s="14" t="s">
        <v>59</v>
      </c>
      <c r="J4119" s="14" t="s">
        <v>200</v>
      </c>
      <c r="K4119" s="14" t="s">
        <v>223</v>
      </c>
      <c r="L4119" s="14" t="s">
        <v>289</v>
      </c>
      <c r="M4119" s="14" t="s">
        <v>384</v>
      </c>
      <c r="N4119" s="14" t="s">
        <v>385</v>
      </c>
      <c r="O4119" s="14">
        <v>0.0</v>
      </c>
      <c r="P4119" s="23">
        <v>0.0</v>
      </c>
      <c r="Q4119" s="22" t="str">
        <f t="shared" ref="Q4119:R4119" si="2455">"+0.00%"</f>
        <v>+0.00%</v>
      </c>
      <c r="R4119" s="18" t="str">
        <f t="shared" si="2455"/>
        <v>+0.00%</v>
      </c>
      <c r="S4119" s="14" t="s">
        <v>2215</v>
      </c>
    </row>
    <row r="4120">
      <c r="A4120" s="13">
        <v>45901.0</v>
      </c>
      <c r="B4120" s="14" t="s">
        <v>47</v>
      </c>
      <c r="C4120" s="14" t="s">
        <v>48</v>
      </c>
      <c r="D4120" s="14" t="s">
        <v>91</v>
      </c>
      <c r="E4120" s="14" t="s">
        <v>92</v>
      </c>
      <c r="F4120" s="14" t="s">
        <v>71</v>
      </c>
      <c r="G4120" s="14">
        <v>5.00008612E8</v>
      </c>
      <c r="H4120" s="14" t="s">
        <v>91</v>
      </c>
      <c r="I4120" s="14" t="s">
        <v>59</v>
      </c>
      <c r="J4120" s="14" t="s">
        <v>200</v>
      </c>
      <c r="K4120" s="14" t="s">
        <v>218</v>
      </c>
      <c r="L4120" s="14" t="s">
        <v>253</v>
      </c>
      <c r="M4120" s="14" t="s">
        <v>784</v>
      </c>
      <c r="N4120" s="14" t="s">
        <v>785</v>
      </c>
      <c r="O4120" s="14">
        <v>31.0</v>
      </c>
      <c r="P4120" s="23">
        <v>0.3134</v>
      </c>
      <c r="Q4120" s="22" t="str">
        <f>"+5.26%"</f>
        <v>+5.26%</v>
      </c>
      <c r="R4120" s="18" t="str">
        <f>"+12.58%"</f>
        <v>+12.58%</v>
      </c>
      <c r="S4120" s="14" t="s">
        <v>2157</v>
      </c>
    </row>
    <row r="4121">
      <c r="A4121" s="13">
        <v>45901.0</v>
      </c>
      <c r="B4121" s="14" t="s">
        <v>47</v>
      </c>
      <c r="C4121" s="14" t="s">
        <v>48</v>
      </c>
      <c r="D4121" s="14" t="s">
        <v>91</v>
      </c>
      <c r="E4121" s="14" t="s">
        <v>92</v>
      </c>
      <c r="F4121" s="14" t="s">
        <v>71</v>
      </c>
      <c r="G4121" s="14">
        <v>1.00005882E8</v>
      </c>
      <c r="H4121" s="14" t="s">
        <v>91</v>
      </c>
      <c r="I4121" s="14" t="s">
        <v>59</v>
      </c>
      <c r="J4121" s="14" t="s">
        <v>199</v>
      </c>
      <c r="K4121" s="14" t="s">
        <v>206</v>
      </c>
      <c r="L4121" s="14" t="s">
        <v>515</v>
      </c>
      <c r="M4121" s="14" t="s">
        <v>515</v>
      </c>
      <c r="N4121" s="14" t="s">
        <v>516</v>
      </c>
      <c r="O4121" s="14">
        <v>25.0</v>
      </c>
      <c r="P4121" s="21">
        <v>1.0</v>
      </c>
      <c r="Q4121" s="22" t="str">
        <f t="shared" ref="Q4121:R4121" si="2456">"+0"</f>
        <v>+0</v>
      </c>
      <c r="R4121" s="18" t="str">
        <f t="shared" si="2456"/>
        <v>+0</v>
      </c>
      <c r="S4121" s="14" t="s">
        <v>383</v>
      </c>
    </row>
    <row r="4122">
      <c r="A4122" s="13">
        <v>45901.0</v>
      </c>
      <c r="B4122" s="14" t="s">
        <v>47</v>
      </c>
      <c r="C4122" s="14" t="s">
        <v>48</v>
      </c>
      <c r="D4122" s="14" t="s">
        <v>82</v>
      </c>
      <c r="E4122" s="14" t="s">
        <v>83</v>
      </c>
      <c r="F4122" s="15" t="s">
        <v>51</v>
      </c>
      <c r="G4122" s="14" t="s">
        <v>84</v>
      </c>
      <c r="H4122" s="14" t="s">
        <v>82</v>
      </c>
      <c r="I4122" s="14" t="s">
        <v>59</v>
      </c>
      <c r="J4122" s="14" t="s">
        <v>199</v>
      </c>
      <c r="K4122" s="14" t="s">
        <v>208</v>
      </c>
      <c r="L4122" s="14" t="s">
        <v>352</v>
      </c>
      <c r="M4122" s="14" t="s">
        <v>352</v>
      </c>
      <c r="N4122" s="14" t="s">
        <v>353</v>
      </c>
      <c r="O4122" s="14">
        <v>80.0</v>
      </c>
      <c r="P4122" s="21">
        <v>2.0</v>
      </c>
      <c r="Q4122" s="22" t="str">
        <f t="shared" ref="Q4122:R4122" si="2457">"+0"</f>
        <v>+0</v>
      </c>
      <c r="R4122" s="18" t="str">
        <f t="shared" si="2457"/>
        <v>+0</v>
      </c>
      <c r="S4122" s="14" t="s">
        <v>260</v>
      </c>
    </row>
    <row r="4123">
      <c r="A4123" s="13">
        <v>45901.0</v>
      </c>
      <c r="B4123" s="14" t="s">
        <v>47</v>
      </c>
      <c r="C4123" s="14" t="s">
        <v>48</v>
      </c>
      <c r="D4123" s="14" t="s">
        <v>192</v>
      </c>
      <c r="E4123" s="14" t="s">
        <v>193</v>
      </c>
      <c r="F4123" s="15" t="s">
        <v>51</v>
      </c>
      <c r="G4123" s="14" t="s">
        <v>194</v>
      </c>
      <c r="H4123" s="14" t="s">
        <v>192</v>
      </c>
      <c r="I4123" s="14" t="s">
        <v>54</v>
      </c>
      <c r="J4123" s="14" t="s">
        <v>200</v>
      </c>
      <c r="K4123" s="14" t="s">
        <v>231</v>
      </c>
      <c r="L4123" s="14" t="s">
        <v>512</v>
      </c>
      <c r="M4123" s="14" t="s">
        <v>1403</v>
      </c>
      <c r="N4123" s="14" t="s">
        <v>1404</v>
      </c>
      <c r="O4123" s="14">
        <v>0.0</v>
      </c>
      <c r="P4123" s="21">
        <v>0.0</v>
      </c>
      <c r="Q4123" s="22" t="str">
        <f t="shared" ref="Q4123:R4123" si="2458">"+0"</f>
        <v>+0</v>
      </c>
      <c r="R4123" s="18" t="str">
        <f t="shared" si="2458"/>
        <v>+0</v>
      </c>
      <c r="S4123" s="14" t="s">
        <v>260</v>
      </c>
    </row>
    <row r="4124">
      <c r="A4124" s="13">
        <v>45901.0</v>
      </c>
      <c r="B4124" s="14" t="s">
        <v>47</v>
      </c>
      <c r="C4124" s="14" t="s">
        <v>48</v>
      </c>
      <c r="D4124" s="14" t="s">
        <v>192</v>
      </c>
      <c r="E4124" s="14" t="s">
        <v>193</v>
      </c>
      <c r="F4124" s="15" t="s">
        <v>51</v>
      </c>
      <c r="G4124" s="14" t="s">
        <v>194</v>
      </c>
      <c r="H4124" s="14" t="s">
        <v>192</v>
      </c>
      <c r="I4124" s="14" t="s">
        <v>54</v>
      </c>
      <c r="J4124" s="14" t="s">
        <v>200</v>
      </c>
      <c r="K4124" s="14" t="s">
        <v>227</v>
      </c>
      <c r="L4124" s="14" t="s">
        <v>721</v>
      </c>
      <c r="M4124" s="14" t="s">
        <v>1060</v>
      </c>
      <c r="N4124" s="14" t="s">
        <v>1061</v>
      </c>
      <c r="O4124" s="14">
        <v>49.0</v>
      </c>
      <c r="P4124" s="23">
        <v>-0.0177</v>
      </c>
      <c r="Q4124" s="22" t="str">
        <f>"+8.21%"</f>
        <v>+8.21%</v>
      </c>
      <c r="R4124" s="18" t="str">
        <f>"-3.97%"</f>
        <v>-3.97%</v>
      </c>
      <c r="S4124" s="14" t="s">
        <v>1062</v>
      </c>
    </row>
    <row r="4125">
      <c r="A4125" s="13">
        <v>45901.0</v>
      </c>
      <c r="B4125" s="14" t="s">
        <v>47</v>
      </c>
      <c r="C4125" s="14" t="s">
        <v>48</v>
      </c>
      <c r="D4125" s="14" t="s">
        <v>192</v>
      </c>
      <c r="E4125" s="14" t="s">
        <v>193</v>
      </c>
      <c r="F4125" s="15" t="s">
        <v>51</v>
      </c>
      <c r="G4125" s="14" t="s">
        <v>194</v>
      </c>
      <c r="H4125" s="14" t="s">
        <v>192</v>
      </c>
      <c r="I4125" s="14" t="s">
        <v>54</v>
      </c>
      <c r="J4125" s="14" t="s">
        <v>200</v>
      </c>
      <c r="K4125" s="14" t="s">
        <v>223</v>
      </c>
      <c r="L4125" s="14" t="s">
        <v>307</v>
      </c>
      <c r="M4125" s="14" t="s">
        <v>856</v>
      </c>
      <c r="N4125" s="14" t="s">
        <v>857</v>
      </c>
      <c r="O4125" s="14">
        <v>0.0</v>
      </c>
      <c r="P4125" s="23">
        <v>0.0</v>
      </c>
      <c r="Q4125" s="22" t="str">
        <f t="shared" ref="Q4125:R4125" si="2459">"+0.00%"</f>
        <v>+0.00%</v>
      </c>
      <c r="R4125" s="18" t="str">
        <f t="shared" si="2459"/>
        <v>+0.00%</v>
      </c>
      <c r="S4125" s="14" t="s">
        <v>285</v>
      </c>
    </row>
    <row r="4126">
      <c r="A4126" s="13">
        <v>45901.0</v>
      </c>
      <c r="B4126" s="14" t="s">
        <v>47</v>
      </c>
      <c r="C4126" s="14" t="s">
        <v>48</v>
      </c>
      <c r="D4126" s="14" t="s">
        <v>149</v>
      </c>
      <c r="E4126" s="14" t="s">
        <v>150</v>
      </c>
      <c r="F4126" s="15" t="s">
        <v>51</v>
      </c>
      <c r="G4126" s="14" t="s">
        <v>151</v>
      </c>
      <c r="H4126" s="14" t="s">
        <v>152</v>
      </c>
      <c r="I4126" s="14" t="s">
        <v>54</v>
      </c>
      <c r="J4126" s="14" t="s">
        <v>199</v>
      </c>
      <c r="K4126" s="14" t="s">
        <v>203</v>
      </c>
      <c r="L4126" s="14" t="s">
        <v>1631</v>
      </c>
      <c r="M4126" s="14" t="s">
        <v>1632</v>
      </c>
      <c r="N4126" s="14" t="s">
        <v>1633</v>
      </c>
      <c r="O4126" s="14">
        <v>100.0</v>
      </c>
      <c r="P4126" s="21">
        <v>1.0</v>
      </c>
      <c r="Q4126" s="22" t="str">
        <f t="shared" ref="Q4126:Q4128" si="2460">"+0"</f>
        <v>+0</v>
      </c>
      <c r="R4126" s="18" t="str">
        <f>"-1"</f>
        <v>-1</v>
      </c>
      <c r="S4126" s="14" t="s">
        <v>260</v>
      </c>
    </row>
    <row r="4127">
      <c r="A4127" s="13">
        <v>45901.0</v>
      </c>
      <c r="B4127" s="14" t="s">
        <v>47</v>
      </c>
      <c r="C4127" s="14" t="s">
        <v>48</v>
      </c>
      <c r="D4127" s="14" t="s">
        <v>149</v>
      </c>
      <c r="E4127" s="14" t="s">
        <v>150</v>
      </c>
      <c r="F4127" s="15" t="s">
        <v>51</v>
      </c>
      <c r="G4127" s="14" t="s">
        <v>151</v>
      </c>
      <c r="H4127" s="14" t="s">
        <v>152</v>
      </c>
      <c r="I4127" s="14" t="s">
        <v>54</v>
      </c>
      <c r="J4127" s="14" t="s">
        <v>199</v>
      </c>
      <c r="K4127" s="14" t="s">
        <v>203</v>
      </c>
      <c r="L4127" s="14" t="s">
        <v>536</v>
      </c>
      <c r="M4127" s="14" t="s">
        <v>536</v>
      </c>
      <c r="N4127" s="14" t="s">
        <v>537</v>
      </c>
      <c r="O4127" s="14">
        <v>0.0</v>
      </c>
      <c r="P4127" s="21">
        <v>0.0</v>
      </c>
      <c r="Q4127" s="22" t="str">
        <f t="shared" si="2460"/>
        <v>+0</v>
      </c>
      <c r="R4127" s="18" t="str">
        <f>"+0"</f>
        <v>+0</v>
      </c>
      <c r="S4127" s="14" t="s">
        <v>260</v>
      </c>
    </row>
    <row r="4128">
      <c r="A4128" s="13">
        <v>45901.0</v>
      </c>
      <c r="B4128" s="14" t="s">
        <v>47</v>
      </c>
      <c r="C4128" s="14" t="s">
        <v>48</v>
      </c>
      <c r="D4128" s="14" t="s">
        <v>136</v>
      </c>
      <c r="E4128" s="14" t="s">
        <v>137</v>
      </c>
      <c r="F4128" s="15" t="s">
        <v>51</v>
      </c>
      <c r="G4128" s="14" t="s">
        <v>138</v>
      </c>
      <c r="H4128" s="14" t="s">
        <v>139</v>
      </c>
      <c r="I4128" s="14" t="s">
        <v>59</v>
      </c>
      <c r="J4128" s="14" t="s">
        <v>198</v>
      </c>
      <c r="K4128" s="14" t="s">
        <v>205</v>
      </c>
      <c r="L4128" s="14" t="s">
        <v>274</v>
      </c>
      <c r="M4128" s="14" t="s">
        <v>767</v>
      </c>
      <c r="N4128" s="14" t="s">
        <v>768</v>
      </c>
      <c r="O4128" s="14">
        <v>100.0</v>
      </c>
      <c r="P4128" s="21">
        <v>1.0</v>
      </c>
      <c r="Q4128" s="22" t="str">
        <f t="shared" si="2460"/>
        <v>+0</v>
      </c>
      <c r="S4128" s="14" t="s">
        <v>281</v>
      </c>
    </row>
    <row r="4129">
      <c r="A4129" s="13">
        <v>45901.0</v>
      </c>
      <c r="B4129" s="14" t="s">
        <v>47</v>
      </c>
      <c r="C4129" s="14" t="s">
        <v>48</v>
      </c>
      <c r="D4129" s="14" t="s">
        <v>129</v>
      </c>
      <c r="E4129" s="14" t="s">
        <v>130</v>
      </c>
      <c r="F4129" s="15" t="s">
        <v>51</v>
      </c>
      <c r="G4129" s="14" t="s">
        <v>131</v>
      </c>
      <c r="H4129" s="14" t="s">
        <v>129</v>
      </c>
      <c r="I4129" s="14" t="s">
        <v>59</v>
      </c>
      <c r="J4129" s="14" t="s">
        <v>198</v>
      </c>
      <c r="K4129" s="14" t="s">
        <v>210</v>
      </c>
      <c r="L4129" s="14" t="s">
        <v>264</v>
      </c>
      <c r="M4129" s="14" t="s">
        <v>407</v>
      </c>
      <c r="N4129" s="14" t="s">
        <v>408</v>
      </c>
      <c r="O4129" s="14">
        <v>85.0</v>
      </c>
      <c r="P4129" s="21">
        <v>89.0</v>
      </c>
      <c r="Q4129" s="22" t="str">
        <f>"+63"</f>
        <v>+63</v>
      </c>
      <c r="R4129" s="18" t="str">
        <f>"-8,201"</f>
        <v>-8,201</v>
      </c>
      <c r="S4129" s="14" t="s">
        <v>2216</v>
      </c>
    </row>
    <row r="4130">
      <c r="A4130" s="13">
        <v>45901.0</v>
      </c>
      <c r="B4130" s="14" t="s">
        <v>47</v>
      </c>
      <c r="C4130" s="14" t="s">
        <v>48</v>
      </c>
      <c r="D4130" s="14" t="s">
        <v>149</v>
      </c>
      <c r="E4130" s="14" t="s">
        <v>150</v>
      </c>
      <c r="F4130" s="15" t="s">
        <v>51</v>
      </c>
      <c r="G4130" s="14" t="s">
        <v>151</v>
      </c>
      <c r="H4130" s="14" t="s">
        <v>152</v>
      </c>
      <c r="I4130" s="14" t="s">
        <v>54</v>
      </c>
      <c r="J4130" s="14" t="s">
        <v>198</v>
      </c>
      <c r="K4130" s="14" t="s">
        <v>210</v>
      </c>
      <c r="L4130" s="14" t="s">
        <v>505</v>
      </c>
      <c r="M4130" s="14" t="s">
        <v>1020</v>
      </c>
      <c r="N4130" s="14" t="s">
        <v>1021</v>
      </c>
      <c r="O4130" s="14">
        <v>0.0</v>
      </c>
      <c r="P4130" s="21">
        <v>0.0</v>
      </c>
      <c r="Q4130" s="22" t="str">
        <f t="shared" ref="Q4130:R4130" si="2461">"+0"</f>
        <v>+0</v>
      </c>
      <c r="R4130" s="18" t="str">
        <f t="shared" si="2461"/>
        <v>+0</v>
      </c>
      <c r="S4130" s="14" t="s">
        <v>277</v>
      </c>
    </row>
    <row r="4131">
      <c r="A4131" s="13">
        <v>45901.0</v>
      </c>
      <c r="B4131" s="14" t="s">
        <v>47</v>
      </c>
      <c r="C4131" s="14" t="s">
        <v>48</v>
      </c>
      <c r="D4131" s="14" t="s">
        <v>69</v>
      </c>
      <c r="E4131" s="14" t="s">
        <v>70</v>
      </c>
      <c r="F4131" s="15" t="s">
        <v>51</v>
      </c>
      <c r="G4131" s="14" t="s">
        <v>115</v>
      </c>
      <c r="H4131" s="14" t="s">
        <v>72</v>
      </c>
      <c r="I4131" s="14" t="s">
        <v>54</v>
      </c>
      <c r="J4131" s="14" t="s">
        <v>200</v>
      </c>
      <c r="K4131" s="14" t="s">
        <v>201</v>
      </c>
      <c r="L4131" s="14" t="s">
        <v>253</v>
      </c>
      <c r="M4131" s="14" t="s">
        <v>585</v>
      </c>
      <c r="N4131" s="14" t="s">
        <v>586</v>
      </c>
      <c r="O4131" s="14">
        <v>32.0</v>
      </c>
      <c r="P4131" s="23">
        <v>0.3215</v>
      </c>
      <c r="Q4131" s="22" t="str">
        <f>"-6.34%"</f>
        <v>-6.34%</v>
      </c>
      <c r="R4131" s="18" t="str">
        <f>"-23.17%"</f>
        <v>-23.17%</v>
      </c>
      <c r="S4131" s="14" t="s">
        <v>1156</v>
      </c>
    </row>
    <row r="4132">
      <c r="A4132" s="13">
        <v>45901.0</v>
      </c>
      <c r="B4132" s="14" t="s">
        <v>47</v>
      </c>
      <c r="C4132" s="14" t="s">
        <v>48</v>
      </c>
      <c r="D4132" s="14" t="s">
        <v>69</v>
      </c>
      <c r="E4132" s="14" t="s">
        <v>70</v>
      </c>
      <c r="F4132" s="15" t="s">
        <v>51</v>
      </c>
      <c r="G4132" s="14" t="s">
        <v>115</v>
      </c>
      <c r="H4132" s="14" t="s">
        <v>72</v>
      </c>
      <c r="I4132" s="14" t="s">
        <v>54</v>
      </c>
      <c r="J4132" s="14" t="s">
        <v>199</v>
      </c>
      <c r="K4132" s="14" t="s">
        <v>203</v>
      </c>
      <c r="L4132" s="14" t="s">
        <v>736</v>
      </c>
      <c r="M4132" s="14" t="s">
        <v>736</v>
      </c>
      <c r="N4132" s="14" t="s">
        <v>737</v>
      </c>
      <c r="O4132" s="14">
        <v>100.0</v>
      </c>
      <c r="P4132" s="21">
        <v>2.0</v>
      </c>
      <c r="Q4132" s="22" t="str">
        <f t="shared" ref="Q4132:R4132" si="2462">"+0"</f>
        <v>+0</v>
      </c>
      <c r="R4132" s="18" t="str">
        <f t="shared" si="2462"/>
        <v>+0</v>
      </c>
      <c r="S4132" s="14" t="s">
        <v>260</v>
      </c>
    </row>
    <row r="4133">
      <c r="A4133" s="13">
        <v>45901.0</v>
      </c>
      <c r="B4133" s="14" t="s">
        <v>47</v>
      </c>
      <c r="C4133" s="14" t="s">
        <v>48</v>
      </c>
      <c r="D4133" s="14" t="s">
        <v>77</v>
      </c>
      <c r="E4133" s="14" t="s">
        <v>78</v>
      </c>
      <c r="F4133" s="15" t="s">
        <v>51</v>
      </c>
      <c r="G4133" s="14" t="s">
        <v>128</v>
      </c>
      <c r="H4133" s="14" t="s">
        <v>81</v>
      </c>
      <c r="I4133" s="14" t="s">
        <v>59</v>
      </c>
      <c r="J4133" s="14" t="s">
        <v>200</v>
      </c>
      <c r="K4133" s="14" t="s">
        <v>223</v>
      </c>
      <c r="L4133" s="14" t="s">
        <v>307</v>
      </c>
      <c r="M4133" s="14" t="s">
        <v>502</v>
      </c>
      <c r="N4133" s="14" t="s">
        <v>503</v>
      </c>
      <c r="O4133" s="14">
        <v>0.0</v>
      </c>
      <c r="P4133" s="23">
        <v>0.0</v>
      </c>
      <c r="Q4133" s="22" t="str">
        <f t="shared" ref="Q4133:R4133" si="2463">"+0.00%"</f>
        <v>+0.00%</v>
      </c>
      <c r="R4133" s="18" t="str">
        <f t="shared" si="2463"/>
        <v>+0.00%</v>
      </c>
      <c r="S4133" s="14" t="s">
        <v>2217</v>
      </c>
    </row>
    <row r="4134">
      <c r="A4134" s="13">
        <v>45901.0</v>
      </c>
      <c r="B4134" s="14" t="s">
        <v>47</v>
      </c>
      <c r="C4134" s="14" t="s">
        <v>48</v>
      </c>
      <c r="D4134" s="14" t="s">
        <v>116</v>
      </c>
      <c r="E4134" s="14" t="s">
        <v>117</v>
      </c>
      <c r="F4134" s="15" t="s">
        <v>51</v>
      </c>
      <c r="G4134" s="14" t="s">
        <v>161</v>
      </c>
      <c r="H4134" s="14" t="s">
        <v>116</v>
      </c>
      <c r="I4134" s="14" t="s">
        <v>54</v>
      </c>
      <c r="J4134" s="14" t="s">
        <v>200</v>
      </c>
      <c r="K4134" s="14" t="s">
        <v>222</v>
      </c>
      <c r="L4134" s="14" t="s">
        <v>253</v>
      </c>
      <c r="M4134" s="14" t="s">
        <v>1563</v>
      </c>
      <c r="N4134" s="14" t="s">
        <v>1564</v>
      </c>
      <c r="O4134" s="14">
        <v>100.0</v>
      </c>
      <c r="P4134" s="21">
        <v>1.0</v>
      </c>
      <c r="Q4134" s="22" t="str">
        <f t="shared" ref="Q4134:R4134" si="2464">"+0"</f>
        <v>+0</v>
      </c>
      <c r="R4134" s="18" t="str">
        <f t="shared" si="2464"/>
        <v>+0</v>
      </c>
      <c r="S4134" s="14" t="s">
        <v>260</v>
      </c>
    </row>
    <row r="4135">
      <c r="A4135" s="13">
        <v>45901.0</v>
      </c>
      <c r="B4135" s="14" t="s">
        <v>47</v>
      </c>
      <c r="C4135" s="14" t="s">
        <v>48</v>
      </c>
      <c r="D4135" s="14" t="s">
        <v>56</v>
      </c>
      <c r="E4135" s="14" t="s">
        <v>57</v>
      </c>
      <c r="F4135" s="15" t="s">
        <v>51</v>
      </c>
      <c r="G4135" s="14" t="s">
        <v>58</v>
      </c>
      <c r="H4135" s="14" t="s">
        <v>56</v>
      </c>
      <c r="I4135" s="14" t="s">
        <v>59</v>
      </c>
      <c r="J4135" s="14" t="s">
        <v>200</v>
      </c>
      <c r="K4135" s="14" t="s">
        <v>223</v>
      </c>
      <c r="L4135" s="14" t="s">
        <v>286</v>
      </c>
      <c r="M4135" s="14" t="s">
        <v>419</v>
      </c>
      <c r="N4135" s="14" t="s">
        <v>420</v>
      </c>
      <c r="O4135" s="14">
        <v>0.0</v>
      </c>
      <c r="P4135" s="23">
        <v>0.0</v>
      </c>
      <c r="Q4135" s="22" t="str">
        <f t="shared" ref="Q4135:R4135" si="2465">"+0.00%"</f>
        <v>+0.00%</v>
      </c>
      <c r="R4135" s="18" t="str">
        <f t="shared" si="2465"/>
        <v>+0.00%</v>
      </c>
      <c r="S4135" s="14" t="s">
        <v>371</v>
      </c>
    </row>
    <row r="4136">
      <c r="A4136" s="13">
        <v>45901.0</v>
      </c>
      <c r="B4136" s="14" t="s">
        <v>47</v>
      </c>
      <c r="C4136" s="14" t="s">
        <v>48</v>
      </c>
      <c r="D4136" s="14" t="s">
        <v>56</v>
      </c>
      <c r="E4136" s="14" t="s">
        <v>57</v>
      </c>
      <c r="F4136" s="15" t="s">
        <v>51</v>
      </c>
      <c r="G4136" s="14" t="s">
        <v>58</v>
      </c>
      <c r="H4136" s="14" t="s">
        <v>56</v>
      </c>
      <c r="I4136" s="14" t="s">
        <v>59</v>
      </c>
      <c r="J4136" s="14" t="s">
        <v>198</v>
      </c>
      <c r="K4136" s="14" t="s">
        <v>207</v>
      </c>
      <c r="L4136" s="14" t="s">
        <v>318</v>
      </c>
      <c r="M4136" s="14" t="s">
        <v>508</v>
      </c>
      <c r="N4136" s="14" t="s">
        <v>509</v>
      </c>
      <c r="O4136" s="14">
        <v>0.0</v>
      </c>
      <c r="P4136" s="21">
        <v>0.0</v>
      </c>
      <c r="Q4136" s="22" t="str">
        <f>"+0"</f>
        <v>+0</v>
      </c>
      <c r="S4136" s="14" t="s">
        <v>281</v>
      </c>
    </row>
    <row r="4137">
      <c r="A4137" s="13">
        <v>45901.0</v>
      </c>
      <c r="B4137" s="14" t="s">
        <v>47</v>
      </c>
      <c r="C4137" s="14" t="s">
        <v>48</v>
      </c>
      <c r="D4137" s="14" t="s">
        <v>91</v>
      </c>
      <c r="E4137" s="14" t="s">
        <v>92</v>
      </c>
      <c r="F4137" s="14" t="s">
        <v>71</v>
      </c>
      <c r="G4137" s="14">
        <v>1.00005882E8</v>
      </c>
      <c r="H4137" s="14" t="s">
        <v>91</v>
      </c>
      <c r="I4137" s="14" t="s">
        <v>59</v>
      </c>
      <c r="J4137" s="14" t="s">
        <v>199</v>
      </c>
      <c r="K4137" s="14" t="s">
        <v>206</v>
      </c>
      <c r="L4137" s="14" t="s">
        <v>569</v>
      </c>
      <c r="M4137" s="14" t="s">
        <v>569</v>
      </c>
      <c r="N4137" s="14" t="s">
        <v>570</v>
      </c>
      <c r="O4137" s="14">
        <v>100.0</v>
      </c>
      <c r="P4137" s="21">
        <v>10.0</v>
      </c>
      <c r="Q4137" s="22" t="str">
        <f>"-2"</f>
        <v>-2</v>
      </c>
      <c r="R4137" s="18" t="str">
        <f>"-7"</f>
        <v>-7</v>
      </c>
      <c r="S4137" s="14" t="s">
        <v>383</v>
      </c>
    </row>
    <row r="4138">
      <c r="A4138" s="13">
        <v>45901.0</v>
      </c>
      <c r="B4138" s="14" t="s">
        <v>47</v>
      </c>
      <c r="C4138" s="14" t="s">
        <v>48</v>
      </c>
      <c r="D4138" s="14" t="s">
        <v>177</v>
      </c>
      <c r="E4138" s="14" t="s">
        <v>178</v>
      </c>
      <c r="F4138" s="14" t="s">
        <v>146</v>
      </c>
      <c r="G4138" s="14" t="s">
        <v>179</v>
      </c>
      <c r="H4138" s="14" t="s">
        <v>177</v>
      </c>
      <c r="I4138" s="14" t="s">
        <v>107</v>
      </c>
      <c r="J4138" s="14" t="s">
        <v>200</v>
      </c>
      <c r="K4138" s="14" t="s">
        <v>226</v>
      </c>
      <c r="L4138" s="14" t="s">
        <v>672</v>
      </c>
      <c r="M4138" s="14" t="s">
        <v>2192</v>
      </c>
      <c r="N4138" s="14" t="s">
        <v>2193</v>
      </c>
      <c r="O4138" s="14">
        <v>100.0</v>
      </c>
      <c r="P4138" s="23">
        <v>0.3831</v>
      </c>
      <c r="Q4138" s="22" t="str">
        <f>"+13.89%"</f>
        <v>+13.89%</v>
      </c>
      <c r="R4138" s="18" t="str">
        <f>"+7.97%"</f>
        <v>+7.97%</v>
      </c>
      <c r="S4138" s="14" t="s">
        <v>2194</v>
      </c>
    </row>
    <row r="4139">
      <c r="A4139" s="13">
        <v>45901.0</v>
      </c>
      <c r="B4139" s="14" t="s">
        <v>47</v>
      </c>
      <c r="C4139" s="14" t="s">
        <v>48</v>
      </c>
      <c r="D4139" s="14" t="s">
        <v>91</v>
      </c>
      <c r="E4139" s="14" t="s">
        <v>92</v>
      </c>
      <c r="F4139" s="15" t="s">
        <v>51</v>
      </c>
      <c r="G4139" s="14" t="s">
        <v>163</v>
      </c>
      <c r="H4139" s="14" t="s">
        <v>91</v>
      </c>
      <c r="I4139" s="14" t="s">
        <v>59</v>
      </c>
      <c r="J4139" s="14" t="s">
        <v>200</v>
      </c>
      <c r="K4139" s="14" t="s">
        <v>223</v>
      </c>
      <c r="L4139" s="14" t="s">
        <v>487</v>
      </c>
      <c r="M4139" s="14" t="s">
        <v>1415</v>
      </c>
      <c r="N4139" s="14" t="s">
        <v>1416</v>
      </c>
      <c r="O4139" s="14">
        <v>0.0</v>
      </c>
      <c r="P4139" s="21">
        <v>0.0</v>
      </c>
      <c r="Q4139" s="22" t="str">
        <f t="shared" ref="Q4139:R4139" si="2466">"+0"</f>
        <v>+0</v>
      </c>
      <c r="R4139" s="18" t="str">
        <f t="shared" si="2466"/>
        <v>+0</v>
      </c>
      <c r="S4139" s="14" t="s">
        <v>260</v>
      </c>
    </row>
    <row r="4140">
      <c r="A4140" s="13">
        <v>45901.0</v>
      </c>
      <c r="B4140" s="14" t="s">
        <v>47</v>
      </c>
      <c r="C4140" s="14" t="s">
        <v>48</v>
      </c>
      <c r="D4140" s="14" t="s">
        <v>93</v>
      </c>
      <c r="E4140" s="14" t="s">
        <v>94</v>
      </c>
      <c r="F4140" s="15" t="s">
        <v>51</v>
      </c>
      <c r="G4140" s="14" t="s">
        <v>191</v>
      </c>
      <c r="H4140" s="14" t="s">
        <v>95</v>
      </c>
      <c r="I4140" s="14" t="s">
        <v>59</v>
      </c>
      <c r="J4140" s="14" t="s">
        <v>200</v>
      </c>
      <c r="K4140" s="14" t="s">
        <v>215</v>
      </c>
      <c r="L4140" s="14" t="s">
        <v>1341</v>
      </c>
      <c r="M4140" s="14" t="s">
        <v>1342</v>
      </c>
      <c r="N4140" s="14" t="s">
        <v>1343</v>
      </c>
      <c r="O4140" s="14">
        <v>66.0</v>
      </c>
      <c r="P4140" s="23">
        <v>0.3333</v>
      </c>
      <c r="Q4140" s="22" t="str">
        <f>"+47.62%"</f>
        <v>+47.62%</v>
      </c>
      <c r="R4140" s="18" t="str">
        <f>"+66.67%"</f>
        <v>+66.67%</v>
      </c>
      <c r="S4140" s="14" t="s">
        <v>2218</v>
      </c>
    </row>
    <row r="4141">
      <c r="A4141" s="13">
        <v>45901.0</v>
      </c>
      <c r="B4141" s="14" t="s">
        <v>47</v>
      </c>
      <c r="C4141" s="14" t="s">
        <v>48</v>
      </c>
      <c r="D4141" s="14" t="s">
        <v>66</v>
      </c>
      <c r="E4141" s="14" t="s">
        <v>67</v>
      </c>
      <c r="F4141" s="15" t="s">
        <v>51</v>
      </c>
      <c r="G4141" s="14" t="s">
        <v>68</v>
      </c>
      <c r="H4141" s="14" t="s">
        <v>66</v>
      </c>
      <c r="I4141" s="14" t="s">
        <v>59</v>
      </c>
      <c r="J4141" s="14" t="s">
        <v>200</v>
      </c>
      <c r="K4141" s="14" t="s">
        <v>223</v>
      </c>
      <c r="L4141" s="14" t="s">
        <v>257</v>
      </c>
      <c r="M4141" s="14" t="s">
        <v>315</v>
      </c>
      <c r="N4141" s="14" t="s">
        <v>316</v>
      </c>
      <c r="O4141" s="14">
        <v>0.0</v>
      </c>
      <c r="P4141" s="23">
        <v>0.0</v>
      </c>
      <c r="Q4141" s="22" t="str">
        <f t="shared" ref="Q4141:R4141" si="2467">"+0.00%"</f>
        <v>+0.00%</v>
      </c>
      <c r="R4141" s="18" t="str">
        <f t="shared" si="2467"/>
        <v>+0.00%</v>
      </c>
      <c r="S4141" s="14" t="s">
        <v>2219</v>
      </c>
    </row>
    <row r="4142">
      <c r="A4142" s="13">
        <v>45901.0</v>
      </c>
      <c r="B4142" s="14" t="s">
        <v>47</v>
      </c>
      <c r="C4142" s="14" t="s">
        <v>48</v>
      </c>
      <c r="D4142" s="14" t="s">
        <v>66</v>
      </c>
      <c r="E4142" s="14" t="s">
        <v>67</v>
      </c>
      <c r="F4142" s="15" t="s">
        <v>51</v>
      </c>
      <c r="G4142" s="14" t="s">
        <v>68</v>
      </c>
      <c r="H4142" s="14" t="s">
        <v>66</v>
      </c>
      <c r="I4142" s="14" t="s">
        <v>59</v>
      </c>
      <c r="J4142" s="14" t="s">
        <v>200</v>
      </c>
      <c r="K4142" s="14" t="s">
        <v>223</v>
      </c>
      <c r="L4142" s="14" t="s">
        <v>289</v>
      </c>
      <c r="M4142" s="14" t="s">
        <v>384</v>
      </c>
      <c r="N4142" s="14" t="s">
        <v>385</v>
      </c>
      <c r="O4142" s="14">
        <v>0.0</v>
      </c>
      <c r="P4142" s="23">
        <v>0.0</v>
      </c>
      <c r="Q4142" s="22" t="str">
        <f t="shared" ref="Q4142:R4142" si="2468">"+0.00%"</f>
        <v>+0.00%</v>
      </c>
      <c r="R4142" s="18" t="str">
        <f t="shared" si="2468"/>
        <v>+0.00%</v>
      </c>
      <c r="S4142" s="14" t="s">
        <v>2220</v>
      </c>
    </row>
    <row r="4143">
      <c r="A4143" s="13">
        <v>45901.0</v>
      </c>
      <c r="B4143" s="14" t="s">
        <v>47</v>
      </c>
      <c r="C4143" s="14" t="s">
        <v>48</v>
      </c>
      <c r="D4143" s="14" t="s">
        <v>66</v>
      </c>
      <c r="E4143" s="14" t="s">
        <v>67</v>
      </c>
      <c r="F4143" s="15" t="s">
        <v>51</v>
      </c>
      <c r="G4143" s="14" t="s">
        <v>68</v>
      </c>
      <c r="H4143" s="14" t="s">
        <v>66</v>
      </c>
      <c r="I4143" s="14" t="s">
        <v>59</v>
      </c>
      <c r="J4143" s="14" t="s">
        <v>198</v>
      </c>
      <c r="K4143" s="14" t="s">
        <v>210</v>
      </c>
      <c r="L4143" s="14" t="s">
        <v>458</v>
      </c>
      <c r="M4143" s="14" t="s">
        <v>459</v>
      </c>
      <c r="N4143" s="14" t="s">
        <v>460</v>
      </c>
      <c r="O4143" s="14">
        <v>100.0</v>
      </c>
      <c r="P4143" s="21">
        <v>0.0</v>
      </c>
      <c r="Q4143" s="22" t="str">
        <f t="shared" ref="Q4143:R4143" si="2469">"+0"</f>
        <v>+0</v>
      </c>
      <c r="R4143" s="18" t="str">
        <f t="shared" si="2469"/>
        <v>+0</v>
      </c>
      <c r="S4143" s="14" t="s">
        <v>281</v>
      </c>
    </row>
    <row r="4144">
      <c r="A4144" s="13">
        <v>45901.0</v>
      </c>
      <c r="B4144" s="14" t="s">
        <v>47</v>
      </c>
      <c r="C4144" s="14" t="s">
        <v>48</v>
      </c>
      <c r="D4144" s="14" t="s">
        <v>192</v>
      </c>
      <c r="E4144" s="14" t="s">
        <v>193</v>
      </c>
      <c r="F4144" s="15" t="s">
        <v>51</v>
      </c>
      <c r="G4144" s="14" t="s">
        <v>194</v>
      </c>
      <c r="H4144" s="14" t="s">
        <v>192</v>
      </c>
      <c r="I4144" s="14" t="s">
        <v>54</v>
      </c>
      <c r="J4144" s="14" t="s">
        <v>199</v>
      </c>
      <c r="K4144" s="14" t="s">
        <v>206</v>
      </c>
      <c r="L4144" s="14" t="s">
        <v>433</v>
      </c>
      <c r="M4144" s="14" t="s">
        <v>433</v>
      </c>
      <c r="N4144" s="14" t="s">
        <v>434</v>
      </c>
      <c r="O4144" s="14">
        <v>100.0</v>
      </c>
      <c r="P4144" s="21">
        <v>19.0</v>
      </c>
      <c r="Q4144" s="22" t="str">
        <f>"-23"</f>
        <v>-23</v>
      </c>
      <c r="R4144" s="18" t="str">
        <f>"-46"</f>
        <v>-46</v>
      </c>
      <c r="S4144" s="14" t="s">
        <v>383</v>
      </c>
    </row>
    <row r="4145">
      <c r="A4145" s="13">
        <v>45901.0</v>
      </c>
      <c r="B4145" s="14" t="s">
        <v>47</v>
      </c>
      <c r="C4145" s="14" t="s">
        <v>48</v>
      </c>
      <c r="D4145" s="14" t="s">
        <v>132</v>
      </c>
      <c r="E4145" s="14" t="s">
        <v>133</v>
      </c>
      <c r="F4145" s="15" t="s">
        <v>51</v>
      </c>
      <c r="G4145" s="14" t="s">
        <v>134</v>
      </c>
      <c r="H4145" s="14" t="s">
        <v>135</v>
      </c>
      <c r="I4145" s="14" t="s">
        <v>59</v>
      </c>
      <c r="J4145" s="14" t="s">
        <v>199</v>
      </c>
      <c r="K4145" s="14" t="s">
        <v>203</v>
      </c>
      <c r="L4145" s="14" t="s">
        <v>431</v>
      </c>
      <c r="M4145" s="14" t="s">
        <v>431</v>
      </c>
      <c r="N4145" s="14" t="s">
        <v>432</v>
      </c>
      <c r="O4145" s="14">
        <v>0.0</v>
      </c>
      <c r="P4145" s="21">
        <v>0.0</v>
      </c>
      <c r="Q4145" s="22" t="str">
        <f t="shared" ref="Q4145:R4145" si="2470">"+0"</f>
        <v>+0</v>
      </c>
      <c r="R4145" s="18" t="str">
        <f t="shared" si="2470"/>
        <v>+0</v>
      </c>
      <c r="S4145" s="14" t="s">
        <v>260</v>
      </c>
    </row>
    <row r="4146">
      <c r="A4146" s="13">
        <v>45901.0</v>
      </c>
      <c r="B4146" s="14" t="s">
        <v>47</v>
      </c>
      <c r="C4146" s="14" t="s">
        <v>48</v>
      </c>
      <c r="D4146" s="14" t="s">
        <v>132</v>
      </c>
      <c r="E4146" s="14" t="s">
        <v>133</v>
      </c>
      <c r="F4146" s="15" t="s">
        <v>51</v>
      </c>
      <c r="G4146" s="14" t="s">
        <v>134</v>
      </c>
      <c r="H4146" s="14" t="s">
        <v>135</v>
      </c>
      <c r="I4146" s="14" t="s">
        <v>59</v>
      </c>
      <c r="J4146" s="14" t="s">
        <v>199</v>
      </c>
      <c r="K4146" s="14" t="s">
        <v>208</v>
      </c>
      <c r="L4146" s="14" t="s">
        <v>412</v>
      </c>
      <c r="M4146" s="14" t="s">
        <v>412</v>
      </c>
      <c r="N4146" s="14" t="s">
        <v>413</v>
      </c>
      <c r="O4146" s="14">
        <v>75.0</v>
      </c>
      <c r="P4146" s="21">
        <v>1.0</v>
      </c>
      <c r="Q4146" s="22" t="str">
        <f t="shared" ref="Q4146:R4146" si="2471">"+0"</f>
        <v>+0</v>
      </c>
      <c r="R4146" s="18" t="str">
        <f t="shared" si="2471"/>
        <v>+0</v>
      </c>
      <c r="S4146" s="14" t="s">
        <v>260</v>
      </c>
    </row>
    <row r="4147">
      <c r="A4147" s="13">
        <v>45901.0</v>
      </c>
      <c r="B4147" s="14" t="s">
        <v>47</v>
      </c>
      <c r="C4147" s="14" t="s">
        <v>48</v>
      </c>
      <c r="D4147" s="14" t="s">
        <v>103</v>
      </c>
      <c r="E4147" s="14" t="s">
        <v>104</v>
      </c>
      <c r="F4147" s="15" t="s">
        <v>51</v>
      </c>
      <c r="G4147" s="14" t="s">
        <v>105</v>
      </c>
      <c r="H4147" s="14" t="s">
        <v>106</v>
      </c>
      <c r="I4147" s="14" t="s">
        <v>59</v>
      </c>
      <c r="J4147" s="14" t="s">
        <v>200</v>
      </c>
      <c r="K4147" s="14" t="s">
        <v>232</v>
      </c>
      <c r="L4147" s="14" t="s">
        <v>253</v>
      </c>
      <c r="M4147" s="14" t="s">
        <v>366</v>
      </c>
      <c r="N4147" s="14" t="s">
        <v>367</v>
      </c>
      <c r="O4147" s="14">
        <v>100.0</v>
      </c>
      <c r="P4147" s="23">
        <v>1.0</v>
      </c>
      <c r="Q4147" s="22" t="str">
        <f t="shared" ref="Q4147:R4147" si="2472">"+0.00%"</f>
        <v>+0.00%</v>
      </c>
      <c r="R4147" s="18" t="str">
        <f t="shared" si="2472"/>
        <v>+0.00%</v>
      </c>
      <c r="S4147" s="14" t="s">
        <v>2221</v>
      </c>
    </row>
    <row r="4148">
      <c r="A4148" s="13">
        <v>45901.0</v>
      </c>
      <c r="B4148" s="14" t="s">
        <v>47</v>
      </c>
      <c r="C4148" s="14" t="s">
        <v>48</v>
      </c>
      <c r="D4148" s="14" t="s">
        <v>132</v>
      </c>
      <c r="E4148" s="14" t="s">
        <v>133</v>
      </c>
      <c r="F4148" s="15" t="s">
        <v>51</v>
      </c>
      <c r="G4148" s="14" t="s">
        <v>134</v>
      </c>
      <c r="H4148" s="14" t="s">
        <v>135</v>
      </c>
      <c r="I4148" s="14" t="s">
        <v>59</v>
      </c>
      <c r="J4148" s="14" t="s">
        <v>200</v>
      </c>
      <c r="K4148" s="14" t="s">
        <v>227</v>
      </c>
      <c r="L4148" s="14" t="s">
        <v>253</v>
      </c>
      <c r="M4148" s="14" t="s">
        <v>811</v>
      </c>
      <c r="N4148" s="14" t="s">
        <v>812</v>
      </c>
      <c r="O4148" s="14">
        <v>100.0</v>
      </c>
      <c r="P4148" s="23">
        <v>1.0</v>
      </c>
      <c r="Q4148" s="22" t="str">
        <f t="shared" ref="Q4148:R4148" si="2473">"+0.00%"</f>
        <v>+0.00%</v>
      </c>
      <c r="R4148" s="18" t="str">
        <f t="shared" si="2473"/>
        <v>+0.00%</v>
      </c>
      <c r="S4148" s="14" t="s">
        <v>813</v>
      </c>
    </row>
    <row r="4149">
      <c r="A4149" s="13">
        <v>45901.0</v>
      </c>
      <c r="B4149" s="14" t="s">
        <v>47</v>
      </c>
      <c r="C4149" s="14" t="s">
        <v>48</v>
      </c>
      <c r="D4149" s="14" t="s">
        <v>143</v>
      </c>
      <c r="E4149" s="14" t="s">
        <v>144</v>
      </c>
      <c r="F4149" s="15" t="s">
        <v>51</v>
      </c>
      <c r="G4149" s="14" t="s">
        <v>145</v>
      </c>
      <c r="H4149" s="14" t="s">
        <v>143</v>
      </c>
      <c r="I4149" s="14" t="s">
        <v>59</v>
      </c>
      <c r="J4149" s="14" t="s">
        <v>200</v>
      </c>
      <c r="K4149" s="14" t="s">
        <v>232</v>
      </c>
      <c r="L4149" s="14" t="s">
        <v>253</v>
      </c>
      <c r="M4149" s="14" t="s">
        <v>366</v>
      </c>
      <c r="N4149" s="14" t="s">
        <v>367</v>
      </c>
      <c r="O4149" s="14">
        <v>98.0</v>
      </c>
      <c r="P4149" s="23">
        <v>0.9851</v>
      </c>
      <c r="Q4149" s="22" t="str">
        <f t="shared" ref="Q4149:R4149" si="2474">"+0.00%"</f>
        <v>+0.00%</v>
      </c>
      <c r="R4149" s="18" t="str">
        <f t="shared" si="2474"/>
        <v>+0.00%</v>
      </c>
      <c r="S4149" s="14" t="s">
        <v>2222</v>
      </c>
    </row>
    <row r="4150">
      <c r="A4150" s="13">
        <v>45901.0</v>
      </c>
      <c r="B4150" s="14" t="s">
        <v>47</v>
      </c>
      <c r="C4150" s="14" t="s">
        <v>48</v>
      </c>
      <c r="D4150" s="14" t="s">
        <v>143</v>
      </c>
      <c r="E4150" s="14" t="s">
        <v>144</v>
      </c>
      <c r="F4150" s="15" t="s">
        <v>51</v>
      </c>
      <c r="G4150" s="14" t="s">
        <v>145</v>
      </c>
      <c r="H4150" s="14" t="s">
        <v>143</v>
      </c>
      <c r="I4150" s="14" t="s">
        <v>59</v>
      </c>
      <c r="J4150" s="14" t="s">
        <v>200</v>
      </c>
      <c r="K4150" s="14" t="s">
        <v>232</v>
      </c>
      <c r="L4150" s="14" t="s">
        <v>607</v>
      </c>
      <c r="M4150" s="14" t="s">
        <v>608</v>
      </c>
      <c r="N4150" s="14" t="s">
        <v>609</v>
      </c>
      <c r="O4150" s="14">
        <v>23.0</v>
      </c>
      <c r="P4150" s="23">
        <v>0.2308</v>
      </c>
      <c r="Q4150" s="22" t="str">
        <f>"+5.69%"</f>
        <v>+5.69%</v>
      </c>
      <c r="R4150" s="18" t="str">
        <f>"+6.95%"</f>
        <v>+6.95%</v>
      </c>
      <c r="S4150" s="14" t="s">
        <v>2223</v>
      </c>
    </row>
    <row r="4151">
      <c r="A4151" s="13">
        <v>45901.0</v>
      </c>
      <c r="B4151" s="14" t="s">
        <v>47</v>
      </c>
      <c r="C4151" s="14" t="s">
        <v>48</v>
      </c>
      <c r="D4151" s="14" t="s">
        <v>136</v>
      </c>
      <c r="E4151" s="14" t="s">
        <v>137</v>
      </c>
      <c r="F4151" s="15" t="s">
        <v>51</v>
      </c>
      <c r="G4151" s="14" t="s">
        <v>138</v>
      </c>
      <c r="H4151" s="14" t="s">
        <v>139</v>
      </c>
      <c r="I4151" s="14" t="s">
        <v>59</v>
      </c>
      <c r="J4151" s="14" t="s">
        <v>198</v>
      </c>
      <c r="K4151" s="14" t="s">
        <v>205</v>
      </c>
      <c r="L4151" s="14" t="s">
        <v>274</v>
      </c>
      <c r="M4151" s="14" t="s">
        <v>387</v>
      </c>
      <c r="N4151" s="14" t="s">
        <v>388</v>
      </c>
      <c r="O4151" s="14">
        <v>0.0</v>
      </c>
      <c r="P4151" s="21">
        <v>0.0</v>
      </c>
      <c r="Q4151" s="22" t="str">
        <f t="shared" ref="Q4151:Q4153" si="2475">"+0"</f>
        <v>+0</v>
      </c>
      <c r="S4151" s="14" t="s">
        <v>281</v>
      </c>
    </row>
    <row r="4152">
      <c r="A4152" s="13">
        <v>45901.0</v>
      </c>
      <c r="B4152" s="14" t="s">
        <v>47</v>
      </c>
      <c r="C4152" s="14" t="s">
        <v>48</v>
      </c>
      <c r="D4152" s="14" t="s">
        <v>85</v>
      </c>
      <c r="E4152" s="14" t="s">
        <v>86</v>
      </c>
      <c r="F4152" s="15" t="s">
        <v>51</v>
      </c>
      <c r="G4152" s="14" t="s">
        <v>148</v>
      </c>
      <c r="H4152" s="14" t="s">
        <v>85</v>
      </c>
      <c r="I4152" s="14" t="s">
        <v>59</v>
      </c>
      <c r="J4152" s="14" t="s">
        <v>199</v>
      </c>
      <c r="K4152" s="14" t="s">
        <v>206</v>
      </c>
      <c r="L4152" s="14" t="s">
        <v>295</v>
      </c>
      <c r="M4152" s="14" t="s">
        <v>296</v>
      </c>
      <c r="N4152" s="14" t="s">
        <v>297</v>
      </c>
      <c r="O4152" s="14">
        <v>0.0</v>
      </c>
      <c r="P4152" s="21">
        <v>0.0</v>
      </c>
      <c r="Q4152" s="22" t="str">
        <f t="shared" si="2475"/>
        <v>+0</v>
      </c>
      <c r="R4152" s="18" t="str">
        <f t="shared" ref="R4152:R4153" si="2476">"+0"</f>
        <v>+0</v>
      </c>
      <c r="S4152" s="14" t="s">
        <v>260</v>
      </c>
    </row>
    <row r="4153">
      <c r="A4153" s="13">
        <v>45901.0</v>
      </c>
      <c r="B4153" s="14" t="s">
        <v>47</v>
      </c>
      <c r="C4153" s="14" t="s">
        <v>48</v>
      </c>
      <c r="D4153" s="14" t="s">
        <v>96</v>
      </c>
      <c r="E4153" s="14" t="s">
        <v>97</v>
      </c>
      <c r="F4153" s="15" t="s">
        <v>51</v>
      </c>
      <c r="G4153" s="14" t="s">
        <v>98</v>
      </c>
      <c r="H4153" s="14" t="s">
        <v>96</v>
      </c>
      <c r="I4153" s="14" t="s">
        <v>59</v>
      </c>
      <c r="J4153" s="14" t="s">
        <v>199</v>
      </c>
      <c r="K4153" s="14" t="s">
        <v>203</v>
      </c>
      <c r="L4153" s="14" t="s">
        <v>725</v>
      </c>
      <c r="M4153" s="14" t="s">
        <v>725</v>
      </c>
      <c r="N4153" s="14" t="s">
        <v>726</v>
      </c>
      <c r="O4153" s="14">
        <v>0.0</v>
      </c>
      <c r="P4153" s="21">
        <v>0.0</v>
      </c>
      <c r="Q4153" s="22" t="str">
        <f t="shared" si="2475"/>
        <v>+0</v>
      </c>
      <c r="R4153" s="18" t="str">
        <f t="shared" si="2476"/>
        <v>+0</v>
      </c>
      <c r="S4153" s="14" t="s">
        <v>260</v>
      </c>
    </row>
    <row r="4154">
      <c r="A4154" s="13">
        <v>45901.0</v>
      </c>
      <c r="B4154" s="14" t="s">
        <v>47</v>
      </c>
      <c r="C4154" s="14" t="s">
        <v>48</v>
      </c>
      <c r="D4154" s="14" t="s">
        <v>85</v>
      </c>
      <c r="E4154" s="14" t="s">
        <v>86</v>
      </c>
      <c r="F4154" s="15" t="s">
        <v>51</v>
      </c>
      <c r="G4154" s="14" t="s">
        <v>148</v>
      </c>
      <c r="H4154" s="14" t="s">
        <v>85</v>
      </c>
      <c r="I4154" s="14" t="s">
        <v>59</v>
      </c>
      <c r="J4154" s="14" t="s">
        <v>200</v>
      </c>
      <c r="K4154" s="14" t="s">
        <v>228</v>
      </c>
      <c r="L4154" s="14" t="s">
        <v>253</v>
      </c>
      <c r="M4154" s="14" t="s">
        <v>366</v>
      </c>
      <c r="N4154" s="14" t="s">
        <v>367</v>
      </c>
      <c r="O4154" s="14">
        <v>10.0</v>
      </c>
      <c r="P4154" s="23">
        <v>0.1</v>
      </c>
      <c r="Q4154" s="22" t="str">
        <f t="shared" ref="Q4154:R4154" si="2477">"+0.00%"</f>
        <v>+0.00%</v>
      </c>
      <c r="R4154" s="18" t="str">
        <f t="shared" si="2477"/>
        <v>+0.00%</v>
      </c>
      <c r="S4154" s="14" t="s">
        <v>2105</v>
      </c>
    </row>
    <row r="4155">
      <c r="A4155" s="13">
        <v>45901.0</v>
      </c>
      <c r="B4155" s="14" t="s">
        <v>47</v>
      </c>
      <c r="C4155" s="14" t="s">
        <v>48</v>
      </c>
      <c r="D4155" s="14" t="s">
        <v>96</v>
      </c>
      <c r="E4155" s="14" t="s">
        <v>97</v>
      </c>
      <c r="F4155" s="15" t="s">
        <v>51</v>
      </c>
      <c r="G4155" s="14" t="s">
        <v>98</v>
      </c>
      <c r="H4155" s="14" t="s">
        <v>96</v>
      </c>
      <c r="I4155" s="14" t="s">
        <v>59</v>
      </c>
      <c r="J4155" s="14" t="s">
        <v>200</v>
      </c>
      <c r="K4155" s="14" t="s">
        <v>227</v>
      </c>
      <c r="L4155" s="14" t="s">
        <v>270</v>
      </c>
      <c r="M4155" s="14" t="s">
        <v>417</v>
      </c>
      <c r="N4155" s="14" t="s">
        <v>418</v>
      </c>
      <c r="O4155" s="14">
        <v>0.0</v>
      </c>
      <c r="P4155" s="21">
        <v>0.0</v>
      </c>
      <c r="Q4155" s="22" t="str">
        <f>"-1"</f>
        <v>-1</v>
      </c>
      <c r="R4155" s="18" t="str">
        <f>"-3"</f>
        <v>-3</v>
      </c>
      <c r="S4155" s="14" t="s">
        <v>260</v>
      </c>
    </row>
    <row r="4156">
      <c r="A4156" s="13">
        <v>45901.0</v>
      </c>
      <c r="B4156" s="14" t="s">
        <v>47</v>
      </c>
      <c r="C4156" s="14" t="s">
        <v>48</v>
      </c>
      <c r="D4156" s="14" t="s">
        <v>96</v>
      </c>
      <c r="E4156" s="14" t="s">
        <v>97</v>
      </c>
      <c r="F4156" s="15" t="s">
        <v>51</v>
      </c>
      <c r="G4156" s="14" t="s">
        <v>98</v>
      </c>
      <c r="H4156" s="14" t="s">
        <v>96</v>
      </c>
      <c r="I4156" s="14" t="s">
        <v>59</v>
      </c>
      <c r="J4156" s="14" t="s">
        <v>200</v>
      </c>
      <c r="K4156" s="14" t="s">
        <v>223</v>
      </c>
      <c r="L4156" s="14" t="s">
        <v>304</v>
      </c>
      <c r="M4156" s="14" t="s">
        <v>688</v>
      </c>
      <c r="N4156" s="14" t="s">
        <v>689</v>
      </c>
      <c r="O4156" s="14">
        <v>0.0</v>
      </c>
      <c r="P4156" s="23">
        <v>0.0</v>
      </c>
      <c r="Q4156" s="22" t="str">
        <f>"+0.00%"</f>
        <v>+0.00%</v>
      </c>
      <c r="R4156" s="18" t="str">
        <f>"-12.50%"</f>
        <v>-12.50%</v>
      </c>
      <c r="S4156" s="14" t="s">
        <v>2224</v>
      </c>
    </row>
    <row r="4157">
      <c r="A4157" s="13">
        <v>45901.0</v>
      </c>
      <c r="B4157" s="14" t="s">
        <v>47</v>
      </c>
      <c r="C4157" s="14" t="s">
        <v>48</v>
      </c>
      <c r="D4157" s="14" t="s">
        <v>77</v>
      </c>
      <c r="E4157" s="14" t="s">
        <v>78</v>
      </c>
      <c r="F4157" s="15" t="s">
        <v>51</v>
      </c>
      <c r="G4157" s="14" t="s">
        <v>128</v>
      </c>
      <c r="H4157" s="14" t="s">
        <v>81</v>
      </c>
      <c r="I4157" s="14" t="s">
        <v>59</v>
      </c>
      <c r="J4157" s="14" t="s">
        <v>200</v>
      </c>
      <c r="K4157" s="14" t="s">
        <v>227</v>
      </c>
      <c r="L4157" s="14" t="s">
        <v>253</v>
      </c>
      <c r="M4157" s="14" t="s">
        <v>849</v>
      </c>
      <c r="N4157" s="14" t="s">
        <v>850</v>
      </c>
      <c r="O4157" s="14">
        <v>0.0</v>
      </c>
      <c r="P4157" s="17"/>
      <c r="Q4157" s="22"/>
      <c r="S4157" s="14" t="s">
        <v>2111</v>
      </c>
    </row>
    <row r="4158">
      <c r="A4158" s="13">
        <v>45901.0</v>
      </c>
      <c r="B4158" s="14" t="s">
        <v>47</v>
      </c>
      <c r="C4158" s="14" t="s">
        <v>48</v>
      </c>
      <c r="D4158" s="14" t="s">
        <v>116</v>
      </c>
      <c r="E4158" s="14" t="s">
        <v>117</v>
      </c>
      <c r="F4158" s="15" t="s">
        <v>51</v>
      </c>
      <c r="G4158" s="14" t="s">
        <v>161</v>
      </c>
      <c r="H4158" s="14" t="s">
        <v>116</v>
      </c>
      <c r="I4158" s="14" t="s">
        <v>54</v>
      </c>
      <c r="J4158" s="14" t="s">
        <v>198</v>
      </c>
      <c r="K4158" s="14" t="s">
        <v>210</v>
      </c>
      <c r="L4158" s="14" t="s">
        <v>458</v>
      </c>
      <c r="M4158" s="14" t="s">
        <v>742</v>
      </c>
      <c r="N4158" s="14" t="s">
        <v>743</v>
      </c>
      <c r="O4158" s="14">
        <v>0.0</v>
      </c>
      <c r="P4158" s="21">
        <v>0.0</v>
      </c>
      <c r="Q4158" s="22" t="str">
        <f t="shared" ref="Q4158:R4158" si="2478">"+0"</f>
        <v>+0</v>
      </c>
      <c r="R4158" s="18" t="str">
        <f t="shared" si="2478"/>
        <v>+0</v>
      </c>
      <c r="S4158" s="14" t="s">
        <v>277</v>
      </c>
    </row>
    <row r="4159">
      <c r="A4159" s="13">
        <v>45901.0</v>
      </c>
      <c r="B4159" s="14" t="s">
        <v>47</v>
      </c>
      <c r="C4159" s="14" t="s">
        <v>48</v>
      </c>
      <c r="D4159" s="14" t="s">
        <v>116</v>
      </c>
      <c r="E4159" s="14" t="s">
        <v>117</v>
      </c>
      <c r="F4159" s="15" t="s">
        <v>51</v>
      </c>
      <c r="G4159" s="14" t="s">
        <v>161</v>
      </c>
      <c r="H4159" s="14" t="s">
        <v>116</v>
      </c>
      <c r="I4159" s="14" t="s">
        <v>54</v>
      </c>
      <c r="J4159" s="14" t="s">
        <v>200</v>
      </c>
      <c r="K4159" s="14" t="s">
        <v>224</v>
      </c>
      <c r="L4159" s="14" t="s">
        <v>436</v>
      </c>
      <c r="M4159" s="14" t="s">
        <v>1353</v>
      </c>
      <c r="N4159" s="14" t="s">
        <v>1354</v>
      </c>
      <c r="O4159" s="14">
        <v>50.0</v>
      </c>
      <c r="P4159" s="23">
        <v>0.5</v>
      </c>
      <c r="Q4159" s="22"/>
      <c r="S4159" s="14" t="s">
        <v>2225</v>
      </c>
    </row>
    <row r="4160">
      <c r="A4160" s="13">
        <v>45901.0</v>
      </c>
      <c r="B4160" s="14" t="s">
        <v>47</v>
      </c>
      <c r="C4160" s="14" t="s">
        <v>48</v>
      </c>
      <c r="D4160" s="14" t="s">
        <v>108</v>
      </c>
      <c r="E4160" s="14" t="s">
        <v>109</v>
      </c>
      <c r="F4160" s="15" t="s">
        <v>51</v>
      </c>
      <c r="G4160" s="14" t="s">
        <v>110</v>
      </c>
      <c r="H4160" s="14" t="s">
        <v>108</v>
      </c>
      <c r="I4160" s="14" t="s">
        <v>59</v>
      </c>
      <c r="J4160" s="14" t="s">
        <v>200</v>
      </c>
      <c r="K4160" s="14" t="s">
        <v>213</v>
      </c>
      <c r="L4160" s="14" t="s">
        <v>571</v>
      </c>
      <c r="M4160" s="14" t="s">
        <v>578</v>
      </c>
      <c r="N4160" s="14" t="s">
        <v>579</v>
      </c>
      <c r="O4160" s="14">
        <v>0.0</v>
      </c>
      <c r="P4160" s="23">
        <v>0.0</v>
      </c>
      <c r="Q4160" s="22" t="str">
        <f>"+0.00%"</f>
        <v>+0.00%</v>
      </c>
      <c r="S4160" s="14" t="s">
        <v>285</v>
      </c>
    </row>
    <row r="4161">
      <c r="A4161" s="13">
        <v>45901.0</v>
      </c>
      <c r="B4161" s="14" t="s">
        <v>47</v>
      </c>
      <c r="C4161" s="14" t="s">
        <v>48</v>
      </c>
      <c r="D4161" s="14" t="s">
        <v>174</v>
      </c>
      <c r="E4161" s="14" t="s">
        <v>175</v>
      </c>
      <c r="F4161" s="15" t="s">
        <v>51</v>
      </c>
      <c r="G4161" s="14" t="s">
        <v>176</v>
      </c>
      <c r="H4161" s="14" t="s">
        <v>174</v>
      </c>
      <c r="I4161" s="14" t="s">
        <v>59</v>
      </c>
      <c r="J4161" s="14" t="s">
        <v>198</v>
      </c>
      <c r="K4161" s="14" t="s">
        <v>205</v>
      </c>
      <c r="L4161" s="14" t="s">
        <v>274</v>
      </c>
      <c r="M4161" s="14" t="s">
        <v>738</v>
      </c>
      <c r="N4161" s="14" t="s">
        <v>739</v>
      </c>
      <c r="O4161" s="14">
        <v>0.0</v>
      </c>
      <c r="P4161" s="21">
        <v>0.0</v>
      </c>
      <c r="Q4161" s="22" t="str">
        <f>"+0"</f>
        <v>+0</v>
      </c>
      <c r="S4161" s="14" t="s">
        <v>281</v>
      </c>
    </row>
    <row r="4162">
      <c r="A4162" s="13">
        <v>45901.0</v>
      </c>
      <c r="B4162" s="14" t="s">
        <v>47</v>
      </c>
      <c r="C4162" s="14" t="s">
        <v>48</v>
      </c>
      <c r="D4162" s="14" t="s">
        <v>77</v>
      </c>
      <c r="E4162" s="14" t="s">
        <v>78</v>
      </c>
      <c r="F4162" s="15" t="s">
        <v>51</v>
      </c>
      <c r="G4162" s="14" t="s">
        <v>128</v>
      </c>
      <c r="H4162" s="14" t="s">
        <v>81</v>
      </c>
      <c r="I4162" s="14" t="s">
        <v>59</v>
      </c>
      <c r="J4162" s="14" t="s">
        <v>200</v>
      </c>
      <c r="K4162" s="14" t="s">
        <v>223</v>
      </c>
      <c r="L4162" s="14" t="s">
        <v>289</v>
      </c>
      <c r="M4162" s="14" t="s">
        <v>384</v>
      </c>
      <c r="N4162" s="14" t="s">
        <v>385</v>
      </c>
      <c r="O4162" s="14">
        <v>0.0</v>
      </c>
      <c r="P4162" s="23">
        <v>0.0</v>
      </c>
      <c r="Q4162" s="22" t="str">
        <f t="shared" ref="Q4162:Q4163" si="2479">"+0.00%"</f>
        <v>+0.00%</v>
      </c>
      <c r="R4162" s="18" t="str">
        <f>"-25.00%"</f>
        <v>-25.00%</v>
      </c>
      <c r="S4162" s="14" t="s">
        <v>1229</v>
      </c>
    </row>
    <row r="4163">
      <c r="A4163" s="13">
        <v>45901.0</v>
      </c>
      <c r="B4163" s="14" t="s">
        <v>47</v>
      </c>
      <c r="C4163" s="14" t="s">
        <v>48</v>
      </c>
      <c r="D4163" s="14" t="s">
        <v>77</v>
      </c>
      <c r="E4163" s="14" t="s">
        <v>78</v>
      </c>
      <c r="F4163" s="15" t="s">
        <v>51</v>
      </c>
      <c r="G4163" s="14" t="s">
        <v>128</v>
      </c>
      <c r="H4163" s="14" t="s">
        <v>81</v>
      </c>
      <c r="I4163" s="14" t="s">
        <v>59</v>
      </c>
      <c r="J4163" s="14" t="s">
        <v>200</v>
      </c>
      <c r="K4163" s="14" t="s">
        <v>227</v>
      </c>
      <c r="L4163" s="14" t="s">
        <v>270</v>
      </c>
      <c r="M4163" s="14" t="s">
        <v>271</v>
      </c>
      <c r="N4163" s="14" t="s">
        <v>272</v>
      </c>
      <c r="O4163" s="14">
        <v>0.0</v>
      </c>
      <c r="P4163" s="23">
        <v>-1.0</v>
      </c>
      <c r="Q4163" s="22" t="str">
        <f t="shared" si="2479"/>
        <v>+0.00%</v>
      </c>
      <c r="R4163" s="18" t="str">
        <f>"+0.00%"</f>
        <v>+0.00%</v>
      </c>
      <c r="S4163" s="14" t="s">
        <v>273</v>
      </c>
    </row>
    <row r="4164">
      <c r="A4164" s="13">
        <v>45901.0</v>
      </c>
      <c r="B4164" s="14" t="s">
        <v>47</v>
      </c>
      <c r="C4164" s="14" t="s">
        <v>48</v>
      </c>
      <c r="D4164" s="14" t="s">
        <v>155</v>
      </c>
      <c r="E4164" s="14" t="s">
        <v>156</v>
      </c>
      <c r="F4164" s="15" t="s">
        <v>51</v>
      </c>
      <c r="G4164" s="14" t="s">
        <v>157</v>
      </c>
      <c r="H4164" s="14" t="s">
        <v>155</v>
      </c>
      <c r="I4164" s="14" t="s">
        <v>59</v>
      </c>
      <c r="J4164" s="14" t="s">
        <v>200</v>
      </c>
      <c r="K4164" s="14" t="s">
        <v>223</v>
      </c>
      <c r="L4164" s="14" t="s">
        <v>289</v>
      </c>
      <c r="M4164" s="14" t="s">
        <v>984</v>
      </c>
      <c r="N4164" s="14" t="s">
        <v>985</v>
      </c>
      <c r="O4164" s="14">
        <v>0.0</v>
      </c>
      <c r="P4164" s="17"/>
      <c r="Q4164" s="22"/>
      <c r="S4164" s="14" t="s">
        <v>285</v>
      </c>
    </row>
    <row r="4165">
      <c r="A4165" s="13">
        <v>45901.0</v>
      </c>
      <c r="B4165" s="14" t="s">
        <v>47</v>
      </c>
      <c r="C4165" s="14" t="s">
        <v>48</v>
      </c>
      <c r="D4165" s="14" t="s">
        <v>121</v>
      </c>
      <c r="E4165" s="14" t="s">
        <v>122</v>
      </c>
      <c r="F4165" s="15" t="s">
        <v>51</v>
      </c>
      <c r="G4165" s="14" t="s">
        <v>123</v>
      </c>
      <c r="H4165" s="14" t="s">
        <v>124</v>
      </c>
      <c r="I4165" s="14" t="s">
        <v>59</v>
      </c>
      <c r="J4165" s="14" t="s">
        <v>200</v>
      </c>
      <c r="K4165" s="14" t="s">
        <v>227</v>
      </c>
      <c r="L4165" s="14" t="s">
        <v>253</v>
      </c>
      <c r="M4165" s="14" t="s">
        <v>396</v>
      </c>
      <c r="N4165" s="14" t="s">
        <v>397</v>
      </c>
      <c r="O4165" s="14">
        <v>100.0</v>
      </c>
      <c r="P4165" s="23">
        <v>1.0</v>
      </c>
      <c r="Q4165" s="22" t="str">
        <f t="shared" ref="Q4165:R4165" si="2480">"+0.00%"</f>
        <v>+0.00%</v>
      </c>
      <c r="R4165" s="18" t="str">
        <f t="shared" si="2480"/>
        <v>+0.00%</v>
      </c>
      <c r="S4165" s="14" t="s">
        <v>916</v>
      </c>
    </row>
    <row r="4166">
      <c r="A4166" s="13">
        <v>45901.0</v>
      </c>
      <c r="B4166" s="14" t="s">
        <v>47</v>
      </c>
      <c r="C4166" s="14" t="s">
        <v>48</v>
      </c>
      <c r="D4166" s="14" t="s">
        <v>60</v>
      </c>
      <c r="E4166" s="14" t="s">
        <v>61</v>
      </c>
      <c r="F4166" s="15" t="s">
        <v>51</v>
      </c>
      <c r="G4166" s="14" t="s">
        <v>62</v>
      </c>
      <c r="H4166" s="14" t="s">
        <v>60</v>
      </c>
      <c r="I4166" s="14" t="s">
        <v>59</v>
      </c>
      <c r="J4166" s="14" t="s">
        <v>200</v>
      </c>
      <c r="K4166" s="14" t="s">
        <v>223</v>
      </c>
      <c r="L4166" s="14" t="s">
        <v>487</v>
      </c>
      <c r="M4166" s="14" t="s">
        <v>488</v>
      </c>
      <c r="N4166" s="14" t="s">
        <v>489</v>
      </c>
      <c r="O4166" s="14">
        <v>0.0</v>
      </c>
      <c r="P4166" s="21">
        <v>0.0</v>
      </c>
      <c r="Q4166" s="22" t="str">
        <f t="shared" ref="Q4166:R4166" si="2481">"+0"</f>
        <v>+0</v>
      </c>
      <c r="R4166" s="18" t="str">
        <f t="shared" si="2481"/>
        <v>+0</v>
      </c>
      <c r="S4166" s="14" t="s">
        <v>260</v>
      </c>
    </row>
    <row r="4167">
      <c r="A4167" s="13">
        <v>45901.0</v>
      </c>
      <c r="B4167" s="14" t="s">
        <v>47</v>
      </c>
      <c r="C4167" s="14" t="s">
        <v>48</v>
      </c>
      <c r="D4167" s="14" t="s">
        <v>140</v>
      </c>
      <c r="E4167" s="14" t="s">
        <v>141</v>
      </c>
      <c r="F4167" s="15" t="s">
        <v>51</v>
      </c>
      <c r="G4167" s="14" t="s">
        <v>142</v>
      </c>
      <c r="H4167" s="14" t="s">
        <v>140</v>
      </c>
      <c r="I4167" s="14" t="s">
        <v>59</v>
      </c>
      <c r="J4167" s="14" t="s">
        <v>198</v>
      </c>
      <c r="K4167" s="14" t="s">
        <v>205</v>
      </c>
      <c r="L4167" s="14" t="s">
        <v>274</v>
      </c>
      <c r="M4167" s="14" t="s">
        <v>575</v>
      </c>
      <c r="N4167" s="14" t="s">
        <v>576</v>
      </c>
      <c r="O4167" s="14">
        <v>100.0</v>
      </c>
      <c r="P4167" s="21">
        <v>90.0</v>
      </c>
      <c r="Q4167" s="22" t="str">
        <f>"+0"</f>
        <v>+0</v>
      </c>
      <c r="S4167" s="14" t="s">
        <v>577</v>
      </c>
    </row>
    <row r="4168">
      <c r="A4168" s="13">
        <v>45901.0</v>
      </c>
      <c r="B4168" s="14" t="s">
        <v>47</v>
      </c>
      <c r="C4168" s="14" t="s">
        <v>48</v>
      </c>
      <c r="D4168" s="14" t="s">
        <v>60</v>
      </c>
      <c r="E4168" s="14" t="s">
        <v>61</v>
      </c>
      <c r="F4168" s="15" t="s">
        <v>51</v>
      </c>
      <c r="G4168" s="14" t="s">
        <v>62</v>
      </c>
      <c r="H4168" s="14" t="s">
        <v>60</v>
      </c>
      <c r="I4168" s="14" t="s">
        <v>59</v>
      </c>
      <c r="J4168" s="14" t="s">
        <v>200</v>
      </c>
      <c r="K4168" s="14" t="s">
        <v>223</v>
      </c>
      <c r="L4168" s="14" t="s">
        <v>286</v>
      </c>
      <c r="M4168" s="14" t="s">
        <v>625</v>
      </c>
      <c r="N4168" s="14" t="s">
        <v>626</v>
      </c>
      <c r="O4168" s="14">
        <v>41.0</v>
      </c>
      <c r="P4168" s="23">
        <v>0.4118</v>
      </c>
      <c r="Q4168" s="22" t="str">
        <f>"+6.04%"</f>
        <v>+6.04%</v>
      </c>
      <c r="R4168" s="18" t="str">
        <f>"-5.12%"</f>
        <v>-5.12%</v>
      </c>
      <c r="S4168" s="14" t="s">
        <v>2226</v>
      </c>
    </row>
    <row r="4169">
      <c r="A4169" s="13">
        <v>45901.0</v>
      </c>
      <c r="B4169" s="14" t="s">
        <v>47</v>
      </c>
      <c r="C4169" s="14" t="s">
        <v>48</v>
      </c>
      <c r="D4169" s="14" t="s">
        <v>60</v>
      </c>
      <c r="E4169" s="14" t="s">
        <v>61</v>
      </c>
      <c r="F4169" s="15" t="s">
        <v>51</v>
      </c>
      <c r="G4169" s="14" t="s">
        <v>62</v>
      </c>
      <c r="H4169" s="14" t="s">
        <v>60</v>
      </c>
      <c r="I4169" s="14" t="s">
        <v>59</v>
      </c>
      <c r="J4169" s="14" t="s">
        <v>198</v>
      </c>
      <c r="K4169" s="14" t="s">
        <v>205</v>
      </c>
      <c r="L4169" s="14" t="s">
        <v>274</v>
      </c>
      <c r="M4169" s="14" t="s">
        <v>448</v>
      </c>
      <c r="N4169" s="14" t="s">
        <v>449</v>
      </c>
      <c r="O4169" s="14">
        <v>100.0</v>
      </c>
      <c r="P4169" s="21">
        <v>5.0</v>
      </c>
      <c r="Q4169" s="22" t="str">
        <f t="shared" ref="Q4169:Q4170" si="2482">"+0"</f>
        <v>+0</v>
      </c>
      <c r="S4169" s="14" t="s">
        <v>450</v>
      </c>
    </row>
    <row r="4170">
      <c r="A4170" s="13">
        <v>45901.0</v>
      </c>
      <c r="B4170" s="14" t="s">
        <v>47</v>
      </c>
      <c r="C4170" s="14" t="s">
        <v>48</v>
      </c>
      <c r="D4170" s="14" t="s">
        <v>63</v>
      </c>
      <c r="E4170" s="14" t="s">
        <v>64</v>
      </c>
      <c r="F4170" s="14" t="s">
        <v>111</v>
      </c>
      <c r="G4170" s="14">
        <v>4916210.0</v>
      </c>
      <c r="H4170" s="14" t="s">
        <v>63</v>
      </c>
      <c r="I4170" s="14" t="s">
        <v>59</v>
      </c>
      <c r="J4170" s="14" t="s">
        <v>199</v>
      </c>
      <c r="K4170" s="14" t="s">
        <v>206</v>
      </c>
      <c r="L4170" s="14" t="s">
        <v>295</v>
      </c>
      <c r="M4170" s="14" t="s">
        <v>651</v>
      </c>
      <c r="N4170" s="14" t="s">
        <v>652</v>
      </c>
      <c r="O4170" s="14">
        <v>0.0</v>
      </c>
      <c r="P4170" s="21">
        <v>0.0</v>
      </c>
      <c r="Q4170" s="22" t="str">
        <f t="shared" si="2482"/>
        <v>+0</v>
      </c>
      <c r="R4170" s="18" t="str">
        <f>"+0"</f>
        <v>+0</v>
      </c>
      <c r="S4170" s="14" t="s">
        <v>260</v>
      </c>
    </row>
    <row r="4171">
      <c r="A4171" s="13">
        <v>45901.0</v>
      </c>
      <c r="B4171" s="14" t="s">
        <v>47</v>
      </c>
      <c r="C4171" s="14" t="s">
        <v>48</v>
      </c>
      <c r="D4171" s="14" t="s">
        <v>118</v>
      </c>
      <c r="E4171" s="14" t="s">
        <v>119</v>
      </c>
      <c r="F4171" s="15" t="s">
        <v>51</v>
      </c>
      <c r="G4171" s="14" t="s">
        <v>120</v>
      </c>
      <c r="H4171" s="14" t="s">
        <v>118</v>
      </c>
      <c r="I4171" s="14" t="s">
        <v>59</v>
      </c>
      <c r="J4171" s="14" t="s">
        <v>200</v>
      </c>
      <c r="K4171" s="14" t="s">
        <v>227</v>
      </c>
      <c r="L4171" s="14" t="s">
        <v>270</v>
      </c>
      <c r="M4171" s="14" t="s">
        <v>271</v>
      </c>
      <c r="N4171" s="14" t="s">
        <v>272</v>
      </c>
      <c r="O4171" s="14">
        <v>0.0</v>
      </c>
      <c r="P4171" s="23">
        <v>-1.0</v>
      </c>
      <c r="Q4171" s="22" t="str">
        <f t="shared" ref="Q4171:R4171" si="2483">"+0.00%"</f>
        <v>+0.00%</v>
      </c>
      <c r="R4171" s="18" t="str">
        <f t="shared" si="2483"/>
        <v>+0.00%</v>
      </c>
      <c r="S4171" s="14" t="s">
        <v>273</v>
      </c>
    </row>
    <row r="4172">
      <c r="A4172" s="13">
        <v>45901.0</v>
      </c>
      <c r="B4172" s="14" t="s">
        <v>47</v>
      </c>
      <c r="C4172" s="14" t="s">
        <v>48</v>
      </c>
      <c r="D4172" s="14" t="s">
        <v>118</v>
      </c>
      <c r="E4172" s="14" t="s">
        <v>119</v>
      </c>
      <c r="F4172" s="15" t="s">
        <v>51</v>
      </c>
      <c r="G4172" s="14" t="s">
        <v>120</v>
      </c>
      <c r="H4172" s="14" t="s">
        <v>118</v>
      </c>
      <c r="I4172" s="14" t="s">
        <v>59</v>
      </c>
      <c r="J4172" s="14" t="s">
        <v>199</v>
      </c>
      <c r="K4172" s="14" t="s">
        <v>206</v>
      </c>
      <c r="L4172" s="14" t="s">
        <v>295</v>
      </c>
      <c r="M4172" s="14" t="s">
        <v>651</v>
      </c>
      <c r="N4172" s="14" t="s">
        <v>652</v>
      </c>
      <c r="O4172" s="14">
        <v>0.0</v>
      </c>
      <c r="P4172" s="21">
        <v>0.0</v>
      </c>
      <c r="Q4172" s="22" t="str">
        <f t="shared" ref="Q4172:R4172" si="2484">"+0"</f>
        <v>+0</v>
      </c>
      <c r="R4172" s="18" t="str">
        <f t="shared" si="2484"/>
        <v>+0</v>
      </c>
      <c r="S4172" s="14" t="s">
        <v>260</v>
      </c>
    </row>
    <row r="4173">
      <c r="A4173" s="13">
        <v>45901.0</v>
      </c>
      <c r="B4173" s="14" t="s">
        <v>47</v>
      </c>
      <c r="C4173" s="14" t="s">
        <v>48</v>
      </c>
      <c r="D4173" s="14" t="s">
        <v>91</v>
      </c>
      <c r="E4173" s="14" t="s">
        <v>92</v>
      </c>
      <c r="F4173" s="15" t="s">
        <v>51</v>
      </c>
      <c r="G4173" s="14" t="s">
        <v>163</v>
      </c>
      <c r="H4173" s="14" t="s">
        <v>91</v>
      </c>
      <c r="I4173" s="14" t="s">
        <v>59</v>
      </c>
      <c r="J4173" s="14" t="s">
        <v>200</v>
      </c>
      <c r="K4173" s="14" t="s">
        <v>223</v>
      </c>
      <c r="L4173" s="14" t="s">
        <v>571</v>
      </c>
      <c r="M4173" s="14" t="s">
        <v>572</v>
      </c>
      <c r="N4173" s="14" t="s">
        <v>573</v>
      </c>
      <c r="O4173" s="14">
        <v>0.0</v>
      </c>
      <c r="P4173" s="23">
        <v>0.0</v>
      </c>
      <c r="Q4173" s="22" t="str">
        <f t="shared" ref="Q4173:R4173" si="2485">"+0.00%"</f>
        <v>+0.00%</v>
      </c>
      <c r="R4173" s="18" t="str">
        <f t="shared" si="2485"/>
        <v>+0.00%</v>
      </c>
      <c r="S4173" s="14" t="s">
        <v>285</v>
      </c>
    </row>
    <row r="4174">
      <c r="A4174" s="13">
        <v>45901.0</v>
      </c>
      <c r="B4174" s="14" t="s">
        <v>47</v>
      </c>
      <c r="C4174" s="14" t="s">
        <v>48</v>
      </c>
      <c r="D4174" s="14" t="s">
        <v>91</v>
      </c>
      <c r="E4174" s="14" t="s">
        <v>92</v>
      </c>
      <c r="F4174" s="15" t="s">
        <v>51</v>
      </c>
      <c r="G4174" s="14" t="s">
        <v>163</v>
      </c>
      <c r="H4174" s="14" t="s">
        <v>91</v>
      </c>
      <c r="I4174" s="14" t="s">
        <v>59</v>
      </c>
      <c r="J4174" s="14" t="s">
        <v>200</v>
      </c>
      <c r="K4174" s="14" t="s">
        <v>223</v>
      </c>
      <c r="L4174" s="14" t="s">
        <v>571</v>
      </c>
      <c r="M4174" s="14" t="s">
        <v>578</v>
      </c>
      <c r="N4174" s="14" t="s">
        <v>579</v>
      </c>
      <c r="O4174" s="14">
        <v>0.0</v>
      </c>
      <c r="P4174" s="23">
        <v>0.0</v>
      </c>
      <c r="Q4174" s="22" t="str">
        <f t="shared" ref="Q4174:R4174" si="2486">"+0.00%"</f>
        <v>+0.00%</v>
      </c>
      <c r="R4174" s="18" t="str">
        <f t="shared" si="2486"/>
        <v>+0.00%</v>
      </c>
      <c r="S4174" s="14" t="s">
        <v>285</v>
      </c>
    </row>
    <row r="4175">
      <c r="A4175" s="13">
        <v>45901.0</v>
      </c>
      <c r="B4175" s="14" t="s">
        <v>47</v>
      </c>
      <c r="C4175" s="14" t="s">
        <v>48</v>
      </c>
      <c r="D4175" s="14" t="s">
        <v>192</v>
      </c>
      <c r="E4175" s="14" t="s">
        <v>193</v>
      </c>
      <c r="F4175" s="15" t="s">
        <v>51</v>
      </c>
      <c r="G4175" s="14" t="s">
        <v>194</v>
      </c>
      <c r="H4175" s="14" t="s">
        <v>192</v>
      </c>
      <c r="I4175" s="14" t="s">
        <v>54</v>
      </c>
      <c r="J4175" s="14" t="s">
        <v>198</v>
      </c>
      <c r="K4175" s="14" t="s">
        <v>210</v>
      </c>
      <c r="L4175" s="14" t="s">
        <v>505</v>
      </c>
      <c r="M4175" s="14" t="s">
        <v>831</v>
      </c>
      <c r="N4175" s="14" t="s">
        <v>832</v>
      </c>
      <c r="O4175" s="14">
        <v>100.0</v>
      </c>
      <c r="P4175" s="21">
        <v>1.0</v>
      </c>
      <c r="Q4175" s="22" t="str">
        <f>"+0"</f>
        <v>+0</v>
      </c>
      <c r="R4175" s="18" t="str">
        <f>"+1"</f>
        <v>+1</v>
      </c>
      <c r="S4175" s="14" t="s">
        <v>277</v>
      </c>
    </row>
    <row r="4176">
      <c r="A4176" s="13">
        <v>45901.0</v>
      </c>
      <c r="B4176" s="14" t="s">
        <v>47</v>
      </c>
      <c r="C4176" s="14" t="s">
        <v>48</v>
      </c>
      <c r="D4176" s="14" t="s">
        <v>103</v>
      </c>
      <c r="E4176" s="14" t="s">
        <v>104</v>
      </c>
      <c r="F4176" s="15" t="s">
        <v>51</v>
      </c>
      <c r="G4176" s="14" t="s">
        <v>105</v>
      </c>
      <c r="H4176" s="14" t="s">
        <v>106</v>
      </c>
      <c r="I4176" s="14" t="s">
        <v>59</v>
      </c>
      <c r="J4176" s="14" t="s">
        <v>200</v>
      </c>
      <c r="K4176" s="14" t="s">
        <v>232</v>
      </c>
      <c r="L4176" s="14" t="s">
        <v>286</v>
      </c>
      <c r="M4176" s="14" t="s">
        <v>588</v>
      </c>
      <c r="N4176" s="14" t="s">
        <v>589</v>
      </c>
      <c r="O4176" s="14">
        <v>100.0</v>
      </c>
      <c r="P4176" s="23">
        <v>0.6364</v>
      </c>
      <c r="Q4176" s="22" t="str">
        <f>"-7.79%"</f>
        <v>-7.79%</v>
      </c>
      <c r="R4176" s="18" t="str">
        <f>"+1.14%"</f>
        <v>+1.14%</v>
      </c>
      <c r="S4176" s="14" t="s">
        <v>285</v>
      </c>
    </row>
    <row r="4177">
      <c r="A4177" s="13">
        <v>45901.0</v>
      </c>
      <c r="B4177" s="14" t="s">
        <v>47</v>
      </c>
      <c r="C4177" s="14" t="s">
        <v>48</v>
      </c>
      <c r="D4177" s="14" t="s">
        <v>73</v>
      </c>
      <c r="E4177" s="14" t="s">
        <v>74</v>
      </c>
      <c r="F4177" s="15" t="s">
        <v>51</v>
      </c>
      <c r="G4177" s="14" t="s">
        <v>75</v>
      </c>
      <c r="H4177" s="14" t="s">
        <v>76</v>
      </c>
      <c r="I4177" s="14" t="s">
        <v>59</v>
      </c>
      <c r="J4177" s="14" t="s">
        <v>200</v>
      </c>
      <c r="K4177" s="14" t="s">
        <v>232</v>
      </c>
      <c r="L4177" s="14" t="s">
        <v>607</v>
      </c>
      <c r="M4177" s="14" t="s">
        <v>765</v>
      </c>
      <c r="N4177" s="14" t="s">
        <v>766</v>
      </c>
      <c r="O4177" s="14">
        <v>0.0</v>
      </c>
      <c r="P4177" s="21">
        <v>0.0</v>
      </c>
      <c r="Q4177" s="22" t="str">
        <f t="shared" ref="Q4177:R4177" si="2487">"+0"</f>
        <v>+0</v>
      </c>
      <c r="R4177" s="18" t="str">
        <f t="shared" si="2487"/>
        <v>+0</v>
      </c>
      <c r="S4177" s="14" t="s">
        <v>260</v>
      </c>
    </row>
    <row r="4178">
      <c r="A4178" s="13">
        <v>45901.0</v>
      </c>
      <c r="B4178" s="14" t="s">
        <v>47</v>
      </c>
      <c r="C4178" s="14" t="s">
        <v>48</v>
      </c>
      <c r="D4178" s="14" t="s">
        <v>132</v>
      </c>
      <c r="E4178" s="14" t="s">
        <v>133</v>
      </c>
      <c r="F4178" s="15" t="s">
        <v>51</v>
      </c>
      <c r="G4178" s="14" t="s">
        <v>134</v>
      </c>
      <c r="H4178" s="14" t="s">
        <v>135</v>
      </c>
      <c r="I4178" s="14" t="s">
        <v>59</v>
      </c>
      <c r="J4178" s="14" t="s">
        <v>198</v>
      </c>
      <c r="K4178" s="14" t="s">
        <v>205</v>
      </c>
      <c r="L4178" s="14" t="s">
        <v>274</v>
      </c>
      <c r="M4178" s="14" t="s">
        <v>738</v>
      </c>
      <c r="N4178" s="14" t="s">
        <v>739</v>
      </c>
      <c r="O4178" s="14">
        <v>0.0</v>
      </c>
      <c r="P4178" s="21">
        <v>0.0</v>
      </c>
      <c r="Q4178" s="22" t="str">
        <f>"+0"</f>
        <v>+0</v>
      </c>
      <c r="S4178" s="14" t="s">
        <v>281</v>
      </c>
    </row>
    <row r="4179">
      <c r="A4179" s="13">
        <v>45901.0</v>
      </c>
      <c r="B4179" s="14" t="s">
        <v>47</v>
      </c>
      <c r="C4179" s="14" t="s">
        <v>48</v>
      </c>
      <c r="D4179" s="14" t="s">
        <v>129</v>
      </c>
      <c r="E4179" s="14" t="s">
        <v>130</v>
      </c>
      <c r="F4179" s="15" t="s">
        <v>51</v>
      </c>
      <c r="G4179" s="14" t="s">
        <v>131</v>
      </c>
      <c r="H4179" s="14" t="s">
        <v>129</v>
      </c>
      <c r="I4179" s="14" t="s">
        <v>59</v>
      </c>
      <c r="J4179" s="14" t="s">
        <v>198</v>
      </c>
      <c r="K4179" s="14" t="s">
        <v>212</v>
      </c>
      <c r="L4179" s="14" t="s">
        <v>344</v>
      </c>
      <c r="M4179" s="14" t="s">
        <v>580</v>
      </c>
      <c r="N4179" s="14" t="s">
        <v>581</v>
      </c>
      <c r="O4179" s="14">
        <v>100.0</v>
      </c>
      <c r="P4179" s="21">
        <v>1.0</v>
      </c>
      <c r="Q4179" s="22" t="str">
        <f>"+1"</f>
        <v>+1</v>
      </c>
      <c r="S4179" s="14" t="s">
        <v>281</v>
      </c>
    </row>
    <row r="4180">
      <c r="A4180" s="13">
        <v>45901.0</v>
      </c>
      <c r="B4180" s="14" t="s">
        <v>47</v>
      </c>
      <c r="C4180" s="14" t="s">
        <v>48</v>
      </c>
      <c r="D4180" s="14" t="s">
        <v>69</v>
      </c>
      <c r="E4180" s="14" t="s">
        <v>70</v>
      </c>
      <c r="F4180" s="15" t="s">
        <v>51</v>
      </c>
      <c r="G4180" s="14" t="s">
        <v>115</v>
      </c>
      <c r="H4180" s="14" t="s">
        <v>72</v>
      </c>
      <c r="I4180" s="14" t="s">
        <v>54</v>
      </c>
      <c r="J4180" s="14" t="s">
        <v>198</v>
      </c>
      <c r="K4180" s="14" t="s">
        <v>207</v>
      </c>
      <c r="L4180" s="14" t="s">
        <v>318</v>
      </c>
      <c r="M4180" s="14" t="s">
        <v>319</v>
      </c>
      <c r="N4180" s="14" t="s">
        <v>320</v>
      </c>
      <c r="O4180" s="14">
        <v>100.0</v>
      </c>
      <c r="P4180" s="21">
        <v>1.0</v>
      </c>
      <c r="Q4180" s="22" t="str">
        <f t="shared" ref="Q4180:Q4181" si="2488">"+0"</f>
        <v>+0</v>
      </c>
      <c r="S4180" s="14" t="s">
        <v>281</v>
      </c>
    </row>
    <row r="4181">
      <c r="A4181" s="13">
        <v>45901.0</v>
      </c>
      <c r="B4181" s="14" t="s">
        <v>47</v>
      </c>
      <c r="C4181" s="14" t="s">
        <v>48</v>
      </c>
      <c r="D4181" s="14" t="s">
        <v>69</v>
      </c>
      <c r="E4181" s="14" t="s">
        <v>70</v>
      </c>
      <c r="F4181" s="15" t="s">
        <v>51</v>
      </c>
      <c r="G4181" s="14" t="s">
        <v>115</v>
      </c>
      <c r="H4181" s="14" t="s">
        <v>72</v>
      </c>
      <c r="I4181" s="14" t="s">
        <v>54</v>
      </c>
      <c r="J4181" s="14" t="s">
        <v>198</v>
      </c>
      <c r="K4181" s="14" t="s">
        <v>212</v>
      </c>
      <c r="L4181" s="14" t="s">
        <v>249</v>
      </c>
      <c r="M4181" s="14" t="s">
        <v>1346</v>
      </c>
      <c r="N4181" s="14" t="s">
        <v>1347</v>
      </c>
      <c r="O4181" s="14">
        <v>0.0</v>
      </c>
      <c r="P4181" s="21">
        <v>0.0</v>
      </c>
      <c r="Q4181" s="22" t="str">
        <f t="shared" si="2488"/>
        <v>+0</v>
      </c>
      <c r="R4181" s="18" t="str">
        <f>"+0"</f>
        <v>+0</v>
      </c>
      <c r="S4181" s="14" t="s">
        <v>277</v>
      </c>
    </row>
    <row r="4182">
      <c r="A4182" s="13">
        <v>45901.0</v>
      </c>
      <c r="B4182" s="14" t="s">
        <v>47</v>
      </c>
      <c r="C4182" s="14" t="s">
        <v>48</v>
      </c>
      <c r="D4182" s="14" t="s">
        <v>69</v>
      </c>
      <c r="E4182" s="14" t="s">
        <v>70</v>
      </c>
      <c r="F4182" s="15" t="s">
        <v>51</v>
      </c>
      <c r="G4182" s="14" t="s">
        <v>115</v>
      </c>
      <c r="H4182" s="14" t="s">
        <v>72</v>
      </c>
      <c r="I4182" s="14" t="s">
        <v>54</v>
      </c>
      <c r="J4182" s="14" t="s">
        <v>200</v>
      </c>
      <c r="K4182" s="14" t="s">
        <v>213</v>
      </c>
      <c r="L4182" s="14" t="s">
        <v>676</v>
      </c>
      <c r="M4182" s="14" t="s">
        <v>858</v>
      </c>
      <c r="N4182" s="14" t="s">
        <v>859</v>
      </c>
      <c r="O4182" s="14">
        <v>0.0</v>
      </c>
      <c r="P4182" s="23">
        <v>-1.0</v>
      </c>
      <c r="Q4182" s="22" t="str">
        <f t="shared" ref="Q4182:R4182" si="2489">"+0.00%"</f>
        <v>+0.00%</v>
      </c>
      <c r="R4182" s="18" t="str">
        <f t="shared" si="2489"/>
        <v>+0.00%</v>
      </c>
      <c r="S4182" s="14" t="s">
        <v>2227</v>
      </c>
    </row>
    <row r="4183">
      <c r="A4183" s="13">
        <v>45901.0</v>
      </c>
      <c r="B4183" s="14" t="s">
        <v>47</v>
      </c>
      <c r="C4183" s="14" t="s">
        <v>48</v>
      </c>
      <c r="D4183" s="14" t="s">
        <v>116</v>
      </c>
      <c r="E4183" s="14" t="s">
        <v>117</v>
      </c>
      <c r="F4183" s="15" t="s">
        <v>51</v>
      </c>
      <c r="G4183" s="14" t="s">
        <v>161</v>
      </c>
      <c r="H4183" s="14" t="s">
        <v>116</v>
      </c>
      <c r="I4183" s="14" t="s">
        <v>54</v>
      </c>
      <c r="J4183" s="14" t="s">
        <v>200</v>
      </c>
      <c r="K4183" s="14" t="s">
        <v>222</v>
      </c>
      <c r="L4183" s="14" t="s">
        <v>1158</v>
      </c>
      <c r="M4183" s="14" t="s">
        <v>1458</v>
      </c>
      <c r="N4183" s="14" t="s">
        <v>1459</v>
      </c>
      <c r="O4183" s="14">
        <v>0.0</v>
      </c>
      <c r="P4183" s="21">
        <v>0.0</v>
      </c>
      <c r="Q4183" s="22" t="str">
        <f t="shared" ref="Q4183:R4183" si="2490">"+0"</f>
        <v>+0</v>
      </c>
      <c r="R4183" s="18" t="str">
        <f t="shared" si="2490"/>
        <v>+0</v>
      </c>
      <c r="S4183" s="14" t="s">
        <v>260</v>
      </c>
    </row>
    <row r="4184">
      <c r="A4184" s="13">
        <v>45901.0</v>
      </c>
      <c r="B4184" s="14" t="s">
        <v>47</v>
      </c>
      <c r="C4184" s="14" t="s">
        <v>48</v>
      </c>
      <c r="D4184" s="14" t="s">
        <v>158</v>
      </c>
      <c r="E4184" s="14" t="s">
        <v>159</v>
      </c>
      <c r="F4184" s="15" t="s">
        <v>51</v>
      </c>
      <c r="G4184" s="14" t="s">
        <v>160</v>
      </c>
      <c r="H4184" s="14" t="s">
        <v>158</v>
      </c>
      <c r="I4184" s="14" t="s">
        <v>54</v>
      </c>
      <c r="J4184" s="14" t="s">
        <v>198</v>
      </c>
      <c r="K4184" s="14" t="s">
        <v>205</v>
      </c>
      <c r="L4184" s="14" t="s">
        <v>274</v>
      </c>
      <c r="M4184" s="14" t="s">
        <v>466</v>
      </c>
      <c r="N4184" s="14" t="s">
        <v>467</v>
      </c>
      <c r="O4184" s="14">
        <v>100.0</v>
      </c>
      <c r="P4184" s="21">
        <v>1.0</v>
      </c>
      <c r="Q4184" s="22" t="str">
        <f t="shared" ref="Q4184:Q4185" si="2491">"+0"</f>
        <v>+0</v>
      </c>
      <c r="S4184" s="14" t="s">
        <v>281</v>
      </c>
    </row>
    <row r="4185">
      <c r="A4185" s="13">
        <v>45901.0</v>
      </c>
      <c r="B4185" s="14" t="s">
        <v>47</v>
      </c>
      <c r="C4185" s="14" t="s">
        <v>48</v>
      </c>
      <c r="D4185" s="14" t="s">
        <v>121</v>
      </c>
      <c r="E4185" s="14" t="s">
        <v>122</v>
      </c>
      <c r="F4185" s="15" t="s">
        <v>51</v>
      </c>
      <c r="G4185" s="14" t="s">
        <v>123</v>
      </c>
      <c r="H4185" s="14" t="s">
        <v>124</v>
      </c>
      <c r="I4185" s="14" t="s">
        <v>59</v>
      </c>
      <c r="J4185" s="14" t="s">
        <v>198</v>
      </c>
      <c r="K4185" s="14" t="s">
        <v>205</v>
      </c>
      <c r="L4185" s="14" t="s">
        <v>274</v>
      </c>
      <c r="M4185" s="14" t="s">
        <v>767</v>
      </c>
      <c r="N4185" s="14" t="s">
        <v>768</v>
      </c>
      <c r="O4185" s="14">
        <v>100.0</v>
      </c>
      <c r="P4185" s="21">
        <v>1.0</v>
      </c>
      <c r="Q4185" s="22" t="str">
        <f t="shared" si="2491"/>
        <v>+0</v>
      </c>
      <c r="S4185" s="14" t="s">
        <v>281</v>
      </c>
    </row>
    <row r="4186">
      <c r="A4186" s="13">
        <v>45901.0</v>
      </c>
      <c r="B4186" s="14" t="s">
        <v>47</v>
      </c>
      <c r="C4186" s="14" t="s">
        <v>48</v>
      </c>
      <c r="D4186" s="14" t="s">
        <v>56</v>
      </c>
      <c r="E4186" s="14" t="s">
        <v>57</v>
      </c>
      <c r="F4186" s="15" t="s">
        <v>51</v>
      </c>
      <c r="G4186" s="14" t="s">
        <v>58</v>
      </c>
      <c r="H4186" s="14" t="s">
        <v>56</v>
      </c>
      <c r="I4186" s="14" t="s">
        <v>59</v>
      </c>
      <c r="J4186" s="14" t="s">
        <v>200</v>
      </c>
      <c r="K4186" s="14" t="s">
        <v>223</v>
      </c>
      <c r="L4186" s="14" t="s">
        <v>289</v>
      </c>
      <c r="M4186" s="14" t="s">
        <v>384</v>
      </c>
      <c r="N4186" s="14" t="s">
        <v>385</v>
      </c>
      <c r="O4186" s="14">
        <v>36.0</v>
      </c>
      <c r="P4186" s="23">
        <v>0.36</v>
      </c>
      <c r="Q4186" s="22" t="str">
        <f>"+21.00%"</f>
        <v>+21.00%</v>
      </c>
      <c r="R4186" s="18" t="str">
        <f>"+15.17%"</f>
        <v>+15.17%</v>
      </c>
      <c r="S4186" s="14" t="s">
        <v>2228</v>
      </c>
    </row>
    <row r="4187">
      <c r="A4187" s="13">
        <v>45901.0</v>
      </c>
      <c r="B4187" s="14" t="s">
        <v>47</v>
      </c>
      <c r="C4187" s="14" t="s">
        <v>48</v>
      </c>
      <c r="D4187" s="14" t="s">
        <v>181</v>
      </c>
      <c r="E4187" s="14" t="s">
        <v>182</v>
      </c>
      <c r="F4187" s="15" t="s">
        <v>51</v>
      </c>
      <c r="G4187" s="14" t="s">
        <v>183</v>
      </c>
      <c r="H4187" s="14" t="s">
        <v>181</v>
      </c>
      <c r="I4187" s="14" t="s">
        <v>59</v>
      </c>
      <c r="J4187" s="14" t="s">
        <v>199</v>
      </c>
      <c r="K4187" s="14" t="s">
        <v>203</v>
      </c>
      <c r="L4187" s="14" t="s">
        <v>601</v>
      </c>
      <c r="M4187" s="14" t="s">
        <v>601</v>
      </c>
      <c r="N4187" s="14" t="s">
        <v>602</v>
      </c>
      <c r="O4187" s="14">
        <v>0.0</v>
      </c>
      <c r="P4187" s="21">
        <v>0.0</v>
      </c>
      <c r="Q4187" s="22" t="str">
        <f t="shared" ref="Q4187:R4187" si="2492">"+0"</f>
        <v>+0</v>
      </c>
      <c r="R4187" s="18" t="str">
        <f t="shared" si="2492"/>
        <v>+0</v>
      </c>
      <c r="S4187" s="14" t="s">
        <v>260</v>
      </c>
    </row>
    <row r="4188">
      <c r="A4188" s="13">
        <v>45901.0</v>
      </c>
      <c r="B4188" s="14" t="s">
        <v>47</v>
      </c>
      <c r="C4188" s="14" t="s">
        <v>48</v>
      </c>
      <c r="D4188" s="14" t="s">
        <v>168</v>
      </c>
      <c r="E4188" s="14" t="s">
        <v>169</v>
      </c>
      <c r="F4188" s="15" t="s">
        <v>51</v>
      </c>
      <c r="G4188" s="14" t="s">
        <v>170</v>
      </c>
      <c r="H4188" s="14" t="s">
        <v>168</v>
      </c>
      <c r="I4188" s="14" t="s">
        <v>59</v>
      </c>
      <c r="J4188" s="14" t="s">
        <v>198</v>
      </c>
      <c r="K4188" s="14" t="s">
        <v>205</v>
      </c>
      <c r="L4188" s="14" t="s">
        <v>274</v>
      </c>
      <c r="M4188" s="14" t="s">
        <v>354</v>
      </c>
      <c r="N4188" s="14" t="s">
        <v>355</v>
      </c>
      <c r="O4188" s="14">
        <v>100.0</v>
      </c>
      <c r="P4188" s="21">
        <v>3.0</v>
      </c>
      <c r="Q4188" s="22" t="str">
        <f t="shared" ref="Q4188:Q4189" si="2493">"+0"</f>
        <v>+0</v>
      </c>
      <c r="S4188" s="14" t="s">
        <v>356</v>
      </c>
    </row>
    <row r="4189">
      <c r="A4189" s="13">
        <v>45901.0</v>
      </c>
      <c r="B4189" s="14" t="s">
        <v>47</v>
      </c>
      <c r="C4189" s="14" t="s">
        <v>48</v>
      </c>
      <c r="D4189" s="14" t="s">
        <v>168</v>
      </c>
      <c r="E4189" s="14" t="s">
        <v>169</v>
      </c>
      <c r="F4189" s="15" t="s">
        <v>51</v>
      </c>
      <c r="G4189" s="14" t="s">
        <v>170</v>
      </c>
      <c r="H4189" s="14" t="s">
        <v>168</v>
      </c>
      <c r="I4189" s="14" t="s">
        <v>59</v>
      </c>
      <c r="J4189" s="14" t="s">
        <v>200</v>
      </c>
      <c r="K4189" s="14" t="s">
        <v>213</v>
      </c>
      <c r="L4189" s="14" t="s">
        <v>257</v>
      </c>
      <c r="M4189" s="14" t="s">
        <v>517</v>
      </c>
      <c r="N4189" s="14" t="s">
        <v>518</v>
      </c>
      <c r="O4189" s="14">
        <v>100.0</v>
      </c>
      <c r="P4189" s="21">
        <v>27.0</v>
      </c>
      <c r="Q4189" s="22" t="str">
        <f t="shared" si="2493"/>
        <v>+0</v>
      </c>
      <c r="R4189" s="18" t="str">
        <f>"+0"</f>
        <v>+0</v>
      </c>
      <c r="S4189" s="14" t="s">
        <v>260</v>
      </c>
    </row>
    <row r="4190">
      <c r="A4190" s="13">
        <v>45901.0</v>
      </c>
      <c r="B4190" s="14" t="s">
        <v>47</v>
      </c>
      <c r="C4190" s="14" t="s">
        <v>48</v>
      </c>
      <c r="D4190" s="14" t="s">
        <v>60</v>
      </c>
      <c r="E4190" s="14" t="s">
        <v>61</v>
      </c>
      <c r="F4190" s="15" t="s">
        <v>51</v>
      </c>
      <c r="G4190" s="14" t="s">
        <v>62</v>
      </c>
      <c r="H4190" s="14" t="s">
        <v>60</v>
      </c>
      <c r="I4190" s="14" t="s">
        <v>59</v>
      </c>
      <c r="J4190" s="14" t="s">
        <v>200</v>
      </c>
      <c r="K4190" s="14" t="s">
        <v>223</v>
      </c>
      <c r="L4190" s="14" t="s">
        <v>253</v>
      </c>
      <c r="M4190" s="14" t="s">
        <v>366</v>
      </c>
      <c r="N4190" s="14" t="s">
        <v>367</v>
      </c>
      <c r="O4190" s="14">
        <v>76.0</v>
      </c>
      <c r="P4190" s="23">
        <v>0.7692</v>
      </c>
      <c r="Q4190" s="22" t="str">
        <f>"+0.00%"</f>
        <v>+0.00%</v>
      </c>
      <c r="R4190" s="18" t="str">
        <f>"-3.85%"</f>
        <v>-3.85%</v>
      </c>
      <c r="S4190" s="14" t="s">
        <v>2229</v>
      </c>
    </row>
    <row r="4191">
      <c r="A4191" s="13">
        <v>45901.0</v>
      </c>
      <c r="B4191" s="14" t="s">
        <v>47</v>
      </c>
      <c r="C4191" s="14" t="s">
        <v>48</v>
      </c>
      <c r="D4191" s="14" t="s">
        <v>121</v>
      </c>
      <c r="E4191" s="14" t="s">
        <v>122</v>
      </c>
      <c r="F4191" s="15" t="s">
        <v>51</v>
      </c>
      <c r="G4191" s="14" t="s">
        <v>123</v>
      </c>
      <c r="H4191" s="14" t="s">
        <v>124</v>
      </c>
      <c r="I4191" s="14" t="s">
        <v>59</v>
      </c>
      <c r="J4191" s="14" t="s">
        <v>199</v>
      </c>
      <c r="K4191" s="14" t="s">
        <v>208</v>
      </c>
      <c r="L4191" s="14" t="s">
        <v>352</v>
      </c>
      <c r="M4191" s="14" t="s">
        <v>352</v>
      </c>
      <c r="N4191" s="14" t="s">
        <v>353</v>
      </c>
      <c r="O4191" s="14">
        <v>0.0</v>
      </c>
      <c r="P4191" s="21">
        <v>0.0</v>
      </c>
      <c r="Q4191" s="22" t="str">
        <f t="shared" ref="Q4191:R4191" si="2494">"+0"</f>
        <v>+0</v>
      </c>
      <c r="R4191" s="18" t="str">
        <f t="shared" si="2494"/>
        <v>+0</v>
      </c>
      <c r="S4191" s="14" t="s">
        <v>260</v>
      </c>
    </row>
    <row r="4192">
      <c r="A4192" s="13">
        <v>45901.0</v>
      </c>
      <c r="B4192" s="14" t="s">
        <v>47</v>
      </c>
      <c r="C4192" s="14" t="s">
        <v>48</v>
      </c>
      <c r="D4192" s="14" t="s">
        <v>49</v>
      </c>
      <c r="E4192" s="14" t="s">
        <v>50</v>
      </c>
      <c r="F4192" s="15" t="s">
        <v>51</v>
      </c>
      <c r="G4192" s="14" t="s">
        <v>52</v>
      </c>
      <c r="H4192" s="14" t="s">
        <v>53</v>
      </c>
      <c r="I4192" s="14" t="s">
        <v>54</v>
      </c>
      <c r="J4192" s="14" t="s">
        <v>200</v>
      </c>
      <c r="K4192" s="14" t="s">
        <v>227</v>
      </c>
      <c r="L4192" s="14" t="s">
        <v>253</v>
      </c>
      <c r="M4192" s="14" t="s">
        <v>254</v>
      </c>
      <c r="N4192" s="14" t="s">
        <v>255</v>
      </c>
      <c r="O4192" s="14">
        <v>14.0</v>
      </c>
      <c r="P4192" s="23">
        <v>0.1478</v>
      </c>
      <c r="Q4192" s="22" t="str">
        <f>"+0.00%"</f>
        <v>+0.00%</v>
      </c>
      <c r="R4192" s="18" t="str">
        <f>"-0.87%"</f>
        <v>-0.87%</v>
      </c>
      <c r="S4192" s="14" t="s">
        <v>399</v>
      </c>
    </row>
    <row r="4193">
      <c r="A4193" s="13">
        <v>45901.0</v>
      </c>
      <c r="B4193" s="14" t="s">
        <v>47</v>
      </c>
      <c r="C4193" s="14" t="s">
        <v>48</v>
      </c>
      <c r="D4193" s="14" t="s">
        <v>165</v>
      </c>
      <c r="E4193" s="14" t="s">
        <v>166</v>
      </c>
      <c r="F4193" s="15" t="s">
        <v>51</v>
      </c>
      <c r="G4193" s="14" t="s">
        <v>167</v>
      </c>
      <c r="H4193" s="14" t="s">
        <v>165</v>
      </c>
      <c r="I4193" s="14" t="s">
        <v>54</v>
      </c>
      <c r="J4193" s="14" t="s">
        <v>200</v>
      </c>
      <c r="K4193" s="14" t="s">
        <v>224</v>
      </c>
      <c r="L4193" s="14" t="s">
        <v>453</v>
      </c>
      <c r="M4193" s="14" t="s">
        <v>521</v>
      </c>
      <c r="N4193" s="14" t="s">
        <v>522</v>
      </c>
      <c r="O4193" s="14">
        <v>13.0</v>
      </c>
      <c r="P4193" s="23">
        <v>0.1364</v>
      </c>
      <c r="Q4193" s="22" t="str">
        <f>"-5.11%"</f>
        <v>-5.11%</v>
      </c>
      <c r="R4193" s="18" t="str">
        <f>"+3.11%"</f>
        <v>+3.11%</v>
      </c>
      <c r="S4193" s="14" t="s">
        <v>523</v>
      </c>
    </row>
    <row r="4194">
      <c r="A4194" s="13">
        <v>45901.0</v>
      </c>
      <c r="B4194" s="14" t="s">
        <v>47</v>
      </c>
      <c r="C4194" s="14" t="s">
        <v>48</v>
      </c>
      <c r="D4194" s="14" t="s">
        <v>63</v>
      </c>
      <c r="E4194" s="14" t="s">
        <v>64</v>
      </c>
      <c r="F4194" s="15" t="s">
        <v>51</v>
      </c>
      <c r="G4194" s="14" t="s">
        <v>65</v>
      </c>
      <c r="H4194" s="14" t="s">
        <v>63</v>
      </c>
      <c r="I4194" s="14" t="s">
        <v>54</v>
      </c>
      <c r="J4194" s="14" t="s">
        <v>198</v>
      </c>
      <c r="K4194" s="14" t="s">
        <v>210</v>
      </c>
      <c r="L4194" s="14" t="s">
        <v>278</v>
      </c>
      <c r="M4194" s="14" t="s">
        <v>443</v>
      </c>
      <c r="N4194" s="14" t="s">
        <v>444</v>
      </c>
      <c r="O4194" s="14">
        <v>0.0</v>
      </c>
      <c r="P4194" s="21">
        <v>301.0</v>
      </c>
      <c r="Q4194" s="22" t="str">
        <f>"-0"</f>
        <v>-0</v>
      </c>
      <c r="R4194" s="18" t="str">
        <f>"-46"</f>
        <v>-46</v>
      </c>
      <c r="S4194" s="14" t="s">
        <v>2230</v>
      </c>
    </row>
    <row r="4195">
      <c r="A4195" s="13">
        <v>45901.0</v>
      </c>
      <c r="B4195" s="14" t="s">
        <v>47</v>
      </c>
      <c r="C4195" s="14" t="s">
        <v>48</v>
      </c>
      <c r="D4195" s="14" t="s">
        <v>91</v>
      </c>
      <c r="E4195" s="14" t="s">
        <v>92</v>
      </c>
      <c r="F4195" s="14" t="s">
        <v>71</v>
      </c>
      <c r="G4195" s="14">
        <v>5.10000484E8</v>
      </c>
      <c r="H4195" s="14" t="s">
        <v>91</v>
      </c>
      <c r="I4195" s="14" t="s">
        <v>54</v>
      </c>
      <c r="J4195" s="14" t="s">
        <v>199</v>
      </c>
      <c r="K4195" s="14" t="s">
        <v>203</v>
      </c>
      <c r="L4195" s="14" t="s">
        <v>1183</v>
      </c>
      <c r="M4195" s="14" t="s">
        <v>1184</v>
      </c>
      <c r="N4195" s="14" t="s">
        <v>1185</v>
      </c>
      <c r="O4195" s="14">
        <v>1.0</v>
      </c>
      <c r="P4195" s="23">
        <v>0.0012</v>
      </c>
      <c r="Q4195" s="22" t="str">
        <f t="shared" ref="Q4195:R4195" si="2495">"+0.12%"</f>
        <v>+0.12%</v>
      </c>
      <c r="R4195" s="18" t="str">
        <f t="shared" si="2495"/>
        <v>+0.12%</v>
      </c>
      <c r="S4195" s="14" t="s">
        <v>371</v>
      </c>
    </row>
    <row r="4196">
      <c r="A4196" s="13">
        <v>45901.0</v>
      </c>
      <c r="B4196" s="14" t="s">
        <v>47</v>
      </c>
      <c r="C4196" s="14" t="s">
        <v>48</v>
      </c>
      <c r="D4196" s="14" t="s">
        <v>99</v>
      </c>
      <c r="E4196" s="14" t="s">
        <v>100</v>
      </c>
      <c r="F4196" s="15" t="s">
        <v>51</v>
      </c>
      <c r="G4196" s="14" t="s">
        <v>101</v>
      </c>
      <c r="H4196" s="14" t="s">
        <v>102</v>
      </c>
      <c r="I4196" s="14" t="s">
        <v>54</v>
      </c>
      <c r="J4196" s="14" t="s">
        <v>198</v>
      </c>
      <c r="K4196" s="14" t="s">
        <v>212</v>
      </c>
      <c r="L4196" s="14" t="s">
        <v>249</v>
      </c>
      <c r="M4196" s="14" t="s">
        <v>1406</v>
      </c>
      <c r="N4196" s="14" t="s">
        <v>1407</v>
      </c>
      <c r="O4196" s="14">
        <v>0.0</v>
      </c>
      <c r="P4196" s="21">
        <v>0.0</v>
      </c>
      <c r="Q4196" s="22" t="str">
        <f t="shared" ref="Q4196:R4196" si="2496">"+0"</f>
        <v>+0</v>
      </c>
      <c r="R4196" s="18" t="str">
        <f t="shared" si="2496"/>
        <v>+0</v>
      </c>
      <c r="S4196" s="14" t="s">
        <v>277</v>
      </c>
    </row>
    <row r="4197">
      <c r="A4197" s="13">
        <v>45901.0</v>
      </c>
      <c r="B4197" s="14" t="s">
        <v>47</v>
      </c>
      <c r="C4197" s="14" t="s">
        <v>48</v>
      </c>
      <c r="D4197" s="14" t="s">
        <v>118</v>
      </c>
      <c r="E4197" s="14" t="s">
        <v>119</v>
      </c>
      <c r="F4197" s="15" t="s">
        <v>51</v>
      </c>
      <c r="G4197" s="14" t="s">
        <v>120</v>
      </c>
      <c r="H4197" s="14" t="s">
        <v>118</v>
      </c>
      <c r="I4197" s="14" t="s">
        <v>59</v>
      </c>
      <c r="J4197" s="14" t="s">
        <v>199</v>
      </c>
      <c r="K4197" s="14" t="s">
        <v>206</v>
      </c>
      <c r="L4197" s="14" t="s">
        <v>569</v>
      </c>
      <c r="M4197" s="14" t="s">
        <v>569</v>
      </c>
      <c r="N4197" s="14" t="s">
        <v>570</v>
      </c>
      <c r="O4197" s="14">
        <v>50.0</v>
      </c>
      <c r="P4197" s="21">
        <v>4.0</v>
      </c>
      <c r="Q4197" s="22" t="str">
        <f t="shared" ref="Q4197:R4197" si="2497">"+0"</f>
        <v>+0</v>
      </c>
      <c r="R4197" s="18" t="str">
        <f t="shared" si="2497"/>
        <v>+0</v>
      </c>
      <c r="S4197" s="14" t="s">
        <v>383</v>
      </c>
    </row>
    <row r="4198">
      <c r="A4198" s="13">
        <v>45901.0</v>
      </c>
      <c r="B4198" s="14" t="s">
        <v>47</v>
      </c>
      <c r="C4198" s="14" t="s">
        <v>48</v>
      </c>
      <c r="D4198" s="14" t="s">
        <v>99</v>
      </c>
      <c r="E4198" s="14" t="s">
        <v>100</v>
      </c>
      <c r="F4198" s="15" t="s">
        <v>51</v>
      </c>
      <c r="G4198" s="14" t="s">
        <v>101</v>
      </c>
      <c r="H4198" s="14" t="s">
        <v>102</v>
      </c>
      <c r="I4198" s="14" t="s">
        <v>54</v>
      </c>
      <c r="J4198" s="14" t="s">
        <v>198</v>
      </c>
      <c r="K4198" s="14" t="s">
        <v>210</v>
      </c>
      <c r="L4198" s="14" t="s">
        <v>505</v>
      </c>
      <c r="M4198" s="14" t="s">
        <v>1475</v>
      </c>
      <c r="N4198" s="14" t="s">
        <v>1476</v>
      </c>
      <c r="O4198" s="14">
        <v>0.0</v>
      </c>
      <c r="P4198" s="21">
        <v>0.0</v>
      </c>
      <c r="Q4198" s="22" t="str">
        <f t="shared" ref="Q4198:R4198" si="2498">"+0"</f>
        <v>+0</v>
      </c>
      <c r="R4198" s="18" t="str">
        <f t="shared" si="2498"/>
        <v>+0</v>
      </c>
      <c r="S4198" s="14" t="s">
        <v>277</v>
      </c>
    </row>
    <row r="4199">
      <c r="A4199" s="13">
        <v>45901.0</v>
      </c>
      <c r="B4199" s="14" t="s">
        <v>47</v>
      </c>
      <c r="C4199" s="14" t="s">
        <v>48</v>
      </c>
      <c r="D4199" s="14" t="s">
        <v>66</v>
      </c>
      <c r="E4199" s="14" t="s">
        <v>67</v>
      </c>
      <c r="F4199" s="15" t="s">
        <v>51</v>
      </c>
      <c r="G4199" s="14" t="s">
        <v>68</v>
      </c>
      <c r="H4199" s="14" t="s">
        <v>66</v>
      </c>
      <c r="I4199" s="14" t="s">
        <v>59</v>
      </c>
      <c r="J4199" s="14" t="s">
        <v>200</v>
      </c>
      <c r="K4199" s="14" t="s">
        <v>223</v>
      </c>
      <c r="L4199" s="14" t="s">
        <v>253</v>
      </c>
      <c r="M4199" s="14" t="s">
        <v>552</v>
      </c>
      <c r="N4199" s="14" t="s">
        <v>553</v>
      </c>
      <c r="O4199" s="14">
        <v>65.0</v>
      </c>
      <c r="P4199" s="23">
        <v>0.6532</v>
      </c>
      <c r="Q4199" s="22" t="str">
        <f>"-32.26%"</f>
        <v>-32.26%</v>
      </c>
      <c r="R4199" s="18" t="str">
        <f>"+11.22%"</f>
        <v>+11.22%</v>
      </c>
      <c r="S4199" s="14" t="s">
        <v>2231</v>
      </c>
    </row>
    <row r="4200">
      <c r="A4200" s="13">
        <v>45901.0</v>
      </c>
      <c r="B4200" s="14" t="s">
        <v>47</v>
      </c>
      <c r="C4200" s="14" t="s">
        <v>48</v>
      </c>
      <c r="D4200" s="14" t="s">
        <v>66</v>
      </c>
      <c r="E4200" s="14" t="s">
        <v>67</v>
      </c>
      <c r="F4200" s="15" t="s">
        <v>51</v>
      </c>
      <c r="G4200" s="14" t="s">
        <v>68</v>
      </c>
      <c r="H4200" s="14" t="s">
        <v>66</v>
      </c>
      <c r="I4200" s="14" t="s">
        <v>59</v>
      </c>
      <c r="J4200" s="14" t="s">
        <v>200</v>
      </c>
      <c r="K4200" s="14" t="s">
        <v>223</v>
      </c>
      <c r="L4200" s="14" t="s">
        <v>487</v>
      </c>
      <c r="M4200" s="14" t="s">
        <v>1015</v>
      </c>
      <c r="N4200" s="14" t="s">
        <v>1016</v>
      </c>
      <c r="O4200" s="14">
        <v>0.0</v>
      </c>
      <c r="P4200" s="23">
        <v>0.0</v>
      </c>
      <c r="Q4200" s="22" t="str">
        <f t="shared" ref="Q4200:R4200" si="2499">"+0.00%"</f>
        <v>+0.00%</v>
      </c>
      <c r="R4200" s="18" t="str">
        <f t="shared" si="2499"/>
        <v>+0.00%</v>
      </c>
      <c r="S4200" s="14" t="s">
        <v>285</v>
      </c>
    </row>
    <row r="4201">
      <c r="A4201" s="13">
        <v>45901.0</v>
      </c>
      <c r="B4201" s="14" t="s">
        <v>47</v>
      </c>
      <c r="C4201" s="14" t="s">
        <v>48</v>
      </c>
      <c r="D4201" s="14" t="s">
        <v>192</v>
      </c>
      <c r="E4201" s="14" t="s">
        <v>193</v>
      </c>
      <c r="F4201" s="15" t="s">
        <v>51</v>
      </c>
      <c r="G4201" s="14" t="s">
        <v>194</v>
      </c>
      <c r="H4201" s="14" t="s">
        <v>192</v>
      </c>
      <c r="I4201" s="14" t="s">
        <v>54</v>
      </c>
      <c r="J4201" s="14" t="s">
        <v>200</v>
      </c>
      <c r="K4201" s="14" t="s">
        <v>219</v>
      </c>
      <c r="L4201" s="14" t="s">
        <v>253</v>
      </c>
      <c r="M4201" s="14" t="s">
        <v>899</v>
      </c>
      <c r="N4201" s="14" t="s">
        <v>900</v>
      </c>
      <c r="O4201" s="14">
        <v>100.0</v>
      </c>
      <c r="P4201" s="23">
        <v>0.0</v>
      </c>
      <c r="Q4201" s="22" t="str">
        <f t="shared" ref="Q4201:R4201" si="2500">"+0.00%"</f>
        <v>+0.00%</v>
      </c>
      <c r="R4201" s="18" t="str">
        <f t="shared" si="2500"/>
        <v>+0.00%</v>
      </c>
      <c r="S4201" s="14" t="s">
        <v>285</v>
      </c>
    </row>
    <row r="4202">
      <c r="A4202" s="13">
        <v>45901.0</v>
      </c>
      <c r="B4202" s="14" t="s">
        <v>47</v>
      </c>
      <c r="C4202" s="14" t="s">
        <v>48</v>
      </c>
      <c r="D4202" s="14" t="s">
        <v>93</v>
      </c>
      <c r="E4202" s="14" t="s">
        <v>94</v>
      </c>
      <c r="F4202" s="15" t="s">
        <v>51</v>
      </c>
      <c r="G4202" s="14" t="s">
        <v>191</v>
      </c>
      <c r="H4202" s="14" t="s">
        <v>95</v>
      </c>
      <c r="I4202" s="14" t="s">
        <v>59</v>
      </c>
      <c r="J4202" s="14" t="s">
        <v>200</v>
      </c>
      <c r="K4202" s="14" t="s">
        <v>215</v>
      </c>
      <c r="L4202" s="14" t="s">
        <v>1322</v>
      </c>
      <c r="M4202" s="14" t="s">
        <v>2232</v>
      </c>
      <c r="N4202" s="14" t="s">
        <v>2233</v>
      </c>
      <c r="O4202" s="14">
        <v>48.0</v>
      </c>
      <c r="P4202" s="23">
        <v>-0.0244</v>
      </c>
      <c r="Q4202" s="22" t="str">
        <f>"-3.53%"</f>
        <v>-3.53%</v>
      </c>
      <c r="R4202" s="18" t="str">
        <f>"+0.79%"</f>
        <v>+0.79%</v>
      </c>
      <c r="S4202" s="14" t="s">
        <v>2234</v>
      </c>
    </row>
    <row r="4203">
      <c r="A4203" s="13">
        <v>45901.0</v>
      </c>
      <c r="B4203" s="14" t="s">
        <v>47</v>
      </c>
      <c r="C4203" s="14" t="s">
        <v>48</v>
      </c>
      <c r="D4203" s="14" t="s">
        <v>143</v>
      </c>
      <c r="E4203" s="14" t="s">
        <v>144</v>
      </c>
      <c r="F4203" s="15" t="s">
        <v>51</v>
      </c>
      <c r="G4203" s="14" t="s">
        <v>145</v>
      </c>
      <c r="H4203" s="14" t="s">
        <v>143</v>
      </c>
      <c r="I4203" s="14" t="s">
        <v>59</v>
      </c>
      <c r="J4203" s="14" t="s">
        <v>198</v>
      </c>
      <c r="K4203" s="14" t="s">
        <v>210</v>
      </c>
      <c r="L4203" s="14" t="s">
        <v>264</v>
      </c>
      <c r="M4203" s="14" t="s">
        <v>407</v>
      </c>
      <c r="N4203" s="14" t="s">
        <v>408</v>
      </c>
      <c r="O4203" s="14">
        <v>100.0</v>
      </c>
      <c r="P4203" s="21">
        <v>0.0</v>
      </c>
      <c r="Q4203" s="22" t="str">
        <f t="shared" ref="Q4203:R4203" si="2501">"+0"</f>
        <v>+0</v>
      </c>
      <c r="R4203" s="18" t="str">
        <f t="shared" si="2501"/>
        <v>+0</v>
      </c>
      <c r="S4203" s="14" t="s">
        <v>281</v>
      </c>
    </row>
    <row r="4204">
      <c r="A4204" s="13">
        <v>45901.0</v>
      </c>
      <c r="B4204" s="14" t="s">
        <v>47</v>
      </c>
      <c r="C4204" s="14" t="s">
        <v>48</v>
      </c>
      <c r="D4204" s="14" t="s">
        <v>143</v>
      </c>
      <c r="E4204" s="14" t="s">
        <v>144</v>
      </c>
      <c r="F4204" s="15" t="s">
        <v>51</v>
      </c>
      <c r="G4204" s="14" t="s">
        <v>145</v>
      </c>
      <c r="H4204" s="14" t="s">
        <v>143</v>
      </c>
      <c r="I4204" s="14" t="s">
        <v>59</v>
      </c>
      <c r="J4204" s="14" t="s">
        <v>199</v>
      </c>
      <c r="K4204" s="14" t="s">
        <v>206</v>
      </c>
      <c r="L4204" s="14" t="s">
        <v>569</v>
      </c>
      <c r="M4204" s="14" t="s">
        <v>569</v>
      </c>
      <c r="N4204" s="14" t="s">
        <v>570</v>
      </c>
      <c r="O4204" s="14">
        <v>0.0</v>
      </c>
      <c r="P4204" s="21">
        <v>0.0</v>
      </c>
      <c r="Q4204" s="22" t="str">
        <f t="shared" ref="Q4204:R4204" si="2502">"+0"</f>
        <v>+0</v>
      </c>
      <c r="R4204" s="18" t="str">
        <f t="shared" si="2502"/>
        <v>+0</v>
      </c>
      <c r="S4204" s="14" t="s">
        <v>383</v>
      </c>
    </row>
    <row r="4205">
      <c r="A4205" s="13">
        <v>45901.0</v>
      </c>
      <c r="B4205" s="14" t="s">
        <v>47</v>
      </c>
      <c r="C4205" s="14" t="s">
        <v>48</v>
      </c>
      <c r="D4205" s="14" t="s">
        <v>87</v>
      </c>
      <c r="E4205" s="14" t="s">
        <v>88</v>
      </c>
      <c r="F4205" s="15" t="s">
        <v>51</v>
      </c>
      <c r="G4205" s="14" t="s">
        <v>89</v>
      </c>
      <c r="H4205" s="14" t="s">
        <v>90</v>
      </c>
      <c r="I4205" s="14" t="s">
        <v>59</v>
      </c>
      <c r="J4205" s="14" t="s">
        <v>200</v>
      </c>
      <c r="K4205" s="14" t="s">
        <v>223</v>
      </c>
      <c r="L4205" s="14" t="s">
        <v>289</v>
      </c>
      <c r="M4205" s="14" t="s">
        <v>984</v>
      </c>
      <c r="N4205" s="14" t="s">
        <v>985</v>
      </c>
      <c r="O4205" s="14">
        <v>0.0</v>
      </c>
      <c r="P4205" s="23">
        <v>0.0</v>
      </c>
      <c r="Q4205" s="22" t="str">
        <f t="shared" ref="Q4205:R4205" si="2503">"+0.00%"</f>
        <v>+0.00%</v>
      </c>
      <c r="R4205" s="18" t="str">
        <f t="shared" si="2503"/>
        <v>+0.00%</v>
      </c>
      <c r="S4205" s="14" t="s">
        <v>285</v>
      </c>
    </row>
    <row r="4206">
      <c r="A4206" s="13">
        <v>45901.0</v>
      </c>
      <c r="B4206" s="14" t="s">
        <v>47</v>
      </c>
      <c r="C4206" s="14" t="s">
        <v>48</v>
      </c>
      <c r="D4206" s="14" t="s">
        <v>87</v>
      </c>
      <c r="E4206" s="14" t="s">
        <v>88</v>
      </c>
      <c r="F4206" s="15" t="s">
        <v>51</v>
      </c>
      <c r="G4206" s="14" t="s">
        <v>89</v>
      </c>
      <c r="H4206" s="14" t="s">
        <v>90</v>
      </c>
      <c r="I4206" s="14" t="s">
        <v>59</v>
      </c>
      <c r="J4206" s="14" t="s">
        <v>200</v>
      </c>
      <c r="K4206" s="14" t="s">
        <v>223</v>
      </c>
      <c r="L4206" s="14" t="s">
        <v>286</v>
      </c>
      <c r="M4206" s="14" t="s">
        <v>419</v>
      </c>
      <c r="N4206" s="14" t="s">
        <v>420</v>
      </c>
      <c r="O4206" s="14">
        <v>1.0</v>
      </c>
      <c r="P4206" s="23">
        <v>0.0165</v>
      </c>
      <c r="Q4206" s="22" t="str">
        <f>"-0.51%"</f>
        <v>-0.51%</v>
      </c>
      <c r="R4206" s="18" t="str">
        <f>"-1.28%"</f>
        <v>-1.28%</v>
      </c>
      <c r="S4206" s="14" t="s">
        <v>371</v>
      </c>
    </row>
    <row r="4207">
      <c r="A4207" s="13">
        <v>45901.0</v>
      </c>
      <c r="B4207" s="14" t="s">
        <v>47</v>
      </c>
      <c r="C4207" s="14" t="s">
        <v>48</v>
      </c>
      <c r="D4207" s="14" t="s">
        <v>149</v>
      </c>
      <c r="E4207" s="14" t="s">
        <v>150</v>
      </c>
      <c r="F4207" s="15" t="s">
        <v>51</v>
      </c>
      <c r="G4207" s="14" t="s">
        <v>151</v>
      </c>
      <c r="H4207" s="14" t="s">
        <v>152</v>
      </c>
      <c r="I4207" s="14" t="s">
        <v>54</v>
      </c>
      <c r="J4207" s="14" t="s">
        <v>199</v>
      </c>
      <c r="K4207" s="14" t="s">
        <v>208</v>
      </c>
      <c r="L4207" s="14" t="s">
        <v>412</v>
      </c>
      <c r="M4207" s="14" t="s">
        <v>412</v>
      </c>
      <c r="N4207" s="14" t="s">
        <v>413</v>
      </c>
      <c r="O4207" s="14">
        <v>100.0</v>
      </c>
      <c r="P4207" s="21">
        <v>6.0</v>
      </c>
      <c r="Q4207" s="22" t="str">
        <f t="shared" ref="Q4207:R4207" si="2504">"+0"</f>
        <v>+0</v>
      </c>
      <c r="R4207" s="18" t="str">
        <f t="shared" si="2504"/>
        <v>+0</v>
      </c>
      <c r="S4207" s="14" t="s">
        <v>260</v>
      </c>
    </row>
    <row r="4208">
      <c r="A4208" s="13">
        <v>45901.0</v>
      </c>
      <c r="B4208" s="14" t="s">
        <v>47</v>
      </c>
      <c r="C4208" s="14" t="s">
        <v>48</v>
      </c>
      <c r="D4208" s="14" t="s">
        <v>129</v>
      </c>
      <c r="E4208" s="14" t="s">
        <v>130</v>
      </c>
      <c r="F4208" s="15" t="s">
        <v>51</v>
      </c>
      <c r="G4208" s="14" t="s">
        <v>131</v>
      </c>
      <c r="H4208" s="14" t="s">
        <v>129</v>
      </c>
      <c r="I4208" s="14" t="s">
        <v>59</v>
      </c>
      <c r="J4208" s="14" t="s">
        <v>200</v>
      </c>
      <c r="K4208" s="14" t="s">
        <v>231</v>
      </c>
      <c r="L4208" s="14" t="s">
        <v>512</v>
      </c>
      <c r="M4208" s="14" t="s">
        <v>1823</v>
      </c>
      <c r="N4208" s="14" t="s">
        <v>1824</v>
      </c>
      <c r="O4208" s="14">
        <v>0.0</v>
      </c>
      <c r="P4208" s="21">
        <v>0.0</v>
      </c>
      <c r="Q4208" s="22" t="str">
        <f t="shared" ref="Q4208:R4208" si="2505">"+0"</f>
        <v>+0</v>
      </c>
      <c r="R4208" s="18" t="str">
        <f t="shared" si="2505"/>
        <v>+0</v>
      </c>
      <c r="S4208" s="14" t="s">
        <v>260</v>
      </c>
    </row>
    <row r="4209">
      <c r="A4209" s="13">
        <v>45901.0</v>
      </c>
      <c r="B4209" s="14" t="s">
        <v>47</v>
      </c>
      <c r="C4209" s="14" t="s">
        <v>48</v>
      </c>
      <c r="D4209" s="14" t="s">
        <v>136</v>
      </c>
      <c r="E4209" s="14" t="s">
        <v>137</v>
      </c>
      <c r="F4209" s="15" t="s">
        <v>51</v>
      </c>
      <c r="G4209" s="14" t="s">
        <v>138</v>
      </c>
      <c r="H4209" s="14" t="s">
        <v>139</v>
      </c>
      <c r="I4209" s="14" t="s">
        <v>59</v>
      </c>
      <c r="J4209" s="14" t="s">
        <v>200</v>
      </c>
      <c r="K4209" s="14" t="s">
        <v>222</v>
      </c>
      <c r="L4209" s="14" t="s">
        <v>337</v>
      </c>
      <c r="M4209" s="14" t="s">
        <v>338</v>
      </c>
      <c r="N4209" s="14" t="s">
        <v>339</v>
      </c>
      <c r="O4209" s="14">
        <v>0.0</v>
      </c>
      <c r="P4209" s="21">
        <v>0.0</v>
      </c>
      <c r="Q4209" s="22" t="str">
        <f t="shared" ref="Q4209:R4209" si="2506">"+0"</f>
        <v>+0</v>
      </c>
      <c r="R4209" s="18" t="str">
        <f t="shared" si="2506"/>
        <v>+0</v>
      </c>
      <c r="S4209" s="14" t="s">
        <v>260</v>
      </c>
    </row>
    <row r="4210">
      <c r="A4210" s="13">
        <v>45901.0</v>
      </c>
      <c r="B4210" s="14" t="s">
        <v>47</v>
      </c>
      <c r="C4210" s="14" t="s">
        <v>48</v>
      </c>
      <c r="D4210" s="14" t="s">
        <v>149</v>
      </c>
      <c r="E4210" s="14" t="s">
        <v>150</v>
      </c>
      <c r="F4210" s="15" t="s">
        <v>51</v>
      </c>
      <c r="G4210" s="14" t="s">
        <v>151</v>
      </c>
      <c r="H4210" s="14" t="s">
        <v>152</v>
      </c>
      <c r="I4210" s="14" t="s">
        <v>54</v>
      </c>
      <c r="J4210" s="14" t="s">
        <v>198</v>
      </c>
      <c r="K4210" s="14" t="s">
        <v>205</v>
      </c>
      <c r="L4210" s="14" t="s">
        <v>274</v>
      </c>
      <c r="M4210" s="14" t="s">
        <v>451</v>
      </c>
      <c r="N4210" s="14" t="s">
        <v>452</v>
      </c>
      <c r="O4210" s="14">
        <v>0.0</v>
      </c>
      <c r="P4210" s="21">
        <v>0.0</v>
      </c>
      <c r="Q4210" s="22" t="str">
        <f>"+0"</f>
        <v>+0</v>
      </c>
      <c r="S4210" s="14" t="s">
        <v>281</v>
      </c>
    </row>
    <row r="4211">
      <c r="A4211" s="13">
        <v>45901.0</v>
      </c>
      <c r="B4211" s="14" t="s">
        <v>47</v>
      </c>
      <c r="C4211" s="14" t="s">
        <v>48</v>
      </c>
      <c r="D4211" s="14" t="s">
        <v>125</v>
      </c>
      <c r="E4211" s="14" t="s">
        <v>126</v>
      </c>
      <c r="F4211" s="15" t="s">
        <v>51</v>
      </c>
      <c r="G4211" s="14" t="s">
        <v>127</v>
      </c>
      <c r="H4211" s="14" t="s">
        <v>125</v>
      </c>
      <c r="I4211" s="14" t="s">
        <v>59</v>
      </c>
      <c r="J4211" s="14" t="s">
        <v>200</v>
      </c>
      <c r="K4211" s="14" t="s">
        <v>224</v>
      </c>
      <c r="L4211" s="14" t="s">
        <v>392</v>
      </c>
      <c r="M4211" s="14" t="s">
        <v>1424</v>
      </c>
      <c r="N4211" s="14" t="s">
        <v>1425</v>
      </c>
      <c r="O4211" s="14">
        <v>0.0</v>
      </c>
      <c r="P4211" s="17"/>
      <c r="Q4211" s="22"/>
      <c r="S4211" s="14" t="s">
        <v>2235</v>
      </c>
    </row>
    <row r="4212">
      <c r="A4212" s="13">
        <v>45901.0</v>
      </c>
      <c r="B4212" s="14" t="s">
        <v>47</v>
      </c>
      <c r="C4212" s="14" t="s">
        <v>48</v>
      </c>
      <c r="D4212" s="14" t="s">
        <v>125</v>
      </c>
      <c r="E4212" s="14" t="s">
        <v>126</v>
      </c>
      <c r="F4212" s="15" t="s">
        <v>51</v>
      </c>
      <c r="G4212" s="14" t="s">
        <v>127</v>
      </c>
      <c r="H4212" s="14" t="s">
        <v>125</v>
      </c>
      <c r="I4212" s="14" t="s">
        <v>59</v>
      </c>
      <c r="J4212" s="14" t="s">
        <v>200</v>
      </c>
      <c r="K4212" s="14" t="s">
        <v>224</v>
      </c>
      <c r="L4212" s="14" t="s">
        <v>436</v>
      </c>
      <c r="M4212" s="14" t="s">
        <v>1353</v>
      </c>
      <c r="N4212" s="14" t="s">
        <v>1354</v>
      </c>
      <c r="O4212" s="14">
        <v>0.0</v>
      </c>
      <c r="P4212" s="17"/>
      <c r="Q4212" s="22"/>
      <c r="S4212" s="14" t="s">
        <v>2236</v>
      </c>
    </row>
    <row r="4213">
      <c r="A4213" s="13">
        <v>45901.0</v>
      </c>
      <c r="B4213" s="14" t="s">
        <v>47</v>
      </c>
      <c r="C4213" s="14" t="s">
        <v>48</v>
      </c>
      <c r="D4213" s="14" t="s">
        <v>69</v>
      </c>
      <c r="E4213" s="14" t="s">
        <v>70</v>
      </c>
      <c r="F4213" s="15" t="s">
        <v>51</v>
      </c>
      <c r="G4213" s="14" t="s">
        <v>115</v>
      </c>
      <c r="H4213" s="14" t="s">
        <v>72</v>
      </c>
      <c r="I4213" s="14" t="s">
        <v>54</v>
      </c>
      <c r="J4213" s="14" t="s">
        <v>198</v>
      </c>
      <c r="K4213" s="14" t="s">
        <v>210</v>
      </c>
      <c r="L4213" s="14" t="s">
        <v>505</v>
      </c>
      <c r="M4213" s="14" t="s">
        <v>1020</v>
      </c>
      <c r="N4213" s="14" t="s">
        <v>1021</v>
      </c>
      <c r="O4213" s="14">
        <v>0.0</v>
      </c>
      <c r="P4213" s="21">
        <v>0.0</v>
      </c>
      <c r="Q4213" s="22" t="str">
        <f t="shared" ref="Q4213:R4213" si="2507">"+0"</f>
        <v>+0</v>
      </c>
      <c r="R4213" s="18" t="str">
        <f t="shared" si="2507"/>
        <v>+0</v>
      </c>
      <c r="S4213" s="14" t="s">
        <v>277</v>
      </c>
    </row>
    <row r="4214">
      <c r="A4214" s="13">
        <v>45901.0</v>
      </c>
      <c r="B4214" s="14" t="s">
        <v>47</v>
      </c>
      <c r="C4214" s="14" t="s">
        <v>48</v>
      </c>
      <c r="D4214" s="14" t="s">
        <v>77</v>
      </c>
      <c r="E4214" s="14" t="s">
        <v>78</v>
      </c>
      <c r="F4214" s="14" t="s">
        <v>79</v>
      </c>
      <c r="G4214" s="14" t="s">
        <v>80</v>
      </c>
      <c r="H4214" s="14" t="s">
        <v>81</v>
      </c>
      <c r="J4214" s="14" t="s">
        <v>198</v>
      </c>
      <c r="K4214" s="14" t="s">
        <v>210</v>
      </c>
      <c r="L4214" s="14" t="s">
        <v>458</v>
      </c>
      <c r="M4214" s="14" t="s">
        <v>1837</v>
      </c>
      <c r="N4214" s="14" t="s">
        <v>1838</v>
      </c>
      <c r="O4214" s="14">
        <v>100.0</v>
      </c>
      <c r="P4214" s="21">
        <v>0.0</v>
      </c>
      <c r="Q4214" s="22" t="str">
        <f>"+0"</f>
        <v>+0</v>
      </c>
      <c r="S4214" s="14" t="s">
        <v>281</v>
      </c>
    </row>
    <row r="4215">
      <c r="A4215" s="13">
        <v>45901.0</v>
      </c>
      <c r="B4215" s="14" t="s">
        <v>47</v>
      </c>
      <c r="C4215" s="14" t="s">
        <v>48</v>
      </c>
      <c r="D4215" s="14" t="s">
        <v>116</v>
      </c>
      <c r="E4215" s="14" t="s">
        <v>117</v>
      </c>
      <c r="F4215" s="15" t="s">
        <v>51</v>
      </c>
      <c r="G4215" s="14" t="s">
        <v>161</v>
      </c>
      <c r="H4215" s="14" t="s">
        <v>116</v>
      </c>
      <c r="I4215" s="14" t="s">
        <v>54</v>
      </c>
      <c r="J4215" s="14" t="s">
        <v>199</v>
      </c>
      <c r="K4215" s="14" t="s">
        <v>203</v>
      </c>
      <c r="L4215" s="14" t="s">
        <v>725</v>
      </c>
      <c r="M4215" s="14" t="s">
        <v>725</v>
      </c>
      <c r="N4215" s="14" t="s">
        <v>726</v>
      </c>
      <c r="O4215" s="14">
        <v>100.0</v>
      </c>
      <c r="P4215" s="21">
        <v>2.0</v>
      </c>
      <c r="Q4215" s="22" t="str">
        <f t="shared" ref="Q4215:R4215" si="2508">"-2"</f>
        <v>-2</v>
      </c>
      <c r="R4215" s="18" t="str">
        <f t="shared" si="2508"/>
        <v>-2</v>
      </c>
      <c r="S4215" s="14" t="s">
        <v>260</v>
      </c>
    </row>
    <row r="4216">
      <c r="A4216" s="13">
        <v>45901.0</v>
      </c>
      <c r="B4216" s="14" t="s">
        <v>47</v>
      </c>
      <c r="C4216" s="14" t="s">
        <v>48</v>
      </c>
      <c r="D4216" s="14" t="s">
        <v>116</v>
      </c>
      <c r="E4216" s="14" t="s">
        <v>117</v>
      </c>
      <c r="F4216" s="15" t="s">
        <v>51</v>
      </c>
      <c r="G4216" s="14" t="s">
        <v>161</v>
      </c>
      <c r="H4216" s="14" t="s">
        <v>116</v>
      </c>
      <c r="I4216" s="14" t="s">
        <v>54</v>
      </c>
      <c r="J4216" s="14" t="s">
        <v>198</v>
      </c>
      <c r="K4216" s="14" t="s">
        <v>210</v>
      </c>
      <c r="L4216" s="14" t="s">
        <v>458</v>
      </c>
      <c r="M4216" s="14" t="s">
        <v>829</v>
      </c>
      <c r="N4216" s="14" t="s">
        <v>830</v>
      </c>
      <c r="O4216" s="14">
        <v>0.0</v>
      </c>
      <c r="P4216" s="21">
        <v>0.0</v>
      </c>
      <c r="Q4216" s="22" t="str">
        <f t="shared" ref="Q4216:R4216" si="2509">"+0"</f>
        <v>+0</v>
      </c>
      <c r="R4216" s="18" t="str">
        <f t="shared" si="2509"/>
        <v>+0</v>
      </c>
      <c r="S4216" s="14" t="s">
        <v>277</v>
      </c>
    </row>
    <row r="4217">
      <c r="A4217" s="13">
        <v>45901.0</v>
      </c>
      <c r="B4217" s="14" t="s">
        <v>47</v>
      </c>
      <c r="C4217" s="14" t="s">
        <v>48</v>
      </c>
      <c r="D4217" s="14" t="s">
        <v>116</v>
      </c>
      <c r="E4217" s="14" t="s">
        <v>117</v>
      </c>
      <c r="F4217" s="15" t="s">
        <v>51</v>
      </c>
      <c r="G4217" s="14" t="s">
        <v>161</v>
      </c>
      <c r="H4217" s="14" t="s">
        <v>116</v>
      </c>
      <c r="I4217" s="14" t="s">
        <v>54</v>
      </c>
      <c r="J4217" s="14" t="s">
        <v>200</v>
      </c>
      <c r="K4217" s="14" t="s">
        <v>213</v>
      </c>
      <c r="L4217" s="14" t="s">
        <v>307</v>
      </c>
      <c r="M4217" s="14" t="s">
        <v>1176</v>
      </c>
      <c r="N4217" s="14" t="s">
        <v>1177</v>
      </c>
      <c r="O4217" s="14">
        <v>0.0</v>
      </c>
      <c r="P4217" s="23">
        <v>0.0</v>
      </c>
      <c r="Q4217" s="22" t="str">
        <f t="shared" ref="Q4217:R4217" si="2510">"+0.00%"</f>
        <v>+0.00%</v>
      </c>
      <c r="R4217" s="18" t="str">
        <f t="shared" si="2510"/>
        <v>+0.00%</v>
      </c>
      <c r="S4217" s="14" t="s">
        <v>285</v>
      </c>
    </row>
    <row r="4218">
      <c r="A4218" s="13">
        <v>45901.0</v>
      </c>
      <c r="B4218" s="14" t="s">
        <v>47</v>
      </c>
      <c r="C4218" s="14" t="s">
        <v>48</v>
      </c>
      <c r="D4218" s="14" t="s">
        <v>174</v>
      </c>
      <c r="E4218" s="14" t="s">
        <v>175</v>
      </c>
      <c r="F4218" s="15" t="s">
        <v>51</v>
      </c>
      <c r="G4218" s="14" t="s">
        <v>176</v>
      </c>
      <c r="H4218" s="14" t="s">
        <v>174</v>
      </c>
      <c r="I4218" s="14" t="s">
        <v>59</v>
      </c>
      <c r="J4218" s="14" t="s">
        <v>199</v>
      </c>
      <c r="K4218" s="14" t="s">
        <v>206</v>
      </c>
      <c r="L4218" s="14" t="s">
        <v>381</v>
      </c>
      <c r="M4218" s="14" t="s">
        <v>381</v>
      </c>
      <c r="N4218" s="14" t="s">
        <v>382</v>
      </c>
      <c r="O4218" s="14">
        <v>0.0</v>
      </c>
      <c r="P4218" s="21">
        <v>0.0</v>
      </c>
      <c r="Q4218" s="22" t="str">
        <f t="shared" ref="Q4218:R4218" si="2511">"+0"</f>
        <v>+0</v>
      </c>
      <c r="R4218" s="18" t="str">
        <f t="shared" si="2511"/>
        <v>+0</v>
      </c>
      <c r="S4218" s="14" t="s">
        <v>383</v>
      </c>
    </row>
    <row r="4219">
      <c r="A4219" s="13">
        <v>45901.0</v>
      </c>
      <c r="B4219" s="14" t="s">
        <v>47</v>
      </c>
      <c r="C4219" s="14" t="s">
        <v>48</v>
      </c>
      <c r="D4219" s="14" t="s">
        <v>77</v>
      </c>
      <c r="E4219" s="14" t="s">
        <v>78</v>
      </c>
      <c r="F4219" s="15" t="s">
        <v>51</v>
      </c>
      <c r="G4219" s="14" t="s">
        <v>128</v>
      </c>
      <c r="H4219" s="14" t="s">
        <v>81</v>
      </c>
      <c r="I4219" s="14" t="s">
        <v>59</v>
      </c>
      <c r="J4219" s="14" t="s">
        <v>200</v>
      </c>
      <c r="K4219" s="14" t="s">
        <v>227</v>
      </c>
      <c r="L4219" s="14" t="s">
        <v>270</v>
      </c>
      <c r="M4219" s="14" t="s">
        <v>417</v>
      </c>
      <c r="N4219" s="14" t="s">
        <v>418</v>
      </c>
      <c r="O4219" s="14">
        <v>14.0</v>
      </c>
      <c r="P4219" s="21">
        <v>1.0</v>
      </c>
      <c r="Q4219" s="22" t="str">
        <f>"+0"</f>
        <v>+0</v>
      </c>
      <c r="R4219" s="18" t="str">
        <f>"-1"</f>
        <v>-1</v>
      </c>
      <c r="S4219" s="14" t="s">
        <v>260</v>
      </c>
    </row>
    <row r="4220">
      <c r="A4220" s="13">
        <v>45901.0</v>
      </c>
      <c r="B4220" s="14" t="s">
        <v>47</v>
      </c>
      <c r="C4220" s="14" t="s">
        <v>48</v>
      </c>
      <c r="D4220" s="14" t="s">
        <v>60</v>
      </c>
      <c r="E4220" s="14" t="s">
        <v>61</v>
      </c>
      <c r="F4220" s="15" t="s">
        <v>51</v>
      </c>
      <c r="G4220" s="14" t="s">
        <v>62</v>
      </c>
      <c r="H4220" s="14" t="s">
        <v>60</v>
      </c>
      <c r="I4220" s="14" t="s">
        <v>59</v>
      </c>
      <c r="J4220" s="14" t="s">
        <v>200</v>
      </c>
      <c r="K4220" s="14" t="s">
        <v>223</v>
      </c>
      <c r="L4220" s="14" t="s">
        <v>282</v>
      </c>
      <c r="M4220" s="14" t="s">
        <v>283</v>
      </c>
      <c r="N4220" s="14" t="s">
        <v>284</v>
      </c>
      <c r="O4220" s="14">
        <v>0.0</v>
      </c>
      <c r="P4220" s="23">
        <v>0.0</v>
      </c>
      <c r="Q4220" s="22" t="str">
        <f t="shared" ref="Q4220:R4220" si="2512">"+0.00%"</f>
        <v>+0.00%</v>
      </c>
      <c r="R4220" s="18" t="str">
        <f t="shared" si="2512"/>
        <v>+0.00%</v>
      </c>
      <c r="S4220" s="14" t="s">
        <v>285</v>
      </c>
    </row>
    <row r="4221">
      <c r="A4221" s="13">
        <v>45901.0</v>
      </c>
      <c r="B4221" s="14" t="s">
        <v>47</v>
      </c>
      <c r="C4221" s="14" t="s">
        <v>48</v>
      </c>
      <c r="D4221" s="14" t="s">
        <v>181</v>
      </c>
      <c r="E4221" s="14" t="s">
        <v>182</v>
      </c>
      <c r="F4221" s="15" t="s">
        <v>51</v>
      </c>
      <c r="G4221" s="14" t="s">
        <v>183</v>
      </c>
      <c r="H4221" s="14" t="s">
        <v>181</v>
      </c>
      <c r="I4221" s="14" t="s">
        <v>59</v>
      </c>
      <c r="J4221" s="14" t="s">
        <v>198</v>
      </c>
      <c r="K4221" s="14" t="s">
        <v>205</v>
      </c>
      <c r="L4221" s="14" t="s">
        <v>274</v>
      </c>
      <c r="M4221" s="14" t="s">
        <v>767</v>
      </c>
      <c r="N4221" s="14" t="s">
        <v>768</v>
      </c>
      <c r="O4221" s="14">
        <v>100.0</v>
      </c>
      <c r="P4221" s="21">
        <v>1.0</v>
      </c>
      <c r="Q4221" s="22" t="str">
        <f t="shared" ref="Q4221:Q4226" si="2513">"+0"</f>
        <v>+0</v>
      </c>
      <c r="S4221" s="14" t="s">
        <v>281</v>
      </c>
    </row>
    <row r="4222">
      <c r="A4222" s="13">
        <v>45901.0</v>
      </c>
      <c r="B4222" s="14" t="s">
        <v>47</v>
      </c>
      <c r="C4222" s="14" t="s">
        <v>48</v>
      </c>
      <c r="D4222" s="14" t="s">
        <v>140</v>
      </c>
      <c r="E4222" s="14" t="s">
        <v>141</v>
      </c>
      <c r="F4222" s="15" t="s">
        <v>51</v>
      </c>
      <c r="G4222" s="14" t="s">
        <v>142</v>
      </c>
      <c r="H4222" s="14" t="s">
        <v>140</v>
      </c>
      <c r="I4222" s="14" t="s">
        <v>59</v>
      </c>
      <c r="J4222" s="14" t="s">
        <v>200</v>
      </c>
      <c r="K4222" s="14" t="s">
        <v>227</v>
      </c>
      <c r="L4222" s="14" t="s">
        <v>270</v>
      </c>
      <c r="M4222" s="14" t="s">
        <v>417</v>
      </c>
      <c r="N4222" s="14" t="s">
        <v>418</v>
      </c>
      <c r="O4222" s="14">
        <v>0.0</v>
      </c>
      <c r="P4222" s="21">
        <v>0.0</v>
      </c>
      <c r="Q4222" s="22" t="str">
        <f t="shared" si="2513"/>
        <v>+0</v>
      </c>
      <c r="R4222" s="18" t="str">
        <f t="shared" ref="R4222:R4223" si="2514">"+0"</f>
        <v>+0</v>
      </c>
      <c r="S4222" s="14" t="s">
        <v>260</v>
      </c>
    </row>
    <row r="4223">
      <c r="A4223" s="13">
        <v>45901.0</v>
      </c>
      <c r="B4223" s="14" t="s">
        <v>47</v>
      </c>
      <c r="C4223" s="14" t="s">
        <v>48</v>
      </c>
      <c r="D4223" s="14" t="s">
        <v>56</v>
      </c>
      <c r="E4223" s="14" t="s">
        <v>57</v>
      </c>
      <c r="F4223" s="14" t="s">
        <v>71</v>
      </c>
      <c r="G4223" s="14">
        <v>5.36003976E8</v>
      </c>
      <c r="H4223" s="14" t="s">
        <v>56</v>
      </c>
      <c r="I4223" s="14" t="s">
        <v>59</v>
      </c>
      <c r="J4223" s="14" t="s">
        <v>199</v>
      </c>
      <c r="K4223" s="14" t="s">
        <v>203</v>
      </c>
      <c r="L4223" s="14" t="s">
        <v>342</v>
      </c>
      <c r="M4223" s="14" t="s">
        <v>342</v>
      </c>
      <c r="N4223" s="14" t="s">
        <v>343</v>
      </c>
      <c r="O4223" s="14">
        <v>100.0</v>
      </c>
      <c r="P4223" s="21">
        <v>1.0</v>
      </c>
      <c r="Q4223" s="22" t="str">
        <f t="shared" si="2513"/>
        <v>+0</v>
      </c>
      <c r="R4223" s="18" t="str">
        <f t="shared" si="2514"/>
        <v>+0</v>
      </c>
      <c r="S4223" s="14" t="s">
        <v>260</v>
      </c>
    </row>
    <row r="4224">
      <c r="A4224" s="13">
        <v>45901.0</v>
      </c>
      <c r="B4224" s="14" t="s">
        <v>47</v>
      </c>
      <c r="C4224" s="14" t="s">
        <v>48</v>
      </c>
      <c r="D4224" s="14" t="s">
        <v>56</v>
      </c>
      <c r="E4224" s="14" t="s">
        <v>57</v>
      </c>
      <c r="F4224" s="15" t="s">
        <v>51</v>
      </c>
      <c r="G4224" s="14" t="s">
        <v>58</v>
      </c>
      <c r="H4224" s="14" t="s">
        <v>56</v>
      </c>
      <c r="I4224" s="14" t="s">
        <v>59</v>
      </c>
      <c r="J4224" s="14" t="s">
        <v>198</v>
      </c>
      <c r="K4224" s="14" t="s">
        <v>205</v>
      </c>
      <c r="L4224" s="14" t="s">
        <v>274</v>
      </c>
      <c r="M4224" s="14" t="s">
        <v>275</v>
      </c>
      <c r="N4224" s="14" t="s">
        <v>276</v>
      </c>
      <c r="O4224" s="14">
        <v>0.0</v>
      </c>
      <c r="P4224" s="21">
        <v>1.0</v>
      </c>
      <c r="Q4224" s="22" t="str">
        <f t="shared" si="2513"/>
        <v>+0</v>
      </c>
      <c r="S4224" s="14" t="s">
        <v>277</v>
      </c>
    </row>
    <row r="4225">
      <c r="A4225" s="13">
        <v>45901.0</v>
      </c>
      <c r="B4225" s="14" t="s">
        <v>47</v>
      </c>
      <c r="C4225" s="14" t="s">
        <v>48</v>
      </c>
      <c r="D4225" s="14" t="s">
        <v>140</v>
      </c>
      <c r="E4225" s="14" t="s">
        <v>141</v>
      </c>
      <c r="F4225" s="15" t="s">
        <v>51</v>
      </c>
      <c r="G4225" s="14" t="s">
        <v>142</v>
      </c>
      <c r="H4225" s="14" t="s">
        <v>140</v>
      </c>
      <c r="I4225" s="14" t="s">
        <v>59</v>
      </c>
      <c r="J4225" s="14" t="s">
        <v>198</v>
      </c>
      <c r="K4225" s="14" t="s">
        <v>205</v>
      </c>
      <c r="L4225" s="14" t="s">
        <v>274</v>
      </c>
      <c r="M4225" s="14" t="s">
        <v>473</v>
      </c>
      <c r="N4225" s="14" t="s">
        <v>474</v>
      </c>
      <c r="O4225" s="14">
        <v>50.0</v>
      </c>
      <c r="P4225" s="21">
        <v>15.0</v>
      </c>
      <c r="Q4225" s="22" t="str">
        <f t="shared" si="2513"/>
        <v>+0</v>
      </c>
      <c r="S4225" s="14" t="s">
        <v>475</v>
      </c>
    </row>
    <row r="4226">
      <c r="A4226" s="13">
        <v>45901.0</v>
      </c>
      <c r="B4226" s="14" t="s">
        <v>47</v>
      </c>
      <c r="C4226" s="14" t="s">
        <v>48</v>
      </c>
      <c r="D4226" s="14" t="s">
        <v>140</v>
      </c>
      <c r="E4226" s="14" t="s">
        <v>141</v>
      </c>
      <c r="F4226" s="15" t="s">
        <v>51</v>
      </c>
      <c r="G4226" s="14" t="s">
        <v>142</v>
      </c>
      <c r="H4226" s="14" t="s">
        <v>140</v>
      </c>
      <c r="I4226" s="14" t="s">
        <v>59</v>
      </c>
      <c r="J4226" s="14" t="s">
        <v>198</v>
      </c>
      <c r="K4226" s="14" t="s">
        <v>207</v>
      </c>
      <c r="L4226" s="14" t="s">
        <v>318</v>
      </c>
      <c r="M4226" s="14" t="s">
        <v>508</v>
      </c>
      <c r="N4226" s="14" t="s">
        <v>509</v>
      </c>
      <c r="O4226" s="14">
        <v>0.0</v>
      </c>
      <c r="P4226" s="21">
        <v>0.0</v>
      </c>
      <c r="Q4226" s="22" t="str">
        <f t="shared" si="2513"/>
        <v>+0</v>
      </c>
      <c r="S4226" s="14" t="s">
        <v>281</v>
      </c>
    </row>
    <row r="4227">
      <c r="A4227" s="13">
        <v>45901.0</v>
      </c>
      <c r="B4227" s="14" t="s">
        <v>47</v>
      </c>
      <c r="C4227" s="14" t="s">
        <v>48</v>
      </c>
      <c r="D4227" s="14" t="s">
        <v>165</v>
      </c>
      <c r="E4227" s="14" t="s">
        <v>166</v>
      </c>
      <c r="F4227" s="15" t="s">
        <v>51</v>
      </c>
      <c r="G4227" s="14" t="s">
        <v>167</v>
      </c>
      <c r="H4227" s="14" t="s">
        <v>165</v>
      </c>
      <c r="I4227" s="14" t="s">
        <v>54</v>
      </c>
      <c r="J4227" s="14" t="s">
        <v>198</v>
      </c>
      <c r="K4227" s="14" t="s">
        <v>210</v>
      </c>
      <c r="L4227" s="14" t="s">
        <v>278</v>
      </c>
      <c r="M4227" s="14" t="s">
        <v>839</v>
      </c>
      <c r="N4227" s="14" t="s">
        <v>840</v>
      </c>
      <c r="O4227" s="14">
        <v>40.0</v>
      </c>
      <c r="P4227" s="21">
        <v>1468.0</v>
      </c>
      <c r="Q4227" s="22" t="str">
        <f>"-43"</f>
        <v>-43</v>
      </c>
      <c r="R4227" s="18" t="str">
        <f>"+45"</f>
        <v>+45</v>
      </c>
      <c r="S4227" s="14" t="s">
        <v>2237</v>
      </c>
    </row>
    <row r="4228">
      <c r="A4228" s="13">
        <v>45901.0</v>
      </c>
      <c r="B4228" s="14" t="s">
        <v>47</v>
      </c>
      <c r="C4228" s="14" t="s">
        <v>48</v>
      </c>
      <c r="D4228" s="14" t="s">
        <v>165</v>
      </c>
      <c r="E4228" s="14" t="s">
        <v>166</v>
      </c>
      <c r="F4228" s="15" t="s">
        <v>51</v>
      </c>
      <c r="G4228" s="14" t="s">
        <v>167</v>
      </c>
      <c r="H4228" s="14" t="s">
        <v>165</v>
      </c>
      <c r="I4228" s="14" t="s">
        <v>54</v>
      </c>
      <c r="J4228" s="14" t="s">
        <v>200</v>
      </c>
      <c r="K4228" s="14" t="s">
        <v>213</v>
      </c>
      <c r="L4228" s="14" t="s">
        <v>307</v>
      </c>
      <c r="M4228" s="14" t="s">
        <v>1176</v>
      </c>
      <c r="N4228" s="14" t="s">
        <v>1177</v>
      </c>
      <c r="O4228" s="14">
        <v>0.0</v>
      </c>
      <c r="P4228" s="23">
        <v>0.0</v>
      </c>
      <c r="Q4228" s="22" t="str">
        <f t="shared" ref="Q4228:R4228" si="2515">"+0.00%"</f>
        <v>+0.00%</v>
      </c>
      <c r="R4228" s="18" t="str">
        <f t="shared" si="2515"/>
        <v>+0.00%</v>
      </c>
      <c r="S4228" s="14" t="s">
        <v>285</v>
      </c>
    </row>
    <row r="4229">
      <c r="A4229" s="13">
        <v>45901.0</v>
      </c>
      <c r="B4229" s="14" t="s">
        <v>47</v>
      </c>
      <c r="C4229" s="14" t="s">
        <v>48</v>
      </c>
      <c r="D4229" s="14" t="s">
        <v>99</v>
      </c>
      <c r="E4229" s="14" t="s">
        <v>100</v>
      </c>
      <c r="F4229" s="15" t="s">
        <v>51</v>
      </c>
      <c r="G4229" s="14" t="s">
        <v>101</v>
      </c>
      <c r="H4229" s="14" t="s">
        <v>102</v>
      </c>
      <c r="I4229" s="14" t="s">
        <v>54</v>
      </c>
      <c r="J4229" s="14" t="s">
        <v>200</v>
      </c>
      <c r="K4229" s="14" t="s">
        <v>227</v>
      </c>
      <c r="L4229" s="14" t="s">
        <v>253</v>
      </c>
      <c r="M4229" s="14" t="s">
        <v>811</v>
      </c>
      <c r="N4229" s="14" t="s">
        <v>812</v>
      </c>
      <c r="O4229" s="14">
        <v>100.0</v>
      </c>
      <c r="P4229" s="23">
        <v>1.0</v>
      </c>
      <c r="Q4229" s="22" t="str">
        <f t="shared" ref="Q4229:R4229" si="2516">"+0.00%"</f>
        <v>+0.00%</v>
      </c>
      <c r="R4229" s="18" t="str">
        <f t="shared" si="2516"/>
        <v>+0.00%</v>
      </c>
      <c r="S4229" s="14" t="s">
        <v>813</v>
      </c>
    </row>
    <row r="4230">
      <c r="A4230" s="13">
        <v>45901.0</v>
      </c>
      <c r="B4230" s="14" t="s">
        <v>47</v>
      </c>
      <c r="C4230" s="14" t="s">
        <v>48</v>
      </c>
      <c r="D4230" s="14" t="s">
        <v>91</v>
      </c>
      <c r="E4230" s="14" t="s">
        <v>92</v>
      </c>
      <c r="F4230" s="14" t="s">
        <v>71</v>
      </c>
      <c r="G4230" s="14">
        <v>1.00005882E8</v>
      </c>
      <c r="H4230" s="14" t="s">
        <v>91</v>
      </c>
      <c r="I4230" s="14" t="s">
        <v>59</v>
      </c>
      <c r="J4230" s="14" t="s">
        <v>199</v>
      </c>
      <c r="K4230" s="14" t="s">
        <v>203</v>
      </c>
      <c r="L4230" s="14" t="s">
        <v>431</v>
      </c>
      <c r="M4230" s="14" t="s">
        <v>431</v>
      </c>
      <c r="N4230" s="14" t="s">
        <v>432</v>
      </c>
      <c r="O4230" s="14">
        <v>0.0</v>
      </c>
      <c r="P4230" s="21">
        <v>0.0</v>
      </c>
      <c r="Q4230" s="22" t="str">
        <f t="shared" ref="Q4230:R4230" si="2517">"+0"</f>
        <v>+0</v>
      </c>
      <c r="R4230" s="18" t="str">
        <f t="shared" si="2517"/>
        <v>+0</v>
      </c>
      <c r="S4230" s="14" t="s">
        <v>260</v>
      </c>
    </row>
    <row r="4231">
      <c r="A4231" s="13">
        <v>45901.0</v>
      </c>
      <c r="B4231" s="14" t="s">
        <v>47</v>
      </c>
      <c r="C4231" s="14" t="s">
        <v>48</v>
      </c>
      <c r="D4231" s="14" t="s">
        <v>63</v>
      </c>
      <c r="E4231" s="14" t="s">
        <v>64</v>
      </c>
      <c r="F4231" s="15" t="s">
        <v>51</v>
      </c>
      <c r="G4231" s="14" t="s">
        <v>65</v>
      </c>
      <c r="H4231" s="14" t="s">
        <v>63</v>
      </c>
      <c r="I4231" s="14" t="s">
        <v>54</v>
      </c>
      <c r="J4231" s="14" t="s">
        <v>200</v>
      </c>
      <c r="K4231" s="14" t="s">
        <v>219</v>
      </c>
      <c r="L4231" s="14" t="s">
        <v>253</v>
      </c>
      <c r="M4231" s="14" t="s">
        <v>2238</v>
      </c>
      <c r="N4231" s="14" t="s">
        <v>2239</v>
      </c>
      <c r="O4231" s="14">
        <v>100.0</v>
      </c>
      <c r="P4231" s="23">
        <v>0.0333</v>
      </c>
      <c r="Q4231" s="22" t="str">
        <f t="shared" ref="Q4231:R4231" si="2518">"+0.00%"</f>
        <v>+0.00%</v>
      </c>
      <c r="R4231" s="18" t="str">
        <f t="shared" si="2518"/>
        <v>+0.00%</v>
      </c>
      <c r="S4231" s="14" t="s">
        <v>285</v>
      </c>
    </row>
    <row r="4232">
      <c r="A4232" s="13">
        <v>45901.0</v>
      </c>
      <c r="B4232" s="14" t="s">
        <v>47</v>
      </c>
      <c r="C4232" s="14" t="s">
        <v>48</v>
      </c>
      <c r="D4232" s="14" t="s">
        <v>99</v>
      </c>
      <c r="E4232" s="14" t="s">
        <v>100</v>
      </c>
      <c r="F4232" s="15" t="s">
        <v>51</v>
      </c>
      <c r="G4232" s="14" t="s">
        <v>101</v>
      </c>
      <c r="H4232" s="14" t="s">
        <v>102</v>
      </c>
      <c r="I4232" s="14" t="s">
        <v>54</v>
      </c>
      <c r="J4232" s="14" t="s">
        <v>198</v>
      </c>
      <c r="K4232" s="14" t="s">
        <v>210</v>
      </c>
      <c r="L4232" s="14" t="s">
        <v>505</v>
      </c>
      <c r="M4232" s="14" t="s">
        <v>1128</v>
      </c>
      <c r="N4232" s="14" t="s">
        <v>1129</v>
      </c>
      <c r="O4232" s="14">
        <v>0.0</v>
      </c>
      <c r="P4232" s="21">
        <v>0.0</v>
      </c>
      <c r="Q4232" s="22" t="str">
        <f t="shared" ref="Q4232:R4232" si="2519">"+0"</f>
        <v>+0</v>
      </c>
      <c r="R4232" s="18" t="str">
        <f t="shared" si="2519"/>
        <v>+0</v>
      </c>
      <c r="S4232" s="14" t="s">
        <v>277</v>
      </c>
    </row>
    <row r="4233">
      <c r="A4233" s="13">
        <v>45901.0</v>
      </c>
      <c r="B4233" s="14" t="s">
        <v>47</v>
      </c>
      <c r="C4233" s="14" t="s">
        <v>48</v>
      </c>
      <c r="D4233" s="14" t="s">
        <v>63</v>
      </c>
      <c r="E4233" s="14" t="s">
        <v>64</v>
      </c>
      <c r="F4233" s="15" t="s">
        <v>51</v>
      </c>
      <c r="G4233" s="14" t="s">
        <v>65</v>
      </c>
      <c r="H4233" s="14" t="s">
        <v>63</v>
      </c>
      <c r="I4233" s="14" t="s">
        <v>54</v>
      </c>
      <c r="J4233" s="14" t="s">
        <v>198</v>
      </c>
      <c r="K4233" s="14" t="s">
        <v>205</v>
      </c>
      <c r="L4233" s="14" t="s">
        <v>274</v>
      </c>
      <c r="M4233" s="14" t="s">
        <v>482</v>
      </c>
      <c r="N4233" s="14" t="s">
        <v>483</v>
      </c>
      <c r="O4233" s="14">
        <v>100.0</v>
      </c>
      <c r="P4233" s="21">
        <v>8.0</v>
      </c>
      <c r="Q4233" s="22" t="str">
        <f>"+0"</f>
        <v>+0</v>
      </c>
      <c r="S4233" s="14" t="s">
        <v>484</v>
      </c>
    </row>
    <row r="4234">
      <c r="A4234" s="13">
        <v>45901.0</v>
      </c>
      <c r="B4234" s="14" t="s">
        <v>47</v>
      </c>
      <c r="C4234" s="14" t="s">
        <v>48</v>
      </c>
      <c r="D4234" s="14" t="s">
        <v>118</v>
      </c>
      <c r="E4234" s="14" t="s">
        <v>119</v>
      </c>
      <c r="F4234" s="15" t="s">
        <v>51</v>
      </c>
      <c r="G4234" s="14" t="s">
        <v>120</v>
      </c>
      <c r="H4234" s="14" t="s">
        <v>118</v>
      </c>
      <c r="I4234" s="14" t="s">
        <v>59</v>
      </c>
      <c r="J4234" s="14" t="s">
        <v>200</v>
      </c>
      <c r="K4234" s="14" t="s">
        <v>214</v>
      </c>
      <c r="L4234" s="14" t="s">
        <v>253</v>
      </c>
      <c r="M4234" s="14" t="s">
        <v>366</v>
      </c>
      <c r="N4234" s="14" t="s">
        <v>367</v>
      </c>
      <c r="O4234" s="14">
        <v>0.0</v>
      </c>
      <c r="P4234" s="23">
        <v>0.0</v>
      </c>
      <c r="Q4234" s="22" t="str">
        <f t="shared" ref="Q4234:R4234" si="2520">"+0.00%"</f>
        <v>+0.00%</v>
      </c>
      <c r="R4234" s="18" t="str">
        <f t="shared" si="2520"/>
        <v>+0.00%</v>
      </c>
      <c r="S4234" s="14" t="s">
        <v>2240</v>
      </c>
    </row>
    <row r="4235">
      <c r="A4235" s="13">
        <v>45901.0</v>
      </c>
      <c r="B4235" s="14" t="s">
        <v>47</v>
      </c>
      <c r="C4235" s="14" t="s">
        <v>48</v>
      </c>
      <c r="D4235" s="14" t="s">
        <v>184</v>
      </c>
      <c r="E4235" s="14" t="s">
        <v>185</v>
      </c>
      <c r="F4235" s="15" t="s">
        <v>51</v>
      </c>
      <c r="G4235" s="14" t="s">
        <v>186</v>
      </c>
      <c r="H4235" s="14" t="s">
        <v>187</v>
      </c>
      <c r="I4235" s="14" t="s">
        <v>59</v>
      </c>
      <c r="J4235" s="14" t="s">
        <v>198</v>
      </c>
      <c r="K4235" s="14" t="s">
        <v>205</v>
      </c>
      <c r="L4235" s="14" t="s">
        <v>274</v>
      </c>
      <c r="M4235" s="14" t="s">
        <v>425</v>
      </c>
      <c r="N4235" s="14" t="s">
        <v>426</v>
      </c>
      <c r="O4235" s="14">
        <v>0.0</v>
      </c>
      <c r="P4235" s="21">
        <v>0.0</v>
      </c>
      <c r="Q4235" s="22" t="str">
        <f>"+0"</f>
        <v>+0</v>
      </c>
      <c r="S4235" s="14" t="s">
        <v>281</v>
      </c>
    </row>
    <row r="4236">
      <c r="A4236" s="13">
        <v>45901.0</v>
      </c>
      <c r="B4236" s="14" t="s">
        <v>47</v>
      </c>
      <c r="C4236" s="14" t="s">
        <v>48</v>
      </c>
      <c r="D4236" s="14" t="s">
        <v>132</v>
      </c>
      <c r="E4236" s="14" t="s">
        <v>133</v>
      </c>
      <c r="F4236" s="15" t="s">
        <v>51</v>
      </c>
      <c r="G4236" s="14" t="s">
        <v>134</v>
      </c>
      <c r="H4236" s="14" t="s">
        <v>135</v>
      </c>
      <c r="I4236" s="14" t="s">
        <v>59</v>
      </c>
      <c r="J4236" s="14" t="s">
        <v>200</v>
      </c>
      <c r="K4236" s="14" t="s">
        <v>213</v>
      </c>
      <c r="L4236" s="14" t="s">
        <v>253</v>
      </c>
      <c r="M4236" s="14" t="s">
        <v>366</v>
      </c>
      <c r="N4236" s="14" t="s">
        <v>367</v>
      </c>
      <c r="O4236" s="14">
        <v>42.0</v>
      </c>
      <c r="P4236" s="23">
        <v>0.4286</v>
      </c>
      <c r="Q4236" s="22" t="str">
        <f t="shared" ref="Q4236:R4236" si="2521">"-1.43%"</f>
        <v>-1.43%</v>
      </c>
      <c r="R4236" s="18" t="str">
        <f t="shared" si="2521"/>
        <v>-1.43%</v>
      </c>
      <c r="S4236" s="14" t="s">
        <v>2241</v>
      </c>
    </row>
    <row r="4237">
      <c r="A4237" s="13">
        <v>45901.0</v>
      </c>
      <c r="B4237" s="14" t="s">
        <v>47</v>
      </c>
      <c r="C4237" s="14" t="s">
        <v>48</v>
      </c>
      <c r="D4237" s="14" t="s">
        <v>73</v>
      </c>
      <c r="E4237" s="14" t="s">
        <v>74</v>
      </c>
      <c r="F4237" s="15" t="s">
        <v>51</v>
      </c>
      <c r="G4237" s="14" t="s">
        <v>75</v>
      </c>
      <c r="H4237" s="14" t="s">
        <v>76</v>
      </c>
      <c r="I4237" s="14" t="s">
        <v>59</v>
      </c>
      <c r="J4237" s="14" t="s">
        <v>200</v>
      </c>
      <c r="K4237" s="14" t="s">
        <v>232</v>
      </c>
      <c r="L4237" s="14" t="s">
        <v>253</v>
      </c>
      <c r="M4237" s="14" t="s">
        <v>389</v>
      </c>
      <c r="N4237" s="14" t="s">
        <v>390</v>
      </c>
      <c r="O4237" s="14">
        <v>8.0</v>
      </c>
      <c r="P4237" s="23">
        <v>0.0811</v>
      </c>
      <c r="Q4237" s="22" t="str">
        <f t="shared" ref="Q4237:R4237" si="2522">"+0.00%"</f>
        <v>+0.00%</v>
      </c>
      <c r="R4237" s="18" t="str">
        <f t="shared" si="2522"/>
        <v>+0.00%</v>
      </c>
      <c r="S4237" s="14" t="s">
        <v>2242</v>
      </c>
    </row>
    <row r="4238">
      <c r="A4238" s="13">
        <v>45901.0</v>
      </c>
      <c r="B4238" s="14" t="s">
        <v>47</v>
      </c>
      <c r="C4238" s="14" t="s">
        <v>48</v>
      </c>
      <c r="D4238" s="14" t="s">
        <v>149</v>
      </c>
      <c r="E4238" s="14" t="s">
        <v>150</v>
      </c>
      <c r="F4238" s="15" t="s">
        <v>51</v>
      </c>
      <c r="G4238" s="14" t="s">
        <v>151</v>
      </c>
      <c r="H4238" s="14" t="s">
        <v>152</v>
      </c>
      <c r="I4238" s="14" t="s">
        <v>54</v>
      </c>
      <c r="J4238" s="14" t="s">
        <v>200</v>
      </c>
      <c r="K4238" s="14" t="s">
        <v>223</v>
      </c>
      <c r="L4238" s="14" t="s">
        <v>487</v>
      </c>
      <c r="M4238" s="14" t="s">
        <v>788</v>
      </c>
      <c r="N4238" s="14" t="s">
        <v>789</v>
      </c>
      <c r="O4238" s="14">
        <v>0.0</v>
      </c>
      <c r="P4238" s="23">
        <v>0.0</v>
      </c>
      <c r="Q4238" s="22" t="str">
        <f>"+0.00%"</f>
        <v>+0.00%</v>
      </c>
      <c r="R4238" s="18" t="str">
        <f>"-0.01%"</f>
        <v>-0.01%</v>
      </c>
      <c r="S4238" s="14" t="s">
        <v>285</v>
      </c>
    </row>
    <row r="4239">
      <c r="A4239" s="13">
        <v>45901.0</v>
      </c>
      <c r="B4239" s="14" t="s">
        <v>47</v>
      </c>
      <c r="C4239" s="14" t="s">
        <v>48</v>
      </c>
      <c r="D4239" s="14" t="s">
        <v>136</v>
      </c>
      <c r="E4239" s="14" t="s">
        <v>137</v>
      </c>
      <c r="F4239" s="15" t="s">
        <v>51</v>
      </c>
      <c r="G4239" s="14" t="s">
        <v>138</v>
      </c>
      <c r="H4239" s="14" t="s">
        <v>139</v>
      </c>
      <c r="I4239" s="14" t="s">
        <v>59</v>
      </c>
      <c r="J4239" s="14" t="s">
        <v>200</v>
      </c>
      <c r="K4239" s="14" t="s">
        <v>213</v>
      </c>
      <c r="L4239" s="14" t="s">
        <v>257</v>
      </c>
      <c r="M4239" s="14" t="s">
        <v>493</v>
      </c>
      <c r="N4239" s="14" t="s">
        <v>494</v>
      </c>
      <c r="O4239" s="14">
        <v>32.0</v>
      </c>
      <c r="P4239" s="23">
        <v>-0.3536</v>
      </c>
      <c r="Q4239" s="22" t="str">
        <f>"-135.36%"</f>
        <v>-135.36%</v>
      </c>
      <c r="R4239" s="18" t="str">
        <f>"+3.41%"</f>
        <v>+3.41%</v>
      </c>
      <c r="S4239" s="14" t="s">
        <v>2243</v>
      </c>
    </row>
    <row r="4240">
      <c r="A4240" s="13">
        <v>45901.0</v>
      </c>
      <c r="B4240" s="14" t="s">
        <v>47</v>
      </c>
      <c r="C4240" s="14" t="s">
        <v>48</v>
      </c>
      <c r="D4240" s="14" t="s">
        <v>136</v>
      </c>
      <c r="E4240" s="14" t="s">
        <v>137</v>
      </c>
      <c r="F4240" s="15" t="s">
        <v>51</v>
      </c>
      <c r="G4240" s="14" t="s">
        <v>138</v>
      </c>
      <c r="H4240" s="14" t="s">
        <v>139</v>
      </c>
      <c r="I4240" s="14" t="s">
        <v>59</v>
      </c>
      <c r="J4240" s="14" t="s">
        <v>200</v>
      </c>
      <c r="K4240" s="14" t="s">
        <v>213</v>
      </c>
      <c r="L4240" s="14" t="s">
        <v>257</v>
      </c>
      <c r="M4240" s="14" t="s">
        <v>258</v>
      </c>
      <c r="N4240" s="14" t="s">
        <v>259</v>
      </c>
      <c r="O4240" s="14">
        <v>100.0</v>
      </c>
      <c r="P4240" s="21">
        <v>35.0</v>
      </c>
      <c r="Q4240" s="22" t="str">
        <f t="shared" ref="Q4240:R4240" si="2523">"+0"</f>
        <v>+0</v>
      </c>
      <c r="R4240" s="18" t="str">
        <f t="shared" si="2523"/>
        <v>+0</v>
      </c>
      <c r="S4240" s="14" t="s">
        <v>260</v>
      </c>
    </row>
    <row r="4241">
      <c r="A4241" s="13">
        <v>45901.0</v>
      </c>
      <c r="B4241" s="14" t="s">
        <v>47</v>
      </c>
      <c r="C4241" s="14" t="s">
        <v>48</v>
      </c>
      <c r="D4241" s="14" t="s">
        <v>129</v>
      </c>
      <c r="E4241" s="14" t="s">
        <v>130</v>
      </c>
      <c r="F4241" s="15" t="s">
        <v>51</v>
      </c>
      <c r="G4241" s="14" t="s">
        <v>131</v>
      </c>
      <c r="H4241" s="14" t="s">
        <v>129</v>
      </c>
      <c r="I4241" s="14" t="s">
        <v>59</v>
      </c>
      <c r="J4241" s="14" t="s">
        <v>200</v>
      </c>
      <c r="K4241" s="14" t="s">
        <v>213</v>
      </c>
      <c r="L4241" s="14" t="s">
        <v>591</v>
      </c>
      <c r="M4241" s="14" t="s">
        <v>592</v>
      </c>
      <c r="N4241" s="14" t="s">
        <v>1048</v>
      </c>
      <c r="O4241" s="14">
        <v>0.0</v>
      </c>
      <c r="P4241" s="23">
        <v>0.0</v>
      </c>
      <c r="Q4241" s="22" t="str">
        <f>"+0.00%"</f>
        <v>+0.00%</v>
      </c>
      <c r="R4241" s="18" t="str">
        <f>"-0.09%"</f>
        <v>-0.09%</v>
      </c>
      <c r="S4241" s="14" t="s">
        <v>285</v>
      </c>
    </row>
    <row r="4242">
      <c r="A4242" s="13">
        <v>45901.0</v>
      </c>
      <c r="B4242" s="14" t="s">
        <v>47</v>
      </c>
      <c r="C4242" s="14" t="s">
        <v>48</v>
      </c>
      <c r="D4242" s="14" t="s">
        <v>69</v>
      </c>
      <c r="E4242" s="14" t="s">
        <v>70</v>
      </c>
      <c r="F4242" s="15" t="s">
        <v>51</v>
      </c>
      <c r="G4242" s="14" t="s">
        <v>115</v>
      </c>
      <c r="H4242" s="14" t="s">
        <v>72</v>
      </c>
      <c r="I4242" s="14" t="s">
        <v>54</v>
      </c>
      <c r="J4242" s="14" t="s">
        <v>200</v>
      </c>
      <c r="K4242" s="14" t="s">
        <v>222</v>
      </c>
      <c r="L4242" s="14" t="s">
        <v>253</v>
      </c>
      <c r="M4242" s="14" t="s">
        <v>1108</v>
      </c>
      <c r="N4242" s="14" t="s">
        <v>1109</v>
      </c>
      <c r="O4242" s="14">
        <v>50.0</v>
      </c>
      <c r="P4242" s="21">
        <v>1.0</v>
      </c>
      <c r="Q4242" s="22" t="str">
        <f t="shared" ref="Q4242:Q4244" si="2524">"+0"</f>
        <v>+0</v>
      </c>
      <c r="R4242" s="18" t="str">
        <f>"-1"</f>
        <v>-1</v>
      </c>
      <c r="S4242" s="14" t="s">
        <v>450</v>
      </c>
    </row>
    <row r="4243">
      <c r="A4243" s="13">
        <v>45901.0</v>
      </c>
      <c r="B4243" s="14" t="s">
        <v>47</v>
      </c>
      <c r="C4243" s="14" t="s">
        <v>48</v>
      </c>
      <c r="D4243" s="14" t="s">
        <v>116</v>
      </c>
      <c r="E4243" s="14" t="s">
        <v>117</v>
      </c>
      <c r="F4243" s="15" t="s">
        <v>51</v>
      </c>
      <c r="G4243" s="14" t="s">
        <v>161</v>
      </c>
      <c r="H4243" s="14" t="s">
        <v>116</v>
      </c>
      <c r="I4243" s="14" t="s">
        <v>54</v>
      </c>
      <c r="J4243" s="14" t="s">
        <v>198</v>
      </c>
      <c r="K4243" s="14" t="s">
        <v>210</v>
      </c>
      <c r="L4243" s="14" t="s">
        <v>264</v>
      </c>
      <c r="M4243" s="14" t="s">
        <v>357</v>
      </c>
      <c r="N4243" s="14" t="s">
        <v>358</v>
      </c>
      <c r="O4243" s="14">
        <v>100.0</v>
      </c>
      <c r="P4243" s="21">
        <v>0.0</v>
      </c>
      <c r="Q4243" s="22" t="str">
        <f t="shared" si="2524"/>
        <v>+0</v>
      </c>
      <c r="R4243" s="18" t="str">
        <f t="shared" ref="R4243:R4244" si="2525">"+0"</f>
        <v>+0</v>
      </c>
      <c r="S4243" s="14" t="s">
        <v>281</v>
      </c>
    </row>
    <row r="4244">
      <c r="A4244" s="13">
        <v>45901.0</v>
      </c>
      <c r="B4244" s="14" t="s">
        <v>47</v>
      </c>
      <c r="C4244" s="14" t="s">
        <v>48</v>
      </c>
      <c r="D4244" s="14" t="s">
        <v>116</v>
      </c>
      <c r="E4244" s="14" t="s">
        <v>117</v>
      </c>
      <c r="F4244" s="15" t="s">
        <v>51</v>
      </c>
      <c r="G4244" s="14" t="s">
        <v>161</v>
      </c>
      <c r="H4244" s="14" t="s">
        <v>116</v>
      </c>
      <c r="I4244" s="14" t="s">
        <v>54</v>
      </c>
      <c r="J4244" s="14" t="s">
        <v>198</v>
      </c>
      <c r="K4244" s="14" t="s">
        <v>210</v>
      </c>
      <c r="L4244" s="14" t="s">
        <v>264</v>
      </c>
      <c r="M4244" s="14" t="s">
        <v>641</v>
      </c>
      <c r="N4244" s="14" t="s">
        <v>642</v>
      </c>
      <c r="O4244" s="14">
        <v>0.0</v>
      </c>
      <c r="P4244" s="21">
        <v>0.0</v>
      </c>
      <c r="Q4244" s="22" t="str">
        <f t="shared" si="2524"/>
        <v>+0</v>
      </c>
      <c r="R4244" s="18" t="str">
        <f t="shared" si="2525"/>
        <v>+0</v>
      </c>
      <c r="S4244" s="14" t="s">
        <v>277</v>
      </c>
    </row>
    <row r="4245">
      <c r="A4245" s="13">
        <v>45901.0</v>
      </c>
      <c r="B4245" s="14" t="s">
        <v>47</v>
      </c>
      <c r="C4245" s="14" t="s">
        <v>48</v>
      </c>
      <c r="D4245" s="14" t="s">
        <v>112</v>
      </c>
      <c r="E4245" s="14" t="s">
        <v>113</v>
      </c>
      <c r="F4245" s="15" t="s">
        <v>51</v>
      </c>
      <c r="G4245" s="14" t="s">
        <v>114</v>
      </c>
      <c r="H4245" s="14" t="s">
        <v>112</v>
      </c>
      <c r="I4245" s="14" t="s">
        <v>59</v>
      </c>
      <c r="J4245" s="14" t="s">
        <v>200</v>
      </c>
      <c r="K4245" s="14" t="s">
        <v>213</v>
      </c>
      <c r="L4245" s="14" t="s">
        <v>307</v>
      </c>
      <c r="M4245" s="14" t="s">
        <v>856</v>
      </c>
      <c r="N4245" s="14" t="s">
        <v>857</v>
      </c>
      <c r="O4245" s="14">
        <v>0.0</v>
      </c>
      <c r="P4245" s="23">
        <v>0.0</v>
      </c>
      <c r="Q4245" s="22" t="str">
        <f t="shared" ref="Q4245:R4245" si="2526">"+0.00%"</f>
        <v>+0.00%</v>
      </c>
      <c r="R4245" s="18" t="str">
        <f t="shared" si="2526"/>
        <v>+0.00%</v>
      </c>
      <c r="S4245" s="14" t="s">
        <v>285</v>
      </c>
    </row>
    <row r="4246">
      <c r="A4246" s="13">
        <v>45901.0</v>
      </c>
      <c r="B4246" s="14" t="s">
        <v>47</v>
      </c>
      <c r="C4246" s="14" t="s">
        <v>48</v>
      </c>
      <c r="D4246" s="14" t="s">
        <v>116</v>
      </c>
      <c r="E4246" s="14" t="s">
        <v>117</v>
      </c>
      <c r="F4246" s="15" t="s">
        <v>51</v>
      </c>
      <c r="G4246" s="14" t="s">
        <v>161</v>
      </c>
      <c r="H4246" s="14" t="s">
        <v>116</v>
      </c>
      <c r="I4246" s="14" t="s">
        <v>54</v>
      </c>
      <c r="J4246" s="14" t="s">
        <v>200</v>
      </c>
      <c r="K4246" s="14" t="s">
        <v>224</v>
      </c>
      <c r="L4246" s="14" t="s">
        <v>253</v>
      </c>
      <c r="M4246" s="14" t="s">
        <v>952</v>
      </c>
      <c r="N4246" s="14" t="s">
        <v>953</v>
      </c>
      <c r="O4246" s="14">
        <v>73.0</v>
      </c>
      <c r="P4246" s="23">
        <v>0.7333</v>
      </c>
      <c r="Q4246" s="22" t="str">
        <f>"+0.00%"</f>
        <v>+0.00%</v>
      </c>
      <c r="R4246" s="18" t="str">
        <f>"+2.22%"</f>
        <v>+2.22%</v>
      </c>
      <c r="S4246" s="14" t="s">
        <v>2244</v>
      </c>
    </row>
    <row r="4247">
      <c r="A4247" s="13">
        <v>45901.0</v>
      </c>
      <c r="B4247" s="14" t="s">
        <v>47</v>
      </c>
      <c r="C4247" s="14" t="s">
        <v>48</v>
      </c>
      <c r="D4247" s="14" t="s">
        <v>77</v>
      </c>
      <c r="E4247" s="14" t="s">
        <v>78</v>
      </c>
      <c r="F4247" s="15" t="s">
        <v>51</v>
      </c>
      <c r="G4247" s="14" t="s">
        <v>128</v>
      </c>
      <c r="H4247" s="14" t="s">
        <v>81</v>
      </c>
      <c r="I4247" s="14" t="s">
        <v>59</v>
      </c>
      <c r="J4247" s="14" t="s">
        <v>198</v>
      </c>
      <c r="K4247" s="14" t="s">
        <v>210</v>
      </c>
      <c r="L4247" s="14" t="s">
        <v>264</v>
      </c>
      <c r="M4247" s="14" t="s">
        <v>357</v>
      </c>
      <c r="N4247" s="14" t="s">
        <v>358</v>
      </c>
      <c r="O4247" s="14">
        <v>100.0</v>
      </c>
      <c r="P4247" s="21">
        <v>0.0</v>
      </c>
      <c r="Q4247" s="22" t="str">
        <f t="shared" ref="Q4247:R4247" si="2527">"+0"</f>
        <v>+0</v>
      </c>
      <c r="R4247" s="18" t="str">
        <f t="shared" si="2527"/>
        <v>+0</v>
      </c>
      <c r="S4247" s="14" t="s">
        <v>281</v>
      </c>
    </row>
    <row r="4248">
      <c r="A4248" s="13">
        <v>45901.0</v>
      </c>
      <c r="B4248" s="14" t="s">
        <v>47</v>
      </c>
      <c r="C4248" s="14" t="s">
        <v>48</v>
      </c>
      <c r="D4248" s="14" t="s">
        <v>60</v>
      </c>
      <c r="E4248" s="14" t="s">
        <v>61</v>
      </c>
      <c r="F4248" s="15" t="s">
        <v>51</v>
      </c>
      <c r="G4248" s="14" t="s">
        <v>62</v>
      </c>
      <c r="H4248" s="14" t="s">
        <v>60</v>
      </c>
      <c r="I4248" s="14" t="s">
        <v>59</v>
      </c>
      <c r="J4248" s="14" t="s">
        <v>199</v>
      </c>
      <c r="K4248" s="14" t="s">
        <v>203</v>
      </c>
      <c r="L4248" s="14" t="s">
        <v>431</v>
      </c>
      <c r="M4248" s="14" t="s">
        <v>431</v>
      </c>
      <c r="N4248" s="14" t="s">
        <v>432</v>
      </c>
      <c r="O4248" s="14">
        <v>0.0</v>
      </c>
      <c r="P4248" s="21">
        <v>0.0</v>
      </c>
      <c r="Q4248" s="22" t="str">
        <f t="shared" ref="Q4248:R4248" si="2528">"+0"</f>
        <v>+0</v>
      </c>
      <c r="R4248" s="18" t="str">
        <f t="shared" si="2528"/>
        <v>+0</v>
      </c>
      <c r="S4248" s="14" t="s">
        <v>260</v>
      </c>
    </row>
    <row r="4249">
      <c r="A4249" s="13">
        <v>45901.0</v>
      </c>
      <c r="B4249" s="14" t="s">
        <v>47</v>
      </c>
      <c r="C4249" s="14" t="s">
        <v>48</v>
      </c>
      <c r="D4249" s="14" t="s">
        <v>168</v>
      </c>
      <c r="E4249" s="14" t="s">
        <v>169</v>
      </c>
      <c r="F4249" s="15" t="s">
        <v>51</v>
      </c>
      <c r="G4249" s="14" t="s">
        <v>170</v>
      </c>
      <c r="H4249" s="14" t="s">
        <v>168</v>
      </c>
      <c r="I4249" s="14" t="s">
        <v>59</v>
      </c>
      <c r="J4249" s="14" t="s">
        <v>198</v>
      </c>
      <c r="K4249" s="14" t="s">
        <v>205</v>
      </c>
      <c r="L4249" s="14" t="s">
        <v>274</v>
      </c>
      <c r="M4249" s="14" t="s">
        <v>636</v>
      </c>
      <c r="N4249" s="14" t="s">
        <v>637</v>
      </c>
      <c r="O4249" s="14">
        <v>100.0</v>
      </c>
      <c r="P4249" s="21">
        <v>1.0</v>
      </c>
      <c r="Q4249" s="22" t="str">
        <f>"+0"</f>
        <v>+0</v>
      </c>
      <c r="S4249" s="14" t="s">
        <v>281</v>
      </c>
    </row>
    <row r="4250">
      <c r="A4250" s="13">
        <v>45901.0</v>
      </c>
      <c r="B4250" s="14" t="s">
        <v>47</v>
      </c>
      <c r="C4250" s="14" t="s">
        <v>48</v>
      </c>
      <c r="D4250" s="14" t="s">
        <v>165</v>
      </c>
      <c r="E4250" s="14" t="s">
        <v>166</v>
      </c>
      <c r="F4250" s="15" t="s">
        <v>51</v>
      </c>
      <c r="G4250" s="14" t="s">
        <v>167</v>
      </c>
      <c r="H4250" s="14" t="s">
        <v>165</v>
      </c>
      <c r="I4250" s="14" t="s">
        <v>54</v>
      </c>
      <c r="J4250" s="14" t="s">
        <v>200</v>
      </c>
      <c r="K4250" s="14" t="s">
        <v>227</v>
      </c>
      <c r="L4250" s="14" t="s">
        <v>270</v>
      </c>
      <c r="M4250" s="14" t="s">
        <v>321</v>
      </c>
      <c r="N4250" s="14" t="s">
        <v>322</v>
      </c>
      <c r="O4250" s="14">
        <v>53.0</v>
      </c>
      <c r="P4250" s="23">
        <v>0.0608</v>
      </c>
      <c r="Q4250" s="22" t="str">
        <f>"+5.89%"</f>
        <v>+5.89%</v>
      </c>
      <c r="R4250" s="18" t="str">
        <f>"-2.60%"</f>
        <v>-2.60%</v>
      </c>
      <c r="S4250" s="14" t="s">
        <v>323</v>
      </c>
    </row>
    <row r="4251">
      <c r="A4251" s="13">
        <v>45901.0</v>
      </c>
      <c r="B4251" s="14" t="s">
        <v>47</v>
      </c>
      <c r="C4251" s="14" t="s">
        <v>48</v>
      </c>
      <c r="D4251" s="14" t="s">
        <v>165</v>
      </c>
      <c r="E4251" s="14" t="s">
        <v>166</v>
      </c>
      <c r="F4251" s="15" t="s">
        <v>51</v>
      </c>
      <c r="G4251" s="14" t="s">
        <v>167</v>
      </c>
      <c r="H4251" s="14" t="s">
        <v>165</v>
      </c>
      <c r="I4251" s="14" t="s">
        <v>54</v>
      </c>
      <c r="J4251" s="14" t="s">
        <v>199</v>
      </c>
      <c r="K4251" s="14" t="s">
        <v>206</v>
      </c>
      <c r="L4251" s="14" t="s">
        <v>515</v>
      </c>
      <c r="M4251" s="14" t="s">
        <v>515</v>
      </c>
      <c r="N4251" s="14" t="s">
        <v>516</v>
      </c>
      <c r="O4251" s="14">
        <v>75.0</v>
      </c>
      <c r="P4251" s="21">
        <v>1.0</v>
      </c>
      <c r="Q4251" s="22" t="str">
        <f t="shared" ref="Q4251:R4251" si="2529">"+0"</f>
        <v>+0</v>
      </c>
      <c r="R4251" s="18" t="str">
        <f t="shared" si="2529"/>
        <v>+0</v>
      </c>
      <c r="S4251" s="14" t="s">
        <v>383</v>
      </c>
    </row>
    <row r="4252">
      <c r="A4252" s="13">
        <v>45901.0</v>
      </c>
      <c r="B4252" s="14" t="s">
        <v>47</v>
      </c>
      <c r="C4252" s="14" t="s">
        <v>48</v>
      </c>
      <c r="D4252" s="14" t="s">
        <v>49</v>
      </c>
      <c r="E4252" s="14" t="s">
        <v>50</v>
      </c>
      <c r="F4252" s="15" t="s">
        <v>51</v>
      </c>
      <c r="G4252" s="14" t="s">
        <v>52</v>
      </c>
      <c r="H4252" s="14" t="s">
        <v>53</v>
      </c>
      <c r="I4252" s="14" t="s">
        <v>54</v>
      </c>
      <c r="J4252" s="14" t="s">
        <v>200</v>
      </c>
      <c r="K4252" s="14" t="s">
        <v>227</v>
      </c>
      <c r="L4252" s="14" t="s">
        <v>270</v>
      </c>
      <c r="M4252" s="14" t="s">
        <v>400</v>
      </c>
      <c r="N4252" s="14" t="s">
        <v>401</v>
      </c>
      <c r="O4252" s="14">
        <v>19.0</v>
      </c>
      <c r="P4252" s="21">
        <v>4.0</v>
      </c>
      <c r="Q4252" s="22" t="str">
        <f>"+0"</f>
        <v>+0</v>
      </c>
      <c r="R4252" s="18" t="str">
        <f>"-1"</f>
        <v>-1</v>
      </c>
      <c r="S4252" s="14" t="s">
        <v>260</v>
      </c>
    </row>
    <row r="4253">
      <c r="A4253" s="13">
        <v>45901.0</v>
      </c>
      <c r="B4253" s="14" t="s">
        <v>47</v>
      </c>
      <c r="C4253" s="14" t="s">
        <v>48</v>
      </c>
      <c r="D4253" s="14" t="s">
        <v>49</v>
      </c>
      <c r="E4253" s="14" t="s">
        <v>50</v>
      </c>
      <c r="F4253" s="15" t="s">
        <v>51</v>
      </c>
      <c r="G4253" s="14" t="s">
        <v>52</v>
      </c>
      <c r="H4253" s="14" t="s">
        <v>53</v>
      </c>
      <c r="I4253" s="14" t="s">
        <v>54</v>
      </c>
      <c r="J4253" s="14" t="s">
        <v>200</v>
      </c>
      <c r="K4253" s="14" t="s">
        <v>213</v>
      </c>
      <c r="L4253" s="14" t="s">
        <v>307</v>
      </c>
      <c r="M4253" s="14" t="s">
        <v>502</v>
      </c>
      <c r="N4253" s="14" t="s">
        <v>503</v>
      </c>
      <c r="O4253" s="14">
        <v>0.0</v>
      </c>
      <c r="P4253" s="23">
        <v>0.0</v>
      </c>
      <c r="Q4253" s="22" t="str">
        <f t="shared" ref="Q4253:R4253" si="2530">"+0.00%"</f>
        <v>+0.00%</v>
      </c>
      <c r="R4253" s="18" t="str">
        <f t="shared" si="2530"/>
        <v>+0.00%</v>
      </c>
      <c r="S4253" s="14" t="s">
        <v>2245</v>
      </c>
    </row>
    <row r="4254">
      <c r="A4254" s="13">
        <v>45901.0</v>
      </c>
      <c r="B4254" s="14" t="s">
        <v>47</v>
      </c>
      <c r="C4254" s="14" t="s">
        <v>48</v>
      </c>
      <c r="D4254" s="14" t="s">
        <v>91</v>
      </c>
      <c r="E4254" s="14" t="s">
        <v>92</v>
      </c>
      <c r="F4254" s="14" t="s">
        <v>71</v>
      </c>
      <c r="G4254" s="14">
        <v>5.00008613E8</v>
      </c>
      <c r="H4254" s="14" t="s">
        <v>91</v>
      </c>
      <c r="I4254" s="14" t="s">
        <v>59</v>
      </c>
      <c r="J4254" s="14" t="s">
        <v>200</v>
      </c>
      <c r="K4254" s="14" t="s">
        <v>218</v>
      </c>
      <c r="L4254" s="14" t="s">
        <v>253</v>
      </c>
      <c r="M4254" s="14" t="s">
        <v>1388</v>
      </c>
      <c r="N4254" s="14" t="s">
        <v>1389</v>
      </c>
      <c r="O4254" s="14">
        <v>38.0</v>
      </c>
      <c r="P4254" s="23">
        <v>0.3865</v>
      </c>
      <c r="Q4254" s="22" t="str">
        <f t="shared" ref="Q4254:R4254" si="2531">"+0.00%"</f>
        <v>+0.00%</v>
      </c>
      <c r="R4254" s="18" t="str">
        <f t="shared" si="2531"/>
        <v>+0.00%</v>
      </c>
      <c r="S4254" s="14" t="s">
        <v>909</v>
      </c>
    </row>
    <row r="4255">
      <c r="A4255" s="13">
        <v>45901.0</v>
      </c>
      <c r="B4255" s="14" t="s">
        <v>47</v>
      </c>
      <c r="C4255" s="14" t="s">
        <v>48</v>
      </c>
      <c r="D4255" s="14" t="s">
        <v>118</v>
      </c>
      <c r="E4255" s="14" t="s">
        <v>119</v>
      </c>
      <c r="F4255" s="15" t="s">
        <v>51</v>
      </c>
      <c r="G4255" s="14" t="s">
        <v>120</v>
      </c>
      <c r="H4255" s="14" t="s">
        <v>118</v>
      </c>
      <c r="I4255" s="14" t="s">
        <v>59</v>
      </c>
      <c r="J4255" s="14" t="s">
        <v>198</v>
      </c>
      <c r="K4255" s="14" t="s">
        <v>210</v>
      </c>
      <c r="L4255" s="14" t="s">
        <v>264</v>
      </c>
      <c r="M4255" s="14" t="s">
        <v>357</v>
      </c>
      <c r="N4255" s="14" t="s">
        <v>358</v>
      </c>
      <c r="O4255" s="14">
        <v>100.0</v>
      </c>
      <c r="P4255" s="21">
        <v>0.0</v>
      </c>
      <c r="Q4255" s="22" t="str">
        <f t="shared" ref="Q4255:R4255" si="2532">"+0"</f>
        <v>+0</v>
      </c>
      <c r="R4255" s="18" t="str">
        <f t="shared" si="2532"/>
        <v>+0</v>
      </c>
      <c r="S4255" s="14" t="s">
        <v>281</v>
      </c>
    </row>
    <row r="4256">
      <c r="A4256" s="13">
        <v>45901.0</v>
      </c>
      <c r="B4256" s="14" t="s">
        <v>47</v>
      </c>
      <c r="C4256" s="14" t="s">
        <v>48</v>
      </c>
      <c r="D4256" s="14" t="s">
        <v>99</v>
      </c>
      <c r="E4256" s="14" t="s">
        <v>100</v>
      </c>
      <c r="F4256" s="15" t="s">
        <v>51</v>
      </c>
      <c r="G4256" s="14" t="s">
        <v>101</v>
      </c>
      <c r="H4256" s="14" t="s">
        <v>102</v>
      </c>
      <c r="I4256" s="14" t="s">
        <v>54</v>
      </c>
      <c r="J4256" s="14" t="s">
        <v>198</v>
      </c>
      <c r="K4256" s="14" t="s">
        <v>210</v>
      </c>
      <c r="L4256" s="14" t="s">
        <v>278</v>
      </c>
      <c r="M4256" s="14" t="s">
        <v>1485</v>
      </c>
      <c r="N4256" s="14" t="s">
        <v>1486</v>
      </c>
      <c r="O4256" s="14">
        <v>0.0</v>
      </c>
      <c r="P4256" s="21">
        <v>0.0</v>
      </c>
      <c r="Q4256" s="22" t="str">
        <f t="shared" ref="Q4256:R4256" si="2533">"+0"</f>
        <v>+0</v>
      </c>
      <c r="R4256" s="18" t="str">
        <f t="shared" si="2533"/>
        <v>+0</v>
      </c>
      <c r="S4256" s="14" t="s">
        <v>277</v>
      </c>
    </row>
    <row r="4257">
      <c r="A4257" s="13">
        <v>45901.0</v>
      </c>
      <c r="B4257" s="14" t="s">
        <v>47</v>
      </c>
      <c r="C4257" s="14" t="s">
        <v>48</v>
      </c>
      <c r="D4257" s="14" t="s">
        <v>184</v>
      </c>
      <c r="E4257" s="14" t="s">
        <v>185</v>
      </c>
      <c r="F4257" s="15" t="s">
        <v>51</v>
      </c>
      <c r="G4257" s="14" t="s">
        <v>186</v>
      </c>
      <c r="H4257" s="14" t="s">
        <v>187</v>
      </c>
      <c r="I4257" s="14" t="s">
        <v>59</v>
      </c>
      <c r="J4257" s="14" t="s">
        <v>200</v>
      </c>
      <c r="K4257" s="14" t="s">
        <v>227</v>
      </c>
      <c r="L4257" s="14" t="s">
        <v>270</v>
      </c>
      <c r="M4257" s="14" t="s">
        <v>400</v>
      </c>
      <c r="N4257" s="14" t="s">
        <v>401</v>
      </c>
      <c r="O4257" s="14">
        <v>33.0</v>
      </c>
      <c r="P4257" s="21">
        <v>1.0</v>
      </c>
      <c r="Q4257" s="22" t="str">
        <f t="shared" ref="Q4257:R4257" si="2534">"+1"</f>
        <v>+1</v>
      </c>
      <c r="R4257" s="18" t="str">
        <f t="shared" si="2534"/>
        <v>+1</v>
      </c>
      <c r="S4257" s="14" t="s">
        <v>260</v>
      </c>
    </row>
    <row r="4258">
      <c r="A4258" s="13">
        <v>45901.0</v>
      </c>
      <c r="B4258" s="14" t="s">
        <v>47</v>
      </c>
      <c r="C4258" s="14" t="s">
        <v>48</v>
      </c>
      <c r="D4258" s="14" t="s">
        <v>56</v>
      </c>
      <c r="E4258" s="14" t="s">
        <v>57</v>
      </c>
      <c r="F4258" s="15" t="s">
        <v>51</v>
      </c>
      <c r="G4258" s="14" t="s">
        <v>58</v>
      </c>
      <c r="H4258" s="14" t="s">
        <v>56</v>
      </c>
      <c r="I4258" s="14" t="s">
        <v>59</v>
      </c>
      <c r="J4258" s="14" t="s">
        <v>200</v>
      </c>
      <c r="K4258" s="14" t="s">
        <v>223</v>
      </c>
      <c r="L4258" s="14" t="s">
        <v>307</v>
      </c>
      <c r="M4258" s="14" t="s">
        <v>533</v>
      </c>
      <c r="N4258" s="14" t="s">
        <v>534</v>
      </c>
      <c r="O4258" s="14">
        <v>0.0</v>
      </c>
      <c r="P4258" s="23">
        <v>0.0</v>
      </c>
      <c r="Q4258" s="22" t="str">
        <f t="shared" ref="Q4258:R4258" si="2535">"+0.00%"</f>
        <v>+0.00%</v>
      </c>
      <c r="R4258" s="18" t="str">
        <f t="shared" si="2535"/>
        <v>+0.00%</v>
      </c>
      <c r="S4258" s="14" t="s">
        <v>2246</v>
      </c>
    </row>
    <row r="4259">
      <c r="A4259" s="13">
        <v>45901.0</v>
      </c>
      <c r="B4259" s="14" t="s">
        <v>47</v>
      </c>
      <c r="C4259" s="14" t="s">
        <v>48</v>
      </c>
      <c r="D4259" s="14" t="s">
        <v>184</v>
      </c>
      <c r="E4259" s="14" t="s">
        <v>185</v>
      </c>
      <c r="F4259" s="15" t="s">
        <v>51</v>
      </c>
      <c r="G4259" s="14" t="s">
        <v>186</v>
      </c>
      <c r="H4259" s="14" t="s">
        <v>187</v>
      </c>
      <c r="I4259" s="14" t="s">
        <v>59</v>
      </c>
      <c r="J4259" s="14" t="s">
        <v>200</v>
      </c>
      <c r="K4259" s="14" t="s">
        <v>224</v>
      </c>
      <c r="L4259" s="14" t="s">
        <v>392</v>
      </c>
      <c r="M4259" s="14" t="s">
        <v>1638</v>
      </c>
      <c r="N4259" s="14" t="s">
        <v>1639</v>
      </c>
      <c r="O4259" s="14">
        <v>0.0</v>
      </c>
      <c r="P4259" s="17"/>
      <c r="Q4259" s="22"/>
      <c r="S4259" s="14" t="s">
        <v>2247</v>
      </c>
    </row>
    <row r="4260">
      <c r="A4260" s="13">
        <v>45901.0</v>
      </c>
      <c r="B4260" s="14" t="s">
        <v>47</v>
      </c>
      <c r="C4260" s="14" t="s">
        <v>48</v>
      </c>
      <c r="D4260" s="14" t="s">
        <v>143</v>
      </c>
      <c r="E4260" s="14" t="s">
        <v>144</v>
      </c>
      <c r="F4260" s="15" t="s">
        <v>51</v>
      </c>
      <c r="G4260" s="14" t="s">
        <v>145</v>
      </c>
      <c r="H4260" s="14" t="s">
        <v>143</v>
      </c>
      <c r="I4260" s="14" t="s">
        <v>59</v>
      </c>
      <c r="J4260" s="14" t="s">
        <v>200</v>
      </c>
      <c r="K4260" s="14" t="s">
        <v>224</v>
      </c>
      <c r="L4260" s="14" t="s">
        <v>392</v>
      </c>
      <c r="M4260" s="14" t="s">
        <v>1424</v>
      </c>
      <c r="N4260" s="14" t="s">
        <v>1425</v>
      </c>
      <c r="O4260" s="14">
        <v>0.0</v>
      </c>
      <c r="P4260" s="23">
        <v>0.0</v>
      </c>
      <c r="Q4260" s="22" t="str">
        <f>"+0.00%"</f>
        <v>+0.00%</v>
      </c>
      <c r="S4260" s="14" t="s">
        <v>2248</v>
      </c>
    </row>
    <row r="4261">
      <c r="A4261" s="13">
        <v>45901.0</v>
      </c>
      <c r="B4261" s="14" t="s">
        <v>47</v>
      </c>
      <c r="C4261" s="14" t="s">
        <v>48</v>
      </c>
      <c r="D4261" s="14" t="s">
        <v>73</v>
      </c>
      <c r="E4261" s="14" t="s">
        <v>74</v>
      </c>
      <c r="F4261" s="15" t="s">
        <v>51</v>
      </c>
      <c r="G4261" s="14" t="s">
        <v>75</v>
      </c>
      <c r="H4261" s="14" t="s">
        <v>76</v>
      </c>
      <c r="I4261" s="14" t="s">
        <v>59</v>
      </c>
      <c r="J4261" s="14" t="s">
        <v>199</v>
      </c>
      <c r="K4261" s="14" t="s">
        <v>206</v>
      </c>
      <c r="L4261" s="14" t="s">
        <v>569</v>
      </c>
      <c r="M4261" s="14" t="s">
        <v>569</v>
      </c>
      <c r="N4261" s="14" t="s">
        <v>570</v>
      </c>
      <c r="O4261" s="14">
        <v>0.0</v>
      </c>
      <c r="P4261" s="21">
        <v>0.0</v>
      </c>
      <c r="Q4261" s="22" t="str">
        <f t="shared" ref="Q4261:R4261" si="2536">"+0"</f>
        <v>+0</v>
      </c>
      <c r="R4261" s="18" t="str">
        <f t="shared" si="2536"/>
        <v>+0</v>
      </c>
      <c r="S4261" s="14" t="s">
        <v>383</v>
      </c>
    </row>
    <row r="4262">
      <c r="A4262" s="13">
        <v>45901.0</v>
      </c>
      <c r="B4262" s="14" t="s">
        <v>47</v>
      </c>
      <c r="C4262" s="14" t="s">
        <v>48</v>
      </c>
      <c r="D4262" s="14" t="s">
        <v>82</v>
      </c>
      <c r="E4262" s="14" t="s">
        <v>83</v>
      </c>
      <c r="F4262" s="15" t="s">
        <v>51</v>
      </c>
      <c r="G4262" s="14" t="s">
        <v>84</v>
      </c>
      <c r="H4262" s="14" t="s">
        <v>82</v>
      </c>
      <c r="I4262" s="14" t="s">
        <v>59</v>
      </c>
      <c r="J4262" s="14" t="s">
        <v>199</v>
      </c>
      <c r="K4262" s="14" t="s">
        <v>206</v>
      </c>
      <c r="L4262" s="14" t="s">
        <v>268</v>
      </c>
      <c r="M4262" s="14" t="s">
        <v>268</v>
      </c>
      <c r="N4262" s="14" t="s">
        <v>269</v>
      </c>
      <c r="O4262" s="14">
        <v>0.0</v>
      </c>
      <c r="P4262" s="21">
        <v>0.0</v>
      </c>
      <c r="Q4262" s="22" t="str">
        <f t="shared" ref="Q4262:R4262" si="2537">"+0"</f>
        <v>+0</v>
      </c>
      <c r="R4262" s="18" t="str">
        <f t="shared" si="2537"/>
        <v>+0</v>
      </c>
      <c r="S4262" s="14" t="s">
        <v>260</v>
      </c>
    </row>
    <row r="4263">
      <c r="A4263" s="13">
        <v>45901.0</v>
      </c>
      <c r="B4263" s="14" t="s">
        <v>47</v>
      </c>
      <c r="C4263" s="14" t="s">
        <v>48</v>
      </c>
      <c r="D4263" s="14" t="s">
        <v>184</v>
      </c>
      <c r="E4263" s="14" t="s">
        <v>185</v>
      </c>
      <c r="F4263" s="15" t="s">
        <v>51</v>
      </c>
      <c r="G4263" s="14" t="s">
        <v>186</v>
      </c>
      <c r="H4263" s="14" t="s">
        <v>187</v>
      </c>
      <c r="I4263" s="14" t="s">
        <v>59</v>
      </c>
      <c r="J4263" s="14" t="s">
        <v>200</v>
      </c>
      <c r="K4263" s="14" t="s">
        <v>227</v>
      </c>
      <c r="L4263" s="14" t="s">
        <v>721</v>
      </c>
      <c r="M4263" s="14" t="s">
        <v>748</v>
      </c>
      <c r="N4263" s="14" t="s">
        <v>749</v>
      </c>
      <c r="O4263" s="14">
        <v>0.0</v>
      </c>
      <c r="P4263" s="23">
        <v>-1.0</v>
      </c>
      <c r="Q4263" s="22" t="str">
        <f t="shared" ref="Q4263:R4263" si="2538">"+0.00%"</f>
        <v>+0.00%</v>
      </c>
      <c r="R4263" s="18" t="str">
        <f t="shared" si="2538"/>
        <v>+0.00%</v>
      </c>
      <c r="S4263" s="14" t="s">
        <v>750</v>
      </c>
    </row>
    <row r="4264">
      <c r="A4264" s="13">
        <v>45901.0</v>
      </c>
      <c r="B4264" s="14" t="s">
        <v>47</v>
      </c>
      <c r="C4264" s="14" t="s">
        <v>48</v>
      </c>
      <c r="D4264" s="14" t="s">
        <v>82</v>
      </c>
      <c r="E4264" s="14" t="s">
        <v>83</v>
      </c>
      <c r="F4264" s="15" t="s">
        <v>51</v>
      </c>
      <c r="G4264" s="14" t="s">
        <v>84</v>
      </c>
      <c r="H4264" s="14" t="s">
        <v>82</v>
      </c>
      <c r="I4264" s="14" t="s">
        <v>59</v>
      </c>
      <c r="J4264" s="14" t="s">
        <v>198</v>
      </c>
      <c r="K4264" s="14" t="s">
        <v>205</v>
      </c>
      <c r="L4264" s="14" t="s">
        <v>274</v>
      </c>
      <c r="M4264" s="14" t="s">
        <v>482</v>
      </c>
      <c r="N4264" s="14" t="s">
        <v>483</v>
      </c>
      <c r="O4264" s="14">
        <v>100.0</v>
      </c>
      <c r="P4264" s="21">
        <v>12.0</v>
      </c>
      <c r="Q4264" s="22" t="str">
        <f t="shared" ref="Q4264:Q4265" si="2539">"+0"</f>
        <v>+0</v>
      </c>
      <c r="S4264" s="14" t="s">
        <v>484</v>
      </c>
    </row>
    <row r="4265">
      <c r="A4265" s="13">
        <v>45901.0</v>
      </c>
      <c r="B4265" s="14" t="s">
        <v>47</v>
      </c>
      <c r="C4265" s="14" t="s">
        <v>48</v>
      </c>
      <c r="D4265" s="14" t="s">
        <v>66</v>
      </c>
      <c r="E4265" s="14" t="s">
        <v>67</v>
      </c>
      <c r="F4265" s="15" t="s">
        <v>51</v>
      </c>
      <c r="G4265" s="14" t="s">
        <v>68</v>
      </c>
      <c r="H4265" s="14" t="s">
        <v>66</v>
      </c>
      <c r="I4265" s="14" t="s">
        <v>59</v>
      </c>
      <c r="J4265" s="14" t="s">
        <v>200</v>
      </c>
      <c r="K4265" s="14" t="s">
        <v>223</v>
      </c>
      <c r="L4265" s="14" t="s">
        <v>487</v>
      </c>
      <c r="M4265" s="14" t="s">
        <v>1415</v>
      </c>
      <c r="N4265" s="14" t="s">
        <v>1416</v>
      </c>
      <c r="O4265" s="14">
        <v>0.0</v>
      </c>
      <c r="P4265" s="21">
        <v>0.0</v>
      </c>
      <c r="Q4265" s="22" t="str">
        <f t="shared" si="2539"/>
        <v>+0</v>
      </c>
      <c r="R4265" s="18" t="str">
        <f>"+0"</f>
        <v>+0</v>
      </c>
      <c r="S4265" s="14" t="s">
        <v>260</v>
      </c>
    </row>
    <row r="4266">
      <c r="A4266" s="13">
        <v>45901.0</v>
      </c>
      <c r="B4266" s="14" t="s">
        <v>47</v>
      </c>
      <c r="C4266" s="14" t="s">
        <v>48</v>
      </c>
      <c r="D4266" s="14" t="s">
        <v>73</v>
      </c>
      <c r="E4266" s="14" t="s">
        <v>74</v>
      </c>
      <c r="F4266" s="15" t="s">
        <v>51</v>
      </c>
      <c r="G4266" s="14" t="s">
        <v>75</v>
      </c>
      <c r="H4266" s="14" t="s">
        <v>76</v>
      </c>
      <c r="I4266" s="14" t="s">
        <v>59</v>
      </c>
      <c r="J4266" s="14" t="s">
        <v>200</v>
      </c>
      <c r="K4266" s="14" t="s">
        <v>232</v>
      </c>
      <c r="L4266" s="14" t="s">
        <v>286</v>
      </c>
      <c r="M4266" s="14" t="s">
        <v>1199</v>
      </c>
      <c r="N4266" s="14" t="s">
        <v>1200</v>
      </c>
      <c r="O4266" s="14">
        <v>0.0</v>
      </c>
      <c r="P4266" s="23">
        <v>0.0</v>
      </c>
      <c r="Q4266" s="22" t="str">
        <f t="shared" ref="Q4266:R4266" si="2540">"+0.00%"</f>
        <v>+0.00%</v>
      </c>
      <c r="R4266" s="18" t="str">
        <f t="shared" si="2540"/>
        <v>+0.00%</v>
      </c>
      <c r="S4266" s="14" t="s">
        <v>285</v>
      </c>
    </row>
    <row r="4267">
      <c r="A4267" s="13">
        <v>45901.0</v>
      </c>
      <c r="B4267" s="14" t="s">
        <v>47</v>
      </c>
      <c r="C4267" s="14" t="s">
        <v>48</v>
      </c>
      <c r="D4267" s="14" t="s">
        <v>103</v>
      </c>
      <c r="E4267" s="14" t="s">
        <v>104</v>
      </c>
      <c r="F4267" s="15" t="s">
        <v>51</v>
      </c>
      <c r="G4267" s="14" t="s">
        <v>105</v>
      </c>
      <c r="H4267" s="14" t="s">
        <v>106</v>
      </c>
      <c r="I4267" s="14" t="s">
        <v>59</v>
      </c>
      <c r="J4267" s="14" t="s">
        <v>200</v>
      </c>
      <c r="K4267" s="14" t="s">
        <v>232</v>
      </c>
      <c r="L4267" s="14" t="s">
        <v>422</v>
      </c>
      <c r="M4267" s="14" t="s">
        <v>1197</v>
      </c>
      <c r="N4267" s="14" t="s">
        <v>1198</v>
      </c>
      <c r="O4267" s="14">
        <v>0.0</v>
      </c>
      <c r="P4267" s="23">
        <v>0.0</v>
      </c>
      <c r="Q4267" s="22" t="str">
        <f t="shared" ref="Q4267:R4267" si="2541">"+0.00%"</f>
        <v>+0.00%</v>
      </c>
      <c r="R4267" s="18" t="str">
        <f t="shared" si="2541"/>
        <v>+0.00%</v>
      </c>
      <c r="S4267" s="14" t="s">
        <v>285</v>
      </c>
    </row>
    <row r="4268">
      <c r="A4268" s="13">
        <v>45901.0</v>
      </c>
      <c r="B4268" s="14" t="s">
        <v>47</v>
      </c>
      <c r="C4268" s="14" t="s">
        <v>48</v>
      </c>
      <c r="D4268" s="14" t="s">
        <v>143</v>
      </c>
      <c r="E4268" s="14" t="s">
        <v>144</v>
      </c>
      <c r="F4268" s="15" t="s">
        <v>51</v>
      </c>
      <c r="G4268" s="14" t="s">
        <v>145</v>
      </c>
      <c r="H4268" s="14" t="s">
        <v>143</v>
      </c>
      <c r="I4268" s="14" t="s">
        <v>59</v>
      </c>
      <c r="J4268" s="14" t="s">
        <v>200</v>
      </c>
      <c r="K4268" s="14" t="s">
        <v>219</v>
      </c>
      <c r="L4268" s="14" t="s">
        <v>253</v>
      </c>
      <c r="M4268" s="14" t="s">
        <v>899</v>
      </c>
      <c r="N4268" s="14" t="s">
        <v>900</v>
      </c>
      <c r="O4268" s="14">
        <v>100.0</v>
      </c>
      <c r="P4268" s="23">
        <v>3.0E-4</v>
      </c>
      <c r="Q4268" s="22" t="str">
        <f t="shared" ref="Q4268:R4268" si="2542">"+0.00%"</f>
        <v>+0.00%</v>
      </c>
      <c r="R4268" s="18" t="str">
        <f t="shared" si="2542"/>
        <v>+0.00%</v>
      </c>
      <c r="S4268" s="14" t="s">
        <v>285</v>
      </c>
    </row>
    <row r="4269">
      <c r="A4269" s="13">
        <v>45901.0</v>
      </c>
      <c r="B4269" s="14" t="s">
        <v>47</v>
      </c>
      <c r="C4269" s="14" t="s">
        <v>48</v>
      </c>
      <c r="D4269" s="14" t="s">
        <v>149</v>
      </c>
      <c r="E4269" s="14" t="s">
        <v>150</v>
      </c>
      <c r="F4269" s="15" t="s">
        <v>51</v>
      </c>
      <c r="G4269" s="14" t="s">
        <v>151</v>
      </c>
      <c r="H4269" s="14" t="s">
        <v>152</v>
      </c>
      <c r="I4269" s="14" t="s">
        <v>54</v>
      </c>
      <c r="J4269" s="14" t="s">
        <v>198</v>
      </c>
      <c r="K4269" s="14" t="s">
        <v>210</v>
      </c>
      <c r="L4269" s="14" t="s">
        <v>264</v>
      </c>
      <c r="M4269" s="14" t="s">
        <v>802</v>
      </c>
      <c r="N4269" s="14" t="s">
        <v>803</v>
      </c>
      <c r="O4269" s="14">
        <v>0.0</v>
      </c>
      <c r="P4269" s="21">
        <v>0.0</v>
      </c>
      <c r="Q4269" s="22" t="str">
        <f t="shared" ref="Q4269:R4269" si="2543">"+0"</f>
        <v>+0</v>
      </c>
      <c r="R4269" s="18" t="str">
        <f t="shared" si="2543"/>
        <v>+0</v>
      </c>
      <c r="S4269" s="14" t="s">
        <v>277</v>
      </c>
    </row>
    <row r="4270">
      <c r="A4270" s="13">
        <v>45901.0</v>
      </c>
      <c r="B4270" s="14" t="s">
        <v>47</v>
      </c>
      <c r="C4270" s="14" t="s">
        <v>48</v>
      </c>
      <c r="D4270" s="14" t="s">
        <v>129</v>
      </c>
      <c r="E4270" s="14" t="s">
        <v>130</v>
      </c>
      <c r="F4270" s="15" t="s">
        <v>51</v>
      </c>
      <c r="G4270" s="14" t="s">
        <v>131</v>
      </c>
      <c r="H4270" s="14" t="s">
        <v>129</v>
      </c>
      <c r="I4270" s="14" t="s">
        <v>59</v>
      </c>
      <c r="J4270" s="14" t="s">
        <v>198</v>
      </c>
      <c r="K4270" s="14" t="s">
        <v>205</v>
      </c>
      <c r="L4270" s="14" t="s">
        <v>274</v>
      </c>
      <c r="M4270" s="14" t="s">
        <v>425</v>
      </c>
      <c r="N4270" s="14" t="s">
        <v>426</v>
      </c>
      <c r="O4270" s="14">
        <v>0.0</v>
      </c>
      <c r="P4270" s="21">
        <v>0.0</v>
      </c>
      <c r="Q4270" s="22" t="str">
        <f>"+0"</f>
        <v>+0</v>
      </c>
      <c r="S4270" s="14" t="s">
        <v>281</v>
      </c>
    </row>
    <row r="4271">
      <c r="A4271" s="13">
        <v>45901.0</v>
      </c>
      <c r="B4271" s="14" t="s">
        <v>47</v>
      </c>
      <c r="C4271" s="14" t="s">
        <v>48</v>
      </c>
      <c r="D4271" s="14" t="s">
        <v>136</v>
      </c>
      <c r="E4271" s="14" t="s">
        <v>137</v>
      </c>
      <c r="F4271" s="15" t="s">
        <v>51</v>
      </c>
      <c r="G4271" s="14" t="s">
        <v>138</v>
      </c>
      <c r="H4271" s="14" t="s">
        <v>139</v>
      </c>
      <c r="I4271" s="14" t="s">
        <v>59</v>
      </c>
      <c r="J4271" s="14" t="s">
        <v>200</v>
      </c>
      <c r="K4271" s="14" t="s">
        <v>213</v>
      </c>
      <c r="L4271" s="14" t="s">
        <v>440</v>
      </c>
      <c r="M4271" s="14" t="s">
        <v>510</v>
      </c>
      <c r="N4271" s="14" t="s">
        <v>511</v>
      </c>
      <c r="O4271" s="14">
        <v>0.0</v>
      </c>
      <c r="P4271" s="23">
        <v>0.0</v>
      </c>
      <c r="Q4271" s="22" t="str">
        <f t="shared" ref="Q4271:R4271" si="2544">"+0.00%"</f>
        <v>+0.00%</v>
      </c>
      <c r="R4271" s="18" t="str">
        <f t="shared" si="2544"/>
        <v>+0.00%</v>
      </c>
      <c r="S4271" s="14" t="s">
        <v>285</v>
      </c>
    </row>
    <row r="4272">
      <c r="A4272" s="13">
        <v>45901.0</v>
      </c>
      <c r="B4272" s="14" t="s">
        <v>47</v>
      </c>
      <c r="C4272" s="14" t="s">
        <v>48</v>
      </c>
      <c r="D4272" s="14" t="s">
        <v>136</v>
      </c>
      <c r="E4272" s="14" t="s">
        <v>137</v>
      </c>
      <c r="F4272" s="15" t="s">
        <v>51</v>
      </c>
      <c r="G4272" s="14" t="s">
        <v>138</v>
      </c>
      <c r="H4272" s="14" t="s">
        <v>139</v>
      </c>
      <c r="I4272" s="14" t="s">
        <v>59</v>
      </c>
      <c r="J4272" s="14" t="s">
        <v>200</v>
      </c>
      <c r="K4272" s="14" t="s">
        <v>213</v>
      </c>
      <c r="L4272" s="14" t="s">
        <v>359</v>
      </c>
      <c r="M4272" s="14" t="s">
        <v>628</v>
      </c>
      <c r="N4272" s="14" t="s">
        <v>629</v>
      </c>
      <c r="O4272" s="14">
        <v>100.0</v>
      </c>
      <c r="P4272" s="21">
        <v>51.0</v>
      </c>
      <c r="Q4272" s="22" t="str">
        <f t="shared" ref="Q4272:R4272" si="2545">"+0"</f>
        <v>+0</v>
      </c>
      <c r="R4272" s="18" t="str">
        <f t="shared" si="2545"/>
        <v>+0</v>
      </c>
      <c r="S4272" s="14" t="s">
        <v>260</v>
      </c>
    </row>
    <row r="4273">
      <c r="A4273" s="13">
        <v>45901.0</v>
      </c>
      <c r="B4273" s="14" t="s">
        <v>47</v>
      </c>
      <c r="C4273" s="14" t="s">
        <v>48</v>
      </c>
      <c r="D4273" s="14" t="s">
        <v>171</v>
      </c>
      <c r="E4273" s="14" t="s">
        <v>172</v>
      </c>
      <c r="F4273" s="15" t="s">
        <v>51</v>
      </c>
      <c r="G4273" s="14" t="s">
        <v>173</v>
      </c>
      <c r="H4273" s="14" t="s">
        <v>171</v>
      </c>
      <c r="I4273" s="14" t="s">
        <v>59</v>
      </c>
      <c r="J4273" s="14" t="s">
        <v>200</v>
      </c>
      <c r="K4273" s="14" t="s">
        <v>204</v>
      </c>
      <c r="L4273" s="14" t="s">
        <v>253</v>
      </c>
      <c r="M4273" s="14" t="s">
        <v>490</v>
      </c>
      <c r="N4273" s="14" t="s">
        <v>491</v>
      </c>
      <c r="O4273" s="14">
        <v>0.0</v>
      </c>
      <c r="P4273" s="23">
        <v>0.0</v>
      </c>
      <c r="Q4273" s="22" t="str">
        <f t="shared" ref="Q4273:R4273" si="2546">"+0.00%"</f>
        <v>+0.00%</v>
      </c>
      <c r="R4273" s="18" t="str">
        <f t="shared" si="2546"/>
        <v>+0.00%</v>
      </c>
      <c r="S4273" s="14" t="s">
        <v>492</v>
      </c>
    </row>
    <row r="4274">
      <c r="A4274" s="13">
        <v>45901.0</v>
      </c>
      <c r="B4274" s="14" t="s">
        <v>47</v>
      </c>
      <c r="C4274" s="14" t="s">
        <v>48</v>
      </c>
      <c r="D4274" s="14" t="s">
        <v>69</v>
      </c>
      <c r="E4274" s="14" t="s">
        <v>70</v>
      </c>
      <c r="F4274" s="15" t="s">
        <v>51</v>
      </c>
      <c r="G4274" s="14" t="s">
        <v>115</v>
      </c>
      <c r="H4274" s="14" t="s">
        <v>72</v>
      </c>
      <c r="I4274" s="14" t="s">
        <v>54</v>
      </c>
      <c r="J4274" s="14" t="s">
        <v>200</v>
      </c>
      <c r="K4274" s="14" t="s">
        <v>227</v>
      </c>
      <c r="L4274" s="14" t="s">
        <v>721</v>
      </c>
      <c r="M4274" s="14" t="s">
        <v>722</v>
      </c>
      <c r="N4274" s="14" t="s">
        <v>723</v>
      </c>
      <c r="O4274" s="14">
        <v>50.0</v>
      </c>
      <c r="P4274" s="23">
        <v>7.0E-4</v>
      </c>
      <c r="Q4274" s="22" t="str">
        <f>"+6.47%"</f>
        <v>+6.47%</v>
      </c>
      <c r="R4274" s="18" t="str">
        <f>"+1.67%"</f>
        <v>+1.67%</v>
      </c>
      <c r="S4274" s="14" t="s">
        <v>724</v>
      </c>
    </row>
    <row r="4275">
      <c r="A4275" s="13">
        <v>45901.0</v>
      </c>
      <c r="B4275" s="14" t="s">
        <v>47</v>
      </c>
      <c r="C4275" s="14" t="s">
        <v>48</v>
      </c>
      <c r="D4275" s="14" t="s">
        <v>85</v>
      </c>
      <c r="E4275" s="14" t="s">
        <v>86</v>
      </c>
      <c r="F4275" s="14" t="s">
        <v>146</v>
      </c>
      <c r="G4275" s="14" t="s">
        <v>162</v>
      </c>
      <c r="H4275" s="14" t="s">
        <v>85</v>
      </c>
      <c r="I4275" s="14" t="s">
        <v>107</v>
      </c>
      <c r="J4275" s="14" t="s">
        <v>199</v>
      </c>
      <c r="K4275" s="14" t="s">
        <v>206</v>
      </c>
      <c r="L4275" s="14" t="s">
        <v>295</v>
      </c>
      <c r="M4275" s="14" t="s">
        <v>986</v>
      </c>
      <c r="N4275" s="14" t="s">
        <v>987</v>
      </c>
      <c r="O4275" s="14">
        <v>0.0</v>
      </c>
      <c r="P4275" s="21">
        <v>0.0</v>
      </c>
      <c r="Q4275" s="22" t="str">
        <f t="shared" ref="Q4275:R4275" si="2547">"-2"</f>
        <v>-2</v>
      </c>
      <c r="R4275" s="18" t="str">
        <f t="shared" si="2547"/>
        <v>-2</v>
      </c>
      <c r="S4275" s="14" t="s">
        <v>260</v>
      </c>
    </row>
    <row r="4276">
      <c r="A4276" s="13">
        <v>45901.0</v>
      </c>
      <c r="B4276" s="14" t="s">
        <v>47</v>
      </c>
      <c r="C4276" s="14" t="s">
        <v>48</v>
      </c>
      <c r="D4276" s="14" t="s">
        <v>77</v>
      </c>
      <c r="E4276" s="14" t="s">
        <v>78</v>
      </c>
      <c r="F4276" s="15" t="s">
        <v>51</v>
      </c>
      <c r="G4276" s="14" t="s">
        <v>128</v>
      </c>
      <c r="H4276" s="14" t="s">
        <v>81</v>
      </c>
      <c r="I4276" s="14" t="s">
        <v>59</v>
      </c>
      <c r="J4276" s="14" t="s">
        <v>200</v>
      </c>
      <c r="K4276" s="14" t="s">
        <v>204</v>
      </c>
      <c r="L4276" s="14" t="s">
        <v>253</v>
      </c>
      <c r="M4276" s="14" t="s">
        <v>490</v>
      </c>
      <c r="N4276" s="14" t="s">
        <v>491</v>
      </c>
      <c r="O4276" s="14">
        <v>0.0</v>
      </c>
      <c r="P4276" s="23">
        <v>0.0</v>
      </c>
      <c r="Q4276" s="22" t="str">
        <f t="shared" ref="Q4276:R4276" si="2548">"+0.00%"</f>
        <v>+0.00%</v>
      </c>
      <c r="R4276" s="18" t="str">
        <f t="shared" si="2548"/>
        <v>+0.00%</v>
      </c>
      <c r="S4276" s="14" t="s">
        <v>492</v>
      </c>
    </row>
    <row r="4277">
      <c r="A4277" s="13">
        <v>45901.0</v>
      </c>
      <c r="B4277" s="14" t="s">
        <v>47</v>
      </c>
      <c r="C4277" s="14" t="s">
        <v>48</v>
      </c>
      <c r="D4277" s="14" t="s">
        <v>112</v>
      </c>
      <c r="E4277" s="14" t="s">
        <v>113</v>
      </c>
      <c r="F4277" s="15" t="s">
        <v>51</v>
      </c>
      <c r="G4277" s="14" t="s">
        <v>114</v>
      </c>
      <c r="H4277" s="14" t="s">
        <v>112</v>
      </c>
      <c r="I4277" s="14" t="s">
        <v>59</v>
      </c>
      <c r="J4277" s="14" t="s">
        <v>198</v>
      </c>
      <c r="K4277" s="14" t="s">
        <v>212</v>
      </c>
      <c r="L4277" s="14" t="s">
        <v>249</v>
      </c>
      <c r="M4277" s="14" t="s">
        <v>250</v>
      </c>
      <c r="N4277" s="14" t="s">
        <v>251</v>
      </c>
      <c r="O4277" s="14">
        <v>56.0</v>
      </c>
      <c r="P4277" s="21">
        <v>731.0</v>
      </c>
      <c r="Q4277" s="22" t="str">
        <f>"+497"</f>
        <v>+497</v>
      </c>
      <c r="R4277" s="18" t="str">
        <f>"-3,523"</f>
        <v>-3,523</v>
      </c>
      <c r="S4277" s="14" t="s">
        <v>2249</v>
      </c>
    </row>
    <row r="4278">
      <c r="A4278" s="13">
        <v>45901.0</v>
      </c>
      <c r="B4278" s="14" t="s">
        <v>47</v>
      </c>
      <c r="C4278" s="14" t="s">
        <v>48</v>
      </c>
      <c r="D4278" s="14" t="s">
        <v>77</v>
      </c>
      <c r="E4278" s="14" t="s">
        <v>78</v>
      </c>
      <c r="F4278" s="14" t="s">
        <v>79</v>
      </c>
      <c r="G4278" s="14" t="s">
        <v>80</v>
      </c>
      <c r="H4278" s="14" t="s">
        <v>81</v>
      </c>
      <c r="J4278" s="14" t="s">
        <v>200</v>
      </c>
      <c r="K4278" s="14" t="s">
        <v>237</v>
      </c>
      <c r="L4278" s="14" t="s">
        <v>253</v>
      </c>
      <c r="M4278" s="14" t="s">
        <v>1720</v>
      </c>
      <c r="N4278" s="14" t="s">
        <v>1721</v>
      </c>
      <c r="O4278" s="14">
        <v>0.0</v>
      </c>
      <c r="P4278" s="23">
        <v>0.0</v>
      </c>
      <c r="Q4278" s="22" t="str">
        <f t="shared" ref="Q4278:R4278" si="2549">"+0.00%"</f>
        <v>+0.00%</v>
      </c>
      <c r="R4278" s="18" t="str">
        <f t="shared" si="2549"/>
        <v>+0.00%</v>
      </c>
      <c r="S4278" s="14" t="s">
        <v>2250</v>
      </c>
    </row>
    <row r="4279">
      <c r="A4279" s="13">
        <v>45901.0</v>
      </c>
      <c r="B4279" s="14" t="s">
        <v>47</v>
      </c>
      <c r="C4279" s="14" t="s">
        <v>48</v>
      </c>
      <c r="D4279" s="14" t="s">
        <v>112</v>
      </c>
      <c r="E4279" s="14" t="s">
        <v>113</v>
      </c>
      <c r="F4279" s="15" t="s">
        <v>51</v>
      </c>
      <c r="G4279" s="14" t="s">
        <v>114</v>
      </c>
      <c r="H4279" s="14" t="s">
        <v>112</v>
      </c>
      <c r="I4279" s="14" t="s">
        <v>59</v>
      </c>
      <c r="J4279" s="14" t="s">
        <v>199</v>
      </c>
      <c r="K4279" s="14" t="s">
        <v>206</v>
      </c>
      <c r="L4279" s="14" t="s">
        <v>295</v>
      </c>
      <c r="M4279" s="14" t="s">
        <v>986</v>
      </c>
      <c r="N4279" s="14" t="s">
        <v>987</v>
      </c>
      <c r="O4279" s="14">
        <v>0.0</v>
      </c>
      <c r="P4279" s="21">
        <v>0.0</v>
      </c>
      <c r="Q4279" s="22" t="str">
        <f t="shared" ref="Q4279:R4279" si="2550">"+0"</f>
        <v>+0</v>
      </c>
      <c r="R4279" s="18" t="str">
        <f t="shared" si="2550"/>
        <v>+0</v>
      </c>
      <c r="S4279" s="14" t="s">
        <v>260</v>
      </c>
    </row>
    <row r="4280">
      <c r="A4280" s="13">
        <v>45901.0</v>
      </c>
      <c r="B4280" s="14" t="s">
        <v>47</v>
      </c>
      <c r="C4280" s="14" t="s">
        <v>48</v>
      </c>
      <c r="D4280" s="14" t="s">
        <v>158</v>
      </c>
      <c r="E4280" s="14" t="s">
        <v>159</v>
      </c>
      <c r="F4280" s="15" t="s">
        <v>51</v>
      </c>
      <c r="G4280" s="14" t="s">
        <v>160</v>
      </c>
      <c r="H4280" s="14" t="s">
        <v>158</v>
      </c>
      <c r="I4280" s="14" t="s">
        <v>54</v>
      </c>
      <c r="J4280" s="14" t="s">
        <v>199</v>
      </c>
      <c r="K4280" s="14" t="s">
        <v>203</v>
      </c>
      <c r="L4280" s="14" t="s">
        <v>342</v>
      </c>
      <c r="M4280" s="14" t="s">
        <v>342</v>
      </c>
      <c r="N4280" s="14" t="s">
        <v>343</v>
      </c>
      <c r="O4280" s="14">
        <v>0.0</v>
      </c>
      <c r="P4280" s="21">
        <v>0.0</v>
      </c>
      <c r="Q4280" s="22" t="str">
        <f t="shared" ref="Q4280:R4280" si="2551">"+0"</f>
        <v>+0</v>
      </c>
      <c r="R4280" s="18" t="str">
        <f t="shared" si="2551"/>
        <v>+0</v>
      </c>
      <c r="S4280" s="14" t="s">
        <v>260</v>
      </c>
    </row>
    <row r="4281">
      <c r="A4281" s="13">
        <v>45901.0</v>
      </c>
      <c r="B4281" s="14" t="s">
        <v>47</v>
      </c>
      <c r="C4281" s="14" t="s">
        <v>48</v>
      </c>
      <c r="D4281" s="14" t="s">
        <v>140</v>
      </c>
      <c r="E4281" s="14" t="s">
        <v>141</v>
      </c>
      <c r="F4281" s="15" t="s">
        <v>51</v>
      </c>
      <c r="G4281" s="14" t="s">
        <v>142</v>
      </c>
      <c r="H4281" s="14" t="s">
        <v>140</v>
      </c>
      <c r="I4281" s="14" t="s">
        <v>59</v>
      </c>
      <c r="J4281" s="14" t="s">
        <v>199</v>
      </c>
      <c r="K4281" s="14" t="s">
        <v>206</v>
      </c>
      <c r="L4281" s="14" t="s">
        <v>295</v>
      </c>
      <c r="M4281" s="14" t="s">
        <v>651</v>
      </c>
      <c r="N4281" s="14" t="s">
        <v>652</v>
      </c>
      <c r="O4281" s="14">
        <v>0.0</v>
      </c>
      <c r="P4281" s="21">
        <v>0.0</v>
      </c>
      <c r="Q4281" s="22" t="str">
        <f t="shared" ref="Q4281:R4281" si="2552">"+0"</f>
        <v>+0</v>
      </c>
      <c r="R4281" s="18" t="str">
        <f t="shared" si="2552"/>
        <v>+0</v>
      </c>
      <c r="S4281" s="14" t="s">
        <v>260</v>
      </c>
    </row>
    <row r="4282">
      <c r="A4282" s="13">
        <v>45901.0</v>
      </c>
      <c r="B4282" s="14" t="s">
        <v>47</v>
      </c>
      <c r="C4282" s="14" t="s">
        <v>48</v>
      </c>
      <c r="D4282" s="14" t="s">
        <v>60</v>
      </c>
      <c r="E4282" s="14" t="s">
        <v>61</v>
      </c>
      <c r="F4282" s="15" t="s">
        <v>51</v>
      </c>
      <c r="G4282" s="14" t="s">
        <v>62</v>
      </c>
      <c r="H4282" s="14" t="s">
        <v>60</v>
      </c>
      <c r="I4282" s="14" t="s">
        <v>59</v>
      </c>
      <c r="J4282" s="14" t="s">
        <v>199</v>
      </c>
      <c r="K4282" s="14" t="s">
        <v>206</v>
      </c>
      <c r="L4282" s="14" t="s">
        <v>295</v>
      </c>
      <c r="M4282" s="14" t="s">
        <v>986</v>
      </c>
      <c r="N4282" s="14" t="s">
        <v>987</v>
      </c>
      <c r="O4282" s="14">
        <v>0.0</v>
      </c>
      <c r="P4282" s="21">
        <v>0.0</v>
      </c>
      <c r="Q4282" s="22" t="str">
        <f t="shared" ref="Q4282:R4282" si="2553">"+0"</f>
        <v>+0</v>
      </c>
      <c r="R4282" s="18" t="str">
        <f t="shared" si="2553"/>
        <v>+0</v>
      </c>
      <c r="S4282" s="14" t="s">
        <v>260</v>
      </c>
    </row>
    <row r="4283">
      <c r="A4283" s="13">
        <v>45901.0</v>
      </c>
      <c r="B4283" s="14" t="s">
        <v>47</v>
      </c>
      <c r="C4283" s="14" t="s">
        <v>48</v>
      </c>
      <c r="D4283" s="14" t="s">
        <v>181</v>
      </c>
      <c r="E4283" s="14" t="s">
        <v>182</v>
      </c>
      <c r="F4283" s="15" t="s">
        <v>51</v>
      </c>
      <c r="G4283" s="14" t="s">
        <v>183</v>
      </c>
      <c r="H4283" s="14" t="s">
        <v>181</v>
      </c>
      <c r="I4283" s="14" t="s">
        <v>59</v>
      </c>
      <c r="J4283" s="14" t="s">
        <v>200</v>
      </c>
      <c r="K4283" s="14" t="s">
        <v>232</v>
      </c>
      <c r="L4283" s="14" t="s">
        <v>304</v>
      </c>
      <c r="M4283" s="14" t="s">
        <v>1012</v>
      </c>
      <c r="N4283" s="14" t="s">
        <v>1013</v>
      </c>
      <c r="O4283" s="14">
        <v>0.0</v>
      </c>
      <c r="P4283" s="23">
        <v>0.0</v>
      </c>
      <c r="Q4283" s="22" t="str">
        <f t="shared" ref="Q4283:R4283" si="2554">"+0.00%"</f>
        <v>+0.00%</v>
      </c>
      <c r="R4283" s="18" t="str">
        <f t="shared" si="2554"/>
        <v>+0.00%</v>
      </c>
      <c r="S4283" s="14" t="s">
        <v>285</v>
      </c>
    </row>
    <row r="4284">
      <c r="A4284" s="13">
        <v>45901.0</v>
      </c>
      <c r="B4284" s="14" t="s">
        <v>47</v>
      </c>
      <c r="C4284" s="14" t="s">
        <v>48</v>
      </c>
      <c r="D4284" s="14" t="s">
        <v>56</v>
      </c>
      <c r="E4284" s="14" t="s">
        <v>57</v>
      </c>
      <c r="F4284" s="15" t="s">
        <v>51</v>
      </c>
      <c r="G4284" s="14" t="s">
        <v>58</v>
      </c>
      <c r="H4284" s="14" t="s">
        <v>56</v>
      </c>
      <c r="I4284" s="14" t="s">
        <v>59</v>
      </c>
      <c r="J4284" s="14" t="s">
        <v>200</v>
      </c>
      <c r="K4284" s="14" t="s">
        <v>223</v>
      </c>
      <c r="L4284" s="14" t="s">
        <v>257</v>
      </c>
      <c r="M4284" s="14" t="s">
        <v>298</v>
      </c>
      <c r="N4284" s="14" t="s">
        <v>299</v>
      </c>
      <c r="O4284" s="14">
        <v>0.0</v>
      </c>
      <c r="P4284" s="23">
        <v>0.0</v>
      </c>
      <c r="Q4284" s="22" t="str">
        <f t="shared" ref="Q4284:R4284" si="2555">"+0.00%"</f>
        <v>+0.00%</v>
      </c>
      <c r="R4284" s="18" t="str">
        <f t="shared" si="2555"/>
        <v>+0.00%</v>
      </c>
      <c r="S4284" s="14" t="s">
        <v>2251</v>
      </c>
    </row>
    <row r="4285">
      <c r="A4285" s="13">
        <v>45901.0</v>
      </c>
      <c r="B4285" s="14" t="s">
        <v>47</v>
      </c>
      <c r="C4285" s="14" t="s">
        <v>48</v>
      </c>
      <c r="D4285" s="14" t="s">
        <v>140</v>
      </c>
      <c r="E4285" s="14" t="s">
        <v>141</v>
      </c>
      <c r="F4285" s="15" t="s">
        <v>51</v>
      </c>
      <c r="G4285" s="14" t="s">
        <v>142</v>
      </c>
      <c r="H4285" s="14" t="s">
        <v>140</v>
      </c>
      <c r="I4285" s="14" t="s">
        <v>59</v>
      </c>
      <c r="J4285" s="14" t="s">
        <v>198</v>
      </c>
      <c r="K4285" s="14" t="s">
        <v>210</v>
      </c>
      <c r="L4285" s="14" t="s">
        <v>264</v>
      </c>
      <c r="M4285" s="14" t="s">
        <v>265</v>
      </c>
      <c r="N4285" s="14" t="s">
        <v>266</v>
      </c>
      <c r="O4285" s="14">
        <v>72.0</v>
      </c>
      <c r="P4285" s="21">
        <v>63.0</v>
      </c>
      <c r="Q4285" s="22" t="str">
        <f>"+12"</f>
        <v>+12</v>
      </c>
      <c r="R4285" s="18" t="str">
        <f>"-150"</f>
        <v>-150</v>
      </c>
      <c r="S4285" s="14" t="s">
        <v>577</v>
      </c>
    </row>
    <row r="4286">
      <c r="A4286" s="13">
        <v>45901.0</v>
      </c>
      <c r="B4286" s="14" t="s">
        <v>47</v>
      </c>
      <c r="C4286" s="14" t="s">
        <v>48</v>
      </c>
      <c r="D4286" s="14" t="s">
        <v>56</v>
      </c>
      <c r="E4286" s="14" t="s">
        <v>57</v>
      </c>
      <c r="F4286" s="15" t="s">
        <v>51</v>
      </c>
      <c r="G4286" s="14" t="s">
        <v>58</v>
      </c>
      <c r="H4286" s="14" t="s">
        <v>56</v>
      </c>
      <c r="I4286" s="14" t="s">
        <v>59</v>
      </c>
      <c r="J4286" s="14" t="s">
        <v>200</v>
      </c>
      <c r="K4286" s="14" t="s">
        <v>227</v>
      </c>
      <c r="L4286" s="14" t="s">
        <v>253</v>
      </c>
      <c r="M4286" s="14" t="s">
        <v>254</v>
      </c>
      <c r="N4286" s="14" t="s">
        <v>255</v>
      </c>
      <c r="O4286" s="14">
        <v>0.0</v>
      </c>
      <c r="P4286" s="23">
        <v>0.0</v>
      </c>
      <c r="Q4286" s="22" t="str">
        <f t="shared" ref="Q4286:R4286" si="2556">"+0.00%"</f>
        <v>+0.00%</v>
      </c>
      <c r="R4286" s="18" t="str">
        <f t="shared" si="2556"/>
        <v>+0.00%</v>
      </c>
      <c r="S4286" s="14" t="s">
        <v>2015</v>
      </c>
    </row>
    <row r="4287">
      <c r="A4287" s="13">
        <v>45901.0</v>
      </c>
      <c r="B4287" s="14" t="s">
        <v>47</v>
      </c>
      <c r="C4287" s="14" t="s">
        <v>48</v>
      </c>
      <c r="D4287" s="14" t="s">
        <v>165</v>
      </c>
      <c r="E4287" s="14" t="s">
        <v>166</v>
      </c>
      <c r="F4287" s="15" t="s">
        <v>51</v>
      </c>
      <c r="G4287" s="14" t="s">
        <v>167</v>
      </c>
      <c r="H4287" s="14" t="s">
        <v>165</v>
      </c>
      <c r="I4287" s="14" t="s">
        <v>54</v>
      </c>
      <c r="J4287" s="14" t="s">
        <v>200</v>
      </c>
      <c r="K4287" s="14" t="s">
        <v>224</v>
      </c>
      <c r="L4287" s="14" t="s">
        <v>392</v>
      </c>
      <c r="M4287" s="14" t="s">
        <v>393</v>
      </c>
      <c r="N4287" s="14" t="s">
        <v>394</v>
      </c>
      <c r="O4287" s="14">
        <v>4.0</v>
      </c>
      <c r="P4287" s="23">
        <v>0.0455</v>
      </c>
      <c r="Q4287" s="22" t="str">
        <f>"-1.70%"</f>
        <v>-1.70%</v>
      </c>
      <c r="R4287" s="18" t="str">
        <f>"-0.72%"</f>
        <v>-0.72%</v>
      </c>
      <c r="S4287" s="14" t="s">
        <v>2252</v>
      </c>
    </row>
    <row r="4288">
      <c r="A4288" s="13">
        <v>45901.0</v>
      </c>
      <c r="B4288" s="14" t="s">
        <v>47</v>
      </c>
      <c r="C4288" s="14" t="s">
        <v>48</v>
      </c>
      <c r="D4288" s="14" t="s">
        <v>63</v>
      </c>
      <c r="E4288" s="14" t="s">
        <v>64</v>
      </c>
      <c r="F4288" s="15" t="s">
        <v>51</v>
      </c>
      <c r="G4288" s="14" t="s">
        <v>65</v>
      </c>
      <c r="H4288" s="14" t="s">
        <v>63</v>
      </c>
      <c r="I4288" s="14" t="s">
        <v>54</v>
      </c>
      <c r="J4288" s="14" t="s">
        <v>198</v>
      </c>
      <c r="K4288" s="14" t="s">
        <v>205</v>
      </c>
      <c r="L4288" s="14" t="s">
        <v>274</v>
      </c>
      <c r="M4288" s="14" t="s">
        <v>696</v>
      </c>
      <c r="N4288" s="14" t="s">
        <v>697</v>
      </c>
      <c r="O4288" s="14">
        <v>100.0</v>
      </c>
      <c r="P4288" s="21">
        <v>1.0</v>
      </c>
      <c r="Q4288" s="22" t="str">
        <f t="shared" ref="Q4288:Q4289" si="2557">"+0"</f>
        <v>+0</v>
      </c>
      <c r="S4288" s="14" t="s">
        <v>281</v>
      </c>
    </row>
    <row r="4289">
      <c r="A4289" s="13">
        <v>45901.0</v>
      </c>
      <c r="B4289" s="14" t="s">
        <v>47</v>
      </c>
      <c r="C4289" s="14" t="s">
        <v>48</v>
      </c>
      <c r="D4289" s="14" t="s">
        <v>118</v>
      </c>
      <c r="E4289" s="14" t="s">
        <v>119</v>
      </c>
      <c r="F4289" s="15" t="s">
        <v>51</v>
      </c>
      <c r="G4289" s="14" t="s">
        <v>120</v>
      </c>
      <c r="H4289" s="14" t="s">
        <v>118</v>
      </c>
      <c r="I4289" s="14" t="s">
        <v>59</v>
      </c>
      <c r="J4289" s="14" t="s">
        <v>199</v>
      </c>
      <c r="K4289" s="14" t="s">
        <v>206</v>
      </c>
      <c r="L4289" s="14" t="s">
        <v>433</v>
      </c>
      <c r="M4289" s="14" t="s">
        <v>433</v>
      </c>
      <c r="N4289" s="14" t="s">
        <v>434</v>
      </c>
      <c r="O4289" s="14">
        <v>0.0</v>
      </c>
      <c r="P4289" s="21">
        <v>0.0</v>
      </c>
      <c r="Q4289" s="22" t="str">
        <f t="shared" si="2557"/>
        <v>+0</v>
      </c>
      <c r="R4289" s="18" t="str">
        <f>"+0"</f>
        <v>+0</v>
      </c>
      <c r="S4289" s="14" t="s">
        <v>383</v>
      </c>
    </row>
    <row r="4290">
      <c r="A4290" s="13">
        <v>45901.0</v>
      </c>
      <c r="B4290" s="14" t="s">
        <v>47</v>
      </c>
      <c r="C4290" s="14" t="s">
        <v>48</v>
      </c>
      <c r="D4290" s="14" t="s">
        <v>91</v>
      </c>
      <c r="E4290" s="14" t="s">
        <v>92</v>
      </c>
      <c r="F4290" s="14" t="s">
        <v>71</v>
      </c>
      <c r="G4290" s="14">
        <v>5.00008343E8</v>
      </c>
      <c r="H4290" s="14" t="s">
        <v>91</v>
      </c>
      <c r="I4290" s="14" t="s">
        <v>59</v>
      </c>
      <c r="J4290" s="14" t="s">
        <v>200</v>
      </c>
      <c r="K4290" s="14" t="s">
        <v>218</v>
      </c>
      <c r="L4290" s="14" t="s">
        <v>253</v>
      </c>
      <c r="M4290" s="14" t="s">
        <v>1628</v>
      </c>
      <c r="N4290" s="14" t="s">
        <v>1629</v>
      </c>
      <c r="O4290" s="14">
        <v>71.0</v>
      </c>
      <c r="P4290" s="23">
        <v>0.7113</v>
      </c>
      <c r="Q4290" s="22" t="str">
        <f>"+1.39%"</f>
        <v>+1.39%</v>
      </c>
      <c r="R4290" s="18" t="str">
        <f>"+4.04%"</f>
        <v>+4.04%</v>
      </c>
      <c r="S4290" s="14" t="s">
        <v>2253</v>
      </c>
    </row>
    <row r="4291">
      <c r="A4291" s="13">
        <v>45901.0</v>
      </c>
      <c r="B4291" s="14" t="s">
        <v>47</v>
      </c>
      <c r="C4291" s="14" t="s">
        <v>48</v>
      </c>
      <c r="D4291" s="14" t="s">
        <v>91</v>
      </c>
      <c r="E4291" s="14" t="s">
        <v>92</v>
      </c>
      <c r="F4291" s="14" t="s">
        <v>71</v>
      </c>
      <c r="G4291" s="14">
        <v>5.10011769E8</v>
      </c>
      <c r="H4291" s="14" t="s">
        <v>91</v>
      </c>
      <c r="I4291" s="14" t="s">
        <v>59</v>
      </c>
      <c r="J4291" s="14" t="s">
        <v>199</v>
      </c>
      <c r="K4291" s="14" t="s">
        <v>206</v>
      </c>
      <c r="L4291" s="14" t="s">
        <v>295</v>
      </c>
      <c r="M4291" s="14" t="s">
        <v>651</v>
      </c>
      <c r="N4291" s="14" t="s">
        <v>652</v>
      </c>
      <c r="O4291" s="14">
        <v>0.0</v>
      </c>
      <c r="P4291" s="21">
        <v>0.0</v>
      </c>
      <c r="Q4291" s="22" t="str">
        <f t="shared" ref="Q4291:R4291" si="2558">"+0"</f>
        <v>+0</v>
      </c>
      <c r="R4291" s="18" t="str">
        <f t="shared" si="2558"/>
        <v>+0</v>
      </c>
      <c r="S4291" s="14" t="s">
        <v>260</v>
      </c>
    </row>
    <row r="4292">
      <c r="A4292" s="13">
        <v>45901.0</v>
      </c>
      <c r="B4292" s="14" t="s">
        <v>47</v>
      </c>
      <c r="C4292" s="14" t="s">
        <v>48</v>
      </c>
      <c r="D4292" s="14" t="s">
        <v>93</v>
      </c>
      <c r="E4292" s="14" t="s">
        <v>94</v>
      </c>
      <c r="F4292" s="14" t="s">
        <v>71</v>
      </c>
      <c r="G4292" s="14">
        <v>5.36001438E8</v>
      </c>
      <c r="H4292" s="14" t="s">
        <v>95</v>
      </c>
      <c r="I4292" s="14" t="s">
        <v>59</v>
      </c>
      <c r="J4292" s="14" t="s">
        <v>199</v>
      </c>
      <c r="K4292" s="14" t="s">
        <v>203</v>
      </c>
      <c r="L4292" s="14" t="s">
        <v>340</v>
      </c>
      <c r="M4292" s="14" t="s">
        <v>340</v>
      </c>
      <c r="N4292" s="14" t="s">
        <v>341</v>
      </c>
      <c r="O4292" s="14">
        <v>0.0</v>
      </c>
      <c r="P4292" s="21">
        <v>0.0</v>
      </c>
      <c r="Q4292" s="22" t="str">
        <f t="shared" ref="Q4292:R4292" si="2559">"+0"</f>
        <v>+0</v>
      </c>
      <c r="R4292" s="18" t="str">
        <f t="shared" si="2559"/>
        <v>+0</v>
      </c>
      <c r="S4292" s="14" t="s">
        <v>260</v>
      </c>
    </row>
    <row r="4293">
      <c r="A4293" s="13">
        <v>45901.0</v>
      </c>
      <c r="B4293" s="14" t="s">
        <v>47</v>
      </c>
      <c r="C4293" s="14" t="s">
        <v>48</v>
      </c>
      <c r="D4293" s="14" t="s">
        <v>66</v>
      </c>
      <c r="E4293" s="14" t="s">
        <v>67</v>
      </c>
      <c r="F4293" s="15" t="s">
        <v>51</v>
      </c>
      <c r="G4293" s="14" t="s">
        <v>68</v>
      </c>
      <c r="H4293" s="14" t="s">
        <v>66</v>
      </c>
      <c r="I4293" s="14" t="s">
        <v>59</v>
      </c>
      <c r="J4293" s="14" t="s">
        <v>200</v>
      </c>
      <c r="K4293" s="14" t="s">
        <v>223</v>
      </c>
      <c r="L4293" s="14" t="s">
        <v>307</v>
      </c>
      <c r="M4293" s="14" t="s">
        <v>308</v>
      </c>
      <c r="N4293" s="14" t="s">
        <v>309</v>
      </c>
      <c r="O4293" s="14">
        <v>0.0</v>
      </c>
      <c r="P4293" s="23">
        <v>0.0</v>
      </c>
      <c r="Q4293" s="22" t="str">
        <f t="shared" ref="Q4293:R4293" si="2560">"+0.00%"</f>
        <v>+0.00%</v>
      </c>
      <c r="R4293" s="18" t="str">
        <f t="shared" si="2560"/>
        <v>+0.00%</v>
      </c>
      <c r="S4293" s="14" t="s">
        <v>285</v>
      </c>
    </row>
    <row r="4294">
      <c r="A4294" s="13">
        <v>45901.0</v>
      </c>
      <c r="B4294" s="14" t="s">
        <v>47</v>
      </c>
      <c r="C4294" s="14" t="s">
        <v>48</v>
      </c>
      <c r="D4294" s="14" t="s">
        <v>143</v>
      </c>
      <c r="E4294" s="14" t="s">
        <v>144</v>
      </c>
      <c r="F4294" s="15" t="s">
        <v>51</v>
      </c>
      <c r="G4294" s="14" t="s">
        <v>145</v>
      </c>
      <c r="H4294" s="14" t="s">
        <v>143</v>
      </c>
      <c r="I4294" s="14" t="s">
        <v>59</v>
      </c>
      <c r="J4294" s="14" t="s">
        <v>200</v>
      </c>
      <c r="K4294" s="14" t="s">
        <v>232</v>
      </c>
      <c r="L4294" s="14" t="s">
        <v>710</v>
      </c>
      <c r="M4294" s="14" t="s">
        <v>806</v>
      </c>
      <c r="N4294" s="14" t="s">
        <v>807</v>
      </c>
      <c r="O4294" s="14">
        <v>0.0</v>
      </c>
      <c r="P4294" s="23">
        <v>0.0</v>
      </c>
      <c r="Q4294" s="22" t="str">
        <f t="shared" ref="Q4294:R4294" si="2561">"+0.00%"</f>
        <v>+0.00%</v>
      </c>
      <c r="R4294" s="18" t="str">
        <f t="shared" si="2561"/>
        <v>+0.00%</v>
      </c>
      <c r="S4294" s="14" t="s">
        <v>285</v>
      </c>
    </row>
    <row r="4295">
      <c r="A4295" s="13">
        <v>45901.0</v>
      </c>
      <c r="B4295" s="14" t="s">
        <v>47</v>
      </c>
      <c r="C4295" s="14" t="s">
        <v>48</v>
      </c>
      <c r="D4295" s="14" t="s">
        <v>149</v>
      </c>
      <c r="E4295" s="14" t="s">
        <v>150</v>
      </c>
      <c r="F4295" s="15" t="s">
        <v>51</v>
      </c>
      <c r="G4295" s="14" t="s">
        <v>151</v>
      </c>
      <c r="H4295" s="14" t="s">
        <v>152</v>
      </c>
      <c r="I4295" s="14" t="s">
        <v>54</v>
      </c>
      <c r="J4295" s="14" t="s">
        <v>199</v>
      </c>
      <c r="K4295" s="14" t="s">
        <v>206</v>
      </c>
      <c r="L4295" s="14" t="s">
        <v>515</v>
      </c>
      <c r="M4295" s="14" t="s">
        <v>515</v>
      </c>
      <c r="N4295" s="14" t="s">
        <v>516</v>
      </c>
      <c r="O4295" s="14">
        <v>0.0</v>
      </c>
      <c r="P4295" s="21">
        <v>0.0</v>
      </c>
      <c r="Q4295" s="22" t="str">
        <f t="shared" ref="Q4295:R4295" si="2562">"+0"</f>
        <v>+0</v>
      </c>
      <c r="R4295" s="18" t="str">
        <f t="shared" si="2562"/>
        <v>+0</v>
      </c>
      <c r="S4295" s="14" t="s">
        <v>383</v>
      </c>
    </row>
    <row r="4296">
      <c r="A4296" s="13">
        <v>45901.0</v>
      </c>
      <c r="B4296" s="14" t="s">
        <v>47</v>
      </c>
      <c r="C4296" s="14" t="s">
        <v>48</v>
      </c>
      <c r="D4296" s="14" t="s">
        <v>171</v>
      </c>
      <c r="E4296" s="14" t="s">
        <v>172</v>
      </c>
      <c r="F4296" s="15" t="s">
        <v>51</v>
      </c>
      <c r="G4296" s="14" t="s">
        <v>173</v>
      </c>
      <c r="H4296" s="14" t="s">
        <v>171</v>
      </c>
      <c r="I4296" s="14" t="s">
        <v>59</v>
      </c>
      <c r="J4296" s="14" t="s">
        <v>199</v>
      </c>
      <c r="K4296" s="14" t="s">
        <v>206</v>
      </c>
      <c r="L4296" s="14" t="s">
        <v>268</v>
      </c>
      <c r="M4296" s="14" t="s">
        <v>268</v>
      </c>
      <c r="N4296" s="14" t="s">
        <v>269</v>
      </c>
      <c r="O4296" s="14">
        <v>0.0</v>
      </c>
      <c r="P4296" s="21">
        <v>0.0</v>
      </c>
      <c r="Q4296" s="22" t="str">
        <f t="shared" ref="Q4296:R4296" si="2563">"+0"</f>
        <v>+0</v>
      </c>
      <c r="R4296" s="18" t="str">
        <f t="shared" si="2563"/>
        <v>+0</v>
      </c>
      <c r="S4296" s="14" t="s">
        <v>260</v>
      </c>
    </row>
    <row r="4297">
      <c r="A4297" s="13">
        <v>45901.0</v>
      </c>
      <c r="B4297" s="14" t="s">
        <v>47</v>
      </c>
      <c r="C4297" s="14" t="s">
        <v>48</v>
      </c>
      <c r="D4297" s="14" t="s">
        <v>129</v>
      </c>
      <c r="E4297" s="14" t="s">
        <v>130</v>
      </c>
      <c r="F4297" s="15" t="s">
        <v>51</v>
      </c>
      <c r="G4297" s="14" t="s">
        <v>131</v>
      </c>
      <c r="H4297" s="14" t="s">
        <v>129</v>
      </c>
      <c r="I4297" s="14" t="s">
        <v>59</v>
      </c>
      <c r="J4297" s="14" t="s">
        <v>200</v>
      </c>
      <c r="K4297" s="14" t="s">
        <v>231</v>
      </c>
      <c r="L4297" s="14" t="s">
        <v>512</v>
      </c>
      <c r="M4297" s="14" t="s">
        <v>1194</v>
      </c>
      <c r="N4297" s="14" t="s">
        <v>1195</v>
      </c>
      <c r="O4297" s="14">
        <v>100.0</v>
      </c>
      <c r="P4297" s="21">
        <v>10.0</v>
      </c>
      <c r="Q4297" s="22" t="str">
        <f>"-4"</f>
        <v>-4</v>
      </c>
      <c r="R4297" s="18" t="str">
        <f>"-2"</f>
        <v>-2</v>
      </c>
      <c r="S4297" s="14" t="s">
        <v>260</v>
      </c>
    </row>
    <row r="4298">
      <c r="A4298" s="13">
        <v>45901.0</v>
      </c>
      <c r="B4298" s="14" t="s">
        <v>47</v>
      </c>
      <c r="C4298" s="14" t="s">
        <v>48</v>
      </c>
      <c r="D4298" s="14" t="s">
        <v>69</v>
      </c>
      <c r="E4298" s="14" t="s">
        <v>70</v>
      </c>
      <c r="F4298" s="15" t="s">
        <v>51</v>
      </c>
      <c r="G4298" s="14" t="s">
        <v>115</v>
      </c>
      <c r="H4298" s="14" t="s">
        <v>72</v>
      </c>
      <c r="I4298" s="14" t="s">
        <v>54</v>
      </c>
      <c r="J4298" s="14" t="s">
        <v>198</v>
      </c>
      <c r="K4298" s="14" t="s">
        <v>210</v>
      </c>
      <c r="L4298" s="14" t="s">
        <v>458</v>
      </c>
      <c r="M4298" s="14" t="s">
        <v>1230</v>
      </c>
      <c r="N4298" s="14" t="s">
        <v>1231</v>
      </c>
      <c r="O4298" s="14">
        <v>0.0</v>
      </c>
      <c r="P4298" s="21">
        <v>0.0</v>
      </c>
      <c r="Q4298" s="22" t="str">
        <f t="shared" ref="Q4298:R4298" si="2564">"+0"</f>
        <v>+0</v>
      </c>
      <c r="R4298" s="18" t="str">
        <f t="shared" si="2564"/>
        <v>+0</v>
      </c>
      <c r="S4298" s="14" t="s">
        <v>277</v>
      </c>
    </row>
    <row r="4299">
      <c r="A4299" s="13">
        <v>45901.0</v>
      </c>
      <c r="B4299" s="14" t="s">
        <v>47</v>
      </c>
      <c r="C4299" s="14" t="s">
        <v>48</v>
      </c>
      <c r="D4299" s="14" t="s">
        <v>96</v>
      </c>
      <c r="E4299" s="14" t="s">
        <v>97</v>
      </c>
      <c r="F4299" s="15" t="s">
        <v>51</v>
      </c>
      <c r="G4299" s="14" t="s">
        <v>98</v>
      </c>
      <c r="H4299" s="14" t="s">
        <v>96</v>
      </c>
      <c r="I4299" s="14" t="s">
        <v>59</v>
      </c>
      <c r="J4299" s="14" t="s">
        <v>200</v>
      </c>
      <c r="K4299" s="14" t="s">
        <v>223</v>
      </c>
      <c r="L4299" s="14" t="s">
        <v>257</v>
      </c>
      <c r="M4299" s="14" t="s">
        <v>493</v>
      </c>
      <c r="N4299" s="14" t="s">
        <v>494</v>
      </c>
      <c r="O4299" s="14">
        <v>0.0</v>
      </c>
      <c r="P4299" s="23">
        <v>-1.0</v>
      </c>
      <c r="Q4299" s="22" t="str">
        <f t="shared" ref="Q4299:R4299" si="2565">"+0.00%"</f>
        <v>+0.00%</v>
      </c>
      <c r="R4299" s="18" t="str">
        <f t="shared" si="2565"/>
        <v>+0.00%</v>
      </c>
      <c r="S4299" s="14" t="s">
        <v>2254</v>
      </c>
    </row>
    <row r="4300">
      <c r="A4300" s="13">
        <v>45901.0</v>
      </c>
      <c r="B4300" s="14" t="s">
        <v>47</v>
      </c>
      <c r="C4300" s="14" t="s">
        <v>48</v>
      </c>
      <c r="D4300" s="14" t="s">
        <v>77</v>
      </c>
      <c r="E4300" s="14" t="s">
        <v>78</v>
      </c>
      <c r="F4300" s="15" t="s">
        <v>51</v>
      </c>
      <c r="G4300" s="14" t="s">
        <v>128</v>
      </c>
      <c r="H4300" s="14" t="s">
        <v>81</v>
      </c>
      <c r="I4300" s="14" t="s">
        <v>59</v>
      </c>
      <c r="J4300" s="14" t="s">
        <v>200</v>
      </c>
      <c r="K4300" s="14" t="s">
        <v>223</v>
      </c>
      <c r="L4300" s="14" t="s">
        <v>359</v>
      </c>
      <c r="M4300" s="14" t="s">
        <v>360</v>
      </c>
      <c r="N4300" s="14" t="s">
        <v>361</v>
      </c>
      <c r="O4300" s="14">
        <v>0.0</v>
      </c>
      <c r="P4300" s="23">
        <v>0.0</v>
      </c>
      <c r="Q4300" s="22" t="str">
        <f t="shared" ref="Q4300:R4300" si="2566">"+0.00%"</f>
        <v>+0.00%</v>
      </c>
      <c r="R4300" s="18" t="str">
        <f t="shared" si="2566"/>
        <v>+0.00%</v>
      </c>
      <c r="S4300" s="14" t="s">
        <v>2255</v>
      </c>
    </row>
    <row r="4301">
      <c r="A4301" s="13">
        <v>45901.0</v>
      </c>
      <c r="B4301" s="14" t="s">
        <v>47</v>
      </c>
      <c r="C4301" s="14" t="s">
        <v>48</v>
      </c>
      <c r="D4301" s="14" t="s">
        <v>140</v>
      </c>
      <c r="E4301" s="14" t="s">
        <v>141</v>
      </c>
      <c r="F4301" s="15" t="s">
        <v>51</v>
      </c>
      <c r="G4301" s="14" t="s">
        <v>142</v>
      </c>
      <c r="H4301" s="14" t="s">
        <v>140</v>
      </c>
      <c r="I4301" s="14" t="s">
        <v>59</v>
      </c>
      <c r="J4301" s="14" t="s">
        <v>200</v>
      </c>
      <c r="K4301" s="14" t="s">
        <v>213</v>
      </c>
      <c r="L4301" s="14" t="s">
        <v>289</v>
      </c>
      <c r="M4301" s="14" t="s">
        <v>684</v>
      </c>
      <c r="N4301" s="14" t="s">
        <v>685</v>
      </c>
      <c r="O4301" s="14">
        <v>0.0</v>
      </c>
      <c r="P4301" s="23">
        <v>0.0</v>
      </c>
      <c r="Q4301" s="22" t="str">
        <f t="shared" ref="Q4301:R4301" si="2567">"+0.00%"</f>
        <v>+0.00%</v>
      </c>
      <c r="R4301" s="18" t="str">
        <f t="shared" si="2567"/>
        <v>+0.00%</v>
      </c>
      <c r="S4301" s="14" t="s">
        <v>285</v>
      </c>
    </row>
    <row r="4302">
      <c r="A4302" s="13">
        <v>45901.0</v>
      </c>
      <c r="B4302" s="14" t="s">
        <v>47</v>
      </c>
      <c r="C4302" s="14" t="s">
        <v>48</v>
      </c>
      <c r="D4302" s="14" t="s">
        <v>181</v>
      </c>
      <c r="E4302" s="14" t="s">
        <v>182</v>
      </c>
      <c r="F4302" s="15" t="s">
        <v>51</v>
      </c>
      <c r="G4302" s="14" t="s">
        <v>183</v>
      </c>
      <c r="H4302" s="14" t="s">
        <v>181</v>
      </c>
      <c r="I4302" s="14" t="s">
        <v>59</v>
      </c>
      <c r="J4302" s="14" t="s">
        <v>199</v>
      </c>
      <c r="K4302" s="14" t="s">
        <v>206</v>
      </c>
      <c r="L4302" s="14" t="s">
        <v>295</v>
      </c>
      <c r="M4302" s="14" t="s">
        <v>986</v>
      </c>
      <c r="N4302" s="14" t="s">
        <v>987</v>
      </c>
      <c r="O4302" s="14">
        <v>0.0</v>
      </c>
      <c r="P4302" s="21">
        <v>0.0</v>
      </c>
      <c r="Q4302" s="22" t="str">
        <f t="shared" ref="Q4302:R4302" si="2568">"+0"</f>
        <v>+0</v>
      </c>
      <c r="R4302" s="18" t="str">
        <f t="shared" si="2568"/>
        <v>+0</v>
      </c>
      <c r="S4302" s="14" t="s">
        <v>260</v>
      </c>
    </row>
    <row r="4303">
      <c r="A4303" s="13">
        <v>45901.0</v>
      </c>
      <c r="B4303" s="14" t="s">
        <v>47</v>
      </c>
      <c r="C4303" s="14" t="s">
        <v>48</v>
      </c>
      <c r="D4303" s="14" t="s">
        <v>181</v>
      </c>
      <c r="E4303" s="14" t="s">
        <v>182</v>
      </c>
      <c r="F4303" s="15" t="s">
        <v>51</v>
      </c>
      <c r="G4303" s="14" t="s">
        <v>183</v>
      </c>
      <c r="H4303" s="14" t="s">
        <v>181</v>
      </c>
      <c r="I4303" s="14" t="s">
        <v>59</v>
      </c>
      <c r="J4303" s="14" t="s">
        <v>200</v>
      </c>
      <c r="K4303" s="14" t="s">
        <v>232</v>
      </c>
      <c r="L4303" s="14" t="s">
        <v>261</v>
      </c>
      <c r="M4303" s="14" t="s">
        <v>808</v>
      </c>
      <c r="N4303" s="14" t="s">
        <v>809</v>
      </c>
      <c r="O4303" s="14">
        <v>0.0</v>
      </c>
      <c r="P4303" s="23">
        <v>0.0</v>
      </c>
      <c r="Q4303" s="22" t="str">
        <f t="shared" ref="Q4303:R4303" si="2569">"+0.00%"</f>
        <v>+0.00%</v>
      </c>
      <c r="R4303" s="18" t="str">
        <f t="shared" si="2569"/>
        <v>+0.00%</v>
      </c>
      <c r="S4303" s="14" t="s">
        <v>2256</v>
      </c>
    </row>
    <row r="4304">
      <c r="A4304" s="13">
        <v>45901.0</v>
      </c>
      <c r="B4304" s="14" t="s">
        <v>47</v>
      </c>
      <c r="C4304" s="14" t="s">
        <v>48</v>
      </c>
      <c r="D4304" s="14" t="s">
        <v>121</v>
      </c>
      <c r="E4304" s="14" t="s">
        <v>122</v>
      </c>
      <c r="F4304" s="15" t="s">
        <v>51</v>
      </c>
      <c r="G4304" s="14" t="s">
        <v>123</v>
      </c>
      <c r="H4304" s="14" t="s">
        <v>124</v>
      </c>
      <c r="I4304" s="14" t="s">
        <v>59</v>
      </c>
      <c r="J4304" s="14" t="s">
        <v>198</v>
      </c>
      <c r="K4304" s="14" t="s">
        <v>207</v>
      </c>
      <c r="L4304" s="14" t="s">
        <v>318</v>
      </c>
      <c r="M4304" s="14" t="s">
        <v>508</v>
      </c>
      <c r="N4304" s="14" t="s">
        <v>509</v>
      </c>
      <c r="O4304" s="14">
        <v>0.0</v>
      </c>
      <c r="P4304" s="21">
        <v>0.0</v>
      </c>
      <c r="Q4304" s="22" t="str">
        <f t="shared" ref="Q4304:Q4306" si="2570">"+0"</f>
        <v>+0</v>
      </c>
      <c r="S4304" s="14" t="s">
        <v>281</v>
      </c>
    </row>
    <row r="4305">
      <c r="A4305" s="13">
        <v>45901.0</v>
      </c>
      <c r="B4305" s="14" t="s">
        <v>47</v>
      </c>
      <c r="C4305" s="14" t="s">
        <v>48</v>
      </c>
      <c r="D4305" s="14" t="s">
        <v>49</v>
      </c>
      <c r="E4305" s="14" t="s">
        <v>50</v>
      </c>
      <c r="F4305" s="15" t="s">
        <v>51</v>
      </c>
      <c r="G4305" s="14" t="s">
        <v>52</v>
      </c>
      <c r="H4305" s="14" t="s">
        <v>53</v>
      </c>
      <c r="I4305" s="14" t="s">
        <v>54</v>
      </c>
      <c r="J4305" s="14" t="s">
        <v>198</v>
      </c>
      <c r="K4305" s="14" t="s">
        <v>210</v>
      </c>
      <c r="L4305" s="14" t="s">
        <v>264</v>
      </c>
      <c r="M4305" s="14" t="s">
        <v>350</v>
      </c>
      <c r="N4305" s="14" t="s">
        <v>351</v>
      </c>
      <c r="O4305" s="14">
        <v>0.0</v>
      </c>
      <c r="P4305" s="21">
        <v>0.0</v>
      </c>
      <c r="Q4305" s="22" t="str">
        <f t="shared" si="2570"/>
        <v>+0</v>
      </c>
      <c r="R4305" s="18" t="str">
        <f t="shared" ref="R4305:R4306" si="2571">"+0"</f>
        <v>+0</v>
      </c>
      <c r="S4305" s="14" t="s">
        <v>277</v>
      </c>
    </row>
    <row r="4306">
      <c r="A4306" s="13">
        <v>45901.0</v>
      </c>
      <c r="B4306" s="14" t="s">
        <v>47</v>
      </c>
      <c r="C4306" s="14" t="s">
        <v>48</v>
      </c>
      <c r="D4306" s="14" t="s">
        <v>49</v>
      </c>
      <c r="E4306" s="14" t="s">
        <v>50</v>
      </c>
      <c r="F4306" s="15" t="s">
        <v>51</v>
      </c>
      <c r="G4306" s="14" t="s">
        <v>52</v>
      </c>
      <c r="H4306" s="14" t="s">
        <v>53</v>
      </c>
      <c r="I4306" s="14" t="s">
        <v>54</v>
      </c>
      <c r="J4306" s="14" t="s">
        <v>198</v>
      </c>
      <c r="K4306" s="14" t="s">
        <v>210</v>
      </c>
      <c r="L4306" s="14" t="s">
        <v>264</v>
      </c>
      <c r="M4306" s="14" t="s">
        <v>1596</v>
      </c>
      <c r="N4306" s="14" t="s">
        <v>1597</v>
      </c>
      <c r="O4306" s="14">
        <v>0.0</v>
      </c>
      <c r="P4306" s="21">
        <v>0.0</v>
      </c>
      <c r="Q4306" s="22" t="str">
        <f t="shared" si="2570"/>
        <v>+0</v>
      </c>
      <c r="R4306" s="18" t="str">
        <f t="shared" si="2571"/>
        <v>+0</v>
      </c>
      <c r="S4306" s="14" t="s">
        <v>277</v>
      </c>
    </row>
    <row r="4307">
      <c r="A4307" s="13">
        <v>45901.0</v>
      </c>
      <c r="B4307" s="14" t="s">
        <v>47</v>
      </c>
      <c r="C4307" s="14" t="s">
        <v>48</v>
      </c>
      <c r="D4307" s="14" t="s">
        <v>91</v>
      </c>
      <c r="E4307" s="14" t="s">
        <v>92</v>
      </c>
      <c r="F4307" s="14" t="s">
        <v>79</v>
      </c>
      <c r="G4307" s="14" t="s">
        <v>164</v>
      </c>
      <c r="H4307" s="14" t="s">
        <v>91</v>
      </c>
      <c r="I4307" s="14" t="s">
        <v>154</v>
      </c>
      <c r="J4307" s="14" t="s">
        <v>200</v>
      </c>
      <c r="K4307" s="14" t="s">
        <v>237</v>
      </c>
      <c r="L4307" s="14" t="s">
        <v>253</v>
      </c>
      <c r="M4307" s="14" t="s">
        <v>2257</v>
      </c>
      <c r="N4307" s="14" t="s">
        <v>2258</v>
      </c>
      <c r="O4307" s="14">
        <v>0.0</v>
      </c>
      <c r="P4307" s="23">
        <v>0.0</v>
      </c>
      <c r="Q4307" s="22" t="str">
        <f t="shared" ref="Q4307:R4307" si="2572">"+0.00%"</f>
        <v>+0.00%</v>
      </c>
      <c r="R4307" s="18" t="str">
        <f t="shared" si="2572"/>
        <v>+0.00%</v>
      </c>
      <c r="S4307" s="14" t="s">
        <v>2259</v>
      </c>
    </row>
    <row r="4308">
      <c r="A4308" s="13">
        <v>45901.0</v>
      </c>
      <c r="B4308" s="14" t="s">
        <v>47</v>
      </c>
      <c r="C4308" s="14" t="s">
        <v>48</v>
      </c>
      <c r="D4308" s="14" t="s">
        <v>63</v>
      </c>
      <c r="E4308" s="14" t="s">
        <v>64</v>
      </c>
      <c r="F4308" s="15" t="s">
        <v>51</v>
      </c>
      <c r="G4308" s="14" t="s">
        <v>65</v>
      </c>
      <c r="H4308" s="14" t="s">
        <v>63</v>
      </c>
      <c r="I4308" s="14" t="s">
        <v>54</v>
      </c>
      <c r="J4308" s="14" t="s">
        <v>200</v>
      </c>
      <c r="K4308" s="14" t="s">
        <v>201</v>
      </c>
      <c r="L4308" s="14" t="s">
        <v>253</v>
      </c>
      <c r="M4308" s="14" t="s">
        <v>585</v>
      </c>
      <c r="N4308" s="14" t="s">
        <v>586</v>
      </c>
      <c r="O4308" s="14">
        <v>3.0</v>
      </c>
      <c r="P4308" s="23">
        <v>0.0356</v>
      </c>
      <c r="Q4308" s="22" t="str">
        <f>"-0.24%"</f>
        <v>-0.24%</v>
      </c>
      <c r="R4308" s="18" t="str">
        <f>"-0.41%"</f>
        <v>-0.41%</v>
      </c>
      <c r="S4308" s="14" t="s">
        <v>1454</v>
      </c>
    </row>
    <row r="4309">
      <c r="A4309" s="13">
        <v>45901.0</v>
      </c>
      <c r="B4309" s="14" t="s">
        <v>47</v>
      </c>
      <c r="C4309" s="14" t="s">
        <v>48</v>
      </c>
      <c r="D4309" s="14" t="s">
        <v>184</v>
      </c>
      <c r="E4309" s="14" t="s">
        <v>185</v>
      </c>
      <c r="F4309" s="15" t="s">
        <v>51</v>
      </c>
      <c r="G4309" s="14" t="s">
        <v>186</v>
      </c>
      <c r="H4309" s="14" t="s">
        <v>187</v>
      </c>
      <c r="I4309" s="14" t="s">
        <v>59</v>
      </c>
      <c r="J4309" s="14" t="s">
        <v>200</v>
      </c>
      <c r="K4309" s="14" t="s">
        <v>227</v>
      </c>
      <c r="L4309" s="14" t="s">
        <v>253</v>
      </c>
      <c r="M4309" s="14" t="s">
        <v>254</v>
      </c>
      <c r="N4309" s="14" t="s">
        <v>255</v>
      </c>
      <c r="O4309" s="14">
        <v>0.0</v>
      </c>
      <c r="P4309" s="23">
        <v>0.0</v>
      </c>
      <c r="Q4309" s="22" t="str">
        <f t="shared" ref="Q4309:R4309" si="2573">"+0.00%"</f>
        <v>+0.00%</v>
      </c>
      <c r="R4309" s="18" t="str">
        <f t="shared" si="2573"/>
        <v>+0.00%</v>
      </c>
      <c r="S4309" s="14" t="s">
        <v>399</v>
      </c>
    </row>
    <row r="4310">
      <c r="A4310" s="13">
        <v>45901.0</v>
      </c>
      <c r="B4310" s="14" t="s">
        <v>47</v>
      </c>
      <c r="C4310" s="14" t="s">
        <v>48</v>
      </c>
      <c r="D4310" s="14" t="s">
        <v>132</v>
      </c>
      <c r="E4310" s="14" t="s">
        <v>133</v>
      </c>
      <c r="F4310" s="15" t="s">
        <v>51</v>
      </c>
      <c r="G4310" s="14" t="s">
        <v>134</v>
      </c>
      <c r="H4310" s="14" t="s">
        <v>135</v>
      </c>
      <c r="I4310" s="14" t="s">
        <v>59</v>
      </c>
      <c r="J4310" s="14" t="s">
        <v>199</v>
      </c>
      <c r="K4310" s="14" t="s">
        <v>206</v>
      </c>
      <c r="L4310" s="14" t="s">
        <v>295</v>
      </c>
      <c r="M4310" s="14" t="s">
        <v>986</v>
      </c>
      <c r="N4310" s="14" t="s">
        <v>987</v>
      </c>
      <c r="O4310" s="14">
        <v>0.0</v>
      </c>
      <c r="P4310" s="21">
        <v>0.0</v>
      </c>
      <c r="Q4310" s="22" t="str">
        <f t="shared" ref="Q4310:R4310" si="2574">"+0"</f>
        <v>+0</v>
      </c>
      <c r="R4310" s="18" t="str">
        <f t="shared" si="2574"/>
        <v>+0</v>
      </c>
      <c r="S4310" s="14" t="s">
        <v>260</v>
      </c>
    </row>
    <row r="4311">
      <c r="A4311" s="13">
        <v>45901.0</v>
      </c>
      <c r="B4311" s="14" t="s">
        <v>47</v>
      </c>
      <c r="C4311" s="14" t="s">
        <v>48</v>
      </c>
      <c r="D4311" s="14" t="s">
        <v>87</v>
      </c>
      <c r="E4311" s="14" t="s">
        <v>88</v>
      </c>
      <c r="F4311" s="14" t="s">
        <v>71</v>
      </c>
      <c r="G4311" s="14">
        <v>5.46000941E8</v>
      </c>
      <c r="H4311" s="14" t="s">
        <v>90</v>
      </c>
      <c r="I4311" s="14" t="s">
        <v>107</v>
      </c>
      <c r="J4311" s="14" t="s">
        <v>199</v>
      </c>
      <c r="K4311" s="14" t="s">
        <v>206</v>
      </c>
      <c r="L4311" s="14" t="s">
        <v>295</v>
      </c>
      <c r="M4311" s="14" t="s">
        <v>461</v>
      </c>
      <c r="N4311" s="14" t="s">
        <v>462</v>
      </c>
      <c r="O4311" s="14">
        <v>0.0</v>
      </c>
      <c r="P4311" s="21">
        <v>0.0</v>
      </c>
      <c r="Q4311" s="22" t="str">
        <f t="shared" ref="Q4311:R4311" si="2575">"+0"</f>
        <v>+0</v>
      </c>
      <c r="R4311" s="18" t="str">
        <f t="shared" si="2575"/>
        <v>+0</v>
      </c>
      <c r="S4311" s="14" t="s">
        <v>260</v>
      </c>
    </row>
    <row r="4312">
      <c r="A4312" s="13">
        <v>45901.0</v>
      </c>
      <c r="B4312" s="14" t="s">
        <v>47</v>
      </c>
      <c r="C4312" s="14" t="s">
        <v>48</v>
      </c>
      <c r="D4312" s="14" t="s">
        <v>149</v>
      </c>
      <c r="E4312" s="14" t="s">
        <v>150</v>
      </c>
      <c r="F4312" s="15" t="s">
        <v>51</v>
      </c>
      <c r="G4312" s="14" t="s">
        <v>151</v>
      </c>
      <c r="H4312" s="14" t="s">
        <v>152</v>
      </c>
      <c r="I4312" s="14" t="s">
        <v>54</v>
      </c>
      <c r="J4312" s="14" t="s">
        <v>199</v>
      </c>
      <c r="K4312" s="14" t="s">
        <v>206</v>
      </c>
      <c r="L4312" s="14" t="s">
        <v>569</v>
      </c>
      <c r="M4312" s="14" t="s">
        <v>569</v>
      </c>
      <c r="N4312" s="14" t="s">
        <v>570</v>
      </c>
      <c r="O4312" s="14">
        <v>100.0</v>
      </c>
      <c r="P4312" s="21">
        <v>25.0</v>
      </c>
      <c r="Q4312" s="22" t="str">
        <f t="shared" ref="Q4312:Q4313" si="2576">"+0"</f>
        <v>+0</v>
      </c>
      <c r="R4312" s="18" t="str">
        <f>"+24"</f>
        <v>+24</v>
      </c>
      <c r="S4312" s="14" t="s">
        <v>383</v>
      </c>
    </row>
    <row r="4313">
      <c r="A4313" s="13">
        <v>45901.0</v>
      </c>
      <c r="B4313" s="14" t="s">
        <v>47</v>
      </c>
      <c r="C4313" s="14" t="s">
        <v>48</v>
      </c>
      <c r="D4313" s="14" t="s">
        <v>171</v>
      </c>
      <c r="E4313" s="14" t="s">
        <v>172</v>
      </c>
      <c r="F4313" s="15" t="s">
        <v>51</v>
      </c>
      <c r="G4313" s="14" t="s">
        <v>173</v>
      </c>
      <c r="H4313" s="14" t="s">
        <v>171</v>
      </c>
      <c r="I4313" s="14" t="s">
        <v>59</v>
      </c>
      <c r="J4313" s="14" t="s">
        <v>198</v>
      </c>
      <c r="K4313" s="14" t="s">
        <v>205</v>
      </c>
      <c r="L4313" s="14" t="s">
        <v>274</v>
      </c>
      <c r="M4313" s="14" t="s">
        <v>451</v>
      </c>
      <c r="N4313" s="14" t="s">
        <v>452</v>
      </c>
      <c r="O4313" s="14">
        <v>0.0</v>
      </c>
      <c r="P4313" s="21">
        <v>0.0</v>
      </c>
      <c r="Q4313" s="22" t="str">
        <f t="shared" si="2576"/>
        <v>+0</v>
      </c>
      <c r="S4313" s="14" t="s">
        <v>281</v>
      </c>
    </row>
    <row r="4314">
      <c r="A4314" s="13">
        <v>45901.0</v>
      </c>
      <c r="B4314" s="14" t="s">
        <v>47</v>
      </c>
      <c r="C4314" s="14" t="s">
        <v>48</v>
      </c>
      <c r="D4314" s="14" t="s">
        <v>149</v>
      </c>
      <c r="E4314" s="14" t="s">
        <v>150</v>
      </c>
      <c r="F4314" s="15" t="s">
        <v>51</v>
      </c>
      <c r="G4314" s="14" t="s">
        <v>151</v>
      </c>
      <c r="H4314" s="14" t="s">
        <v>152</v>
      </c>
      <c r="I4314" s="14" t="s">
        <v>54</v>
      </c>
      <c r="J4314" s="14" t="s">
        <v>200</v>
      </c>
      <c r="K4314" s="14" t="s">
        <v>223</v>
      </c>
      <c r="L4314" s="14" t="s">
        <v>487</v>
      </c>
      <c r="M4314" s="14" t="s">
        <v>1075</v>
      </c>
      <c r="N4314" s="14" t="s">
        <v>1076</v>
      </c>
      <c r="O4314" s="14">
        <v>100.0</v>
      </c>
      <c r="P4314" s="23">
        <v>0.5821</v>
      </c>
      <c r="Q4314" s="22" t="str">
        <f>"-0.45%"</f>
        <v>-0.45%</v>
      </c>
      <c r="R4314" s="18" t="str">
        <f>"+0.33%"</f>
        <v>+0.33%</v>
      </c>
      <c r="S4314" s="14" t="s">
        <v>285</v>
      </c>
    </row>
    <row r="4315">
      <c r="A4315" s="13">
        <v>45901.0</v>
      </c>
      <c r="B4315" s="14" t="s">
        <v>47</v>
      </c>
      <c r="C4315" s="14" t="s">
        <v>48</v>
      </c>
      <c r="D4315" s="14" t="s">
        <v>171</v>
      </c>
      <c r="E4315" s="14" t="s">
        <v>172</v>
      </c>
      <c r="F4315" s="15" t="s">
        <v>51</v>
      </c>
      <c r="G4315" s="14" t="s">
        <v>173</v>
      </c>
      <c r="H4315" s="14" t="s">
        <v>171</v>
      </c>
      <c r="I4315" s="14" t="s">
        <v>59</v>
      </c>
      <c r="J4315" s="14" t="s">
        <v>198</v>
      </c>
      <c r="K4315" s="14" t="s">
        <v>205</v>
      </c>
      <c r="L4315" s="14" t="s">
        <v>274</v>
      </c>
      <c r="M4315" s="14" t="s">
        <v>425</v>
      </c>
      <c r="N4315" s="14" t="s">
        <v>426</v>
      </c>
      <c r="O4315" s="14">
        <v>0.0</v>
      </c>
      <c r="P4315" s="21">
        <v>0.0</v>
      </c>
      <c r="Q4315" s="22" t="str">
        <f t="shared" ref="Q4315:Q4316" si="2577">"+0"</f>
        <v>+0</v>
      </c>
      <c r="S4315" s="14" t="s">
        <v>281</v>
      </c>
    </row>
    <row r="4316">
      <c r="A4316" s="13">
        <v>45901.0</v>
      </c>
      <c r="B4316" s="14" t="s">
        <v>47</v>
      </c>
      <c r="C4316" s="14" t="s">
        <v>48</v>
      </c>
      <c r="D4316" s="14" t="s">
        <v>96</v>
      </c>
      <c r="E4316" s="14" t="s">
        <v>97</v>
      </c>
      <c r="F4316" s="15" t="s">
        <v>51</v>
      </c>
      <c r="G4316" s="14" t="s">
        <v>98</v>
      </c>
      <c r="H4316" s="14" t="s">
        <v>96</v>
      </c>
      <c r="I4316" s="14" t="s">
        <v>59</v>
      </c>
      <c r="J4316" s="14" t="s">
        <v>198</v>
      </c>
      <c r="K4316" s="14" t="s">
        <v>207</v>
      </c>
      <c r="L4316" s="14" t="s">
        <v>318</v>
      </c>
      <c r="M4316" s="14" t="s">
        <v>319</v>
      </c>
      <c r="N4316" s="14" t="s">
        <v>320</v>
      </c>
      <c r="O4316" s="14">
        <v>0.0</v>
      </c>
      <c r="P4316" s="21">
        <v>0.0</v>
      </c>
      <c r="Q4316" s="22" t="str">
        <f t="shared" si="2577"/>
        <v>+0</v>
      </c>
      <c r="S4316" s="14" t="s">
        <v>281</v>
      </c>
    </row>
    <row r="4317">
      <c r="A4317" s="13">
        <v>45901.0</v>
      </c>
      <c r="B4317" s="14" t="s">
        <v>47</v>
      </c>
      <c r="C4317" s="14" t="s">
        <v>48</v>
      </c>
      <c r="D4317" s="14" t="s">
        <v>69</v>
      </c>
      <c r="E4317" s="14" t="s">
        <v>70</v>
      </c>
      <c r="F4317" s="15" t="s">
        <v>51</v>
      </c>
      <c r="G4317" s="14" t="s">
        <v>115</v>
      </c>
      <c r="H4317" s="14" t="s">
        <v>72</v>
      </c>
      <c r="I4317" s="14" t="s">
        <v>54</v>
      </c>
      <c r="J4317" s="14" t="s">
        <v>200</v>
      </c>
      <c r="K4317" s="14" t="s">
        <v>227</v>
      </c>
      <c r="L4317" s="14" t="s">
        <v>253</v>
      </c>
      <c r="M4317" s="14" t="s">
        <v>811</v>
      </c>
      <c r="N4317" s="14" t="s">
        <v>812</v>
      </c>
      <c r="O4317" s="14">
        <v>100.0</v>
      </c>
      <c r="P4317" s="23">
        <v>1.0</v>
      </c>
      <c r="Q4317" s="22" t="str">
        <f t="shared" ref="Q4317:R4317" si="2578">"+0.00%"</f>
        <v>+0.00%</v>
      </c>
      <c r="R4317" s="18" t="str">
        <f t="shared" si="2578"/>
        <v>+0.00%</v>
      </c>
      <c r="S4317" s="14" t="s">
        <v>813</v>
      </c>
    </row>
    <row r="4318">
      <c r="A4318" s="13">
        <v>45901.0</v>
      </c>
      <c r="B4318" s="14" t="s">
        <v>47</v>
      </c>
      <c r="C4318" s="14" t="s">
        <v>48</v>
      </c>
      <c r="D4318" s="14" t="s">
        <v>69</v>
      </c>
      <c r="E4318" s="14" t="s">
        <v>70</v>
      </c>
      <c r="F4318" s="15" t="s">
        <v>51</v>
      </c>
      <c r="G4318" s="14" t="s">
        <v>115</v>
      </c>
      <c r="H4318" s="14" t="s">
        <v>72</v>
      </c>
      <c r="I4318" s="14" t="s">
        <v>54</v>
      </c>
      <c r="J4318" s="14" t="s">
        <v>198</v>
      </c>
      <c r="K4318" s="14" t="s">
        <v>207</v>
      </c>
      <c r="L4318" s="14" t="s">
        <v>648</v>
      </c>
      <c r="M4318" s="14" t="s">
        <v>649</v>
      </c>
      <c r="N4318" s="14" t="s">
        <v>650</v>
      </c>
      <c r="O4318" s="14">
        <v>100.0</v>
      </c>
      <c r="P4318" s="21">
        <v>1.0</v>
      </c>
      <c r="Q4318" s="22" t="str">
        <f>"+0"</f>
        <v>+0</v>
      </c>
      <c r="S4318" s="14" t="s">
        <v>281</v>
      </c>
    </row>
    <row r="4319">
      <c r="A4319" s="13">
        <v>45901.0</v>
      </c>
      <c r="B4319" s="14" t="s">
        <v>47</v>
      </c>
      <c r="C4319" s="14" t="s">
        <v>48</v>
      </c>
      <c r="D4319" s="14" t="s">
        <v>125</v>
      </c>
      <c r="E4319" s="14" t="s">
        <v>126</v>
      </c>
      <c r="F4319" s="15" t="s">
        <v>51</v>
      </c>
      <c r="G4319" s="14" t="s">
        <v>127</v>
      </c>
      <c r="H4319" s="14" t="s">
        <v>125</v>
      </c>
      <c r="I4319" s="14" t="s">
        <v>59</v>
      </c>
      <c r="J4319" s="14" t="s">
        <v>200</v>
      </c>
      <c r="K4319" s="14" t="s">
        <v>232</v>
      </c>
      <c r="L4319" s="14" t="s">
        <v>607</v>
      </c>
      <c r="M4319" s="14" t="s">
        <v>608</v>
      </c>
      <c r="N4319" s="14" t="s">
        <v>609</v>
      </c>
      <c r="O4319" s="14">
        <v>0.0</v>
      </c>
      <c r="P4319" s="23">
        <v>0.0</v>
      </c>
      <c r="Q4319" s="22" t="str">
        <f t="shared" ref="Q4319:R4319" si="2579">"+0.00%"</f>
        <v>+0.00%</v>
      </c>
      <c r="R4319" s="18" t="str">
        <f t="shared" si="2579"/>
        <v>+0.00%</v>
      </c>
      <c r="S4319" s="14" t="s">
        <v>2260</v>
      </c>
    </row>
    <row r="4320">
      <c r="A4320" s="13">
        <v>45901.0</v>
      </c>
      <c r="B4320" s="14" t="s">
        <v>47</v>
      </c>
      <c r="C4320" s="14" t="s">
        <v>48</v>
      </c>
      <c r="D4320" s="14" t="s">
        <v>158</v>
      </c>
      <c r="E4320" s="14" t="s">
        <v>159</v>
      </c>
      <c r="F4320" s="15" t="s">
        <v>51</v>
      </c>
      <c r="G4320" s="14" t="s">
        <v>160</v>
      </c>
      <c r="H4320" s="14" t="s">
        <v>158</v>
      </c>
      <c r="I4320" s="14" t="s">
        <v>54</v>
      </c>
      <c r="J4320" s="14" t="s">
        <v>198</v>
      </c>
      <c r="K4320" s="14" t="s">
        <v>210</v>
      </c>
      <c r="L4320" s="14" t="s">
        <v>505</v>
      </c>
      <c r="M4320" s="14" t="s">
        <v>831</v>
      </c>
      <c r="N4320" s="14" t="s">
        <v>832</v>
      </c>
      <c r="O4320" s="14">
        <v>0.0</v>
      </c>
      <c r="P4320" s="21">
        <v>0.0</v>
      </c>
      <c r="Q4320" s="22" t="str">
        <f t="shared" ref="Q4320:R4320" si="2580">"+0"</f>
        <v>+0</v>
      </c>
      <c r="R4320" s="18" t="str">
        <f t="shared" si="2580"/>
        <v>+0</v>
      </c>
      <c r="S4320" s="14" t="s">
        <v>277</v>
      </c>
    </row>
    <row r="4321">
      <c r="A4321" s="13">
        <v>45901.0</v>
      </c>
      <c r="B4321" s="14" t="s">
        <v>47</v>
      </c>
      <c r="C4321" s="14" t="s">
        <v>48</v>
      </c>
      <c r="D4321" s="14" t="s">
        <v>108</v>
      </c>
      <c r="E4321" s="14" t="s">
        <v>109</v>
      </c>
      <c r="F4321" s="14" t="s">
        <v>79</v>
      </c>
      <c r="G4321" s="14" t="s">
        <v>153</v>
      </c>
      <c r="H4321" s="14" t="s">
        <v>108</v>
      </c>
      <c r="I4321" s="14" t="s">
        <v>154</v>
      </c>
      <c r="J4321" s="14" t="s">
        <v>200</v>
      </c>
      <c r="K4321" s="14" t="s">
        <v>237</v>
      </c>
      <c r="L4321" s="14" t="s">
        <v>253</v>
      </c>
      <c r="M4321" s="14" t="s">
        <v>2257</v>
      </c>
      <c r="N4321" s="14" t="s">
        <v>2258</v>
      </c>
      <c r="O4321" s="14">
        <v>0.0</v>
      </c>
      <c r="P4321" s="23">
        <v>0.0</v>
      </c>
      <c r="Q4321" s="22" t="str">
        <f>"+0.00%"</f>
        <v>+0.00%</v>
      </c>
      <c r="S4321" s="14" t="s">
        <v>2261</v>
      </c>
    </row>
    <row r="4322">
      <c r="A4322" s="13">
        <v>45901.0</v>
      </c>
      <c r="B4322" s="14" t="s">
        <v>47</v>
      </c>
      <c r="C4322" s="14" t="s">
        <v>48</v>
      </c>
      <c r="D4322" s="14" t="s">
        <v>174</v>
      </c>
      <c r="E4322" s="14" t="s">
        <v>175</v>
      </c>
      <c r="F4322" s="15" t="s">
        <v>51</v>
      </c>
      <c r="G4322" s="14" t="s">
        <v>176</v>
      </c>
      <c r="H4322" s="14" t="s">
        <v>174</v>
      </c>
      <c r="I4322" s="14" t="s">
        <v>59</v>
      </c>
      <c r="J4322" s="14" t="s">
        <v>200</v>
      </c>
      <c r="K4322" s="14" t="s">
        <v>213</v>
      </c>
      <c r="L4322" s="14" t="s">
        <v>253</v>
      </c>
      <c r="M4322" s="14" t="s">
        <v>366</v>
      </c>
      <c r="N4322" s="14" t="s">
        <v>367</v>
      </c>
      <c r="O4322" s="14">
        <v>57.0</v>
      </c>
      <c r="P4322" s="23">
        <v>0.5757</v>
      </c>
      <c r="Q4322" s="22" t="str">
        <f>"-3.96%"</f>
        <v>-3.96%</v>
      </c>
      <c r="R4322" s="18" t="str">
        <f>"-7.57%"</f>
        <v>-7.57%</v>
      </c>
      <c r="S4322" s="14" t="s">
        <v>2023</v>
      </c>
    </row>
    <row r="4323">
      <c r="A4323" s="13">
        <v>45901.0</v>
      </c>
      <c r="B4323" s="14" t="s">
        <v>47</v>
      </c>
      <c r="C4323" s="14" t="s">
        <v>48</v>
      </c>
      <c r="D4323" s="14" t="s">
        <v>116</v>
      </c>
      <c r="E4323" s="14" t="s">
        <v>117</v>
      </c>
      <c r="F4323" s="15" t="s">
        <v>51</v>
      </c>
      <c r="G4323" s="14" t="s">
        <v>161</v>
      </c>
      <c r="H4323" s="14" t="s">
        <v>116</v>
      </c>
      <c r="I4323" s="14" t="s">
        <v>54</v>
      </c>
      <c r="J4323" s="14" t="s">
        <v>200</v>
      </c>
      <c r="K4323" s="14" t="s">
        <v>211</v>
      </c>
      <c r="L4323" s="14" t="s">
        <v>253</v>
      </c>
      <c r="M4323" s="14" t="s">
        <v>1381</v>
      </c>
      <c r="N4323" s="14" t="s">
        <v>1382</v>
      </c>
      <c r="O4323" s="14">
        <v>1.0</v>
      </c>
      <c r="P4323" s="23">
        <v>0.0</v>
      </c>
      <c r="Q4323" s="22" t="str">
        <f t="shared" ref="Q4323:R4323" si="2581">"+0.00%"</f>
        <v>+0.00%</v>
      </c>
      <c r="R4323" s="18" t="str">
        <f t="shared" si="2581"/>
        <v>+0.00%</v>
      </c>
      <c r="S4323" s="14" t="s">
        <v>371</v>
      </c>
    </row>
    <row r="4324">
      <c r="A4324" s="13">
        <v>45901.0</v>
      </c>
      <c r="B4324" s="14" t="s">
        <v>47</v>
      </c>
      <c r="C4324" s="14" t="s">
        <v>48</v>
      </c>
      <c r="D4324" s="14" t="s">
        <v>108</v>
      </c>
      <c r="E4324" s="14" t="s">
        <v>109</v>
      </c>
      <c r="F4324" s="14" t="s">
        <v>146</v>
      </c>
      <c r="G4324" s="14" t="s">
        <v>180</v>
      </c>
      <c r="H4324" s="14" t="s">
        <v>108</v>
      </c>
      <c r="I4324" s="14" t="s">
        <v>59</v>
      </c>
      <c r="J4324" s="14" t="s">
        <v>200</v>
      </c>
      <c r="K4324" s="14" t="s">
        <v>226</v>
      </c>
      <c r="L4324" s="14" t="s">
        <v>698</v>
      </c>
      <c r="M4324" s="14" t="s">
        <v>699</v>
      </c>
      <c r="N4324" s="14" t="s">
        <v>700</v>
      </c>
      <c r="O4324" s="14">
        <v>100.0</v>
      </c>
      <c r="P4324" s="23">
        <v>1.0</v>
      </c>
      <c r="Q4324" s="22" t="str">
        <f t="shared" ref="Q4324:Q4326" si="2582">"+0.00%"</f>
        <v>+0.00%</v>
      </c>
      <c r="S4324" s="14" t="s">
        <v>2262</v>
      </c>
    </row>
    <row r="4325">
      <c r="A4325" s="13">
        <v>45901.0</v>
      </c>
      <c r="B4325" s="14" t="s">
        <v>47</v>
      </c>
      <c r="C4325" s="14" t="s">
        <v>48</v>
      </c>
      <c r="D4325" s="14" t="s">
        <v>108</v>
      </c>
      <c r="E4325" s="14" t="s">
        <v>109</v>
      </c>
      <c r="F4325" s="15" t="s">
        <v>51</v>
      </c>
      <c r="G4325" s="14" t="s">
        <v>110</v>
      </c>
      <c r="H4325" s="14" t="s">
        <v>108</v>
      </c>
      <c r="I4325" s="14" t="s">
        <v>59</v>
      </c>
      <c r="J4325" s="14" t="s">
        <v>200</v>
      </c>
      <c r="K4325" s="14" t="s">
        <v>213</v>
      </c>
      <c r="L4325" s="14" t="s">
        <v>440</v>
      </c>
      <c r="M4325" s="14" t="s">
        <v>441</v>
      </c>
      <c r="N4325" s="14" t="s">
        <v>442</v>
      </c>
      <c r="O4325" s="14">
        <v>0.0</v>
      </c>
      <c r="P4325" s="23">
        <v>0.0</v>
      </c>
      <c r="Q4325" s="22" t="str">
        <f t="shared" si="2582"/>
        <v>+0.00%</v>
      </c>
      <c r="S4325" s="14" t="s">
        <v>285</v>
      </c>
    </row>
    <row r="4326">
      <c r="A4326" s="13">
        <v>45901.0</v>
      </c>
      <c r="B4326" s="14" t="s">
        <v>47</v>
      </c>
      <c r="C4326" s="14" t="s">
        <v>48</v>
      </c>
      <c r="D4326" s="14" t="s">
        <v>168</v>
      </c>
      <c r="E4326" s="14" t="s">
        <v>169</v>
      </c>
      <c r="F4326" s="15" t="s">
        <v>51</v>
      </c>
      <c r="G4326" s="14" t="s">
        <v>170</v>
      </c>
      <c r="H4326" s="14" t="s">
        <v>168</v>
      </c>
      <c r="I4326" s="14" t="s">
        <v>59</v>
      </c>
      <c r="J4326" s="14" t="s">
        <v>200</v>
      </c>
      <c r="K4326" s="14" t="s">
        <v>213</v>
      </c>
      <c r="L4326" s="14" t="s">
        <v>676</v>
      </c>
      <c r="M4326" s="14" t="s">
        <v>677</v>
      </c>
      <c r="N4326" s="14" t="s">
        <v>678</v>
      </c>
      <c r="O4326" s="14">
        <v>0.0</v>
      </c>
      <c r="P4326" s="23">
        <v>0.0</v>
      </c>
      <c r="Q4326" s="22" t="str">
        <f t="shared" si="2582"/>
        <v>+0.00%</v>
      </c>
      <c r="R4326" s="18" t="str">
        <f>"+0.00%"</f>
        <v>+0.00%</v>
      </c>
      <c r="S4326" s="14" t="s">
        <v>285</v>
      </c>
    </row>
    <row r="4327">
      <c r="A4327" s="13">
        <v>45901.0</v>
      </c>
      <c r="B4327" s="14" t="s">
        <v>47</v>
      </c>
      <c r="C4327" s="14" t="s">
        <v>48</v>
      </c>
      <c r="D4327" s="14" t="s">
        <v>60</v>
      </c>
      <c r="E4327" s="14" t="s">
        <v>61</v>
      </c>
      <c r="F4327" s="15" t="s">
        <v>51</v>
      </c>
      <c r="G4327" s="14" t="s">
        <v>62</v>
      </c>
      <c r="H4327" s="14" t="s">
        <v>60</v>
      </c>
      <c r="I4327" s="14" t="s">
        <v>59</v>
      </c>
      <c r="J4327" s="14" t="s">
        <v>200</v>
      </c>
      <c r="K4327" s="14" t="s">
        <v>216</v>
      </c>
      <c r="L4327" s="14" t="s">
        <v>1496</v>
      </c>
      <c r="M4327" s="14" t="s">
        <v>1497</v>
      </c>
      <c r="N4327" s="14" t="s">
        <v>1498</v>
      </c>
      <c r="O4327" s="14">
        <v>0.0</v>
      </c>
      <c r="P4327" s="21">
        <v>0.0</v>
      </c>
      <c r="Q4327" s="22" t="str">
        <f t="shared" ref="Q4327:R4327" si="2583">"+0"</f>
        <v>+0</v>
      </c>
      <c r="R4327" s="18" t="str">
        <f t="shared" si="2583"/>
        <v>+0</v>
      </c>
      <c r="S4327" s="14" t="s">
        <v>327</v>
      </c>
    </row>
    <row r="4328">
      <c r="A4328" s="13">
        <v>45901.0</v>
      </c>
      <c r="B4328" s="14" t="s">
        <v>47</v>
      </c>
      <c r="C4328" s="14" t="s">
        <v>48</v>
      </c>
      <c r="D4328" s="14" t="s">
        <v>181</v>
      </c>
      <c r="E4328" s="14" t="s">
        <v>182</v>
      </c>
      <c r="F4328" s="15" t="s">
        <v>51</v>
      </c>
      <c r="G4328" s="14" t="s">
        <v>183</v>
      </c>
      <c r="H4328" s="14" t="s">
        <v>181</v>
      </c>
      <c r="I4328" s="14" t="s">
        <v>59</v>
      </c>
      <c r="J4328" s="14" t="s">
        <v>200</v>
      </c>
      <c r="K4328" s="14" t="s">
        <v>232</v>
      </c>
      <c r="L4328" s="14" t="s">
        <v>487</v>
      </c>
      <c r="M4328" s="14" t="s">
        <v>1015</v>
      </c>
      <c r="N4328" s="14" t="s">
        <v>1016</v>
      </c>
      <c r="O4328" s="14">
        <v>0.0</v>
      </c>
      <c r="P4328" s="23">
        <v>0.0</v>
      </c>
      <c r="Q4328" s="22" t="str">
        <f t="shared" ref="Q4328:R4328" si="2584">"+0.00%"</f>
        <v>+0.00%</v>
      </c>
      <c r="R4328" s="18" t="str">
        <f t="shared" si="2584"/>
        <v>+0.00%</v>
      </c>
      <c r="S4328" s="14" t="s">
        <v>285</v>
      </c>
    </row>
    <row r="4329">
      <c r="A4329" s="13">
        <v>45901.0</v>
      </c>
      <c r="B4329" s="14" t="s">
        <v>47</v>
      </c>
      <c r="C4329" s="14" t="s">
        <v>48</v>
      </c>
      <c r="D4329" s="14" t="s">
        <v>168</v>
      </c>
      <c r="E4329" s="14" t="s">
        <v>169</v>
      </c>
      <c r="F4329" s="15" t="s">
        <v>51</v>
      </c>
      <c r="G4329" s="14" t="s">
        <v>170</v>
      </c>
      <c r="H4329" s="14" t="s">
        <v>168</v>
      </c>
      <c r="I4329" s="14" t="s">
        <v>59</v>
      </c>
      <c r="J4329" s="14" t="s">
        <v>200</v>
      </c>
      <c r="K4329" s="14" t="s">
        <v>204</v>
      </c>
      <c r="L4329" s="14" t="s">
        <v>253</v>
      </c>
      <c r="M4329" s="14" t="s">
        <v>490</v>
      </c>
      <c r="N4329" s="14" t="s">
        <v>491</v>
      </c>
      <c r="O4329" s="14">
        <v>0.0</v>
      </c>
      <c r="P4329" s="23">
        <v>0.0</v>
      </c>
      <c r="Q4329" s="22" t="str">
        <f t="shared" ref="Q4329:R4329" si="2585">"+0.00%"</f>
        <v>+0.00%</v>
      </c>
      <c r="R4329" s="18" t="str">
        <f t="shared" si="2585"/>
        <v>+0.00%</v>
      </c>
      <c r="S4329" s="14" t="s">
        <v>492</v>
      </c>
    </row>
    <row r="4330">
      <c r="A4330" s="13">
        <v>45901.0</v>
      </c>
      <c r="B4330" s="14" t="s">
        <v>47</v>
      </c>
      <c r="C4330" s="14" t="s">
        <v>48</v>
      </c>
      <c r="D4330" s="14" t="s">
        <v>181</v>
      </c>
      <c r="E4330" s="14" t="s">
        <v>182</v>
      </c>
      <c r="F4330" s="15" t="s">
        <v>51</v>
      </c>
      <c r="G4330" s="14" t="s">
        <v>183</v>
      </c>
      <c r="H4330" s="14" t="s">
        <v>181</v>
      </c>
      <c r="I4330" s="14" t="s">
        <v>59</v>
      </c>
      <c r="J4330" s="14" t="s">
        <v>200</v>
      </c>
      <c r="K4330" s="14" t="s">
        <v>204</v>
      </c>
      <c r="L4330" s="14" t="s">
        <v>253</v>
      </c>
      <c r="M4330" s="14" t="s">
        <v>844</v>
      </c>
      <c r="N4330" s="14" t="s">
        <v>845</v>
      </c>
      <c r="O4330" s="14">
        <v>0.0</v>
      </c>
      <c r="P4330" s="17"/>
      <c r="Q4330" s="22"/>
      <c r="S4330" s="14" t="s">
        <v>846</v>
      </c>
    </row>
    <row r="4331">
      <c r="A4331" s="13">
        <v>45901.0</v>
      </c>
      <c r="B4331" s="14" t="s">
        <v>47</v>
      </c>
      <c r="C4331" s="14" t="s">
        <v>48</v>
      </c>
      <c r="D4331" s="14" t="s">
        <v>49</v>
      </c>
      <c r="E4331" s="14" t="s">
        <v>50</v>
      </c>
      <c r="F4331" s="15" t="s">
        <v>51</v>
      </c>
      <c r="G4331" s="14" t="s">
        <v>52</v>
      </c>
      <c r="H4331" s="14" t="s">
        <v>53</v>
      </c>
      <c r="I4331" s="14" t="s">
        <v>54</v>
      </c>
      <c r="J4331" s="14" t="s">
        <v>200</v>
      </c>
      <c r="K4331" s="14" t="s">
        <v>222</v>
      </c>
      <c r="L4331" s="14" t="s">
        <v>301</v>
      </c>
      <c r="M4331" s="14" t="s">
        <v>302</v>
      </c>
      <c r="N4331" s="14" t="s">
        <v>303</v>
      </c>
      <c r="O4331" s="14">
        <v>100.0</v>
      </c>
      <c r="P4331" s="21">
        <v>73.0</v>
      </c>
      <c r="Q4331" s="22" t="str">
        <f>"+69"</f>
        <v>+69</v>
      </c>
      <c r="R4331" s="18" t="str">
        <f>"-178"</f>
        <v>-178</v>
      </c>
      <c r="S4331" s="14" t="s">
        <v>260</v>
      </c>
    </row>
    <row r="4332">
      <c r="A4332" s="13">
        <v>45901.0</v>
      </c>
      <c r="B4332" s="14" t="s">
        <v>47</v>
      </c>
      <c r="C4332" s="14" t="s">
        <v>48</v>
      </c>
      <c r="D4332" s="14" t="s">
        <v>49</v>
      </c>
      <c r="E4332" s="14" t="s">
        <v>50</v>
      </c>
      <c r="F4332" s="15" t="s">
        <v>51</v>
      </c>
      <c r="G4332" s="14" t="s">
        <v>52</v>
      </c>
      <c r="H4332" s="14" t="s">
        <v>53</v>
      </c>
      <c r="I4332" s="14" t="s">
        <v>54</v>
      </c>
      <c r="J4332" s="14" t="s">
        <v>199</v>
      </c>
      <c r="K4332" s="14" t="s">
        <v>206</v>
      </c>
      <c r="L4332" s="14" t="s">
        <v>295</v>
      </c>
      <c r="M4332" s="14" t="s">
        <v>296</v>
      </c>
      <c r="N4332" s="14" t="s">
        <v>297</v>
      </c>
      <c r="O4332" s="14">
        <v>0.0</v>
      </c>
      <c r="P4332" s="21">
        <v>0.0</v>
      </c>
      <c r="Q4332" s="22" t="str">
        <f t="shared" ref="Q4332:R4332" si="2586">"+0"</f>
        <v>+0</v>
      </c>
      <c r="R4332" s="18" t="str">
        <f t="shared" si="2586"/>
        <v>+0</v>
      </c>
      <c r="S4332" s="14" t="s">
        <v>260</v>
      </c>
    </row>
    <row r="4333">
      <c r="A4333" s="13">
        <v>45901.0</v>
      </c>
      <c r="B4333" s="14" t="s">
        <v>47</v>
      </c>
      <c r="C4333" s="14" t="s">
        <v>48</v>
      </c>
      <c r="D4333" s="14" t="s">
        <v>165</v>
      </c>
      <c r="E4333" s="14" t="s">
        <v>166</v>
      </c>
      <c r="F4333" s="14" t="s">
        <v>111</v>
      </c>
      <c r="G4333" s="14">
        <v>7116371.0</v>
      </c>
      <c r="H4333" s="14" t="s">
        <v>165</v>
      </c>
      <c r="I4333" s="14" t="s">
        <v>59</v>
      </c>
      <c r="J4333" s="14" t="s">
        <v>199</v>
      </c>
      <c r="K4333" s="14" t="s">
        <v>208</v>
      </c>
      <c r="L4333" s="14" t="s">
        <v>412</v>
      </c>
      <c r="M4333" s="14" t="s">
        <v>412</v>
      </c>
      <c r="N4333" s="14" t="s">
        <v>413</v>
      </c>
      <c r="O4333" s="14">
        <v>75.0</v>
      </c>
      <c r="P4333" s="21">
        <v>1.0</v>
      </c>
      <c r="Q4333" s="22" t="str">
        <f t="shared" ref="Q4333:R4333" si="2587">"+0"</f>
        <v>+0</v>
      </c>
      <c r="R4333" s="18" t="str">
        <f t="shared" si="2587"/>
        <v>+0</v>
      </c>
      <c r="S4333" s="14" t="s">
        <v>260</v>
      </c>
    </row>
    <row r="4334">
      <c r="A4334" s="13">
        <v>45901.0</v>
      </c>
      <c r="B4334" s="14" t="s">
        <v>47</v>
      </c>
      <c r="C4334" s="14" t="s">
        <v>48</v>
      </c>
      <c r="D4334" s="14" t="s">
        <v>91</v>
      </c>
      <c r="E4334" s="14" t="s">
        <v>92</v>
      </c>
      <c r="F4334" s="14" t="s">
        <v>71</v>
      </c>
      <c r="G4334" s="14">
        <v>1.00004432E8</v>
      </c>
      <c r="H4334" s="14" t="s">
        <v>91</v>
      </c>
      <c r="I4334" s="14" t="s">
        <v>59</v>
      </c>
      <c r="J4334" s="14" t="s">
        <v>199</v>
      </c>
      <c r="K4334" s="14" t="s">
        <v>208</v>
      </c>
      <c r="L4334" s="14" t="s">
        <v>412</v>
      </c>
      <c r="M4334" s="14" t="s">
        <v>412</v>
      </c>
      <c r="N4334" s="14" t="s">
        <v>413</v>
      </c>
      <c r="O4334" s="14">
        <v>100.0</v>
      </c>
      <c r="P4334" s="21">
        <v>14.0</v>
      </c>
      <c r="Q4334" s="22" t="str">
        <f t="shared" ref="Q4334:R4334" si="2588">"+0"</f>
        <v>+0</v>
      </c>
      <c r="R4334" s="18" t="str">
        <f t="shared" si="2588"/>
        <v>+0</v>
      </c>
      <c r="S4334" s="14" t="s">
        <v>260</v>
      </c>
    </row>
    <row r="4335">
      <c r="A4335" s="13">
        <v>45901.0</v>
      </c>
      <c r="B4335" s="14" t="s">
        <v>47</v>
      </c>
      <c r="C4335" s="14" t="s">
        <v>48</v>
      </c>
      <c r="D4335" s="14" t="s">
        <v>91</v>
      </c>
      <c r="E4335" s="14" t="s">
        <v>92</v>
      </c>
      <c r="F4335" s="15" t="s">
        <v>51</v>
      </c>
      <c r="G4335" s="14" t="s">
        <v>163</v>
      </c>
      <c r="H4335" s="14" t="s">
        <v>91</v>
      </c>
      <c r="I4335" s="14" t="s">
        <v>59</v>
      </c>
      <c r="J4335" s="14" t="s">
        <v>200</v>
      </c>
      <c r="K4335" s="14" t="s">
        <v>227</v>
      </c>
      <c r="L4335" s="14" t="s">
        <v>253</v>
      </c>
      <c r="M4335" s="14" t="s">
        <v>396</v>
      </c>
      <c r="N4335" s="14" t="s">
        <v>397</v>
      </c>
      <c r="O4335" s="14">
        <v>100.0</v>
      </c>
      <c r="P4335" s="23">
        <v>1.0</v>
      </c>
      <c r="Q4335" s="22" t="str">
        <f t="shared" ref="Q4335:R4335" si="2589">"+0.00%"</f>
        <v>+0.00%</v>
      </c>
      <c r="R4335" s="18" t="str">
        <f t="shared" si="2589"/>
        <v>+0.00%</v>
      </c>
      <c r="S4335" s="14" t="s">
        <v>916</v>
      </c>
    </row>
    <row r="4336">
      <c r="A4336" s="13">
        <v>45901.0</v>
      </c>
      <c r="B4336" s="14" t="s">
        <v>47</v>
      </c>
      <c r="C4336" s="14" t="s">
        <v>48</v>
      </c>
      <c r="D4336" s="14" t="s">
        <v>177</v>
      </c>
      <c r="E4336" s="14" t="s">
        <v>178</v>
      </c>
      <c r="F4336" s="14" t="s">
        <v>146</v>
      </c>
      <c r="G4336" s="14" t="s">
        <v>179</v>
      </c>
      <c r="H4336" s="14" t="s">
        <v>177</v>
      </c>
      <c r="I4336" s="14" t="s">
        <v>107</v>
      </c>
      <c r="J4336" s="14" t="s">
        <v>199</v>
      </c>
      <c r="K4336" s="14" t="s">
        <v>206</v>
      </c>
      <c r="L4336" s="14" t="s">
        <v>268</v>
      </c>
      <c r="M4336" s="14" t="s">
        <v>268</v>
      </c>
      <c r="N4336" s="14" t="s">
        <v>269</v>
      </c>
      <c r="O4336" s="14">
        <v>0.0</v>
      </c>
      <c r="P4336" s="21">
        <v>0.0</v>
      </c>
      <c r="Q4336" s="22" t="str">
        <f t="shared" ref="Q4336:R4336" si="2590">"+0"</f>
        <v>+0</v>
      </c>
      <c r="R4336" s="18" t="str">
        <f t="shared" si="2590"/>
        <v>+0</v>
      </c>
      <c r="S4336" s="14" t="s">
        <v>260</v>
      </c>
    </row>
    <row r="4337">
      <c r="A4337" s="13">
        <v>45901.0</v>
      </c>
      <c r="B4337" s="14" t="s">
        <v>47</v>
      </c>
      <c r="C4337" s="14" t="s">
        <v>48</v>
      </c>
      <c r="D4337" s="14" t="s">
        <v>99</v>
      </c>
      <c r="E4337" s="14" t="s">
        <v>100</v>
      </c>
      <c r="F4337" s="15" t="s">
        <v>51</v>
      </c>
      <c r="G4337" s="14" t="s">
        <v>101</v>
      </c>
      <c r="H4337" s="14" t="s">
        <v>102</v>
      </c>
      <c r="I4337" s="14" t="s">
        <v>54</v>
      </c>
      <c r="J4337" s="14" t="s">
        <v>198</v>
      </c>
      <c r="K4337" s="14" t="s">
        <v>210</v>
      </c>
      <c r="L4337" s="14" t="s">
        <v>505</v>
      </c>
      <c r="M4337" s="14" t="s">
        <v>506</v>
      </c>
      <c r="N4337" s="14" t="s">
        <v>507</v>
      </c>
      <c r="O4337" s="14">
        <v>100.0</v>
      </c>
      <c r="P4337" s="21">
        <v>0.0</v>
      </c>
      <c r="Q4337" s="22" t="str">
        <f t="shared" ref="Q4337:R4337" si="2591">"+0"</f>
        <v>+0</v>
      </c>
      <c r="R4337" s="18" t="str">
        <f t="shared" si="2591"/>
        <v>+0</v>
      </c>
      <c r="S4337" s="14" t="s">
        <v>281</v>
      </c>
    </row>
    <row r="4338">
      <c r="A4338" s="13">
        <v>45901.0</v>
      </c>
      <c r="B4338" s="14" t="s">
        <v>47</v>
      </c>
      <c r="C4338" s="14" t="s">
        <v>48</v>
      </c>
      <c r="D4338" s="14" t="s">
        <v>63</v>
      </c>
      <c r="E4338" s="14" t="s">
        <v>64</v>
      </c>
      <c r="F4338" s="15" t="s">
        <v>51</v>
      </c>
      <c r="G4338" s="14" t="s">
        <v>65</v>
      </c>
      <c r="H4338" s="14" t="s">
        <v>63</v>
      </c>
      <c r="I4338" s="14" t="s">
        <v>54</v>
      </c>
      <c r="J4338" s="14" t="s">
        <v>200</v>
      </c>
      <c r="K4338" s="14" t="s">
        <v>211</v>
      </c>
      <c r="L4338" s="14" t="s">
        <v>253</v>
      </c>
      <c r="M4338" s="14" t="s">
        <v>1085</v>
      </c>
      <c r="N4338" s="14" t="s">
        <v>1086</v>
      </c>
      <c r="O4338" s="14">
        <v>0.0</v>
      </c>
      <c r="P4338" s="23">
        <v>0.0</v>
      </c>
      <c r="Q4338" s="22" t="str">
        <f t="shared" ref="Q4338:R4338" si="2592">"+0.00%"</f>
        <v>+0.00%</v>
      </c>
      <c r="R4338" s="18" t="str">
        <f t="shared" si="2592"/>
        <v>+0.00%</v>
      </c>
      <c r="S4338" s="14" t="s">
        <v>994</v>
      </c>
    </row>
    <row r="4339">
      <c r="A4339" s="13">
        <v>45901.0</v>
      </c>
      <c r="B4339" s="14" t="s">
        <v>47</v>
      </c>
      <c r="C4339" s="14" t="s">
        <v>48</v>
      </c>
      <c r="D4339" s="14" t="s">
        <v>99</v>
      </c>
      <c r="E4339" s="14" t="s">
        <v>100</v>
      </c>
      <c r="F4339" s="15" t="s">
        <v>51</v>
      </c>
      <c r="G4339" s="14" t="s">
        <v>101</v>
      </c>
      <c r="H4339" s="14" t="s">
        <v>102</v>
      </c>
      <c r="I4339" s="14" t="s">
        <v>54</v>
      </c>
      <c r="J4339" s="14" t="s">
        <v>198</v>
      </c>
      <c r="K4339" s="14" t="s">
        <v>210</v>
      </c>
      <c r="L4339" s="14" t="s">
        <v>264</v>
      </c>
      <c r="M4339" s="14" t="s">
        <v>1214</v>
      </c>
      <c r="N4339" s="14" t="s">
        <v>1215</v>
      </c>
      <c r="O4339" s="14">
        <v>0.0</v>
      </c>
      <c r="P4339" s="21">
        <v>0.0</v>
      </c>
      <c r="Q4339" s="22" t="str">
        <f t="shared" ref="Q4339:R4339" si="2593">"+0"</f>
        <v>+0</v>
      </c>
      <c r="R4339" s="18" t="str">
        <f t="shared" si="2593"/>
        <v>+0</v>
      </c>
      <c r="S4339" s="14" t="s">
        <v>277</v>
      </c>
    </row>
    <row r="4340">
      <c r="A4340" s="13">
        <v>45901.0</v>
      </c>
      <c r="B4340" s="14" t="s">
        <v>47</v>
      </c>
      <c r="C4340" s="14" t="s">
        <v>48</v>
      </c>
      <c r="D4340" s="14" t="s">
        <v>91</v>
      </c>
      <c r="E4340" s="14" t="s">
        <v>92</v>
      </c>
      <c r="F4340" s="14" t="s">
        <v>79</v>
      </c>
      <c r="G4340" s="14" t="s">
        <v>164</v>
      </c>
      <c r="H4340" s="14" t="s">
        <v>91</v>
      </c>
      <c r="I4340" s="14" t="s">
        <v>154</v>
      </c>
      <c r="J4340" s="14" t="s">
        <v>199</v>
      </c>
      <c r="K4340" s="14" t="s">
        <v>206</v>
      </c>
      <c r="L4340" s="14" t="s">
        <v>295</v>
      </c>
      <c r="M4340" s="14" t="s">
        <v>296</v>
      </c>
      <c r="N4340" s="14" t="s">
        <v>297</v>
      </c>
      <c r="O4340" s="14">
        <v>100.0</v>
      </c>
      <c r="P4340" s="21">
        <v>2.0</v>
      </c>
      <c r="Q4340" s="22" t="str">
        <f t="shared" ref="Q4340:R4340" si="2594">"+0"</f>
        <v>+0</v>
      </c>
      <c r="R4340" s="18" t="str">
        <f t="shared" si="2594"/>
        <v>+0</v>
      </c>
      <c r="S4340" s="14" t="s">
        <v>260</v>
      </c>
    </row>
    <row r="4341">
      <c r="A4341" s="13">
        <v>45901.0</v>
      </c>
      <c r="B4341" s="14" t="s">
        <v>47</v>
      </c>
      <c r="C4341" s="14" t="s">
        <v>48</v>
      </c>
      <c r="D4341" s="14" t="s">
        <v>192</v>
      </c>
      <c r="E4341" s="14" t="s">
        <v>193</v>
      </c>
      <c r="F4341" s="15" t="s">
        <v>51</v>
      </c>
      <c r="G4341" s="14" t="s">
        <v>194</v>
      </c>
      <c r="H4341" s="14" t="s">
        <v>192</v>
      </c>
      <c r="I4341" s="14" t="s">
        <v>54</v>
      </c>
      <c r="J4341" s="14" t="s">
        <v>200</v>
      </c>
      <c r="K4341" s="14" t="s">
        <v>223</v>
      </c>
      <c r="L4341" s="14" t="s">
        <v>307</v>
      </c>
      <c r="M4341" s="14" t="s">
        <v>533</v>
      </c>
      <c r="N4341" s="14" t="s">
        <v>534</v>
      </c>
      <c r="O4341" s="14">
        <v>30.0</v>
      </c>
      <c r="P4341" s="23">
        <v>0.3007</v>
      </c>
      <c r="Q4341" s="22" t="str">
        <f>"-1.47%"</f>
        <v>-1.47%</v>
      </c>
      <c r="R4341" s="18" t="str">
        <f>"-0.65%"</f>
        <v>-0.65%</v>
      </c>
      <c r="S4341" s="14" t="s">
        <v>2263</v>
      </c>
    </row>
    <row r="4342">
      <c r="A4342" s="13">
        <v>45901.0</v>
      </c>
      <c r="B4342" s="14" t="s">
        <v>47</v>
      </c>
      <c r="C4342" s="14" t="s">
        <v>48</v>
      </c>
      <c r="D4342" s="14" t="s">
        <v>184</v>
      </c>
      <c r="E4342" s="14" t="s">
        <v>185</v>
      </c>
      <c r="F4342" s="15" t="s">
        <v>51</v>
      </c>
      <c r="G4342" s="14" t="s">
        <v>186</v>
      </c>
      <c r="H4342" s="14" t="s">
        <v>187</v>
      </c>
      <c r="I4342" s="14" t="s">
        <v>59</v>
      </c>
      <c r="J4342" s="14" t="s">
        <v>200</v>
      </c>
      <c r="K4342" s="14" t="s">
        <v>224</v>
      </c>
      <c r="L4342" s="14" t="s">
        <v>594</v>
      </c>
      <c r="M4342" s="14" t="s">
        <v>595</v>
      </c>
      <c r="N4342" s="14" t="s">
        <v>596</v>
      </c>
      <c r="O4342" s="14">
        <v>0.0</v>
      </c>
      <c r="P4342" s="17"/>
      <c r="Q4342" s="22"/>
      <c r="S4342" s="14" t="s">
        <v>2264</v>
      </c>
    </row>
    <row r="4343">
      <c r="A4343" s="13">
        <v>45901.0</v>
      </c>
      <c r="B4343" s="14" t="s">
        <v>47</v>
      </c>
      <c r="C4343" s="14" t="s">
        <v>48</v>
      </c>
      <c r="D4343" s="14" t="s">
        <v>66</v>
      </c>
      <c r="E4343" s="14" t="s">
        <v>67</v>
      </c>
      <c r="F4343" s="15" t="s">
        <v>51</v>
      </c>
      <c r="G4343" s="14" t="s">
        <v>68</v>
      </c>
      <c r="H4343" s="14" t="s">
        <v>66</v>
      </c>
      <c r="I4343" s="14" t="s">
        <v>59</v>
      </c>
      <c r="J4343" s="14" t="s">
        <v>199</v>
      </c>
      <c r="K4343" s="14" t="s">
        <v>208</v>
      </c>
      <c r="L4343" s="14" t="s">
        <v>352</v>
      </c>
      <c r="M4343" s="14" t="s">
        <v>352</v>
      </c>
      <c r="N4343" s="14" t="s">
        <v>353</v>
      </c>
      <c r="O4343" s="14">
        <v>85.0</v>
      </c>
      <c r="P4343" s="21">
        <v>3.0</v>
      </c>
      <c r="Q4343" s="22" t="str">
        <f t="shared" ref="Q4343:R4343" si="2595">"+0"</f>
        <v>+0</v>
      </c>
      <c r="R4343" s="18" t="str">
        <f t="shared" si="2595"/>
        <v>+0</v>
      </c>
      <c r="S4343" s="14" t="s">
        <v>260</v>
      </c>
    </row>
    <row r="4344">
      <c r="A4344" s="13">
        <v>45901.0</v>
      </c>
      <c r="B4344" s="14" t="s">
        <v>47</v>
      </c>
      <c r="C4344" s="14" t="s">
        <v>48</v>
      </c>
      <c r="D4344" s="14" t="s">
        <v>192</v>
      </c>
      <c r="E4344" s="14" t="s">
        <v>193</v>
      </c>
      <c r="F4344" s="15" t="s">
        <v>51</v>
      </c>
      <c r="G4344" s="14" t="s">
        <v>194</v>
      </c>
      <c r="H4344" s="14" t="s">
        <v>192</v>
      </c>
      <c r="I4344" s="14" t="s">
        <v>54</v>
      </c>
      <c r="J4344" s="14" t="s">
        <v>198</v>
      </c>
      <c r="K4344" s="14" t="s">
        <v>210</v>
      </c>
      <c r="L4344" s="14" t="s">
        <v>264</v>
      </c>
      <c r="M4344" s="14" t="s">
        <v>524</v>
      </c>
      <c r="N4344" s="14" t="s">
        <v>525</v>
      </c>
      <c r="O4344" s="14">
        <v>0.0</v>
      </c>
      <c r="P4344" s="21">
        <v>23.0</v>
      </c>
      <c r="Q4344" s="22" t="str">
        <f>"-179"</f>
        <v>-179</v>
      </c>
      <c r="R4344" s="18" t="str">
        <f>"-15"</f>
        <v>-15</v>
      </c>
      <c r="S4344" s="14" t="s">
        <v>2265</v>
      </c>
    </row>
    <row r="4345">
      <c r="A4345" s="13">
        <v>45901.0</v>
      </c>
      <c r="B4345" s="14" t="s">
        <v>47</v>
      </c>
      <c r="C4345" s="14" t="s">
        <v>48</v>
      </c>
      <c r="D4345" s="14" t="s">
        <v>184</v>
      </c>
      <c r="E4345" s="14" t="s">
        <v>185</v>
      </c>
      <c r="F4345" s="15" t="s">
        <v>51</v>
      </c>
      <c r="G4345" s="14" t="s">
        <v>186</v>
      </c>
      <c r="H4345" s="14" t="s">
        <v>187</v>
      </c>
      <c r="I4345" s="14" t="s">
        <v>59</v>
      </c>
      <c r="J4345" s="14" t="s">
        <v>198</v>
      </c>
      <c r="K4345" s="14" t="s">
        <v>210</v>
      </c>
      <c r="L4345" s="14" t="s">
        <v>278</v>
      </c>
      <c r="M4345" s="14" t="s">
        <v>839</v>
      </c>
      <c r="N4345" s="14" t="s">
        <v>840</v>
      </c>
      <c r="O4345" s="14">
        <v>15.0</v>
      </c>
      <c r="P4345" s="21">
        <v>2221.0</v>
      </c>
      <c r="Q4345" s="22" t="str">
        <f>"-92"</f>
        <v>-92</v>
      </c>
      <c r="R4345" s="18" t="str">
        <f>"+44"</f>
        <v>+44</v>
      </c>
      <c r="S4345" s="14" t="s">
        <v>2266</v>
      </c>
    </row>
    <row r="4346">
      <c r="A4346" s="13">
        <v>45901.0</v>
      </c>
      <c r="B4346" s="14" t="s">
        <v>47</v>
      </c>
      <c r="C4346" s="14" t="s">
        <v>48</v>
      </c>
      <c r="D4346" s="14" t="s">
        <v>93</v>
      </c>
      <c r="E4346" s="14" t="s">
        <v>94</v>
      </c>
      <c r="F4346" s="15" t="s">
        <v>51</v>
      </c>
      <c r="G4346" s="14" t="s">
        <v>191</v>
      </c>
      <c r="H4346" s="14" t="s">
        <v>95</v>
      </c>
      <c r="I4346" s="14" t="s">
        <v>59</v>
      </c>
      <c r="J4346" s="14" t="s">
        <v>198</v>
      </c>
      <c r="K4346" s="14" t="s">
        <v>210</v>
      </c>
      <c r="L4346" s="14" t="s">
        <v>264</v>
      </c>
      <c r="M4346" s="14" t="s">
        <v>357</v>
      </c>
      <c r="N4346" s="14" t="s">
        <v>358</v>
      </c>
      <c r="O4346" s="14">
        <v>100.0</v>
      </c>
      <c r="P4346" s="21">
        <v>0.0</v>
      </c>
      <c r="Q4346" s="22" t="str">
        <f t="shared" ref="Q4346:R4346" si="2596">"+0"</f>
        <v>+0</v>
      </c>
      <c r="R4346" s="18" t="str">
        <f t="shared" si="2596"/>
        <v>+0</v>
      </c>
      <c r="S4346" s="14" t="s">
        <v>281</v>
      </c>
    </row>
    <row r="4347">
      <c r="A4347" s="13">
        <v>45901.0</v>
      </c>
      <c r="B4347" s="14" t="s">
        <v>47</v>
      </c>
      <c r="C4347" s="14" t="s">
        <v>48</v>
      </c>
      <c r="D4347" s="14" t="s">
        <v>192</v>
      </c>
      <c r="E4347" s="14" t="s">
        <v>193</v>
      </c>
      <c r="F4347" s="15" t="s">
        <v>51</v>
      </c>
      <c r="G4347" s="14" t="s">
        <v>194</v>
      </c>
      <c r="H4347" s="14" t="s">
        <v>192</v>
      </c>
      <c r="I4347" s="14" t="s">
        <v>54</v>
      </c>
      <c r="J4347" s="14" t="s">
        <v>199</v>
      </c>
      <c r="K4347" s="14" t="s">
        <v>206</v>
      </c>
      <c r="L4347" s="14" t="s">
        <v>515</v>
      </c>
      <c r="M4347" s="14" t="s">
        <v>515</v>
      </c>
      <c r="N4347" s="14" t="s">
        <v>516</v>
      </c>
      <c r="O4347" s="14">
        <v>100.0</v>
      </c>
      <c r="P4347" s="21">
        <v>5.0</v>
      </c>
      <c r="Q4347" s="22" t="str">
        <f>"+0"</f>
        <v>+0</v>
      </c>
      <c r="R4347" s="18" t="str">
        <f>"+5"</f>
        <v>+5</v>
      </c>
      <c r="S4347" s="14" t="s">
        <v>383</v>
      </c>
    </row>
    <row r="4348">
      <c r="A4348" s="13">
        <v>45901.0</v>
      </c>
      <c r="B4348" s="14" t="s">
        <v>47</v>
      </c>
      <c r="C4348" s="14" t="s">
        <v>48</v>
      </c>
      <c r="D4348" s="14" t="s">
        <v>184</v>
      </c>
      <c r="E4348" s="14" t="s">
        <v>185</v>
      </c>
      <c r="F4348" s="15" t="s">
        <v>51</v>
      </c>
      <c r="G4348" s="14" t="s">
        <v>186</v>
      </c>
      <c r="H4348" s="14" t="s">
        <v>187</v>
      </c>
      <c r="I4348" s="14" t="s">
        <v>59</v>
      </c>
      <c r="J4348" s="14" t="s">
        <v>200</v>
      </c>
      <c r="K4348" s="14" t="s">
        <v>224</v>
      </c>
      <c r="L4348" s="14" t="s">
        <v>453</v>
      </c>
      <c r="M4348" s="14" t="s">
        <v>555</v>
      </c>
      <c r="N4348" s="14" t="s">
        <v>556</v>
      </c>
      <c r="O4348" s="14">
        <v>0.0</v>
      </c>
      <c r="P4348" s="17"/>
      <c r="Q4348" s="22"/>
      <c r="S4348" s="14" t="s">
        <v>557</v>
      </c>
    </row>
    <row r="4349">
      <c r="A4349" s="13">
        <v>45901.0</v>
      </c>
      <c r="B4349" s="14" t="s">
        <v>47</v>
      </c>
      <c r="C4349" s="14" t="s">
        <v>48</v>
      </c>
      <c r="D4349" s="14" t="s">
        <v>93</v>
      </c>
      <c r="E4349" s="14" t="s">
        <v>94</v>
      </c>
      <c r="F4349" s="15" t="s">
        <v>51</v>
      </c>
      <c r="G4349" s="14" t="s">
        <v>191</v>
      </c>
      <c r="H4349" s="14" t="s">
        <v>95</v>
      </c>
      <c r="I4349" s="14" t="s">
        <v>59</v>
      </c>
      <c r="J4349" s="14" t="s">
        <v>198</v>
      </c>
      <c r="K4349" s="14" t="s">
        <v>205</v>
      </c>
      <c r="L4349" s="14" t="s">
        <v>274</v>
      </c>
      <c r="M4349" s="14" t="s">
        <v>425</v>
      </c>
      <c r="N4349" s="14" t="s">
        <v>426</v>
      </c>
      <c r="O4349" s="14">
        <v>0.0</v>
      </c>
      <c r="P4349" s="21">
        <v>0.0</v>
      </c>
      <c r="Q4349" s="22" t="str">
        <f>"+0"</f>
        <v>+0</v>
      </c>
      <c r="S4349" s="14" t="s">
        <v>281</v>
      </c>
    </row>
    <row r="4350">
      <c r="A4350" s="13">
        <v>45901.0</v>
      </c>
      <c r="B4350" s="14" t="s">
        <v>47</v>
      </c>
      <c r="C4350" s="14" t="s">
        <v>48</v>
      </c>
      <c r="D4350" s="14" t="s">
        <v>73</v>
      </c>
      <c r="E4350" s="14" t="s">
        <v>74</v>
      </c>
      <c r="F4350" s="15" t="s">
        <v>51</v>
      </c>
      <c r="G4350" s="14" t="s">
        <v>75</v>
      </c>
      <c r="H4350" s="14" t="s">
        <v>76</v>
      </c>
      <c r="I4350" s="14" t="s">
        <v>59</v>
      </c>
      <c r="J4350" s="14" t="s">
        <v>200</v>
      </c>
      <c r="K4350" s="14" t="s">
        <v>229</v>
      </c>
      <c r="L4350" s="14" t="s">
        <v>253</v>
      </c>
      <c r="M4350" s="14" t="s">
        <v>366</v>
      </c>
      <c r="N4350" s="14" t="s">
        <v>367</v>
      </c>
      <c r="O4350" s="14">
        <v>100.0</v>
      </c>
      <c r="P4350" s="23">
        <v>1.0</v>
      </c>
      <c r="Q4350" s="22" t="str">
        <f t="shared" ref="Q4350:R4350" si="2597">"+0.00%"</f>
        <v>+0.00%</v>
      </c>
      <c r="R4350" s="18" t="str">
        <f t="shared" si="2597"/>
        <v>+0.00%</v>
      </c>
      <c r="S4350" s="14" t="s">
        <v>2267</v>
      </c>
    </row>
    <row r="4351">
      <c r="A4351" s="13">
        <v>45901.0</v>
      </c>
      <c r="B4351" s="14" t="s">
        <v>47</v>
      </c>
      <c r="C4351" s="14" t="s">
        <v>48</v>
      </c>
      <c r="D4351" s="14" t="s">
        <v>103</v>
      </c>
      <c r="E4351" s="14" t="s">
        <v>104</v>
      </c>
      <c r="F4351" s="15" t="s">
        <v>51</v>
      </c>
      <c r="G4351" s="14" t="s">
        <v>105</v>
      </c>
      <c r="H4351" s="14" t="s">
        <v>106</v>
      </c>
      <c r="I4351" s="14" t="s">
        <v>59</v>
      </c>
      <c r="J4351" s="14" t="s">
        <v>200</v>
      </c>
      <c r="K4351" s="14" t="s">
        <v>232</v>
      </c>
      <c r="L4351" s="14" t="s">
        <v>710</v>
      </c>
      <c r="M4351" s="14" t="s">
        <v>1302</v>
      </c>
      <c r="N4351" s="14" t="s">
        <v>1303</v>
      </c>
      <c r="O4351" s="14">
        <v>0.0</v>
      </c>
      <c r="P4351" s="23">
        <v>0.0</v>
      </c>
      <c r="Q4351" s="22" t="str">
        <f t="shared" ref="Q4351:R4351" si="2598">"+0.00%"</f>
        <v>+0.00%</v>
      </c>
      <c r="R4351" s="18" t="str">
        <f t="shared" si="2598"/>
        <v>+0.00%</v>
      </c>
      <c r="S4351" s="14" t="s">
        <v>2268</v>
      </c>
    </row>
    <row r="4352">
      <c r="A4352" s="13">
        <v>45901.0</v>
      </c>
      <c r="B4352" s="14" t="s">
        <v>47</v>
      </c>
      <c r="C4352" s="14" t="s">
        <v>48</v>
      </c>
      <c r="D4352" s="14" t="s">
        <v>129</v>
      </c>
      <c r="E4352" s="14" t="s">
        <v>130</v>
      </c>
      <c r="F4352" s="15" t="s">
        <v>51</v>
      </c>
      <c r="G4352" s="14" t="s">
        <v>131</v>
      </c>
      <c r="H4352" s="14" t="s">
        <v>129</v>
      </c>
      <c r="I4352" s="14" t="s">
        <v>59</v>
      </c>
      <c r="J4352" s="14" t="s">
        <v>200</v>
      </c>
      <c r="K4352" s="14" t="s">
        <v>213</v>
      </c>
      <c r="L4352" s="14" t="s">
        <v>676</v>
      </c>
      <c r="M4352" s="14" t="s">
        <v>836</v>
      </c>
      <c r="N4352" s="14" t="s">
        <v>837</v>
      </c>
      <c r="O4352" s="14">
        <v>0.0</v>
      </c>
      <c r="P4352" s="23">
        <v>0.0</v>
      </c>
      <c r="Q4352" s="22" t="str">
        <f t="shared" ref="Q4352:R4352" si="2599">"+0.00%"</f>
        <v>+0.00%</v>
      </c>
      <c r="R4352" s="18" t="str">
        <f t="shared" si="2599"/>
        <v>+0.00%</v>
      </c>
      <c r="S4352" s="14" t="s">
        <v>2269</v>
      </c>
    </row>
    <row r="4353">
      <c r="A4353" s="13">
        <v>45901.0</v>
      </c>
      <c r="B4353" s="14" t="s">
        <v>47</v>
      </c>
      <c r="C4353" s="14" t="s">
        <v>48</v>
      </c>
      <c r="D4353" s="14" t="s">
        <v>129</v>
      </c>
      <c r="E4353" s="14" t="s">
        <v>130</v>
      </c>
      <c r="F4353" s="15" t="s">
        <v>51</v>
      </c>
      <c r="G4353" s="14" t="s">
        <v>131</v>
      </c>
      <c r="H4353" s="14" t="s">
        <v>129</v>
      </c>
      <c r="I4353" s="14" t="s">
        <v>59</v>
      </c>
      <c r="J4353" s="14" t="s">
        <v>199</v>
      </c>
      <c r="K4353" s="14" t="s">
        <v>203</v>
      </c>
      <c r="L4353" s="14" t="s">
        <v>736</v>
      </c>
      <c r="M4353" s="14" t="s">
        <v>736</v>
      </c>
      <c r="N4353" s="14" t="s">
        <v>737</v>
      </c>
      <c r="O4353" s="14">
        <v>0.0</v>
      </c>
      <c r="P4353" s="21">
        <v>0.0</v>
      </c>
      <c r="Q4353" s="22" t="str">
        <f t="shared" ref="Q4353:R4353" si="2600">"+0"</f>
        <v>+0</v>
      </c>
      <c r="R4353" s="18" t="str">
        <f t="shared" si="2600"/>
        <v>+0</v>
      </c>
      <c r="S4353" s="14" t="s">
        <v>260</v>
      </c>
    </row>
    <row r="4354">
      <c r="A4354" s="13">
        <v>45901.0</v>
      </c>
      <c r="B4354" s="14" t="s">
        <v>47</v>
      </c>
      <c r="C4354" s="14" t="s">
        <v>48</v>
      </c>
      <c r="D4354" s="14" t="s">
        <v>136</v>
      </c>
      <c r="E4354" s="14" t="s">
        <v>137</v>
      </c>
      <c r="F4354" s="15" t="s">
        <v>51</v>
      </c>
      <c r="G4354" s="14" t="s">
        <v>138</v>
      </c>
      <c r="H4354" s="14" t="s">
        <v>139</v>
      </c>
      <c r="I4354" s="14" t="s">
        <v>59</v>
      </c>
      <c r="J4354" s="14" t="s">
        <v>199</v>
      </c>
      <c r="K4354" s="14" t="s">
        <v>206</v>
      </c>
      <c r="L4354" s="14" t="s">
        <v>569</v>
      </c>
      <c r="M4354" s="14" t="s">
        <v>569</v>
      </c>
      <c r="N4354" s="14" t="s">
        <v>570</v>
      </c>
      <c r="O4354" s="14">
        <v>0.0</v>
      </c>
      <c r="P4354" s="21">
        <v>0.0</v>
      </c>
      <c r="Q4354" s="22" t="str">
        <f t="shared" ref="Q4354:R4354" si="2601">"+0"</f>
        <v>+0</v>
      </c>
      <c r="R4354" s="18" t="str">
        <f t="shared" si="2601"/>
        <v>+0</v>
      </c>
      <c r="S4354" s="14" t="s">
        <v>383</v>
      </c>
    </row>
    <row r="4355">
      <c r="A4355" s="13">
        <v>45901.0</v>
      </c>
      <c r="B4355" s="14" t="s">
        <v>47</v>
      </c>
      <c r="C4355" s="14" t="s">
        <v>48</v>
      </c>
      <c r="D4355" s="14" t="s">
        <v>129</v>
      </c>
      <c r="E4355" s="14" t="s">
        <v>130</v>
      </c>
      <c r="F4355" s="15" t="s">
        <v>51</v>
      </c>
      <c r="G4355" s="14" t="s">
        <v>131</v>
      </c>
      <c r="H4355" s="14" t="s">
        <v>129</v>
      </c>
      <c r="I4355" s="14" t="s">
        <v>59</v>
      </c>
      <c r="J4355" s="14" t="s">
        <v>200</v>
      </c>
      <c r="K4355" s="14" t="s">
        <v>214</v>
      </c>
      <c r="L4355" s="14" t="s">
        <v>253</v>
      </c>
      <c r="M4355" s="14" t="s">
        <v>366</v>
      </c>
      <c r="N4355" s="14" t="s">
        <v>367</v>
      </c>
      <c r="O4355" s="14">
        <v>27.0</v>
      </c>
      <c r="P4355" s="23">
        <v>0.2744</v>
      </c>
      <c r="Q4355" s="22" t="str">
        <f>"+0.91%"</f>
        <v>+0.91%</v>
      </c>
      <c r="R4355" s="18" t="str">
        <f>"+3.21%"</f>
        <v>+3.21%</v>
      </c>
      <c r="S4355" s="14" t="s">
        <v>1386</v>
      </c>
    </row>
    <row r="4356">
      <c r="A4356" s="13">
        <v>45901.0</v>
      </c>
      <c r="B4356" s="14" t="s">
        <v>47</v>
      </c>
      <c r="C4356" s="14" t="s">
        <v>48</v>
      </c>
      <c r="D4356" s="14" t="s">
        <v>87</v>
      </c>
      <c r="E4356" s="14" t="s">
        <v>88</v>
      </c>
      <c r="F4356" s="15" t="s">
        <v>51</v>
      </c>
      <c r="G4356" s="14" t="s">
        <v>89</v>
      </c>
      <c r="H4356" s="14" t="s">
        <v>90</v>
      </c>
      <c r="I4356" s="14" t="s">
        <v>59</v>
      </c>
      <c r="J4356" s="14" t="s">
        <v>200</v>
      </c>
      <c r="K4356" s="14" t="s">
        <v>223</v>
      </c>
      <c r="L4356" s="14" t="s">
        <v>289</v>
      </c>
      <c r="M4356" s="14" t="s">
        <v>384</v>
      </c>
      <c r="N4356" s="14" t="s">
        <v>385</v>
      </c>
      <c r="O4356" s="14">
        <v>19.0</v>
      </c>
      <c r="P4356" s="23">
        <v>0.1923</v>
      </c>
      <c r="Q4356" s="22" t="str">
        <f>"-0.23%"</f>
        <v>-0.23%</v>
      </c>
      <c r="R4356" s="18" t="str">
        <f>"-2.41%"</f>
        <v>-2.41%</v>
      </c>
      <c r="S4356" s="14" t="s">
        <v>1790</v>
      </c>
    </row>
    <row r="4357">
      <c r="A4357" s="13">
        <v>45901.0</v>
      </c>
      <c r="B4357" s="14" t="s">
        <v>47</v>
      </c>
      <c r="C4357" s="14" t="s">
        <v>48</v>
      </c>
      <c r="D4357" s="14" t="s">
        <v>125</v>
      </c>
      <c r="E4357" s="14" t="s">
        <v>126</v>
      </c>
      <c r="F4357" s="15" t="s">
        <v>51</v>
      </c>
      <c r="G4357" s="14" t="s">
        <v>127</v>
      </c>
      <c r="H4357" s="14" t="s">
        <v>125</v>
      </c>
      <c r="I4357" s="14" t="s">
        <v>59</v>
      </c>
      <c r="J4357" s="14" t="s">
        <v>200</v>
      </c>
      <c r="K4357" s="14" t="s">
        <v>232</v>
      </c>
      <c r="L4357" s="14" t="s">
        <v>710</v>
      </c>
      <c r="M4357" s="14" t="s">
        <v>1302</v>
      </c>
      <c r="N4357" s="14" t="s">
        <v>1303</v>
      </c>
      <c r="O4357" s="14">
        <v>0.0</v>
      </c>
      <c r="P4357" s="23">
        <v>0.0</v>
      </c>
      <c r="Q4357" s="22" t="str">
        <f t="shared" ref="Q4357:R4357" si="2602">"+0.00%"</f>
        <v>+0.00%</v>
      </c>
      <c r="R4357" s="18" t="str">
        <f t="shared" si="2602"/>
        <v>+0.00%</v>
      </c>
      <c r="S4357" s="14" t="s">
        <v>2270</v>
      </c>
    </row>
    <row r="4358">
      <c r="A4358" s="13">
        <v>45901.0</v>
      </c>
      <c r="B4358" s="14" t="s">
        <v>47</v>
      </c>
      <c r="C4358" s="14" t="s">
        <v>48</v>
      </c>
      <c r="D4358" s="14" t="s">
        <v>69</v>
      </c>
      <c r="E4358" s="14" t="s">
        <v>70</v>
      </c>
      <c r="F4358" s="15" t="s">
        <v>51</v>
      </c>
      <c r="G4358" s="14" t="s">
        <v>115</v>
      </c>
      <c r="H4358" s="14" t="s">
        <v>72</v>
      </c>
      <c r="I4358" s="14" t="s">
        <v>54</v>
      </c>
      <c r="J4358" s="14" t="s">
        <v>200</v>
      </c>
      <c r="K4358" s="14" t="s">
        <v>211</v>
      </c>
      <c r="L4358" s="14" t="s">
        <v>991</v>
      </c>
      <c r="M4358" s="14" t="s">
        <v>1040</v>
      </c>
      <c r="N4358" s="14" t="s">
        <v>1041</v>
      </c>
      <c r="O4358" s="14">
        <v>100.0</v>
      </c>
      <c r="P4358" s="21">
        <v>3.0</v>
      </c>
      <c r="Q4358" s="22" t="str">
        <f t="shared" ref="Q4358:R4358" si="2603">"+0"</f>
        <v>+0</v>
      </c>
      <c r="R4358" s="18" t="str">
        <f t="shared" si="2603"/>
        <v>+0</v>
      </c>
      <c r="S4358" s="14" t="s">
        <v>1042</v>
      </c>
    </row>
    <row r="4359">
      <c r="A4359" s="13">
        <v>45901.0</v>
      </c>
      <c r="B4359" s="14" t="s">
        <v>47</v>
      </c>
      <c r="C4359" s="14" t="s">
        <v>48</v>
      </c>
      <c r="D4359" s="14" t="s">
        <v>174</v>
      </c>
      <c r="E4359" s="14" t="s">
        <v>175</v>
      </c>
      <c r="F4359" s="15" t="s">
        <v>51</v>
      </c>
      <c r="G4359" s="14" t="s">
        <v>176</v>
      </c>
      <c r="H4359" s="14" t="s">
        <v>174</v>
      </c>
      <c r="I4359" s="14" t="s">
        <v>59</v>
      </c>
      <c r="J4359" s="14" t="s">
        <v>198</v>
      </c>
      <c r="K4359" s="14" t="s">
        <v>212</v>
      </c>
      <c r="L4359" s="14" t="s">
        <v>249</v>
      </c>
      <c r="M4359" s="14" t="s">
        <v>598</v>
      </c>
      <c r="N4359" s="14" t="s">
        <v>599</v>
      </c>
      <c r="O4359" s="14">
        <v>89.0</v>
      </c>
      <c r="P4359" s="21">
        <v>540.0</v>
      </c>
      <c r="Q4359" s="22" t="str">
        <f>"-18"</f>
        <v>-18</v>
      </c>
      <c r="R4359" s="18" t="str">
        <f>"+0"</f>
        <v>+0</v>
      </c>
      <c r="S4359" s="14" t="s">
        <v>2271</v>
      </c>
    </row>
    <row r="4360">
      <c r="A4360" s="13">
        <v>45901.0</v>
      </c>
      <c r="B4360" s="14" t="s">
        <v>47</v>
      </c>
      <c r="C4360" s="14" t="s">
        <v>48</v>
      </c>
      <c r="D4360" s="14" t="s">
        <v>108</v>
      </c>
      <c r="E4360" s="14" t="s">
        <v>109</v>
      </c>
      <c r="F4360" s="15" t="s">
        <v>51</v>
      </c>
      <c r="G4360" s="14" t="s">
        <v>110</v>
      </c>
      <c r="H4360" s="14" t="s">
        <v>108</v>
      </c>
      <c r="I4360" s="14" t="s">
        <v>59</v>
      </c>
      <c r="J4360" s="14" t="s">
        <v>198</v>
      </c>
      <c r="K4360" s="14" t="s">
        <v>205</v>
      </c>
      <c r="L4360" s="14" t="s">
        <v>274</v>
      </c>
      <c r="M4360" s="14" t="s">
        <v>448</v>
      </c>
      <c r="N4360" s="14" t="s">
        <v>449</v>
      </c>
      <c r="O4360" s="14">
        <v>100.0</v>
      </c>
      <c r="P4360" s="21">
        <v>3.0</v>
      </c>
      <c r="Q4360" s="22" t="str">
        <f t="shared" ref="Q4360:Q4361" si="2604">"+0"</f>
        <v>+0</v>
      </c>
      <c r="S4360" s="14" t="s">
        <v>450</v>
      </c>
    </row>
    <row r="4361">
      <c r="A4361" s="13">
        <v>45901.0</v>
      </c>
      <c r="B4361" s="14" t="s">
        <v>47</v>
      </c>
      <c r="C4361" s="14" t="s">
        <v>48</v>
      </c>
      <c r="D4361" s="14" t="s">
        <v>181</v>
      </c>
      <c r="E4361" s="14" t="s">
        <v>182</v>
      </c>
      <c r="F4361" s="15" t="s">
        <v>51</v>
      </c>
      <c r="G4361" s="14" t="s">
        <v>183</v>
      </c>
      <c r="H4361" s="14" t="s">
        <v>181</v>
      </c>
      <c r="I4361" s="14" t="s">
        <v>59</v>
      </c>
      <c r="J4361" s="14" t="s">
        <v>199</v>
      </c>
      <c r="K4361" s="14" t="s">
        <v>203</v>
      </c>
      <c r="L4361" s="14" t="s">
        <v>340</v>
      </c>
      <c r="M4361" s="14" t="s">
        <v>340</v>
      </c>
      <c r="N4361" s="14" t="s">
        <v>341</v>
      </c>
      <c r="O4361" s="14">
        <v>0.0</v>
      </c>
      <c r="P4361" s="21">
        <v>0.0</v>
      </c>
      <c r="Q4361" s="22" t="str">
        <f t="shared" si="2604"/>
        <v>+0</v>
      </c>
      <c r="R4361" s="18" t="str">
        <f>"+0"</f>
        <v>+0</v>
      </c>
      <c r="S4361" s="14" t="s">
        <v>260</v>
      </c>
    </row>
    <row r="4362">
      <c r="A4362" s="13">
        <v>45901.0</v>
      </c>
      <c r="B4362" s="14" t="s">
        <v>47</v>
      </c>
      <c r="C4362" s="14" t="s">
        <v>48</v>
      </c>
      <c r="D4362" s="14" t="s">
        <v>140</v>
      </c>
      <c r="E4362" s="14" t="s">
        <v>141</v>
      </c>
      <c r="F4362" s="15" t="s">
        <v>51</v>
      </c>
      <c r="G4362" s="14" t="s">
        <v>142</v>
      </c>
      <c r="H4362" s="14" t="s">
        <v>140</v>
      </c>
      <c r="I4362" s="14" t="s">
        <v>59</v>
      </c>
      <c r="J4362" s="14" t="s">
        <v>200</v>
      </c>
      <c r="K4362" s="14" t="s">
        <v>227</v>
      </c>
      <c r="L4362" s="14" t="s">
        <v>721</v>
      </c>
      <c r="M4362" s="14" t="s">
        <v>1060</v>
      </c>
      <c r="N4362" s="14" t="s">
        <v>1061</v>
      </c>
      <c r="O4362" s="14">
        <v>47.0</v>
      </c>
      <c r="P4362" s="23">
        <v>-0.0545</v>
      </c>
      <c r="Q4362" s="22" t="str">
        <f>"+22.86%"</f>
        <v>+22.86%</v>
      </c>
      <c r="R4362" s="18" t="str">
        <f>"+4.72%"</f>
        <v>+4.72%</v>
      </c>
      <c r="S4362" s="14" t="s">
        <v>1062</v>
      </c>
    </row>
    <row r="4363">
      <c r="A4363" s="13">
        <v>45901.0</v>
      </c>
      <c r="B4363" s="14" t="s">
        <v>47</v>
      </c>
      <c r="C4363" s="14" t="s">
        <v>48</v>
      </c>
      <c r="D4363" s="14" t="s">
        <v>155</v>
      </c>
      <c r="E4363" s="14" t="s">
        <v>156</v>
      </c>
      <c r="F4363" s="15" t="s">
        <v>51</v>
      </c>
      <c r="G4363" s="14" t="s">
        <v>157</v>
      </c>
      <c r="H4363" s="14" t="s">
        <v>155</v>
      </c>
      <c r="I4363" s="14" t="s">
        <v>59</v>
      </c>
      <c r="J4363" s="14" t="s">
        <v>198</v>
      </c>
      <c r="K4363" s="14" t="s">
        <v>212</v>
      </c>
      <c r="L4363" s="14" t="s">
        <v>249</v>
      </c>
      <c r="M4363" s="14" t="s">
        <v>250</v>
      </c>
      <c r="N4363" s="14" t="s">
        <v>251</v>
      </c>
      <c r="O4363" s="14">
        <v>100.0</v>
      </c>
      <c r="P4363" s="21">
        <v>0.0</v>
      </c>
      <c r="Q4363" s="22" t="str">
        <f t="shared" ref="Q4363:R4363" si="2605">"+0"</f>
        <v>+0</v>
      </c>
      <c r="R4363" s="18" t="str">
        <f t="shared" si="2605"/>
        <v>+0</v>
      </c>
      <c r="S4363" s="14" t="s">
        <v>281</v>
      </c>
    </row>
    <row r="4364">
      <c r="A4364" s="13">
        <v>45901.0</v>
      </c>
      <c r="B4364" s="14" t="s">
        <v>47</v>
      </c>
      <c r="C4364" s="14" t="s">
        <v>48</v>
      </c>
      <c r="D4364" s="14" t="s">
        <v>49</v>
      </c>
      <c r="E4364" s="14" t="s">
        <v>50</v>
      </c>
      <c r="F4364" s="15" t="s">
        <v>51</v>
      </c>
      <c r="G4364" s="14" t="s">
        <v>52</v>
      </c>
      <c r="H4364" s="14" t="s">
        <v>53</v>
      </c>
      <c r="I4364" s="14" t="s">
        <v>54</v>
      </c>
      <c r="J4364" s="14" t="s">
        <v>199</v>
      </c>
      <c r="K4364" s="14" t="s">
        <v>206</v>
      </c>
      <c r="L4364" s="14" t="s">
        <v>295</v>
      </c>
      <c r="M4364" s="14" t="s">
        <v>651</v>
      </c>
      <c r="N4364" s="14" t="s">
        <v>652</v>
      </c>
      <c r="O4364" s="14">
        <v>0.0</v>
      </c>
      <c r="P4364" s="21">
        <v>0.0</v>
      </c>
      <c r="Q4364" s="22" t="str">
        <f t="shared" ref="Q4364:R4364" si="2606">"+0"</f>
        <v>+0</v>
      </c>
      <c r="R4364" s="18" t="str">
        <f t="shared" si="2606"/>
        <v>+0</v>
      </c>
      <c r="S4364" s="14" t="s">
        <v>260</v>
      </c>
    </row>
    <row r="4365">
      <c r="A4365" s="13">
        <v>45901.0</v>
      </c>
      <c r="B4365" s="14" t="s">
        <v>47</v>
      </c>
      <c r="C4365" s="14" t="s">
        <v>48</v>
      </c>
      <c r="D4365" s="14" t="s">
        <v>91</v>
      </c>
      <c r="E4365" s="14" t="s">
        <v>92</v>
      </c>
      <c r="F4365" s="14" t="s">
        <v>79</v>
      </c>
      <c r="G4365" s="14" t="s">
        <v>164</v>
      </c>
      <c r="H4365" s="14" t="s">
        <v>91</v>
      </c>
      <c r="I4365" s="14" t="s">
        <v>154</v>
      </c>
      <c r="J4365" s="14" t="s">
        <v>199</v>
      </c>
      <c r="K4365" s="14" t="s">
        <v>206</v>
      </c>
      <c r="L4365" s="14" t="s">
        <v>515</v>
      </c>
      <c r="M4365" s="14" t="s">
        <v>515</v>
      </c>
      <c r="N4365" s="14" t="s">
        <v>516</v>
      </c>
      <c r="O4365" s="14">
        <v>25.0</v>
      </c>
      <c r="P4365" s="21">
        <v>1.0</v>
      </c>
      <c r="Q4365" s="22" t="str">
        <f t="shared" ref="Q4365:R4365" si="2607">"+0"</f>
        <v>+0</v>
      </c>
      <c r="R4365" s="18" t="str">
        <f t="shared" si="2607"/>
        <v>+0</v>
      </c>
      <c r="S4365" s="14" t="s">
        <v>383</v>
      </c>
    </row>
    <row r="4366">
      <c r="A4366" s="13">
        <v>45901.0</v>
      </c>
      <c r="B4366" s="14" t="s">
        <v>47</v>
      </c>
      <c r="C4366" s="14" t="s">
        <v>48</v>
      </c>
      <c r="D4366" s="14" t="s">
        <v>99</v>
      </c>
      <c r="E4366" s="14" t="s">
        <v>100</v>
      </c>
      <c r="F4366" s="15" t="s">
        <v>51</v>
      </c>
      <c r="G4366" s="14" t="s">
        <v>101</v>
      </c>
      <c r="H4366" s="14" t="s">
        <v>102</v>
      </c>
      <c r="I4366" s="14" t="s">
        <v>54</v>
      </c>
      <c r="J4366" s="14" t="s">
        <v>200</v>
      </c>
      <c r="K4366" s="14" t="s">
        <v>213</v>
      </c>
      <c r="L4366" s="14" t="s">
        <v>307</v>
      </c>
      <c r="M4366" s="14" t="s">
        <v>502</v>
      </c>
      <c r="N4366" s="14" t="s">
        <v>503</v>
      </c>
      <c r="O4366" s="14">
        <v>0.0</v>
      </c>
      <c r="P4366" s="23">
        <v>0.0</v>
      </c>
      <c r="Q4366" s="22" t="str">
        <f t="shared" ref="Q4366:R4366" si="2608">"+0.00%"</f>
        <v>+0.00%</v>
      </c>
      <c r="R4366" s="18" t="str">
        <f t="shared" si="2608"/>
        <v>+0.00%</v>
      </c>
      <c r="S4366" s="14" t="s">
        <v>2272</v>
      </c>
    </row>
    <row r="4367">
      <c r="A4367" s="13">
        <v>45901.0</v>
      </c>
      <c r="B4367" s="14" t="s">
        <v>47</v>
      </c>
      <c r="C4367" s="14" t="s">
        <v>48</v>
      </c>
      <c r="D4367" s="14" t="s">
        <v>192</v>
      </c>
      <c r="E4367" s="14" t="s">
        <v>193</v>
      </c>
      <c r="F4367" s="15" t="s">
        <v>51</v>
      </c>
      <c r="G4367" s="14" t="s">
        <v>194</v>
      </c>
      <c r="H4367" s="14" t="s">
        <v>192</v>
      </c>
      <c r="I4367" s="14" t="s">
        <v>54</v>
      </c>
      <c r="J4367" s="14" t="s">
        <v>198</v>
      </c>
      <c r="K4367" s="14" t="s">
        <v>210</v>
      </c>
      <c r="L4367" s="14" t="s">
        <v>458</v>
      </c>
      <c r="M4367" s="14" t="s">
        <v>1489</v>
      </c>
      <c r="N4367" s="14" t="s">
        <v>1490</v>
      </c>
      <c r="O4367" s="14">
        <v>0.0</v>
      </c>
      <c r="P4367" s="21">
        <v>0.0</v>
      </c>
      <c r="Q4367" s="22" t="str">
        <f t="shared" ref="Q4367:R4367" si="2609">"+0"</f>
        <v>+0</v>
      </c>
      <c r="R4367" s="18" t="str">
        <f t="shared" si="2609"/>
        <v>+0</v>
      </c>
      <c r="S4367" s="14" t="s">
        <v>277</v>
      </c>
    </row>
    <row r="4368">
      <c r="A4368" s="13">
        <v>45901.0</v>
      </c>
      <c r="B4368" s="14" t="s">
        <v>47</v>
      </c>
      <c r="C4368" s="14" t="s">
        <v>48</v>
      </c>
      <c r="D4368" s="14" t="s">
        <v>192</v>
      </c>
      <c r="E4368" s="14" t="s">
        <v>193</v>
      </c>
      <c r="F4368" s="15" t="s">
        <v>51</v>
      </c>
      <c r="G4368" s="14" t="s">
        <v>194</v>
      </c>
      <c r="H4368" s="14" t="s">
        <v>192</v>
      </c>
      <c r="I4368" s="14" t="s">
        <v>54</v>
      </c>
      <c r="J4368" s="14" t="s">
        <v>199</v>
      </c>
      <c r="K4368" s="14" t="s">
        <v>206</v>
      </c>
      <c r="L4368" s="14" t="s">
        <v>295</v>
      </c>
      <c r="M4368" s="14" t="s">
        <v>296</v>
      </c>
      <c r="N4368" s="14" t="s">
        <v>297</v>
      </c>
      <c r="O4368" s="14">
        <v>0.0</v>
      </c>
      <c r="P4368" s="21">
        <v>0.0</v>
      </c>
      <c r="Q4368" s="22" t="str">
        <f t="shared" ref="Q4368:R4368" si="2610">"+0"</f>
        <v>+0</v>
      </c>
      <c r="R4368" s="18" t="str">
        <f t="shared" si="2610"/>
        <v>+0</v>
      </c>
      <c r="S4368" s="14" t="s">
        <v>260</v>
      </c>
    </row>
    <row r="4369">
      <c r="A4369" s="13">
        <v>45901.0</v>
      </c>
      <c r="B4369" s="14" t="s">
        <v>47</v>
      </c>
      <c r="C4369" s="14" t="s">
        <v>48</v>
      </c>
      <c r="D4369" s="14" t="s">
        <v>192</v>
      </c>
      <c r="E4369" s="14" t="s">
        <v>193</v>
      </c>
      <c r="F4369" s="15" t="s">
        <v>51</v>
      </c>
      <c r="G4369" s="14" t="s">
        <v>194</v>
      </c>
      <c r="H4369" s="14" t="s">
        <v>192</v>
      </c>
      <c r="I4369" s="14" t="s">
        <v>54</v>
      </c>
      <c r="J4369" s="14" t="s">
        <v>200</v>
      </c>
      <c r="K4369" s="14" t="s">
        <v>225</v>
      </c>
      <c r="L4369" s="14" t="s">
        <v>253</v>
      </c>
      <c r="M4369" s="14" t="s">
        <v>1628</v>
      </c>
      <c r="N4369" s="14" t="s">
        <v>1629</v>
      </c>
      <c r="O4369" s="14">
        <v>0.0</v>
      </c>
      <c r="P4369" s="23">
        <v>0.0</v>
      </c>
      <c r="Q4369" s="22" t="str">
        <f t="shared" ref="Q4369:R4369" si="2611">"+0.00%"</f>
        <v>+0.00%</v>
      </c>
      <c r="R4369" s="18" t="str">
        <f t="shared" si="2611"/>
        <v>+0.00%</v>
      </c>
      <c r="S4369" s="14" t="s">
        <v>2273</v>
      </c>
    </row>
    <row r="4370">
      <c r="A4370" s="13">
        <v>45901.0</v>
      </c>
      <c r="B4370" s="14" t="s">
        <v>47</v>
      </c>
      <c r="C4370" s="14" t="s">
        <v>48</v>
      </c>
      <c r="D4370" s="14" t="s">
        <v>103</v>
      </c>
      <c r="E4370" s="14" t="s">
        <v>104</v>
      </c>
      <c r="F4370" s="15" t="s">
        <v>51</v>
      </c>
      <c r="G4370" s="14" t="s">
        <v>105</v>
      </c>
      <c r="H4370" s="14" t="s">
        <v>106</v>
      </c>
      <c r="I4370" s="14" t="s">
        <v>59</v>
      </c>
      <c r="J4370" s="14" t="s">
        <v>198</v>
      </c>
      <c r="K4370" s="14" t="s">
        <v>205</v>
      </c>
      <c r="L4370" s="14" t="s">
        <v>274</v>
      </c>
      <c r="M4370" s="14" t="s">
        <v>451</v>
      </c>
      <c r="N4370" s="14" t="s">
        <v>452</v>
      </c>
      <c r="O4370" s="14">
        <v>0.0</v>
      </c>
      <c r="P4370" s="21">
        <v>0.0</v>
      </c>
      <c r="Q4370" s="22" t="str">
        <f>"+0"</f>
        <v>+0</v>
      </c>
      <c r="S4370" s="14" t="s">
        <v>281</v>
      </c>
    </row>
    <row r="4371">
      <c r="A4371" s="13">
        <v>45901.0</v>
      </c>
      <c r="B4371" s="14" t="s">
        <v>47</v>
      </c>
      <c r="C4371" s="14" t="s">
        <v>48</v>
      </c>
      <c r="D4371" s="14" t="s">
        <v>103</v>
      </c>
      <c r="E4371" s="14" t="s">
        <v>104</v>
      </c>
      <c r="F4371" s="15" t="s">
        <v>51</v>
      </c>
      <c r="G4371" s="14" t="s">
        <v>105</v>
      </c>
      <c r="H4371" s="14" t="s">
        <v>106</v>
      </c>
      <c r="I4371" s="14" t="s">
        <v>59</v>
      </c>
      <c r="J4371" s="14" t="s">
        <v>200</v>
      </c>
      <c r="K4371" s="14" t="s">
        <v>232</v>
      </c>
      <c r="L4371" s="14" t="s">
        <v>375</v>
      </c>
      <c r="M4371" s="14" t="s">
        <v>376</v>
      </c>
      <c r="N4371" s="14" t="s">
        <v>377</v>
      </c>
      <c r="O4371" s="14">
        <v>0.0</v>
      </c>
      <c r="P4371" s="23">
        <v>0.0</v>
      </c>
      <c r="Q4371" s="22" t="str">
        <f t="shared" ref="Q4371:R4371" si="2612">"+0.00%"</f>
        <v>+0.00%</v>
      </c>
      <c r="R4371" s="18" t="str">
        <f t="shared" si="2612"/>
        <v>+0.00%</v>
      </c>
      <c r="S4371" s="14" t="s">
        <v>2274</v>
      </c>
    </row>
    <row r="4372">
      <c r="A4372" s="13">
        <v>45901.0</v>
      </c>
      <c r="B4372" s="14" t="s">
        <v>47</v>
      </c>
      <c r="C4372" s="14" t="s">
        <v>48</v>
      </c>
      <c r="D4372" s="14" t="s">
        <v>129</v>
      </c>
      <c r="E4372" s="14" t="s">
        <v>130</v>
      </c>
      <c r="F4372" s="15" t="s">
        <v>51</v>
      </c>
      <c r="G4372" s="14" t="s">
        <v>131</v>
      </c>
      <c r="H4372" s="14" t="s">
        <v>129</v>
      </c>
      <c r="I4372" s="14" t="s">
        <v>59</v>
      </c>
      <c r="J4372" s="14" t="s">
        <v>200</v>
      </c>
      <c r="K4372" s="14" t="s">
        <v>201</v>
      </c>
      <c r="L4372" s="14" t="s">
        <v>253</v>
      </c>
      <c r="M4372" s="14" t="s">
        <v>585</v>
      </c>
      <c r="N4372" s="14" t="s">
        <v>586</v>
      </c>
      <c r="O4372" s="14">
        <v>1.0</v>
      </c>
      <c r="P4372" s="23">
        <v>0.0032</v>
      </c>
      <c r="Q4372" s="22" t="str">
        <f>"-0.00%"</f>
        <v>-0.00%</v>
      </c>
      <c r="R4372" s="18" t="str">
        <f>"-0.02%"</f>
        <v>-0.02%</v>
      </c>
      <c r="S4372" s="14" t="s">
        <v>1156</v>
      </c>
    </row>
    <row r="4373">
      <c r="A4373" s="13">
        <v>45901.0</v>
      </c>
      <c r="B4373" s="14" t="s">
        <v>47</v>
      </c>
      <c r="C4373" s="14" t="s">
        <v>48</v>
      </c>
      <c r="D4373" s="14" t="s">
        <v>149</v>
      </c>
      <c r="E4373" s="14" t="s">
        <v>150</v>
      </c>
      <c r="F4373" s="15" t="s">
        <v>51</v>
      </c>
      <c r="G4373" s="14" t="s">
        <v>151</v>
      </c>
      <c r="H4373" s="14" t="s">
        <v>152</v>
      </c>
      <c r="I4373" s="14" t="s">
        <v>54</v>
      </c>
      <c r="J4373" s="14" t="s">
        <v>200</v>
      </c>
      <c r="K4373" s="14" t="s">
        <v>223</v>
      </c>
      <c r="L4373" s="14" t="s">
        <v>282</v>
      </c>
      <c r="M4373" s="14" t="s">
        <v>914</v>
      </c>
      <c r="N4373" s="14" t="s">
        <v>915</v>
      </c>
      <c r="O4373" s="14">
        <v>0.0</v>
      </c>
      <c r="P4373" s="21">
        <v>0.0</v>
      </c>
      <c r="Q4373" s="22" t="str">
        <f t="shared" ref="Q4373:R4373" si="2613">"+0"</f>
        <v>+0</v>
      </c>
      <c r="R4373" s="18" t="str">
        <f t="shared" si="2613"/>
        <v>+0</v>
      </c>
      <c r="S4373" s="14" t="s">
        <v>260</v>
      </c>
    </row>
    <row r="4374">
      <c r="A4374" s="13">
        <v>45901.0</v>
      </c>
      <c r="B4374" s="14" t="s">
        <v>47</v>
      </c>
      <c r="C4374" s="14" t="s">
        <v>48</v>
      </c>
      <c r="D4374" s="14" t="s">
        <v>149</v>
      </c>
      <c r="E4374" s="14" t="s">
        <v>150</v>
      </c>
      <c r="F4374" s="15" t="s">
        <v>51</v>
      </c>
      <c r="G4374" s="14" t="s">
        <v>151</v>
      </c>
      <c r="H4374" s="14" t="s">
        <v>152</v>
      </c>
      <c r="I4374" s="14" t="s">
        <v>54</v>
      </c>
      <c r="J4374" s="14" t="s">
        <v>200</v>
      </c>
      <c r="K4374" s="14" t="s">
        <v>223</v>
      </c>
      <c r="L4374" s="14" t="s">
        <v>487</v>
      </c>
      <c r="M4374" s="14" t="s">
        <v>904</v>
      </c>
      <c r="N4374" s="14" t="s">
        <v>905</v>
      </c>
      <c r="O4374" s="14">
        <v>100.0</v>
      </c>
      <c r="P4374" s="21">
        <v>34.0</v>
      </c>
      <c r="Q4374" s="22" t="str">
        <f t="shared" ref="Q4374:R4374" si="2614">"+0"</f>
        <v>+0</v>
      </c>
      <c r="R4374" s="18" t="str">
        <f t="shared" si="2614"/>
        <v>+0</v>
      </c>
      <c r="S4374" s="14" t="s">
        <v>260</v>
      </c>
    </row>
    <row r="4375">
      <c r="A4375" s="13">
        <v>45901.0</v>
      </c>
      <c r="B4375" s="14" t="s">
        <v>47</v>
      </c>
      <c r="C4375" s="14" t="s">
        <v>48</v>
      </c>
      <c r="D4375" s="14" t="s">
        <v>149</v>
      </c>
      <c r="E4375" s="14" t="s">
        <v>150</v>
      </c>
      <c r="F4375" s="15" t="s">
        <v>51</v>
      </c>
      <c r="G4375" s="14" t="s">
        <v>151</v>
      </c>
      <c r="H4375" s="14" t="s">
        <v>152</v>
      </c>
      <c r="I4375" s="14" t="s">
        <v>54</v>
      </c>
      <c r="J4375" s="14" t="s">
        <v>198</v>
      </c>
      <c r="K4375" s="14" t="s">
        <v>210</v>
      </c>
      <c r="L4375" s="14" t="s">
        <v>264</v>
      </c>
      <c r="M4375" s="14" t="s">
        <v>1033</v>
      </c>
      <c r="N4375" s="14" t="s">
        <v>1034</v>
      </c>
      <c r="O4375" s="14">
        <v>0.0</v>
      </c>
      <c r="P4375" s="21">
        <v>0.0</v>
      </c>
      <c r="Q4375" s="22" t="str">
        <f t="shared" ref="Q4375:R4375" si="2615">"+0"</f>
        <v>+0</v>
      </c>
      <c r="R4375" s="18" t="str">
        <f t="shared" si="2615"/>
        <v>+0</v>
      </c>
      <c r="S4375" s="14" t="s">
        <v>277</v>
      </c>
    </row>
    <row r="4376">
      <c r="A4376" s="13">
        <v>45901.0</v>
      </c>
      <c r="B4376" s="14" t="s">
        <v>47</v>
      </c>
      <c r="C4376" s="14" t="s">
        <v>48</v>
      </c>
      <c r="D4376" s="14" t="s">
        <v>136</v>
      </c>
      <c r="E4376" s="14" t="s">
        <v>137</v>
      </c>
      <c r="F4376" s="15" t="s">
        <v>51</v>
      </c>
      <c r="G4376" s="14" t="s">
        <v>138</v>
      </c>
      <c r="H4376" s="14" t="s">
        <v>139</v>
      </c>
      <c r="I4376" s="14" t="s">
        <v>59</v>
      </c>
      <c r="J4376" s="14" t="s">
        <v>198</v>
      </c>
      <c r="K4376" s="14" t="s">
        <v>210</v>
      </c>
      <c r="L4376" s="14" t="s">
        <v>264</v>
      </c>
      <c r="M4376" s="14" t="s">
        <v>407</v>
      </c>
      <c r="N4376" s="14" t="s">
        <v>408</v>
      </c>
      <c r="O4376" s="14">
        <v>89.0</v>
      </c>
      <c r="P4376" s="21">
        <v>41.0</v>
      </c>
      <c r="Q4376" s="22" t="str">
        <f>"-90"</f>
        <v>-90</v>
      </c>
      <c r="R4376" s="18" t="str">
        <f>"+26"</f>
        <v>+26</v>
      </c>
      <c r="S4376" s="14" t="s">
        <v>2275</v>
      </c>
    </row>
    <row r="4377">
      <c r="A4377" s="13">
        <v>45901.0</v>
      </c>
      <c r="B4377" s="14" t="s">
        <v>47</v>
      </c>
      <c r="C4377" s="14" t="s">
        <v>48</v>
      </c>
      <c r="D4377" s="14" t="s">
        <v>129</v>
      </c>
      <c r="E4377" s="14" t="s">
        <v>130</v>
      </c>
      <c r="F4377" s="15" t="s">
        <v>51</v>
      </c>
      <c r="G4377" s="14" t="s">
        <v>131</v>
      </c>
      <c r="H4377" s="14" t="s">
        <v>129</v>
      </c>
      <c r="I4377" s="14" t="s">
        <v>59</v>
      </c>
      <c r="J4377" s="14" t="s">
        <v>198</v>
      </c>
      <c r="K4377" s="14" t="s">
        <v>205</v>
      </c>
      <c r="L4377" s="14" t="s">
        <v>274</v>
      </c>
      <c r="M4377" s="14" t="s">
        <v>696</v>
      </c>
      <c r="N4377" s="14" t="s">
        <v>697</v>
      </c>
      <c r="O4377" s="14">
        <v>100.0</v>
      </c>
      <c r="P4377" s="21">
        <v>1.0</v>
      </c>
      <c r="Q4377" s="22" t="str">
        <f>"+0"</f>
        <v>+0</v>
      </c>
      <c r="S4377" s="14" t="s">
        <v>281</v>
      </c>
    </row>
    <row r="4378">
      <c r="A4378" s="13">
        <v>45901.0</v>
      </c>
      <c r="B4378" s="14" t="s">
        <v>47</v>
      </c>
      <c r="C4378" s="14" t="s">
        <v>48</v>
      </c>
      <c r="D4378" s="14" t="s">
        <v>129</v>
      </c>
      <c r="E4378" s="14" t="s">
        <v>130</v>
      </c>
      <c r="F4378" s="15" t="s">
        <v>51</v>
      </c>
      <c r="G4378" s="14" t="s">
        <v>131</v>
      </c>
      <c r="H4378" s="14" t="s">
        <v>129</v>
      </c>
      <c r="I4378" s="14" t="s">
        <v>59</v>
      </c>
      <c r="J4378" s="14" t="s">
        <v>198</v>
      </c>
      <c r="K4378" s="14" t="s">
        <v>210</v>
      </c>
      <c r="L4378" s="14" t="s">
        <v>264</v>
      </c>
      <c r="M4378" s="14" t="s">
        <v>470</v>
      </c>
      <c r="N4378" s="14" t="s">
        <v>471</v>
      </c>
      <c r="O4378" s="14">
        <v>88.0</v>
      </c>
      <c r="P4378" s="21">
        <v>6.0</v>
      </c>
      <c r="Q4378" s="22" t="str">
        <f>"+6"</f>
        <v>+6</v>
      </c>
      <c r="R4378" s="18" t="str">
        <f>"+0"</f>
        <v>+0</v>
      </c>
      <c r="S4378" s="14" t="s">
        <v>2276</v>
      </c>
    </row>
    <row r="4379">
      <c r="A4379" s="13">
        <v>45901.0</v>
      </c>
      <c r="B4379" s="14" t="s">
        <v>47</v>
      </c>
      <c r="C4379" s="14" t="s">
        <v>48</v>
      </c>
      <c r="D4379" s="14" t="s">
        <v>69</v>
      </c>
      <c r="E4379" s="14" t="s">
        <v>70</v>
      </c>
      <c r="F4379" s="15" t="s">
        <v>51</v>
      </c>
      <c r="G4379" s="14" t="s">
        <v>115</v>
      </c>
      <c r="H4379" s="14" t="s">
        <v>72</v>
      </c>
      <c r="I4379" s="14" t="s">
        <v>54</v>
      </c>
      <c r="J4379" s="14" t="s">
        <v>198</v>
      </c>
      <c r="K4379" s="14" t="s">
        <v>210</v>
      </c>
      <c r="L4379" s="14" t="s">
        <v>264</v>
      </c>
      <c r="M4379" s="14" t="s">
        <v>1596</v>
      </c>
      <c r="N4379" s="14" t="s">
        <v>1597</v>
      </c>
      <c r="O4379" s="14">
        <v>0.0</v>
      </c>
      <c r="P4379" s="21">
        <v>0.0</v>
      </c>
      <c r="Q4379" s="22" t="str">
        <f t="shared" ref="Q4379:R4379" si="2616">"+0"</f>
        <v>+0</v>
      </c>
      <c r="R4379" s="18" t="str">
        <f t="shared" si="2616"/>
        <v>+0</v>
      </c>
      <c r="S4379" s="14" t="s">
        <v>277</v>
      </c>
    </row>
    <row r="4380">
      <c r="A4380" s="13">
        <v>45901.0</v>
      </c>
      <c r="B4380" s="14" t="s">
        <v>47</v>
      </c>
      <c r="C4380" s="14" t="s">
        <v>48</v>
      </c>
      <c r="D4380" s="14" t="s">
        <v>69</v>
      </c>
      <c r="E4380" s="14" t="s">
        <v>70</v>
      </c>
      <c r="F4380" s="15" t="s">
        <v>51</v>
      </c>
      <c r="G4380" s="14" t="s">
        <v>115</v>
      </c>
      <c r="H4380" s="14" t="s">
        <v>72</v>
      </c>
      <c r="I4380" s="14" t="s">
        <v>54</v>
      </c>
      <c r="J4380" s="14" t="s">
        <v>200</v>
      </c>
      <c r="K4380" s="14" t="s">
        <v>213</v>
      </c>
      <c r="L4380" s="14" t="s">
        <v>257</v>
      </c>
      <c r="M4380" s="14" t="s">
        <v>258</v>
      </c>
      <c r="N4380" s="14" t="s">
        <v>259</v>
      </c>
      <c r="O4380" s="14">
        <v>100.0</v>
      </c>
      <c r="P4380" s="21">
        <v>45.0</v>
      </c>
      <c r="Q4380" s="22" t="str">
        <f t="shared" ref="Q4380:R4380" si="2617">"+0"</f>
        <v>+0</v>
      </c>
      <c r="R4380" s="18" t="str">
        <f t="shared" si="2617"/>
        <v>+0</v>
      </c>
      <c r="S4380" s="14" t="s">
        <v>260</v>
      </c>
    </row>
    <row r="4381">
      <c r="A4381" s="13">
        <v>45901.0</v>
      </c>
      <c r="B4381" s="14" t="s">
        <v>47</v>
      </c>
      <c r="C4381" s="14" t="s">
        <v>48</v>
      </c>
      <c r="D4381" s="14" t="s">
        <v>69</v>
      </c>
      <c r="E4381" s="14" t="s">
        <v>70</v>
      </c>
      <c r="F4381" s="14" t="s">
        <v>71</v>
      </c>
      <c r="G4381" s="14">
        <v>1.00002092E8</v>
      </c>
      <c r="H4381" s="14" t="s">
        <v>72</v>
      </c>
      <c r="I4381" s="14" t="s">
        <v>54</v>
      </c>
      <c r="J4381" s="14" t="s">
        <v>199</v>
      </c>
      <c r="K4381" s="14" t="s">
        <v>203</v>
      </c>
      <c r="L4381" s="14" t="s">
        <v>736</v>
      </c>
      <c r="M4381" s="14" t="s">
        <v>736</v>
      </c>
      <c r="N4381" s="14" t="s">
        <v>737</v>
      </c>
      <c r="O4381" s="14">
        <v>100.0</v>
      </c>
      <c r="P4381" s="21">
        <v>2.0</v>
      </c>
      <c r="Q4381" s="22" t="str">
        <f t="shared" ref="Q4381:R4381" si="2618">"+0"</f>
        <v>+0</v>
      </c>
      <c r="R4381" s="18" t="str">
        <f t="shared" si="2618"/>
        <v>+0</v>
      </c>
      <c r="S4381" s="14" t="s">
        <v>260</v>
      </c>
    </row>
    <row r="4382">
      <c r="A4382" s="13">
        <v>45901.0</v>
      </c>
      <c r="B4382" s="14" t="s">
        <v>47</v>
      </c>
      <c r="C4382" s="14" t="s">
        <v>48</v>
      </c>
      <c r="D4382" s="14" t="s">
        <v>174</v>
      </c>
      <c r="E4382" s="14" t="s">
        <v>175</v>
      </c>
      <c r="F4382" s="15" t="s">
        <v>51</v>
      </c>
      <c r="G4382" s="14" t="s">
        <v>176</v>
      </c>
      <c r="H4382" s="14" t="s">
        <v>174</v>
      </c>
      <c r="I4382" s="14" t="s">
        <v>59</v>
      </c>
      <c r="J4382" s="14" t="s">
        <v>198</v>
      </c>
      <c r="K4382" s="14" t="s">
        <v>205</v>
      </c>
      <c r="L4382" s="14" t="s">
        <v>274</v>
      </c>
      <c r="M4382" s="14" t="s">
        <v>636</v>
      </c>
      <c r="N4382" s="14" t="s">
        <v>637</v>
      </c>
      <c r="O4382" s="14">
        <v>100.0</v>
      </c>
      <c r="P4382" s="21">
        <v>1.0</v>
      </c>
      <c r="Q4382" s="22" t="str">
        <f t="shared" ref="Q4382:Q4383" si="2619">"+0"</f>
        <v>+0</v>
      </c>
      <c r="S4382" s="14" t="s">
        <v>281</v>
      </c>
    </row>
    <row r="4383">
      <c r="A4383" s="13">
        <v>45901.0</v>
      </c>
      <c r="B4383" s="14" t="s">
        <v>47</v>
      </c>
      <c r="C4383" s="14" t="s">
        <v>48</v>
      </c>
      <c r="D4383" s="14" t="s">
        <v>77</v>
      </c>
      <c r="E4383" s="14" t="s">
        <v>78</v>
      </c>
      <c r="F4383" s="15" t="s">
        <v>51</v>
      </c>
      <c r="G4383" s="14" t="s">
        <v>128</v>
      </c>
      <c r="H4383" s="14" t="s">
        <v>81</v>
      </c>
      <c r="I4383" s="14" t="s">
        <v>59</v>
      </c>
      <c r="J4383" s="14" t="s">
        <v>198</v>
      </c>
      <c r="K4383" s="14" t="s">
        <v>205</v>
      </c>
      <c r="L4383" s="14" t="s">
        <v>274</v>
      </c>
      <c r="M4383" s="14" t="s">
        <v>387</v>
      </c>
      <c r="N4383" s="14" t="s">
        <v>388</v>
      </c>
      <c r="O4383" s="14">
        <v>0.0</v>
      </c>
      <c r="P4383" s="21">
        <v>0.0</v>
      </c>
      <c r="Q4383" s="22" t="str">
        <f t="shared" si="2619"/>
        <v>+0</v>
      </c>
      <c r="S4383" s="14" t="s">
        <v>281</v>
      </c>
    </row>
    <row r="4384">
      <c r="A4384" s="13">
        <v>45901.0</v>
      </c>
      <c r="B4384" s="14" t="s">
        <v>47</v>
      </c>
      <c r="C4384" s="14" t="s">
        <v>48</v>
      </c>
      <c r="D4384" s="14" t="s">
        <v>108</v>
      </c>
      <c r="E4384" s="14" t="s">
        <v>109</v>
      </c>
      <c r="F4384" s="14" t="s">
        <v>146</v>
      </c>
      <c r="G4384" s="14" t="s">
        <v>180</v>
      </c>
      <c r="H4384" s="14" t="s">
        <v>108</v>
      </c>
      <c r="I4384" s="14" t="s">
        <v>59</v>
      </c>
      <c r="J4384" s="14" t="s">
        <v>200</v>
      </c>
      <c r="K4384" s="14" t="s">
        <v>226</v>
      </c>
      <c r="L4384" s="14" t="s">
        <v>698</v>
      </c>
      <c r="M4384" s="14" t="s">
        <v>1934</v>
      </c>
      <c r="N4384" s="14" t="s">
        <v>1935</v>
      </c>
      <c r="O4384" s="14">
        <v>89.0</v>
      </c>
      <c r="P4384" s="23">
        <v>0.6667</v>
      </c>
      <c r="Q4384" s="22" t="str">
        <f>"+16.67%"</f>
        <v>+16.67%</v>
      </c>
      <c r="S4384" s="14" t="s">
        <v>2277</v>
      </c>
    </row>
    <row r="4385">
      <c r="A4385" s="13">
        <v>45901.0</v>
      </c>
      <c r="B4385" s="14" t="s">
        <v>47</v>
      </c>
      <c r="C4385" s="14" t="s">
        <v>48</v>
      </c>
      <c r="D4385" s="14" t="s">
        <v>116</v>
      </c>
      <c r="E4385" s="14" t="s">
        <v>117</v>
      </c>
      <c r="F4385" s="15" t="s">
        <v>51</v>
      </c>
      <c r="G4385" s="14" t="s">
        <v>161</v>
      </c>
      <c r="H4385" s="14" t="s">
        <v>116</v>
      </c>
      <c r="I4385" s="14" t="s">
        <v>54</v>
      </c>
      <c r="J4385" s="14" t="s">
        <v>200</v>
      </c>
      <c r="K4385" s="14" t="s">
        <v>211</v>
      </c>
      <c r="L4385" s="14" t="s">
        <v>253</v>
      </c>
      <c r="M4385" s="14" t="s">
        <v>366</v>
      </c>
      <c r="N4385" s="14" t="s">
        <v>367</v>
      </c>
      <c r="O4385" s="14">
        <v>26.0</v>
      </c>
      <c r="P4385" s="23">
        <v>0.2686</v>
      </c>
      <c r="Q4385" s="22" t="str">
        <f t="shared" ref="Q4385:R4385" si="2620">"+7.43%"</f>
        <v>+7.43%</v>
      </c>
      <c r="R4385" s="18" t="str">
        <f t="shared" si="2620"/>
        <v>+7.43%</v>
      </c>
      <c r="S4385" s="14" t="s">
        <v>2278</v>
      </c>
    </row>
    <row r="4386">
      <c r="A4386" s="13">
        <v>45901.0</v>
      </c>
      <c r="B4386" s="14" t="s">
        <v>47</v>
      </c>
      <c r="C4386" s="14" t="s">
        <v>48</v>
      </c>
      <c r="D4386" s="14" t="s">
        <v>158</v>
      </c>
      <c r="E4386" s="14" t="s">
        <v>159</v>
      </c>
      <c r="F4386" s="15" t="s">
        <v>51</v>
      </c>
      <c r="G4386" s="14" t="s">
        <v>160</v>
      </c>
      <c r="H4386" s="14" t="s">
        <v>158</v>
      </c>
      <c r="I4386" s="14" t="s">
        <v>54</v>
      </c>
      <c r="J4386" s="14" t="s">
        <v>200</v>
      </c>
      <c r="K4386" s="14" t="s">
        <v>224</v>
      </c>
      <c r="L4386" s="14" t="s">
        <v>427</v>
      </c>
      <c r="M4386" s="14" t="s">
        <v>895</v>
      </c>
      <c r="N4386" s="14" t="s">
        <v>896</v>
      </c>
      <c r="O4386" s="14">
        <v>0.0</v>
      </c>
      <c r="P4386" s="17"/>
      <c r="Q4386" s="22"/>
      <c r="S4386" s="14" t="s">
        <v>897</v>
      </c>
    </row>
    <row r="4387">
      <c r="A4387" s="13">
        <v>45901.0</v>
      </c>
      <c r="B4387" s="14" t="s">
        <v>47</v>
      </c>
      <c r="C4387" s="14" t="s">
        <v>48</v>
      </c>
      <c r="D4387" s="14" t="s">
        <v>181</v>
      </c>
      <c r="E4387" s="14" t="s">
        <v>182</v>
      </c>
      <c r="F4387" s="15" t="s">
        <v>51</v>
      </c>
      <c r="G4387" s="14" t="s">
        <v>183</v>
      </c>
      <c r="H4387" s="14" t="s">
        <v>181</v>
      </c>
      <c r="I4387" s="14" t="s">
        <v>59</v>
      </c>
      <c r="J4387" s="14" t="s">
        <v>200</v>
      </c>
      <c r="K4387" s="14" t="s">
        <v>232</v>
      </c>
      <c r="L4387" s="14" t="s">
        <v>375</v>
      </c>
      <c r="M4387" s="14" t="s">
        <v>376</v>
      </c>
      <c r="N4387" s="14" t="s">
        <v>377</v>
      </c>
      <c r="O4387" s="14">
        <v>0.0</v>
      </c>
      <c r="P4387" s="23">
        <v>0.0</v>
      </c>
      <c r="Q4387" s="22" t="str">
        <f t="shared" ref="Q4387:R4387" si="2621">"+0.00%"</f>
        <v>+0.00%</v>
      </c>
      <c r="R4387" s="18" t="str">
        <f t="shared" si="2621"/>
        <v>+0.00%</v>
      </c>
      <c r="S4387" s="14" t="s">
        <v>2279</v>
      </c>
    </row>
    <row r="4388">
      <c r="A4388" s="13">
        <v>45901.0</v>
      </c>
      <c r="B4388" s="14" t="s">
        <v>47</v>
      </c>
      <c r="C4388" s="14" t="s">
        <v>48</v>
      </c>
      <c r="D4388" s="14" t="s">
        <v>121</v>
      </c>
      <c r="E4388" s="14" t="s">
        <v>122</v>
      </c>
      <c r="F4388" s="15" t="s">
        <v>51</v>
      </c>
      <c r="G4388" s="14" t="s">
        <v>123</v>
      </c>
      <c r="H4388" s="14" t="s">
        <v>124</v>
      </c>
      <c r="I4388" s="14" t="s">
        <v>59</v>
      </c>
      <c r="J4388" s="14" t="s">
        <v>200</v>
      </c>
      <c r="K4388" s="14" t="s">
        <v>227</v>
      </c>
      <c r="L4388" s="14" t="s">
        <v>253</v>
      </c>
      <c r="M4388" s="14" t="s">
        <v>849</v>
      </c>
      <c r="N4388" s="14" t="s">
        <v>850</v>
      </c>
      <c r="O4388" s="14">
        <v>0.0</v>
      </c>
      <c r="P4388" s="23">
        <v>0.0</v>
      </c>
      <c r="Q4388" s="22" t="str">
        <f t="shared" ref="Q4388:R4388" si="2622">"+0.00%"</f>
        <v>+0.00%</v>
      </c>
      <c r="R4388" s="18" t="str">
        <f t="shared" si="2622"/>
        <v>+0.00%</v>
      </c>
      <c r="S4388" s="14" t="s">
        <v>851</v>
      </c>
    </row>
    <row r="4389">
      <c r="A4389" s="13">
        <v>45901.0</v>
      </c>
      <c r="B4389" s="14" t="s">
        <v>47</v>
      </c>
      <c r="C4389" s="14" t="s">
        <v>48</v>
      </c>
      <c r="D4389" s="14" t="s">
        <v>168</v>
      </c>
      <c r="E4389" s="14" t="s">
        <v>169</v>
      </c>
      <c r="F4389" s="15" t="s">
        <v>51</v>
      </c>
      <c r="G4389" s="14" t="s">
        <v>170</v>
      </c>
      <c r="H4389" s="14" t="s">
        <v>168</v>
      </c>
      <c r="I4389" s="14" t="s">
        <v>59</v>
      </c>
      <c r="J4389" s="14" t="s">
        <v>198</v>
      </c>
      <c r="K4389" s="14" t="s">
        <v>205</v>
      </c>
      <c r="L4389" s="14" t="s">
        <v>274</v>
      </c>
      <c r="M4389" s="14" t="s">
        <v>466</v>
      </c>
      <c r="N4389" s="14" t="s">
        <v>467</v>
      </c>
      <c r="O4389" s="14">
        <v>100.0</v>
      </c>
      <c r="P4389" s="21">
        <v>1.0</v>
      </c>
      <c r="Q4389" s="22" t="str">
        <f>"+0"</f>
        <v>+0</v>
      </c>
      <c r="S4389" s="14" t="s">
        <v>281</v>
      </c>
    </row>
    <row r="4390">
      <c r="A4390" s="13">
        <v>45901.0</v>
      </c>
      <c r="B4390" s="14" t="s">
        <v>47</v>
      </c>
      <c r="C4390" s="14" t="s">
        <v>48</v>
      </c>
      <c r="D4390" s="14" t="s">
        <v>121</v>
      </c>
      <c r="E4390" s="14" t="s">
        <v>122</v>
      </c>
      <c r="F4390" s="15" t="s">
        <v>51</v>
      </c>
      <c r="G4390" s="14" t="s">
        <v>123</v>
      </c>
      <c r="H4390" s="14" t="s">
        <v>124</v>
      </c>
      <c r="I4390" s="14" t="s">
        <v>59</v>
      </c>
      <c r="J4390" s="14" t="s">
        <v>200</v>
      </c>
      <c r="K4390" s="14" t="s">
        <v>232</v>
      </c>
      <c r="L4390" s="14" t="s">
        <v>261</v>
      </c>
      <c r="M4390" s="14" t="s">
        <v>1338</v>
      </c>
      <c r="N4390" s="14" t="s">
        <v>1339</v>
      </c>
      <c r="O4390" s="14">
        <v>0.0</v>
      </c>
      <c r="P4390" s="23">
        <v>0.0</v>
      </c>
      <c r="Q4390" s="22" t="str">
        <f t="shared" ref="Q4390:R4390" si="2623">"+0.00%"</f>
        <v>+0.00%</v>
      </c>
      <c r="R4390" s="18" t="str">
        <f t="shared" si="2623"/>
        <v>+0.00%</v>
      </c>
      <c r="S4390" s="14" t="s">
        <v>285</v>
      </c>
    </row>
    <row r="4391">
      <c r="A4391" s="13">
        <v>45901.0</v>
      </c>
      <c r="B4391" s="14" t="s">
        <v>47</v>
      </c>
      <c r="C4391" s="14" t="s">
        <v>48</v>
      </c>
      <c r="D4391" s="14" t="s">
        <v>155</v>
      </c>
      <c r="E4391" s="14" t="s">
        <v>156</v>
      </c>
      <c r="F4391" s="15" t="s">
        <v>51</v>
      </c>
      <c r="G4391" s="14" t="s">
        <v>157</v>
      </c>
      <c r="H4391" s="14" t="s">
        <v>155</v>
      </c>
      <c r="I4391" s="14" t="s">
        <v>59</v>
      </c>
      <c r="J4391" s="14" t="s">
        <v>200</v>
      </c>
      <c r="K4391" s="14" t="s">
        <v>223</v>
      </c>
      <c r="L4391" s="14" t="s">
        <v>253</v>
      </c>
      <c r="M4391" s="14" t="s">
        <v>552</v>
      </c>
      <c r="N4391" s="14" t="s">
        <v>553</v>
      </c>
      <c r="O4391" s="14">
        <v>0.0</v>
      </c>
      <c r="P4391" s="17"/>
      <c r="Q4391" s="22"/>
      <c r="S4391" s="14" t="s">
        <v>2280</v>
      </c>
    </row>
    <row r="4392">
      <c r="A4392" s="13">
        <v>45901.0</v>
      </c>
      <c r="B4392" s="14" t="s">
        <v>47</v>
      </c>
      <c r="C4392" s="14" t="s">
        <v>48</v>
      </c>
      <c r="D4392" s="14" t="s">
        <v>155</v>
      </c>
      <c r="E4392" s="14" t="s">
        <v>156</v>
      </c>
      <c r="F4392" s="15" t="s">
        <v>51</v>
      </c>
      <c r="G4392" s="14" t="s">
        <v>157</v>
      </c>
      <c r="H4392" s="14" t="s">
        <v>155</v>
      </c>
      <c r="I4392" s="14" t="s">
        <v>59</v>
      </c>
      <c r="J4392" s="14" t="s">
        <v>200</v>
      </c>
      <c r="K4392" s="14" t="s">
        <v>223</v>
      </c>
      <c r="L4392" s="14" t="s">
        <v>307</v>
      </c>
      <c r="M4392" s="14" t="s">
        <v>1176</v>
      </c>
      <c r="N4392" s="14" t="s">
        <v>1177</v>
      </c>
      <c r="O4392" s="14">
        <v>0.0</v>
      </c>
      <c r="P4392" s="17"/>
      <c r="Q4392" s="22"/>
      <c r="S4392" s="14" t="s">
        <v>285</v>
      </c>
    </row>
    <row r="4393">
      <c r="A4393" s="13">
        <v>45901.0</v>
      </c>
      <c r="B4393" s="14" t="s">
        <v>47</v>
      </c>
      <c r="C4393" s="14" t="s">
        <v>48</v>
      </c>
      <c r="D4393" s="14" t="s">
        <v>49</v>
      </c>
      <c r="E4393" s="14" t="s">
        <v>50</v>
      </c>
      <c r="F4393" s="15" t="s">
        <v>51</v>
      </c>
      <c r="G4393" s="14" t="s">
        <v>52</v>
      </c>
      <c r="H4393" s="14" t="s">
        <v>53</v>
      </c>
      <c r="I4393" s="14" t="s">
        <v>54</v>
      </c>
      <c r="J4393" s="14" t="s">
        <v>200</v>
      </c>
      <c r="K4393" s="14" t="s">
        <v>227</v>
      </c>
      <c r="L4393" s="14" t="s">
        <v>270</v>
      </c>
      <c r="M4393" s="14" t="s">
        <v>271</v>
      </c>
      <c r="N4393" s="14" t="s">
        <v>272</v>
      </c>
      <c r="O4393" s="14">
        <v>39.0</v>
      </c>
      <c r="P4393" s="23">
        <v>-0.2131</v>
      </c>
      <c r="Q4393" s="22" t="str">
        <f>"+43.83%"</f>
        <v>+43.83%</v>
      </c>
      <c r="R4393" s="18" t="str">
        <f>"+58.77%"</f>
        <v>+58.77%</v>
      </c>
      <c r="S4393" s="14" t="s">
        <v>273</v>
      </c>
    </row>
    <row r="4394">
      <c r="A4394" s="13">
        <v>45901.0</v>
      </c>
      <c r="B4394" s="14" t="s">
        <v>47</v>
      </c>
      <c r="C4394" s="14" t="s">
        <v>48</v>
      </c>
      <c r="D4394" s="14" t="s">
        <v>49</v>
      </c>
      <c r="E4394" s="14" t="s">
        <v>50</v>
      </c>
      <c r="F4394" s="15" t="s">
        <v>51</v>
      </c>
      <c r="G4394" s="14" t="s">
        <v>52</v>
      </c>
      <c r="H4394" s="14" t="s">
        <v>53</v>
      </c>
      <c r="I4394" s="14" t="s">
        <v>54</v>
      </c>
      <c r="J4394" s="14" t="s">
        <v>200</v>
      </c>
      <c r="K4394" s="14" t="s">
        <v>224</v>
      </c>
      <c r="L4394" s="14" t="s">
        <v>392</v>
      </c>
      <c r="M4394" s="14" t="s">
        <v>1172</v>
      </c>
      <c r="N4394" s="14" t="s">
        <v>1173</v>
      </c>
      <c r="O4394" s="14">
        <v>11.0</v>
      </c>
      <c r="P4394" s="23">
        <v>0.1111</v>
      </c>
      <c r="Q4394" s="22" t="str">
        <f>"-38.89%"</f>
        <v>-38.89%</v>
      </c>
      <c r="R4394" s="18" t="str">
        <f>"-3.17%"</f>
        <v>-3.17%</v>
      </c>
      <c r="S4394" s="14" t="s">
        <v>2281</v>
      </c>
    </row>
    <row r="4395">
      <c r="A4395" s="13">
        <v>45901.0</v>
      </c>
      <c r="B4395" s="14" t="s">
        <v>47</v>
      </c>
      <c r="C4395" s="14" t="s">
        <v>48</v>
      </c>
      <c r="D4395" s="14" t="s">
        <v>165</v>
      </c>
      <c r="E4395" s="14" t="s">
        <v>166</v>
      </c>
      <c r="F4395" s="15" t="s">
        <v>51</v>
      </c>
      <c r="G4395" s="14" t="s">
        <v>167</v>
      </c>
      <c r="H4395" s="14" t="s">
        <v>165</v>
      </c>
      <c r="I4395" s="14" t="s">
        <v>54</v>
      </c>
      <c r="J4395" s="14" t="s">
        <v>198</v>
      </c>
      <c r="K4395" s="14" t="s">
        <v>210</v>
      </c>
      <c r="L4395" s="14" t="s">
        <v>278</v>
      </c>
      <c r="M4395" s="14" t="s">
        <v>853</v>
      </c>
      <c r="N4395" s="14" t="s">
        <v>854</v>
      </c>
      <c r="O4395" s="14">
        <v>0.0</v>
      </c>
      <c r="P4395" s="21">
        <v>0.0</v>
      </c>
      <c r="Q4395" s="22" t="str">
        <f t="shared" ref="Q4395:R4395" si="2624">"+0"</f>
        <v>+0</v>
      </c>
      <c r="R4395" s="18" t="str">
        <f t="shared" si="2624"/>
        <v>+0</v>
      </c>
      <c r="S4395" s="14" t="s">
        <v>277</v>
      </c>
    </row>
    <row r="4396">
      <c r="A4396" s="13">
        <v>45901.0</v>
      </c>
      <c r="B4396" s="14" t="s">
        <v>47</v>
      </c>
      <c r="C4396" s="14" t="s">
        <v>48</v>
      </c>
      <c r="D4396" s="14" t="s">
        <v>49</v>
      </c>
      <c r="E4396" s="14" t="s">
        <v>50</v>
      </c>
      <c r="F4396" s="15" t="s">
        <v>51</v>
      </c>
      <c r="G4396" s="14" t="s">
        <v>52</v>
      </c>
      <c r="H4396" s="14" t="s">
        <v>53</v>
      </c>
      <c r="I4396" s="14" t="s">
        <v>54</v>
      </c>
      <c r="J4396" s="14" t="s">
        <v>198</v>
      </c>
      <c r="K4396" s="14" t="s">
        <v>207</v>
      </c>
      <c r="L4396" s="14" t="s">
        <v>648</v>
      </c>
      <c r="M4396" s="14" t="s">
        <v>649</v>
      </c>
      <c r="N4396" s="14" t="s">
        <v>650</v>
      </c>
      <c r="O4396" s="14">
        <v>100.0</v>
      </c>
      <c r="P4396" s="21">
        <v>1.0</v>
      </c>
      <c r="Q4396" s="22" t="str">
        <f>"+0"</f>
        <v>+0</v>
      </c>
      <c r="S4396" s="14" t="s">
        <v>281</v>
      </c>
    </row>
    <row r="4397">
      <c r="A4397" s="13">
        <v>45901.0</v>
      </c>
      <c r="B4397" s="14" t="s">
        <v>47</v>
      </c>
      <c r="C4397" s="14" t="s">
        <v>48</v>
      </c>
      <c r="D4397" s="14" t="s">
        <v>91</v>
      </c>
      <c r="E4397" s="14" t="s">
        <v>92</v>
      </c>
      <c r="F4397" s="14" t="s">
        <v>71</v>
      </c>
      <c r="G4397" s="14">
        <v>5.00008612E8</v>
      </c>
      <c r="H4397" s="14" t="s">
        <v>91</v>
      </c>
      <c r="I4397" s="14" t="s">
        <v>59</v>
      </c>
      <c r="J4397" s="14" t="s">
        <v>200</v>
      </c>
      <c r="K4397" s="14" t="s">
        <v>218</v>
      </c>
      <c r="L4397" s="14" t="s">
        <v>253</v>
      </c>
      <c r="M4397" s="14" t="s">
        <v>1628</v>
      </c>
      <c r="N4397" s="14" t="s">
        <v>1629</v>
      </c>
      <c r="O4397" s="14">
        <v>81.0</v>
      </c>
      <c r="P4397" s="23">
        <v>0.814</v>
      </c>
      <c r="Q4397" s="22" t="str">
        <f>"+1.47%"</f>
        <v>+1.47%</v>
      </c>
      <c r="R4397" s="18" t="str">
        <f>"-7.02%"</f>
        <v>-7.02%</v>
      </c>
      <c r="S4397" s="14" t="s">
        <v>2282</v>
      </c>
    </row>
    <row r="4398">
      <c r="A4398" s="13">
        <v>45901.0</v>
      </c>
      <c r="B4398" s="14" t="s">
        <v>47</v>
      </c>
      <c r="C4398" s="14" t="s">
        <v>48</v>
      </c>
      <c r="D4398" s="14" t="s">
        <v>63</v>
      </c>
      <c r="E4398" s="14" t="s">
        <v>64</v>
      </c>
      <c r="F4398" s="15" t="s">
        <v>51</v>
      </c>
      <c r="G4398" s="14" t="s">
        <v>65</v>
      </c>
      <c r="H4398" s="14" t="s">
        <v>63</v>
      </c>
      <c r="I4398" s="14" t="s">
        <v>54</v>
      </c>
      <c r="J4398" s="14" t="s">
        <v>198</v>
      </c>
      <c r="K4398" s="14" t="s">
        <v>210</v>
      </c>
      <c r="L4398" s="14" t="s">
        <v>278</v>
      </c>
      <c r="M4398" s="14" t="s">
        <v>1005</v>
      </c>
      <c r="N4398" s="14" t="s">
        <v>1006</v>
      </c>
      <c r="O4398" s="14">
        <v>0.0</v>
      </c>
      <c r="P4398" s="21">
        <v>0.0</v>
      </c>
      <c r="Q4398" s="22" t="str">
        <f t="shared" ref="Q4398:R4398" si="2625">"+0"</f>
        <v>+0</v>
      </c>
      <c r="R4398" s="18" t="str">
        <f t="shared" si="2625"/>
        <v>+0</v>
      </c>
      <c r="S4398" s="14" t="s">
        <v>277</v>
      </c>
    </row>
    <row r="4399">
      <c r="A4399" s="13">
        <v>45901.0</v>
      </c>
      <c r="B4399" s="14" t="s">
        <v>47</v>
      </c>
      <c r="C4399" s="14" t="s">
        <v>48</v>
      </c>
      <c r="D4399" s="14" t="s">
        <v>99</v>
      </c>
      <c r="E4399" s="14" t="s">
        <v>100</v>
      </c>
      <c r="F4399" s="15" t="s">
        <v>51</v>
      </c>
      <c r="G4399" s="14" t="s">
        <v>101</v>
      </c>
      <c r="H4399" s="14" t="s">
        <v>102</v>
      </c>
      <c r="I4399" s="14" t="s">
        <v>54</v>
      </c>
      <c r="J4399" s="14" t="s">
        <v>198</v>
      </c>
      <c r="K4399" s="14" t="s">
        <v>210</v>
      </c>
      <c r="L4399" s="14" t="s">
        <v>278</v>
      </c>
      <c r="M4399" s="14" t="s">
        <v>279</v>
      </c>
      <c r="N4399" s="14" t="s">
        <v>280</v>
      </c>
      <c r="O4399" s="14">
        <v>100.0</v>
      </c>
      <c r="P4399" s="21">
        <v>0.0</v>
      </c>
      <c r="Q4399" s="22" t="str">
        <f t="shared" ref="Q4399:R4399" si="2626">"+0"</f>
        <v>+0</v>
      </c>
      <c r="R4399" s="18" t="str">
        <f t="shared" si="2626"/>
        <v>+0</v>
      </c>
      <c r="S4399" s="14" t="s">
        <v>281</v>
      </c>
    </row>
    <row r="4400">
      <c r="A4400" s="13">
        <v>45901.0</v>
      </c>
      <c r="B4400" s="14" t="s">
        <v>47</v>
      </c>
      <c r="C4400" s="14" t="s">
        <v>48</v>
      </c>
      <c r="D4400" s="14" t="s">
        <v>99</v>
      </c>
      <c r="E4400" s="14" t="s">
        <v>100</v>
      </c>
      <c r="F4400" s="15" t="s">
        <v>51</v>
      </c>
      <c r="G4400" s="14" t="s">
        <v>101</v>
      </c>
      <c r="H4400" s="14" t="s">
        <v>102</v>
      </c>
      <c r="I4400" s="14" t="s">
        <v>54</v>
      </c>
      <c r="J4400" s="14" t="s">
        <v>198</v>
      </c>
      <c r="K4400" s="14" t="s">
        <v>210</v>
      </c>
      <c r="L4400" s="14" t="s">
        <v>458</v>
      </c>
      <c r="M4400" s="14" t="s">
        <v>459</v>
      </c>
      <c r="N4400" s="14" t="s">
        <v>460</v>
      </c>
      <c r="O4400" s="14">
        <v>100.0</v>
      </c>
      <c r="P4400" s="21">
        <v>0.0</v>
      </c>
      <c r="Q4400" s="22" t="str">
        <f t="shared" ref="Q4400:R4400" si="2627">"+0"</f>
        <v>+0</v>
      </c>
      <c r="R4400" s="18" t="str">
        <f t="shared" si="2627"/>
        <v>+0</v>
      </c>
      <c r="S4400" s="14" t="s">
        <v>281</v>
      </c>
    </row>
    <row r="4401">
      <c r="A4401" s="13">
        <v>45901.0</v>
      </c>
      <c r="B4401" s="14" t="s">
        <v>47</v>
      </c>
      <c r="C4401" s="14" t="s">
        <v>48</v>
      </c>
      <c r="D4401" s="14" t="s">
        <v>63</v>
      </c>
      <c r="E4401" s="14" t="s">
        <v>64</v>
      </c>
      <c r="F4401" s="15" t="s">
        <v>51</v>
      </c>
      <c r="G4401" s="14" t="s">
        <v>65</v>
      </c>
      <c r="H4401" s="14" t="s">
        <v>63</v>
      </c>
      <c r="I4401" s="14" t="s">
        <v>54</v>
      </c>
      <c r="J4401" s="14" t="s">
        <v>200</v>
      </c>
      <c r="K4401" s="14" t="s">
        <v>213</v>
      </c>
      <c r="L4401" s="14" t="s">
        <v>307</v>
      </c>
      <c r="M4401" s="14" t="s">
        <v>856</v>
      </c>
      <c r="N4401" s="14" t="s">
        <v>857</v>
      </c>
      <c r="O4401" s="14">
        <v>0.0</v>
      </c>
      <c r="P4401" s="23">
        <v>0.0</v>
      </c>
      <c r="Q4401" s="22" t="str">
        <f>"+0.00%"</f>
        <v>+0.00%</v>
      </c>
      <c r="R4401" s="18" t="str">
        <f>"-0.01%"</f>
        <v>-0.01%</v>
      </c>
      <c r="S4401" s="14" t="s">
        <v>285</v>
      </c>
    </row>
    <row r="4402">
      <c r="A4402" s="13">
        <v>45901.0</v>
      </c>
      <c r="B4402" s="14" t="s">
        <v>47</v>
      </c>
      <c r="C4402" s="14" t="s">
        <v>48</v>
      </c>
      <c r="D4402" s="14" t="s">
        <v>66</v>
      </c>
      <c r="E4402" s="14" t="s">
        <v>67</v>
      </c>
      <c r="F4402" s="15" t="s">
        <v>51</v>
      </c>
      <c r="G4402" s="14" t="s">
        <v>68</v>
      </c>
      <c r="H4402" s="14" t="s">
        <v>66</v>
      </c>
      <c r="I4402" s="14" t="s">
        <v>59</v>
      </c>
      <c r="J4402" s="14" t="s">
        <v>200</v>
      </c>
      <c r="K4402" s="14" t="s">
        <v>227</v>
      </c>
      <c r="L4402" s="14" t="s">
        <v>721</v>
      </c>
      <c r="M4402" s="14" t="s">
        <v>1060</v>
      </c>
      <c r="N4402" s="14" t="s">
        <v>1061</v>
      </c>
      <c r="O4402" s="14">
        <v>16.0</v>
      </c>
      <c r="P4402" s="23">
        <v>-0.6757</v>
      </c>
      <c r="Q4402" s="22" t="str">
        <f>"+2.98%"</f>
        <v>+2.98%</v>
      </c>
      <c r="R4402" s="18" t="str">
        <f>"-53.76%"</f>
        <v>-53.76%</v>
      </c>
      <c r="S4402" s="14" t="s">
        <v>1062</v>
      </c>
    </row>
    <row r="4403">
      <c r="A4403" s="13">
        <v>45901.0</v>
      </c>
      <c r="B4403" s="14" t="s">
        <v>47</v>
      </c>
      <c r="C4403" s="14" t="s">
        <v>48</v>
      </c>
      <c r="D4403" s="14" t="s">
        <v>192</v>
      </c>
      <c r="E4403" s="14" t="s">
        <v>193</v>
      </c>
      <c r="F4403" s="15" t="s">
        <v>51</v>
      </c>
      <c r="G4403" s="14" t="s">
        <v>194</v>
      </c>
      <c r="H4403" s="14" t="s">
        <v>192</v>
      </c>
      <c r="I4403" s="14" t="s">
        <v>54</v>
      </c>
      <c r="J4403" s="14" t="s">
        <v>198</v>
      </c>
      <c r="K4403" s="14" t="s">
        <v>210</v>
      </c>
      <c r="L4403" s="14" t="s">
        <v>505</v>
      </c>
      <c r="M4403" s="14" t="s">
        <v>1049</v>
      </c>
      <c r="N4403" s="14" t="s">
        <v>1050</v>
      </c>
      <c r="O4403" s="14">
        <v>0.0</v>
      </c>
      <c r="P4403" s="21">
        <v>0.0</v>
      </c>
      <c r="Q4403" s="22" t="str">
        <f t="shared" ref="Q4403:R4403" si="2628">"+0"</f>
        <v>+0</v>
      </c>
      <c r="R4403" s="18" t="str">
        <f t="shared" si="2628"/>
        <v>+0</v>
      </c>
      <c r="S4403" s="14" t="s">
        <v>277</v>
      </c>
    </row>
    <row r="4404">
      <c r="A4404" s="13">
        <v>45901.0</v>
      </c>
      <c r="B4404" s="14" t="s">
        <v>47</v>
      </c>
      <c r="C4404" s="14" t="s">
        <v>48</v>
      </c>
      <c r="D4404" s="14" t="s">
        <v>82</v>
      </c>
      <c r="E4404" s="14" t="s">
        <v>83</v>
      </c>
      <c r="F4404" s="15" t="s">
        <v>51</v>
      </c>
      <c r="G4404" s="14" t="s">
        <v>84</v>
      </c>
      <c r="H4404" s="14" t="s">
        <v>82</v>
      </c>
      <c r="I4404" s="14" t="s">
        <v>59</v>
      </c>
      <c r="J4404" s="14" t="s">
        <v>200</v>
      </c>
      <c r="K4404" s="14" t="s">
        <v>213</v>
      </c>
      <c r="L4404" s="14" t="s">
        <v>289</v>
      </c>
      <c r="M4404" s="14" t="s">
        <v>984</v>
      </c>
      <c r="N4404" s="14" t="s">
        <v>985</v>
      </c>
      <c r="O4404" s="14">
        <v>0.0</v>
      </c>
      <c r="P4404" s="23">
        <v>0.0</v>
      </c>
      <c r="Q4404" s="22" t="str">
        <f t="shared" ref="Q4404:R4404" si="2629">"+0.00%"</f>
        <v>+0.00%</v>
      </c>
      <c r="R4404" s="18" t="str">
        <f t="shared" si="2629"/>
        <v>+0.00%</v>
      </c>
      <c r="S4404" s="14" t="s">
        <v>285</v>
      </c>
    </row>
    <row r="4405">
      <c r="A4405" s="13">
        <v>45901.0</v>
      </c>
      <c r="B4405" s="14" t="s">
        <v>47</v>
      </c>
      <c r="C4405" s="14" t="s">
        <v>48</v>
      </c>
      <c r="D4405" s="14" t="s">
        <v>192</v>
      </c>
      <c r="E4405" s="14" t="s">
        <v>193</v>
      </c>
      <c r="F4405" s="15" t="s">
        <v>51</v>
      </c>
      <c r="G4405" s="14" t="s">
        <v>194</v>
      </c>
      <c r="H4405" s="14" t="s">
        <v>192</v>
      </c>
      <c r="I4405" s="14" t="s">
        <v>54</v>
      </c>
      <c r="J4405" s="14" t="s">
        <v>200</v>
      </c>
      <c r="K4405" s="14" t="s">
        <v>227</v>
      </c>
      <c r="L4405" s="14" t="s">
        <v>253</v>
      </c>
      <c r="M4405" s="14" t="s">
        <v>849</v>
      </c>
      <c r="N4405" s="14" t="s">
        <v>850</v>
      </c>
      <c r="O4405" s="14">
        <v>100.0</v>
      </c>
      <c r="P4405" s="23">
        <v>1.0</v>
      </c>
      <c r="Q4405" s="22" t="str">
        <f t="shared" ref="Q4405:R4405" si="2630">"+0.00%"</f>
        <v>+0.00%</v>
      </c>
      <c r="R4405" s="18" t="str">
        <f t="shared" si="2630"/>
        <v>+0.00%</v>
      </c>
      <c r="S4405" s="14" t="s">
        <v>851</v>
      </c>
    </row>
    <row r="4406">
      <c r="A4406" s="13">
        <v>45901.0</v>
      </c>
      <c r="B4406" s="14" t="s">
        <v>47</v>
      </c>
      <c r="C4406" s="14" t="s">
        <v>48</v>
      </c>
      <c r="D4406" s="14" t="s">
        <v>143</v>
      </c>
      <c r="E4406" s="14" t="s">
        <v>144</v>
      </c>
      <c r="F4406" s="15" t="s">
        <v>51</v>
      </c>
      <c r="G4406" s="14" t="s">
        <v>145</v>
      </c>
      <c r="H4406" s="14" t="s">
        <v>143</v>
      </c>
      <c r="I4406" s="14" t="s">
        <v>59</v>
      </c>
      <c r="J4406" s="14" t="s">
        <v>200</v>
      </c>
      <c r="K4406" s="14" t="s">
        <v>232</v>
      </c>
      <c r="L4406" s="14" t="s">
        <v>607</v>
      </c>
      <c r="M4406" s="14" t="s">
        <v>692</v>
      </c>
      <c r="N4406" s="14" t="s">
        <v>693</v>
      </c>
      <c r="O4406" s="14">
        <v>0.0</v>
      </c>
      <c r="P4406" s="23">
        <v>0.0</v>
      </c>
      <c r="Q4406" s="22" t="str">
        <f t="shared" ref="Q4406:R4406" si="2631">"+0.00%"</f>
        <v>+0.00%</v>
      </c>
      <c r="R4406" s="18" t="str">
        <f t="shared" si="2631"/>
        <v>+0.00%</v>
      </c>
      <c r="S4406" s="14" t="s">
        <v>285</v>
      </c>
    </row>
    <row r="4407">
      <c r="A4407" s="13">
        <v>45901.0</v>
      </c>
      <c r="B4407" s="14" t="s">
        <v>47</v>
      </c>
      <c r="C4407" s="14" t="s">
        <v>48</v>
      </c>
      <c r="D4407" s="14" t="s">
        <v>143</v>
      </c>
      <c r="E4407" s="14" t="s">
        <v>144</v>
      </c>
      <c r="F4407" s="15" t="s">
        <v>51</v>
      </c>
      <c r="G4407" s="14" t="s">
        <v>145</v>
      </c>
      <c r="H4407" s="14" t="s">
        <v>143</v>
      </c>
      <c r="I4407" s="14" t="s">
        <v>59</v>
      </c>
      <c r="J4407" s="14" t="s">
        <v>200</v>
      </c>
      <c r="K4407" s="14" t="s">
        <v>232</v>
      </c>
      <c r="L4407" s="14" t="s">
        <v>607</v>
      </c>
      <c r="M4407" s="14" t="s">
        <v>932</v>
      </c>
      <c r="N4407" s="14" t="s">
        <v>933</v>
      </c>
      <c r="O4407" s="14">
        <v>0.0</v>
      </c>
      <c r="P4407" s="23">
        <v>0.0</v>
      </c>
      <c r="Q4407" s="22" t="str">
        <f t="shared" ref="Q4407:Q4408" si="2632">"+0.00%"</f>
        <v>+0.00%</v>
      </c>
      <c r="R4407" s="18" t="str">
        <f>"-3.23%"</f>
        <v>-3.23%</v>
      </c>
      <c r="S4407" s="14" t="s">
        <v>285</v>
      </c>
    </row>
    <row r="4408">
      <c r="A4408" s="13">
        <v>45901.0</v>
      </c>
      <c r="B4408" s="14" t="s">
        <v>47</v>
      </c>
      <c r="C4408" s="14" t="s">
        <v>48</v>
      </c>
      <c r="D4408" s="14" t="s">
        <v>171</v>
      </c>
      <c r="E4408" s="14" t="s">
        <v>172</v>
      </c>
      <c r="F4408" s="15" t="s">
        <v>51</v>
      </c>
      <c r="G4408" s="14" t="s">
        <v>173</v>
      </c>
      <c r="H4408" s="14" t="s">
        <v>171</v>
      </c>
      <c r="I4408" s="14" t="s">
        <v>59</v>
      </c>
      <c r="J4408" s="14" t="s">
        <v>200</v>
      </c>
      <c r="K4408" s="14" t="s">
        <v>213</v>
      </c>
      <c r="L4408" s="14" t="s">
        <v>253</v>
      </c>
      <c r="M4408" s="14" t="s">
        <v>366</v>
      </c>
      <c r="N4408" s="14" t="s">
        <v>367</v>
      </c>
      <c r="O4408" s="14">
        <v>40.0</v>
      </c>
      <c r="P4408" s="23">
        <v>0.4</v>
      </c>
      <c r="Q4408" s="22" t="str">
        <f t="shared" si="2632"/>
        <v>+0.00%</v>
      </c>
      <c r="R4408" s="18" t="str">
        <f>"+0.00%"</f>
        <v>+0.00%</v>
      </c>
      <c r="S4408" s="14" t="s">
        <v>2283</v>
      </c>
    </row>
    <row r="4409">
      <c r="A4409" s="13">
        <v>45901.0</v>
      </c>
      <c r="B4409" s="14" t="s">
        <v>47</v>
      </c>
      <c r="C4409" s="14" t="s">
        <v>48</v>
      </c>
      <c r="D4409" s="14" t="s">
        <v>149</v>
      </c>
      <c r="E4409" s="14" t="s">
        <v>150</v>
      </c>
      <c r="F4409" s="15" t="s">
        <v>51</v>
      </c>
      <c r="G4409" s="14" t="s">
        <v>151</v>
      </c>
      <c r="H4409" s="14" t="s">
        <v>152</v>
      </c>
      <c r="I4409" s="14" t="s">
        <v>54</v>
      </c>
      <c r="J4409" s="14" t="s">
        <v>200</v>
      </c>
      <c r="K4409" s="14" t="s">
        <v>227</v>
      </c>
      <c r="L4409" s="14" t="s">
        <v>270</v>
      </c>
      <c r="M4409" s="14" t="s">
        <v>271</v>
      </c>
      <c r="N4409" s="14" t="s">
        <v>272</v>
      </c>
      <c r="O4409" s="14">
        <v>100.0</v>
      </c>
      <c r="P4409" s="23">
        <v>1.0</v>
      </c>
      <c r="Q4409" s="22" t="str">
        <f>"+37.84%"</f>
        <v>+37.84%</v>
      </c>
      <c r="R4409" s="18" t="str">
        <f>"+121.31%"</f>
        <v>+121.31%</v>
      </c>
      <c r="S4409" s="14" t="s">
        <v>273</v>
      </c>
    </row>
    <row r="4410">
      <c r="A4410" s="13">
        <v>45901.0</v>
      </c>
      <c r="B4410" s="14" t="s">
        <v>47</v>
      </c>
      <c r="C4410" s="14" t="s">
        <v>48</v>
      </c>
      <c r="D4410" s="14" t="s">
        <v>171</v>
      </c>
      <c r="E4410" s="14" t="s">
        <v>172</v>
      </c>
      <c r="F4410" s="15" t="s">
        <v>51</v>
      </c>
      <c r="G4410" s="14" t="s">
        <v>173</v>
      </c>
      <c r="H4410" s="14" t="s">
        <v>171</v>
      </c>
      <c r="I4410" s="14" t="s">
        <v>59</v>
      </c>
      <c r="J4410" s="14" t="s">
        <v>200</v>
      </c>
      <c r="K4410" s="14" t="s">
        <v>213</v>
      </c>
      <c r="L4410" s="14" t="s">
        <v>359</v>
      </c>
      <c r="M4410" s="14" t="s">
        <v>360</v>
      </c>
      <c r="N4410" s="14" t="s">
        <v>361</v>
      </c>
      <c r="O4410" s="14">
        <v>0.0</v>
      </c>
      <c r="P4410" s="23">
        <v>0.0</v>
      </c>
      <c r="Q4410" s="22" t="str">
        <f t="shared" ref="Q4410:R4410" si="2633">"+0.00%"</f>
        <v>+0.00%</v>
      </c>
      <c r="R4410" s="18" t="str">
        <f t="shared" si="2633"/>
        <v>+0.00%</v>
      </c>
      <c r="S4410" s="14" t="s">
        <v>2284</v>
      </c>
    </row>
    <row r="4411">
      <c r="A4411" s="13">
        <v>45901.0</v>
      </c>
      <c r="B4411" s="14" t="s">
        <v>47</v>
      </c>
      <c r="C4411" s="14" t="s">
        <v>48</v>
      </c>
      <c r="D4411" s="14" t="s">
        <v>125</v>
      </c>
      <c r="E4411" s="14" t="s">
        <v>126</v>
      </c>
      <c r="F4411" s="15" t="s">
        <v>51</v>
      </c>
      <c r="G4411" s="14" t="s">
        <v>127</v>
      </c>
      <c r="H4411" s="14" t="s">
        <v>125</v>
      </c>
      <c r="I4411" s="14" t="s">
        <v>59</v>
      </c>
      <c r="J4411" s="14" t="s">
        <v>198</v>
      </c>
      <c r="K4411" s="14" t="s">
        <v>210</v>
      </c>
      <c r="L4411" s="14" t="s">
        <v>264</v>
      </c>
      <c r="M4411" s="14" t="s">
        <v>265</v>
      </c>
      <c r="N4411" s="14" t="s">
        <v>266</v>
      </c>
      <c r="O4411" s="14">
        <v>25.0</v>
      </c>
      <c r="P4411" s="21">
        <v>238.0</v>
      </c>
      <c r="Q4411" s="22" t="str">
        <f>"-18"</f>
        <v>-18</v>
      </c>
      <c r="R4411" s="18" t="str">
        <f>"+99"</f>
        <v>+99</v>
      </c>
      <c r="S4411" s="14" t="s">
        <v>1332</v>
      </c>
    </row>
    <row r="4412">
      <c r="A4412" s="13">
        <v>45901.0</v>
      </c>
      <c r="B4412" s="14" t="s">
        <v>47</v>
      </c>
      <c r="C4412" s="14" t="s">
        <v>48</v>
      </c>
      <c r="D4412" s="14" t="s">
        <v>96</v>
      </c>
      <c r="E4412" s="14" t="s">
        <v>97</v>
      </c>
      <c r="F4412" s="15" t="s">
        <v>51</v>
      </c>
      <c r="G4412" s="14" t="s">
        <v>98</v>
      </c>
      <c r="H4412" s="14" t="s">
        <v>96</v>
      </c>
      <c r="I4412" s="14" t="s">
        <v>59</v>
      </c>
      <c r="J4412" s="14" t="s">
        <v>200</v>
      </c>
      <c r="K4412" s="14" t="s">
        <v>222</v>
      </c>
      <c r="L4412" s="14" t="s">
        <v>337</v>
      </c>
      <c r="M4412" s="14" t="s">
        <v>1000</v>
      </c>
      <c r="N4412" s="14" t="s">
        <v>1001</v>
      </c>
      <c r="O4412" s="14">
        <v>0.0</v>
      </c>
      <c r="P4412" s="21">
        <v>0.0</v>
      </c>
      <c r="Q4412" s="22" t="str">
        <f t="shared" ref="Q4412:R4412" si="2634">"+0"</f>
        <v>+0</v>
      </c>
      <c r="R4412" s="18" t="str">
        <f t="shared" si="2634"/>
        <v>+0</v>
      </c>
      <c r="S4412" s="14" t="s">
        <v>260</v>
      </c>
    </row>
    <row r="4413">
      <c r="A4413" s="13">
        <v>45901.0</v>
      </c>
      <c r="B4413" s="14" t="s">
        <v>47</v>
      </c>
      <c r="C4413" s="14" t="s">
        <v>48</v>
      </c>
      <c r="D4413" s="14" t="s">
        <v>96</v>
      </c>
      <c r="E4413" s="14" t="s">
        <v>97</v>
      </c>
      <c r="F4413" s="15" t="s">
        <v>51</v>
      </c>
      <c r="G4413" s="14" t="s">
        <v>98</v>
      </c>
      <c r="H4413" s="14" t="s">
        <v>96</v>
      </c>
      <c r="I4413" s="14" t="s">
        <v>59</v>
      </c>
      <c r="J4413" s="14" t="s">
        <v>199</v>
      </c>
      <c r="K4413" s="14" t="s">
        <v>206</v>
      </c>
      <c r="L4413" s="14" t="s">
        <v>295</v>
      </c>
      <c r="M4413" s="14" t="s">
        <v>529</v>
      </c>
      <c r="N4413" s="14" t="s">
        <v>530</v>
      </c>
      <c r="O4413" s="14">
        <v>0.0</v>
      </c>
      <c r="P4413" s="21">
        <v>0.0</v>
      </c>
      <c r="Q4413" s="22" t="str">
        <f t="shared" ref="Q4413:R4413" si="2635">"+0"</f>
        <v>+0</v>
      </c>
      <c r="R4413" s="18" t="str">
        <f t="shared" si="2635"/>
        <v>+0</v>
      </c>
      <c r="S4413" s="14" t="s">
        <v>260</v>
      </c>
    </row>
    <row r="4414">
      <c r="A4414" s="13">
        <v>45901.0</v>
      </c>
      <c r="B4414" s="14" t="s">
        <v>47</v>
      </c>
      <c r="C4414" s="14" t="s">
        <v>48</v>
      </c>
      <c r="D4414" s="14" t="s">
        <v>158</v>
      </c>
      <c r="E4414" s="14" t="s">
        <v>159</v>
      </c>
      <c r="F4414" s="15" t="s">
        <v>51</v>
      </c>
      <c r="G4414" s="14" t="s">
        <v>160</v>
      </c>
      <c r="H4414" s="14" t="s">
        <v>158</v>
      </c>
      <c r="I4414" s="14" t="s">
        <v>54</v>
      </c>
      <c r="J4414" s="14" t="s">
        <v>200</v>
      </c>
      <c r="K4414" s="14" t="s">
        <v>227</v>
      </c>
      <c r="L4414" s="14" t="s">
        <v>270</v>
      </c>
      <c r="M4414" s="14" t="s">
        <v>400</v>
      </c>
      <c r="N4414" s="14" t="s">
        <v>401</v>
      </c>
      <c r="O4414" s="14">
        <v>0.0</v>
      </c>
      <c r="P4414" s="21">
        <v>0.0</v>
      </c>
      <c r="Q4414" s="22" t="str">
        <f t="shared" ref="Q4414:R4414" si="2636">"+0"</f>
        <v>+0</v>
      </c>
      <c r="R4414" s="18" t="str">
        <f t="shared" si="2636"/>
        <v>+0</v>
      </c>
      <c r="S4414" s="14" t="s">
        <v>260</v>
      </c>
    </row>
    <row r="4415">
      <c r="A4415" s="13">
        <v>45901.0</v>
      </c>
      <c r="B4415" s="14" t="s">
        <v>47</v>
      </c>
      <c r="C4415" s="14" t="s">
        <v>48</v>
      </c>
      <c r="D4415" s="14" t="s">
        <v>77</v>
      </c>
      <c r="E4415" s="14" t="s">
        <v>78</v>
      </c>
      <c r="F4415" s="15" t="s">
        <v>51</v>
      </c>
      <c r="G4415" s="14" t="s">
        <v>128</v>
      </c>
      <c r="H4415" s="14" t="s">
        <v>81</v>
      </c>
      <c r="I4415" s="14" t="s">
        <v>59</v>
      </c>
      <c r="J4415" s="14" t="s">
        <v>200</v>
      </c>
      <c r="K4415" s="14" t="s">
        <v>223</v>
      </c>
      <c r="L4415" s="14" t="s">
        <v>257</v>
      </c>
      <c r="M4415" s="14" t="s">
        <v>493</v>
      </c>
      <c r="N4415" s="14" t="s">
        <v>494</v>
      </c>
      <c r="O4415" s="14">
        <v>0.0</v>
      </c>
      <c r="P4415" s="23">
        <v>-1.0</v>
      </c>
      <c r="Q4415" s="22" t="str">
        <f t="shared" ref="Q4415:R4415" si="2637">"+0.00%"</f>
        <v>+0.00%</v>
      </c>
      <c r="R4415" s="18" t="str">
        <f t="shared" si="2637"/>
        <v>+0.00%</v>
      </c>
      <c r="S4415" s="14" t="s">
        <v>2178</v>
      </c>
    </row>
    <row r="4416">
      <c r="A4416" s="13">
        <v>45901.0</v>
      </c>
      <c r="B4416" s="14" t="s">
        <v>47</v>
      </c>
      <c r="C4416" s="14" t="s">
        <v>48</v>
      </c>
      <c r="D4416" s="14" t="s">
        <v>77</v>
      </c>
      <c r="E4416" s="14" t="s">
        <v>78</v>
      </c>
      <c r="F4416" s="14" t="s">
        <v>71</v>
      </c>
      <c r="G4416" s="14">
        <v>5.36009043E8</v>
      </c>
      <c r="H4416" s="14" t="s">
        <v>81</v>
      </c>
      <c r="J4416" s="14" t="s">
        <v>200</v>
      </c>
      <c r="K4416" s="14" t="s">
        <v>218</v>
      </c>
      <c r="L4416" s="14" t="s">
        <v>253</v>
      </c>
      <c r="M4416" s="14" t="s">
        <v>1388</v>
      </c>
      <c r="N4416" s="14" t="s">
        <v>1389</v>
      </c>
      <c r="O4416" s="14">
        <v>0.0</v>
      </c>
      <c r="P4416" s="23">
        <v>0.0</v>
      </c>
      <c r="Q4416" s="22" t="str">
        <f t="shared" ref="Q4416:Q4417" si="2638">"+0.00%"</f>
        <v>+0.00%</v>
      </c>
      <c r="S4416" s="14" t="s">
        <v>2285</v>
      </c>
    </row>
    <row r="4417">
      <c r="A4417" s="13">
        <v>45901.0</v>
      </c>
      <c r="B4417" s="14" t="s">
        <v>47</v>
      </c>
      <c r="C4417" s="14" t="s">
        <v>48</v>
      </c>
      <c r="D4417" s="14" t="s">
        <v>108</v>
      </c>
      <c r="E4417" s="14" t="s">
        <v>109</v>
      </c>
      <c r="F4417" s="14" t="s">
        <v>79</v>
      </c>
      <c r="G4417" s="14" t="s">
        <v>153</v>
      </c>
      <c r="H4417" s="14" t="s">
        <v>108</v>
      </c>
      <c r="I4417" s="14" t="s">
        <v>154</v>
      </c>
      <c r="J4417" s="14" t="s">
        <v>200</v>
      </c>
      <c r="K4417" s="14" t="s">
        <v>238</v>
      </c>
      <c r="L4417" s="14" t="s">
        <v>253</v>
      </c>
      <c r="M4417" s="14" t="s">
        <v>1306</v>
      </c>
      <c r="N4417" s="14" t="s">
        <v>1307</v>
      </c>
      <c r="O4417" s="14">
        <v>0.0</v>
      </c>
      <c r="P4417" s="23">
        <v>0.0</v>
      </c>
      <c r="Q4417" s="22" t="str">
        <f t="shared" si="2638"/>
        <v>+0.00%</v>
      </c>
      <c r="S4417" s="14" t="s">
        <v>2286</v>
      </c>
    </row>
    <row r="4418">
      <c r="A4418" s="13">
        <v>45901.0</v>
      </c>
      <c r="B4418" s="14" t="s">
        <v>47</v>
      </c>
      <c r="C4418" s="14" t="s">
        <v>48</v>
      </c>
      <c r="D4418" s="14" t="s">
        <v>116</v>
      </c>
      <c r="E4418" s="14" t="s">
        <v>117</v>
      </c>
      <c r="F4418" s="15" t="s">
        <v>51</v>
      </c>
      <c r="G4418" s="14" t="s">
        <v>161</v>
      </c>
      <c r="H4418" s="14" t="s">
        <v>116</v>
      </c>
      <c r="I4418" s="14" t="s">
        <v>54</v>
      </c>
      <c r="J4418" s="14" t="s">
        <v>199</v>
      </c>
      <c r="K4418" s="14" t="s">
        <v>203</v>
      </c>
      <c r="L4418" s="14" t="s">
        <v>1183</v>
      </c>
      <c r="M4418" s="14" t="s">
        <v>1184</v>
      </c>
      <c r="N4418" s="14" t="s">
        <v>1185</v>
      </c>
      <c r="O4418" s="14">
        <v>12.0</v>
      </c>
      <c r="P4418" s="23">
        <v>0.12</v>
      </c>
      <c r="Q4418" s="22" t="str">
        <f>"+2.91%"</f>
        <v>+2.91%</v>
      </c>
      <c r="R4418" s="18" t="str">
        <f>"+7.00%"</f>
        <v>+7.00%</v>
      </c>
      <c r="S4418" s="14" t="s">
        <v>371</v>
      </c>
    </row>
    <row r="4419">
      <c r="A4419" s="13">
        <v>45901.0</v>
      </c>
      <c r="B4419" s="14" t="s">
        <v>47</v>
      </c>
      <c r="C4419" s="14" t="s">
        <v>48</v>
      </c>
      <c r="D4419" s="14" t="s">
        <v>49</v>
      </c>
      <c r="E4419" s="14" t="s">
        <v>50</v>
      </c>
      <c r="F4419" s="15" t="s">
        <v>51</v>
      </c>
      <c r="G4419" s="14" t="s">
        <v>52</v>
      </c>
      <c r="H4419" s="14" t="s">
        <v>53</v>
      </c>
      <c r="I4419" s="14" t="s">
        <v>54</v>
      </c>
      <c r="J4419" s="14" t="s">
        <v>200</v>
      </c>
      <c r="K4419" s="14" t="s">
        <v>222</v>
      </c>
      <c r="L4419" s="14" t="s">
        <v>253</v>
      </c>
      <c r="M4419" s="14" t="s">
        <v>1563</v>
      </c>
      <c r="N4419" s="14" t="s">
        <v>1564</v>
      </c>
      <c r="O4419" s="14">
        <v>100.0</v>
      </c>
      <c r="P4419" s="21">
        <v>1.0</v>
      </c>
      <c r="Q4419" s="22" t="str">
        <f t="shared" ref="Q4419:R4419" si="2639">"+0"</f>
        <v>+0</v>
      </c>
      <c r="R4419" s="18" t="str">
        <f t="shared" si="2639"/>
        <v>+0</v>
      </c>
      <c r="S4419" s="14" t="s">
        <v>260</v>
      </c>
    </row>
    <row r="4420">
      <c r="A4420" s="13">
        <v>45901.0</v>
      </c>
      <c r="B4420" s="14" t="s">
        <v>47</v>
      </c>
      <c r="C4420" s="14" t="s">
        <v>48</v>
      </c>
      <c r="D4420" s="14" t="s">
        <v>165</v>
      </c>
      <c r="E4420" s="14" t="s">
        <v>166</v>
      </c>
      <c r="F4420" s="15" t="s">
        <v>51</v>
      </c>
      <c r="G4420" s="14" t="s">
        <v>167</v>
      </c>
      <c r="H4420" s="14" t="s">
        <v>165</v>
      </c>
      <c r="I4420" s="14" t="s">
        <v>54</v>
      </c>
      <c r="J4420" s="14" t="s">
        <v>198</v>
      </c>
      <c r="K4420" s="14" t="s">
        <v>210</v>
      </c>
      <c r="L4420" s="14" t="s">
        <v>264</v>
      </c>
      <c r="M4420" s="14" t="s">
        <v>641</v>
      </c>
      <c r="N4420" s="14" t="s">
        <v>642</v>
      </c>
      <c r="O4420" s="14">
        <v>0.0</v>
      </c>
      <c r="P4420" s="21">
        <v>0.0</v>
      </c>
      <c r="Q4420" s="22" t="str">
        <f t="shared" ref="Q4420:R4420" si="2640">"+0"</f>
        <v>+0</v>
      </c>
      <c r="R4420" s="18" t="str">
        <f t="shared" si="2640"/>
        <v>+0</v>
      </c>
      <c r="S4420" s="14" t="s">
        <v>277</v>
      </c>
    </row>
    <row r="4421">
      <c r="A4421" s="13">
        <v>45901.0</v>
      </c>
      <c r="B4421" s="14" t="s">
        <v>47</v>
      </c>
      <c r="C4421" s="14" t="s">
        <v>48</v>
      </c>
      <c r="D4421" s="14" t="s">
        <v>91</v>
      </c>
      <c r="E4421" s="14" t="s">
        <v>92</v>
      </c>
      <c r="F4421" s="14" t="s">
        <v>79</v>
      </c>
      <c r="G4421" s="14" t="s">
        <v>164</v>
      </c>
      <c r="H4421" s="14" t="s">
        <v>91</v>
      </c>
      <c r="I4421" s="14" t="s">
        <v>154</v>
      </c>
      <c r="J4421" s="14" t="s">
        <v>200</v>
      </c>
      <c r="K4421" s="14" t="s">
        <v>237</v>
      </c>
      <c r="L4421" s="14" t="s">
        <v>333</v>
      </c>
      <c r="M4421" s="14" t="s">
        <v>1441</v>
      </c>
      <c r="N4421" s="14" t="s">
        <v>1442</v>
      </c>
      <c r="O4421" s="14">
        <v>0.0</v>
      </c>
      <c r="P4421" s="21">
        <v>0.0</v>
      </c>
      <c r="Q4421" s="22" t="str">
        <f t="shared" ref="Q4421:R4421" si="2641">"+0"</f>
        <v>+0</v>
      </c>
      <c r="R4421" s="18" t="str">
        <f t="shared" si="2641"/>
        <v>+0</v>
      </c>
      <c r="S4421" s="14" t="s">
        <v>260</v>
      </c>
    </row>
    <row r="4422">
      <c r="A4422" s="13">
        <v>45901.0</v>
      </c>
      <c r="B4422" s="14" t="s">
        <v>47</v>
      </c>
      <c r="C4422" s="14" t="s">
        <v>48</v>
      </c>
      <c r="D4422" s="14" t="s">
        <v>63</v>
      </c>
      <c r="E4422" s="14" t="s">
        <v>64</v>
      </c>
      <c r="F4422" s="15" t="s">
        <v>51</v>
      </c>
      <c r="G4422" s="14" t="s">
        <v>65</v>
      </c>
      <c r="H4422" s="14" t="s">
        <v>63</v>
      </c>
      <c r="I4422" s="14" t="s">
        <v>54</v>
      </c>
      <c r="J4422" s="14" t="s">
        <v>200</v>
      </c>
      <c r="K4422" s="14" t="s">
        <v>224</v>
      </c>
      <c r="L4422" s="14" t="s">
        <v>453</v>
      </c>
      <c r="M4422" s="14" t="s">
        <v>949</v>
      </c>
      <c r="N4422" s="14" t="s">
        <v>950</v>
      </c>
      <c r="O4422" s="14">
        <v>92.0</v>
      </c>
      <c r="P4422" s="23">
        <v>0.9286</v>
      </c>
      <c r="Q4422" s="22" t="str">
        <f>"+7.14%"</f>
        <v>+7.14%</v>
      </c>
      <c r="R4422" s="18" t="str">
        <f>"+11.04%"</f>
        <v>+11.04%</v>
      </c>
      <c r="S4422" s="14" t="s">
        <v>951</v>
      </c>
    </row>
    <row r="4423">
      <c r="A4423" s="13">
        <v>45901.0</v>
      </c>
      <c r="B4423" s="14" t="s">
        <v>47</v>
      </c>
      <c r="C4423" s="14" t="s">
        <v>48</v>
      </c>
      <c r="D4423" s="14" t="s">
        <v>91</v>
      </c>
      <c r="E4423" s="14" t="s">
        <v>92</v>
      </c>
      <c r="F4423" s="15" t="s">
        <v>51</v>
      </c>
      <c r="G4423" s="14" t="s">
        <v>163</v>
      </c>
      <c r="H4423" s="14" t="s">
        <v>91</v>
      </c>
      <c r="I4423" s="14" t="s">
        <v>59</v>
      </c>
      <c r="J4423" s="14" t="s">
        <v>199</v>
      </c>
      <c r="K4423" s="14" t="s">
        <v>206</v>
      </c>
      <c r="L4423" s="14" t="s">
        <v>295</v>
      </c>
      <c r="M4423" s="14" t="s">
        <v>529</v>
      </c>
      <c r="N4423" s="14" t="s">
        <v>530</v>
      </c>
      <c r="O4423" s="14">
        <v>100.0</v>
      </c>
      <c r="P4423" s="21">
        <v>20.0</v>
      </c>
      <c r="Q4423" s="22" t="str">
        <f t="shared" ref="Q4423:R4423" si="2642">"+0"</f>
        <v>+0</v>
      </c>
      <c r="R4423" s="18" t="str">
        <f t="shared" si="2642"/>
        <v>+0</v>
      </c>
      <c r="S4423" s="14" t="s">
        <v>260</v>
      </c>
    </row>
    <row r="4424">
      <c r="A4424" s="13">
        <v>45901.0</v>
      </c>
      <c r="B4424" s="14" t="s">
        <v>47</v>
      </c>
      <c r="C4424" s="14" t="s">
        <v>48</v>
      </c>
      <c r="D4424" s="14" t="s">
        <v>63</v>
      </c>
      <c r="E4424" s="14" t="s">
        <v>64</v>
      </c>
      <c r="F4424" s="15" t="s">
        <v>51</v>
      </c>
      <c r="G4424" s="14" t="s">
        <v>65</v>
      </c>
      <c r="H4424" s="14" t="s">
        <v>63</v>
      </c>
      <c r="I4424" s="14" t="s">
        <v>54</v>
      </c>
      <c r="J4424" s="14" t="s">
        <v>200</v>
      </c>
      <c r="K4424" s="14" t="s">
        <v>211</v>
      </c>
      <c r="L4424" s="14" t="s">
        <v>991</v>
      </c>
      <c r="M4424" s="14" t="s">
        <v>1040</v>
      </c>
      <c r="N4424" s="14" t="s">
        <v>1041</v>
      </c>
      <c r="O4424" s="14">
        <v>100.0</v>
      </c>
      <c r="P4424" s="21">
        <v>2.0</v>
      </c>
      <c r="Q4424" s="22" t="str">
        <f t="shared" ref="Q4424:R4424" si="2643">"+0"</f>
        <v>+0</v>
      </c>
      <c r="R4424" s="18" t="str">
        <f t="shared" si="2643"/>
        <v>+0</v>
      </c>
      <c r="S4424" s="14" t="s">
        <v>1042</v>
      </c>
    </row>
    <row r="4425">
      <c r="A4425" s="13">
        <v>45901.0</v>
      </c>
      <c r="B4425" s="14" t="s">
        <v>47</v>
      </c>
      <c r="C4425" s="14" t="s">
        <v>48</v>
      </c>
      <c r="D4425" s="14" t="s">
        <v>192</v>
      </c>
      <c r="E4425" s="14" t="s">
        <v>193</v>
      </c>
      <c r="F4425" s="15" t="s">
        <v>51</v>
      </c>
      <c r="G4425" s="14" t="s">
        <v>194</v>
      </c>
      <c r="H4425" s="14" t="s">
        <v>192</v>
      </c>
      <c r="I4425" s="14" t="s">
        <v>54</v>
      </c>
      <c r="J4425" s="14" t="s">
        <v>198</v>
      </c>
      <c r="K4425" s="14" t="s">
        <v>210</v>
      </c>
      <c r="L4425" s="14" t="s">
        <v>278</v>
      </c>
      <c r="M4425" s="14" t="s">
        <v>668</v>
      </c>
      <c r="N4425" s="14" t="s">
        <v>669</v>
      </c>
      <c r="O4425" s="14">
        <v>0.0</v>
      </c>
      <c r="P4425" s="21">
        <v>0.0</v>
      </c>
      <c r="Q4425" s="22" t="str">
        <f t="shared" ref="Q4425:R4425" si="2644">"+0"</f>
        <v>+0</v>
      </c>
      <c r="R4425" s="18" t="str">
        <f t="shared" si="2644"/>
        <v>+0</v>
      </c>
      <c r="S4425" s="14" t="s">
        <v>277</v>
      </c>
    </row>
    <row r="4426">
      <c r="A4426" s="13">
        <v>45901.0</v>
      </c>
      <c r="B4426" s="14" t="s">
        <v>47</v>
      </c>
      <c r="C4426" s="14" t="s">
        <v>48</v>
      </c>
      <c r="D4426" s="14" t="s">
        <v>192</v>
      </c>
      <c r="E4426" s="14" t="s">
        <v>193</v>
      </c>
      <c r="F4426" s="15" t="s">
        <v>51</v>
      </c>
      <c r="G4426" s="14" t="s">
        <v>194</v>
      </c>
      <c r="H4426" s="14" t="s">
        <v>192</v>
      </c>
      <c r="I4426" s="14" t="s">
        <v>54</v>
      </c>
      <c r="J4426" s="14" t="s">
        <v>199</v>
      </c>
      <c r="K4426" s="14" t="s">
        <v>203</v>
      </c>
      <c r="L4426" s="14" t="s">
        <v>725</v>
      </c>
      <c r="M4426" s="14" t="s">
        <v>725</v>
      </c>
      <c r="N4426" s="14" t="s">
        <v>726</v>
      </c>
      <c r="O4426" s="14">
        <v>100.0</v>
      </c>
      <c r="P4426" s="21">
        <v>4.0</v>
      </c>
      <c r="Q4426" s="22" t="str">
        <f>"+0"</f>
        <v>+0</v>
      </c>
      <c r="R4426" s="18" t="str">
        <f>"+1"</f>
        <v>+1</v>
      </c>
      <c r="S4426" s="14" t="s">
        <v>260</v>
      </c>
    </row>
    <row r="4427">
      <c r="A4427" s="13">
        <v>45901.0</v>
      </c>
      <c r="B4427" s="14" t="s">
        <v>47</v>
      </c>
      <c r="C4427" s="14" t="s">
        <v>48</v>
      </c>
      <c r="D4427" s="14" t="s">
        <v>66</v>
      </c>
      <c r="E4427" s="14" t="s">
        <v>67</v>
      </c>
      <c r="F4427" s="15" t="s">
        <v>51</v>
      </c>
      <c r="G4427" s="14" t="s">
        <v>68</v>
      </c>
      <c r="H4427" s="14" t="s">
        <v>66</v>
      </c>
      <c r="I4427" s="14" t="s">
        <v>59</v>
      </c>
      <c r="J4427" s="14" t="s">
        <v>200</v>
      </c>
      <c r="K4427" s="14" t="s">
        <v>223</v>
      </c>
      <c r="L4427" s="14" t="s">
        <v>286</v>
      </c>
      <c r="M4427" s="14" t="s">
        <v>625</v>
      </c>
      <c r="N4427" s="14" t="s">
        <v>626</v>
      </c>
      <c r="O4427" s="14">
        <v>0.0</v>
      </c>
      <c r="P4427" s="23">
        <v>0.0</v>
      </c>
      <c r="Q4427" s="22" t="str">
        <f t="shared" ref="Q4427:R4427" si="2645">"+0.00%"</f>
        <v>+0.00%</v>
      </c>
      <c r="R4427" s="18" t="str">
        <f t="shared" si="2645"/>
        <v>+0.00%</v>
      </c>
      <c r="S4427" s="14" t="s">
        <v>2287</v>
      </c>
    </row>
    <row r="4428">
      <c r="A4428" s="13">
        <v>45901.0</v>
      </c>
      <c r="B4428" s="14" t="s">
        <v>47</v>
      </c>
      <c r="C4428" s="14" t="s">
        <v>48</v>
      </c>
      <c r="D4428" s="14" t="s">
        <v>82</v>
      </c>
      <c r="E4428" s="14" t="s">
        <v>83</v>
      </c>
      <c r="F4428" s="15" t="s">
        <v>51</v>
      </c>
      <c r="G4428" s="14" t="s">
        <v>84</v>
      </c>
      <c r="H4428" s="14" t="s">
        <v>82</v>
      </c>
      <c r="I4428" s="14" t="s">
        <v>59</v>
      </c>
      <c r="J4428" s="14" t="s">
        <v>200</v>
      </c>
      <c r="K4428" s="14" t="s">
        <v>227</v>
      </c>
      <c r="L4428" s="14" t="s">
        <v>270</v>
      </c>
      <c r="M4428" s="14" t="s">
        <v>417</v>
      </c>
      <c r="N4428" s="14" t="s">
        <v>418</v>
      </c>
      <c r="O4428" s="14">
        <v>0.0</v>
      </c>
      <c r="P4428" s="21">
        <v>0.0</v>
      </c>
      <c r="Q4428" s="22" t="str">
        <f t="shared" ref="Q4428:R4428" si="2646">"-1"</f>
        <v>-1</v>
      </c>
      <c r="R4428" s="18" t="str">
        <f t="shared" si="2646"/>
        <v>-1</v>
      </c>
      <c r="S4428" s="14" t="s">
        <v>260</v>
      </c>
    </row>
    <row r="4429">
      <c r="A4429" s="13">
        <v>45901.0</v>
      </c>
      <c r="B4429" s="14" t="s">
        <v>47</v>
      </c>
      <c r="C4429" s="14" t="s">
        <v>48</v>
      </c>
      <c r="D4429" s="14" t="s">
        <v>143</v>
      </c>
      <c r="E4429" s="14" t="s">
        <v>144</v>
      </c>
      <c r="F4429" s="15" t="s">
        <v>51</v>
      </c>
      <c r="G4429" s="14" t="s">
        <v>145</v>
      </c>
      <c r="H4429" s="14" t="s">
        <v>143</v>
      </c>
      <c r="I4429" s="14" t="s">
        <v>59</v>
      </c>
      <c r="J4429" s="14" t="s">
        <v>200</v>
      </c>
      <c r="K4429" s="14" t="s">
        <v>232</v>
      </c>
      <c r="L4429" s="14" t="s">
        <v>304</v>
      </c>
      <c r="M4429" s="14" t="s">
        <v>702</v>
      </c>
      <c r="N4429" s="14" t="s">
        <v>703</v>
      </c>
      <c r="O4429" s="14">
        <v>100.0</v>
      </c>
      <c r="P4429" s="23">
        <v>0.1154</v>
      </c>
      <c r="Q4429" s="22" t="str">
        <f>"+2.84%"</f>
        <v>+2.84%</v>
      </c>
      <c r="R4429" s="18" t="str">
        <f>"-1.36%"</f>
        <v>-1.36%</v>
      </c>
      <c r="S4429" s="14" t="s">
        <v>285</v>
      </c>
    </row>
    <row r="4430">
      <c r="A4430" s="13">
        <v>45901.0</v>
      </c>
      <c r="B4430" s="14" t="s">
        <v>47</v>
      </c>
      <c r="C4430" s="14" t="s">
        <v>48</v>
      </c>
      <c r="D4430" s="14" t="s">
        <v>143</v>
      </c>
      <c r="E4430" s="14" t="s">
        <v>144</v>
      </c>
      <c r="F4430" s="15" t="s">
        <v>51</v>
      </c>
      <c r="G4430" s="14" t="s">
        <v>145</v>
      </c>
      <c r="H4430" s="14" t="s">
        <v>143</v>
      </c>
      <c r="I4430" s="14" t="s">
        <v>59</v>
      </c>
      <c r="J4430" s="14" t="s">
        <v>200</v>
      </c>
      <c r="K4430" s="14" t="s">
        <v>227</v>
      </c>
      <c r="L4430" s="14" t="s">
        <v>721</v>
      </c>
      <c r="M4430" s="14" t="s">
        <v>722</v>
      </c>
      <c r="N4430" s="14" t="s">
        <v>723</v>
      </c>
      <c r="O4430" s="14">
        <v>47.0</v>
      </c>
      <c r="P4430" s="23">
        <v>-0.0566</v>
      </c>
      <c r="Q4430" s="22" t="str">
        <f>"+14.84%"</f>
        <v>+14.84%</v>
      </c>
      <c r="R4430" s="18" t="str">
        <f>"-22.17%"</f>
        <v>-22.17%</v>
      </c>
      <c r="S4430" s="14" t="s">
        <v>724</v>
      </c>
    </row>
    <row r="4431">
      <c r="A4431" s="13">
        <v>45901.0</v>
      </c>
      <c r="B4431" s="14" t="s">
        <v>47</v>
      </c>
      <c r="C4431" s="14" t="s">
        <v>48</v>
      </c>
      <c r="D4431" s="14" t="s">
        <v>149</v>
      </c>
      <c r="E4431" s="14" t="s">
        <v>150</v>
      </c>
      <c r="F4431" s="15" t="s">
        <v>51</v>
      </c>
      <c r="G4431" s="14" t="s">
        <v>151</v>
      </c>
      <c r="H4431" s="14" t="s">
        <v>152</v>
      </c>
      <c r="I4431" s="14" t="s">
        <v>54</v>
      </c>
      <c r="J4431" s="14" t="s">
        <v>200</v>
      </c>
      <c r="K4431" s="14" t="s">
        <v>223</v>
      </c>
      <c r="L4431" s="14" t="s">
        <v>257</v>
      </c>
      <c r="M4431" s="14" t="s">
        <v>493</v>
      </c>
      <c r="N4431" s="14" t="s">
        <v>494</v>
      </c>
      <c r="O4431" s="14">
        <v>47.0</v>
      </c>
      <c r="P4431" s="23">
        <v>-0.0567</v>
      </c>
      <c r="Q4431" s="22" t="str">
        <f>"+1.65%"</f>
        <v>+1.65%</v>
      </c>
      <c r="R4431" s="18" t="str">
        <f>"-1.86%"</f>
        <v>-1.86%</v>
      </c>
      <c r="S4431" s="14" t="s">
        <v>2288</v>
      </c>
    </row>
    <row r="4432">
      <c r="A4432" s="13">
        <v>45901.0</v>
      </c>
      <c r="B4432" s="14" t="s">
        <v>47</v>
      </c>
      <c r="C4432" s="14" t="s">
        <v>48</v>
      </c>
      <c r="D4432" s="14" t="s">
        <v>171</v>
      </c>
      <c r="E4432" s="14" t="s">
        <v>172</v>
      </c>
      <c r="F4432" s="15" t="s">
        <v>51</v>
      </c>
      <c r="G4432" s="14" t="s">
        <v>173</v>
      </c>
      <c r="H4432" s="14" t="s">
        <v>171</v>
      </c>
      <c r="I4432" s="14" t="s">
        <v>59</v>
      </c>
      <c r="J4432" s="14" t="s">
        <v>200</v>
      </c>
      <c r="K4432" s="14" t="s">
        <v>213</v>
      </c>
      <c r="L4432" s="14" t="s">
        <v>307</v>
      </c>
      <c r="M4432" s="14" t="s">
        <v>561</v>
      </c>
      <c r="N4432" s="14" t="s">
        <v>562</v>
      </c>
      <c r="O4432" s="14">
        <v>0.0</v>
      </c>
      <c r="P4432" s="23">
        <v>0.0</v>
      </c>
      <c r="Q4432" s="22" t="str">
        <f t="shared" ref="Q4432:R4432" si="2647">"+0.00%"</f>
        <v>+0.00%</v>
      </c>
      <c r="R4432" s="18" t="str">
        <f t="shared" si="2647"/>
        <v>+0.00%</v>
      </c>
      <c r="S4432" s="14" t="s">
        <v>285</v>
      </c>
    </row>
    <row r="4433">
      <c r="A4433" s="13">
        <v>45901.0</v>
      </c>
      <c r="B4433" s="14" t="s">
        <v>47</v>
      </c>
      <c r="C4433" s="14" t="s">
        <v>48</v>
      </c>
      <c r="D4433" s="14" t="s">
        <v>96</v>
      </c>
      <c r="E4433" s="14" t="s">
        <v>97</v>
      </c>
      <c r="F4433" s="15" t="s">
        <v>51</v>
      </c>
      <c r="G4433" s="14" t="s">
        <v>98</v>
      </c>
      <c r="H4433" s="14" t="s">
        <v>96</v>
      </c>
      <c r="I4433" s="14" t="s">
        <v>59</v>
      </c>
      <c r="J4433" s="14" t="s">
        <v>198</v>
      </c>
      <c r="K4433" s="14" t="s">
        <v>205</v>
      </c>
      <c r="L4433" s="14" t="s">
        <v>274</v>
      </c>
      <c r="M4433" s="14" t="s">
        <v>425</v>
      </c>
      <c r="N4433" s="14" t="s">
        <v>426</v>
      </c>
      <c r="O4433" s="14">
        <v>0.0</v>
      </c>
      <c r="P4433" s="21">
        <v>0.0</v>
      </c>
      <c r="Q4433" s="22" t="str">
        <f t="shared" ref="Q4433:Q4434" si="2648">"+0"</f>
        <v>+0</v>
      </c>
      <c r="S4433" s="14" t="s">
        <v>281</v>
      </c>
    </row>
    <row r="4434">
      <c r="A4434" s="13">
        <v>45901.0</v>
      </c>
      <c r="B4434" s="14" t="s">
        <v>47</v>
      </c>
      <c r="C4434" s="14" t="s">
        <v>48</v>
      </c>
      <c r="D4434" s="14" t="s">
        <v>125</v>
      </c>
      <c r="E4434" s="14" t="s">
        <v>126</v>
      </c>
      <c r="F4434" s="15" t="s">
        <v>51</v>
      </c>
      <c r="G4434" s="14" t="s">
        <v>127</v>
      </c>
      <c r="H4434" s="14" t="s">
        <v>125</v>
      </c>
      <c r="I4434" s="14" t="s">
        <v>59</v>
      </c>
      <c r="J4434" s="14" t="s">
        <v>198</v>
      </c>
      <c r="K4434" s="14" t="s">
        <v>205</v>
      </c>
      <c r="L4434" s="14" t="s">
        <v>274</v>
      </c>
      <c r="M4434" s="14" t="s">
        <v>738</v>
      </c>
      <c r="N4434" s="14" t="s">
        <v>739</v>
      </c>
      <c r="O4434" s="14">
        <v>0.0</v>
      </c>
      <c r="P4434" s="21">
        <v>0.0</v>
      </c>
      <c r="Q4434" s="22" t="str">
        <f t="shared" si="2648"/>
        <v>+0</v>
      </c>
      <c r="S4434" s="14" t="s">
        <v>281</v>
      </c>
    </row>
    <row r="4435">
      <c r="A4435" s="13">
        <v>45901.0</v>
      </c>
      <c r="B4435" s="14" t="s">
        <v>47</v>
      </c>
      <c r="C4435" s="14" t="s">
        <v>48</v>
      </c>
      <c r="D4435" s="14" t="s">
        <v>125</v>
      </c>
      <c r="E4435" s="14" t="s">
        <v>126</v>
      </c>
      <c r="F4435" s="15" t="s">
        <v>51</v>
      </c>
      <c r="G4435" s="14" t="s">
        <v>127</v>
      </c>
      <c r="H4435" s="14" t="s">
        <v>125</v>
      </c>
      <c r="I4435" s="14" t="s">
        <v>59</v>
      </c>
      <c r="J4435" s="14" t="s">
        <v>200</v>
      </c>
      <c r="K4435" s="14" t="s">
        <v>224</v>
      </c>
      <c r="L4435" s="14" t="s">
        <v>427</v>
      </c>
      <c r="M4435" s="14" t="s">
        <v>769</v>
      </c>
      <c r="N4435" s="14" t="s">
        <v>770</v>
      </c>
      <c r="O4435" s="14">
        <v>0.0</v>
      </c>
      <c r="P4435" s="17"/>
      <c r="Q4435" s="22"/>
      <c r="S4435" s="14" t="s">
        <v>771</v>
      </c>
    </row>
    <row r="4436">
      <c r="A4436" s="13">
        <v>45901.0</v>
      </c>
      <c r="B4436" s="14" t="s">
        <v>47</v>
      </c>
      <c r="C4436" s="14" t="s">
        <v>48</v>
      </c>
      <c r="D4436" s="14" t="s">
        <v>125</v>
      </c>
      <c r="E4436" s="14" t="s">
        <v>126</v>
      </c>
      <c r="F4436" s="15" t="s">
        <v>51</v>
      </c>
      <c r="G4436" s="14" t="s">
        <v>127</v>
      </c>
      <c r="H4436" s="14" t="s">
        <v>125</v>
      </c>
      <c r="I4436" s="14" t="s">
        <v>59</v>
      </c>
      <c r="J4436" s="14" t="s">
        <v>200</v>
      </c>
      <c r="K4436" s="14" t="s">
        <v>224</v>
      </c>
      <c r="L4436" s="14" t="s">
        <v>453</v>
      </c>
      <c r="M4436" s="14" t="s">
        <v>716</v>
      </c>
      <c r="N4436" s="14" t="s">
        <v>717</v>
      </c>
      <c r="O4436" s="14">
        <v>0.0</v>
      </c>
      <c r="P4436" s="17"/>
      <c r="Q4436" s="22"/>
      <c r="S4436" s="14" t="s">
        <v>718</v>
      </c>
    </row>
    <row r="4437">
      <c r="A4437" s="13">
        <v>45901.0</v>
      </c>
      <c r="B4437" s="14" t="s">
        <v>47</v>
      </c>
      <c r="C4437" s="14" t="s">
        <v>48</v>
      </c>
      <c r="D4437" s="14" t="s">
        <v>116</v>
      </c>
      <c r="E4437" s="14" t="s">
        <v>117</v>
      </c>
      <c r="F4437" s="15" t="s">
        <v>51</v>
      </c>
      <c r="G4437" s="14" t="s">
        <v>161</v>
      </c>
      <c r="H4437" s="14" t="s">
        <v>116</v>
      </c>
      <c r="I4437" s="14" t="s">
        <v>54</v>
      </c>
      <c r="J4437" s="14" t="s">
        <v>198</v>
      </c>
      <c r="K4437" s="14" t="s">
        <v>210</v>
      </c>
      <c r="L4437" s="14" t="s">
        <v>458</v>
      </c>
      <c r="M4437" s="14" t="s">
        <v>1939</v>
      </c>
      <c r="N4437" s="14" t="s">
        <v>1940</v>
      </c>
      <c r="O4437" s="14">
        <v>0.0</v>
      </c>
      <c r="P4437" s="21">
        <v>0.0</v>
      </c>
      <c r="Q4437" s="22" t="str">
        <f t="shared" ref="Q4437:R4437" si="2649">"+0"</f>
        <v>+0</v>
      </c>
      <c r="R4437" s="18" t="str">
        <f t="shared" si="2649"/>
        <v>+0</v>
      </c>
      <c r="S4437" s="14" t="s">
        <v>277</v>
      </c>
    </row>
    <row r="4438">
      <c r="A4438" s="13">
        <v>45901.0</v>
      </c>
      <c r="B4438" s="14" t="s">
        <v>47</v>
      </c>
      <c r="C4438" s="14" t="s">
        <v>48</v>
      </c>
      <c r="D4438" s="14" t="s">
        <v>158</v>
      </c>
      <c r="E4438" s="14" t="s">
        <v>159</v>
      </c>
      <c r="F4438" s="15" t="s">
        <v>51</v>
      </c>
      <c r="G4438" s="14" t="s">
        <v>160</v>
      </c>
      <c r="H4438" s="14" t="s">
        <v>158</v>
      </c>
      <c r="I4438" s="14" t="s">
        <v>54</v>
      </c>
      <c r="J4438" s="14" t="s">
        <v>198</v>
      </c>
      <c r="K4438" s="14" t="s">
        <v>207</v>
      </c>
      <c r="L4438" s="14" t="s">
        <v>318</v>
      </c>
      <c r="M4438" s="14" t="s">
        <v>508</v>
      </c>
      <c r="N4438" s="14" t="s">
        <v>509</v>
      </c>
      <c r="O4438" s="14">
        <v>0.0</v>
      </c>
      <c r="P4438" s="21">
        <v>0.0</v>
      </c>
      <c r="Q4438" s="22" t="str">
        <f t="shared" ref="Q4438:Q4440" si="2650">"+0"</f>
        <v>+0</v>
      </c>
      <c r="S4438" s="14" t="s">
        <v>281</v>
      </c>
    </row>
    <row r="4439">
      <c r="A4439" s="13">
        <v>45901.0</v>
      </c>
      <c r="B4439" s="14" t="s">
        <v>47</v>
      </c>
      <c r="C4439" s="14" t="s">
        <v>48</v>
      </c>
      <c r="D4439" s="14" t="s">
        <v>174</v>
      </c>
      <c r="E4439" s="14" t="s">
        <v>175</v>
      </c>
      <c r="F4439" s="15" t="s">
        <v>51</v>
      </c>
      <c r="G4439" s="14" t="s">
        <v>176</v>
      </c>
      <c r="H4439" s="14" t="s">
        <v>174</v>
      </c>
      <c r="I4439" s="14" t="s">
        <v>59</v>
      </c>
      <c r="J4439" s="14" t="s">
        <v>198</v>
      </c>
      <c r="K4439" s="14" t="s">
        <v>205</v>
      </c>
      <c r="L4439" s="14" t="s">
        <v>274</v>
      </c>
      <c r="M4439" s="14" t="s">
        <v>473</v>
      </c>
      <c r="N4439" s="14" t="s">
        <v>474</v>
      </c>
      <c r="O4439" s="14">
        <v>50.0</v>
      </c>
      <c r="P4439" s="21">
        <v>15.0</v>
      </c>
      <c r="Q4439" s="22" t="str">
        <f t="shared" si="2650"/>
        <v>+0</v>
      </c>
      <c r="S4439" s="14" t="s">
        <v>475</v>
      </c>
    </row>
    <row r="4440">
      <c r="A4440" s="13">
        <v>45901.0</v>
      </c>
      <c r="B4440" s="14" t="s">
        <v>47</v>
      </c>
      <c r="C4440" s="14" t="s">
        <v>48</v>
      </c>
      <c r="D4440" s="14" t="s">
        <v>108</v>
      </c>
      <c r="E4440" s="14" t="s">
        <v>109</v>
      </c>
      <c r="F4440" s="15" t="s">
        <v>51</v>
      </c>
      <c r="G4440" s="14" t="s">
        <v>110</v>
      </c>
      <c r="H4440" s="14" t="s">
        <v>108</v>
      </c>
      <c r="I4440" s="14" t="s">
        <v>59</v>
      </c>
      <c r="J4440" s="14" t="s">
        <v>198</v>
      </c>
      <c r="K4440" s="14" t="s">
        <v>205</v>
      </c>
      <c r="L4440" s="14" t="s">
        <v>274</v>
      </c>
      <c r="M4440" s="14" t="s">
        <v>387</v>
      </c>
      <c r="N4440" s="14" t="s">
        <v>388</v>
      </c>
      <c r="O4440" s="14">
        <v>0.0</v>
      </c>
      <c r="P4440" s="21">
        <v>0.0</v>
      </c>
      <c r="Q4440" s="22" t="str">
        <f t="shared" si="2650"/>
        <v>+0</v>
      </c>
      <c r="S4440" s="14" t="s">
        <v>281</v>
      </c>
    </row>
    <row r="4441">
      <c r="A4441" s="13">
        <v>45901.0</v>
      </c>
      <c r="B4441" s="14" t="s">
        <v>47</v>
      </c>
      <c r="C4441" s="14" t="s">
        <v>48</v>
      </c>
      <c r="D4441" s="14" t="s">
        <v>108</v>
      </c>
      <c r="E4441" s="14" t="s">
        <v>109</v>
      </c>
      <c r="F4441" s="14" t="s">
        <v>79</v>
      </c>
      <c r="G4441" s="14" t="s">
        <v>153</v>
      </c>
      <c r="H4441" s="14" t="s">
        <v>108</v>
      </c>
      <c r="I4441" s="14" t="s">
        <v>154</v>
      </c>
      <c r="J4441" s="14" t="s">
        <v>200</v>
      </c>
      <c r="K4441" s="14" t="s">
        <v>237</v>
      </c>
      <c r="L4441" s="14" t="s">
        <v>333</v>
      </c>
      <c r="M4441" s="14" t="s">
        <v>1820</v>
      </c>
      <c r="N4441" s="14" t="s">
        <v>1821</v>
      </c>
      <c r="O4441" s="14">
        <v>0.0</v>
      </c>
      <c r="P4441" s="23">
        <v>-1.0</v>
      </c>
      <c r="Q4441" s="22" t="str">
        <f t="shared" ref="Q4441:Q4442" si="2651">"+0.00%"</f>
        <v>+0.00%</v>
      </c>
      <c r="S4441" s="14" t="s">
        <v>285</v>
      </c>
    </row>
    <row r="4442">
      <c r="A4442" s="13">
        <v>45901.0</v>
      </c>
      <c r="B4442" s="14" t="s">
        <v>47</v>
      </c>
      <c r="C4442" s="14" t="s">
        <v>48</v>
      </c>
      <c r="D4442" s="14" t="s">
        <v>108</v>
      </c>
      <c r="E4442" s="14" t="s">
        <v>109</v>
      </c>
      <c r="F4442" s="15" t="s">
        <v>51</v>
      </c>
      <c r="G4442" s="14" t="s">
        <v>110</v>
      </c>
      <c r="H4442" s="14" t="s">
        <v>108</v>
      </c>
      <c r="I4442" s="14" t="s">
        <v>59</v>
      </c>
      <c r="J4442" s="14" t="s">
        <v>200</v>
      </c>
      <c r="K4442" s="14" t="s">
        <v>241</v>
      </c>
      <c r="L4442" s="14" t="s">
        <v>253</v>
      </c>
      <c r="M4442" s="14" t="s">
        <v>366</v>
      </c>
      <c r="N4442" s="14" t="s">
        <v>367</v>
      </c>
      <c r="O4442" s="14">
        <v>1.0</v>
      </c>
      <c r="P4442" s="23">
        <v>0.0066</v>
      </c>
      <c r="Q4442" s="22" t="str">
        <f t="shared" si="2651"/>
        <v>+0.00%</v>
      </c>
      <c r="S4442" s="14" t="s">
        <v>2289</v>
      </c>
    </row>
    <row r="4443">
      <c r="A4443" s="13">
        <v>45901.0</v>
      </c>
      <c r="B4443" s="14" t="s">
        <v>47</v>
      </c>
      <c r="C4443" s="14" t="s">
        <v>48</v>
      </c>
      <c r="D4443" s="14" t="s">
        <v>108</v>
      </c>
      <c r="E4443" s="14" t="s">
        <v>109</v>
      </c>
      <c r="F4443" s="14" t="s">
        <v>146</v>
      </c>
      <c r="G4443" s="14" t="s">
        <v>180</v>
      </c>
      <c r="H4443" s="14" t="s">
        <v>108</v>
      </c>
      <c r="I4443" s="14" t="s">
        <v>59</v>
      </c>
      <c r="J4443" s="14" t="s">
        <v>199</v>
      </c>
      <c r="K4443" s="14" t="s">
        <v>203</v>
      </c>
      <c r="L4443" s="14" t="s">
        <v>340</v>
      </c>
      <c r="M4443" s="14" t="s">
        <v>340</v>
      </c>
      <c r="N4443" s="14" t="s">
        <v>341</v>
      </c>
      <c r="O4443" s="14">
        <v>0.0</v>
      </c>
      <c r="P4443" s="21">
        <v>0.0</v>
      </c>
      <c r="Q4443" s="22" t="str">
        <f t="shared" ref="Q4443:Q4445" si="2652">"+0"</f>
        <v>+0</v>
      </c>
      <c r="S4443" s="14" t="s">
        <v>260</v>
      </c>
    </row>
    <row r="4444">
      <c r="A4444" s="13">
        <v>45901.0</v>
      </c>
      <c r="B4444" s="14" t="s">
        <v>47</v>
      </c>
      <c r="C4444" s="14" t="s">
        <v>48</v>
      </c>
      <c r="D4444" s="14" t="s">
        <v>116</v>
      </c>
      <c r="E4444" s="14" t="s">
        <v>117</v>
      </c>
      <c r="F4444" s="15" t="s">
        <v>51</v>
      </c>
      <c r="G4444" s="14" t="s">
        <v>161</v>
      </c>
      <c r="H4444" s="14" t="s">
        <v>116</v>
      </c>
      <c r="I4444" s="14" t="s">
        <v>54</v>
      </c>
      <c r="J4444" s="14" t="s">
        <v>200</v>
      </c>
      <c r="K4444" s="14" t="s">
        <v>222</v>
      </c>
      <c r="L4444" s="14" t="s">
        <v>337</v>
      </c>
      <c r="M4444" s="14" t="s">
        <v>338</v>
      </c>
      <c r="N4444" s="14" t="s">
        <v>339</v>
      </c>
      <c r="O4444" s="14">
        <v>0.0</v>
      </c>
      <c r="P4444" s="21">
        <v>0.0</v>
      </c>
      <c r="Q4444" s="22" t="str">
        <f t="shared" si="2652"/>
        <v>+0</v>
      </c>
      <c r="R4444" s="18" t="str">
        <f>"+0"</f>
        <v>+0</v>
      </c>
      <c r="S4444" s="14" t="s">
        <v>260</v>
      </c>
    </row>
    <row r="4445">
      <c r="A4445" s="13">
        <v>45901.0</v>
      </c>
      <c r="B4445" s="14" t="s">
        <v>47</v>
      </c>
      <c r="C4445" s="14" t="s">
        <v>48</v>
      </c>
      <c r="D4445" s="14" t="s">
        <v>77</v>
      </c>
      <c r="E4445" s="14" t="s">
        <v>78</v>
      </c>
      <c r="F4445" s="15" t="s">
        <v>51</v>
      </c>
      <c r="G4445" s="14" t="s">
        <v>128</v>
      </c>
      <c r="H4445" s="14" t="s">
        <v>81</v>
      </c>
      <c r="I4445" s="14" t="s">
        <v>59</v>
      </c>
      <c r="J4445" s="14" t="s">
        <v>198</v>
      </c>
      <c r="K4445" s="14" t="s">
        <v>205</v>
      </c>
      <c r="L4445" s="14" t="s">
        <v>274</v>
      </c>
      <c r="M4445" s="14" t="s">
        <v>696</v>
      </c>
      <c r="N4445" s="14" t="s">
        <v>697</v>
      </c>
      <c r="O4445" s="14">
        <v>100.0</v>
      </c>
      <c r="P4445" s="21">
        <v>1.0</v>
      </c>
      <c r="Q4445" s="22" t="str">
        <f t="shared" si="2652"/>
        <v>+0</v>
      </c>
      <c r="S4445" s="14" t="s">
        <v>281</v>
      </c>
    </row>
    <row r="4446">
      <c r="A4446" s="13">
        <v>45901.0</v>
      </c>
      <c r="B4446" s="14" t="s">
        <v>47</v>
      </c>
      <c r="C4446" s="14" t="s">
        <v>48</v>
      </c>
      <c r="D4446" s="14" t="s">
        <v>56</v>
      </c>
      <c r="E4446" s="14" t="s">
        <v>57</v>
      </c>
      <c r="F4446" s="15" t="s">
        <v>51</v>
      </c>
      <c r="G4446" s="14" t="s">
        <v>58</v>
      </c>
      <c r="H4446" s="14" t="s">
        <v>56</v>
      </c>
      <c r="I4446" s="14" t="s">
        <v>59</v>
      </c>
      <c r="J4446" s="14" t="s">
        <v>200</v>
      </c>
      <c r="K4446" s="14" t="s">
        <v>223</v>
      </c>
      <c r="L4446" s="14" t="s">
        <v>487</v>
      </c>
      <c r="M4446" s="14" t="s">
        <v>1075</v>
      </c>
      <c r="N4446" s="14" t="s">
        <v>1076</v>
      </c>
      <c r="O4446" s="14">
        <v>0.0</v>
      </c>
      <c r="P4446" s="23">
        <v>0.0</v>
      </c>
      <c r="Q4446" s="22" t="str">
        <f t="shared" ref="Q4446:R4446" si="2653">"+0.00%"</f>
        <v>+0.00%</v>
      </c>
      <c r="R4446" s="18" t="str">
        <f t="shared" si="2653"/>
        <v>+0.00%</v>
      </c>
      <c r="S4446" s="14" t="s">
        <v>285</v>
      </c>
    </row>
    <row r="4447">
      <c r="A4447" s="13">
        <v>45901.0</v>
      </c>
      <c r="B4447" s="14" t="s">
        <v>47</v>
      </c>
      <c r="C4447" s="14" t="s">
        <v>48</v>
      </c>
      <c r="D4447" s="14" t="s">
        <v>155</v>
      </c>
      <c r="E4447" s="14" t="s">
        <v>156</v>
      </c>
      <c r="F4447" s="15" t="s">
        <v>51</v>
      </c>
      <c r="G4447" s="14" t="s">
        <v>157</v>
      </c>
      <c r="H4447" s="14" t="s">
        <v>155</v>
      </c>
      <c r="I4447" s="14" t="s">
        <v>59</v>
      </c>
      <c r="J4447" s="14" t="s">
        <v>200</v>
      </c>
      <c r="K4447" s="14" t="s">
        <v>223</v>
      </c>
      <c r="L4447" s="14" t="s">
        <v>363</v>
      </c>
      <c r="M4447" s="14" t="s">
        <v>708</v>
      </c>
      <c r="N4447" s="14" t="s">
        <v>709</v>
      </c>
      <c r="O4447" s="14">
        <v>0.0</v>
      </c>
      <c r="P4447" s="17"/>
      <c r="Q4447" s="22"/>
      <c r="S4447" s="14" t="s">
        <v>285</v>
      </c>
    </row>
    <row r="4448">
      <c r="A4448" s="13">
        <v>45901.0</v>
      </c>
      <c r="B4448" s="14" t="s">
        <v>47</v>
      </c>
      <c r="C4448" s="14" t="s">
        <v>48</v>
      </c>
      <c r="D4448" s="14" t="s">
        <v>121</v>
      </c>
      <c r="E4448" s="14" t="s">
        <v>122</v>
      </c>
      <c r="F4448" s="15" t="s">
        <v>51</v>
      </c>
      <c r="G4448" s="14" t="s">
        <v>123</v>
      </c>
      <c r="H4448" s="14" t="s">
        <v>124</v>
      </c>
      <c r="I4448" s="14" t="s">
        <v>59</v>
      </c>
      <c r="J4448" s="14" t="s">
        <v>200</v>
      </c>
      <c r="K4448" s="14" t="s">
        <v>232</v>
      </c>
      <c r="L4448" s="14" t="s">
        <v>375</v>
      </c>
      <c r="M4448" s="14" t="s">
        <v>376</v>
      </c>
      <c r="N4448" s="14" t="s">
        <v>377</v>
      </c>
      <c r="O4448" s="14">
        <v>0.0</v>
      </c>
      <c r="P4448" s="23">
        <v>0.0</v>
      </c>
      <c r="Q4448" s="22" t="str">
        <f t="shared" ref="Q4448:R4448" si="2654">"+0.00%"</f>
        <v>+0.00%</v>
      </c>
      <c r="R4448" s="18" t="str">
        <f t="shared" si="2654"/>
        <v>+0.00%</v>
      </c>
      <c r="S4448" s="14" t="s">
        <v>2290</v>
      </c>
    </row>
    <row r="4449">
      <c r="A4449" s="13">
        <v>45901.0</v>
      </c>
      <c r="B4449" s="14" t="s">
        <v>47</v>
      </c>
      <c r="C4449" s="14" t="s">
        <v>48</v>
      </c>
      <c r="D4449" s="14" t="s">
        <v>181</v>
      </c>
      <c r="E4449" s="14" t="s">
        <v>182</v>
      </c>
      <c r="F4449" s="15" t="s">
        <v>51</v>
      </c>
      <c r="G4449" s="14" t="s">
        <v>183</v>
      </c>
      <c r="H4449" s="14" t="s">
        <v>181</v>
      </c>
      <c r="I4449" s="14" t="s">
        <v>59</v>
      </c>
      <c r="J4449" s="14" t="s">
        <v>200</v>
      </c>
      <c r="K4449" s="14" t="s">
        <v>227</v>
      </c>
      <c r="L4449" s="14" t="s">
        <v>328</v>
      </c>
      <c r="M4449" s="14" t="s">
        <v>329</v>
      </c>
      <c r="N4449" s="14" t="s">
        <v>330</v>
      </c>
      <c r="O4449" s="14">
        <v>0.0</v>
      </c>
      <c r="P4449" s="21">
        <v>0.0</v>
      </c>
      <c r="Q4449" s="22" t="str">
        <f t="shared" ref="Q4449:R4449" si="2655">"+0"</f>
        <v>+0</v>
      </c>
      <c r="R4449" s="18" t="str">
        <f t="shared" si="2655"/>
        <v>+0</v>
      </c>
      <c r="S4449" s="14" t="s">
        <v>260</v>
      </c>
    </row>
    <row r="4450">
      <c r="A4450" s="13">
        <v>45901.0</v>
      </c>
      <c r="B4450" s="14" t="s">
        <v>47</v>
      </c>
      <c r="C4450" s="14" t="s">
        <v>48</v>
      </c>
      <c r="D4450" s="14" t="s">
        <v>60</v>
      </c>
      <c r="E4450" s="14" t="s">
        <v>61</v>
      </c>
      <c r="F4450" s="15" t="s">
        <v>51</v>
      </c>
      <c r="G4450" s="14" t="s">
        <v>62</v>
      </c>
      <c r="H4450" s="14" t="s">
        <v>60</v>
      </c>
      <c r="I4450" s="14" t="s">
        <v>59</v>
      </c>
      <c r="J4450" s="14" t="s">
        <v>200</v>
      </c>
      <c r="K4450" s="14" t="s">
        <v>216</v>
      </c>
      <c r="L4450" s="14" t="s">
        <v>1045</v>
      </c>
      <c r="M4450" s="14" t="s">
        <v>2291</v>
      </c>
      <c r="N4450" s="14" t="s">
        <v>2292</v>
      </c>
      <c r="O4450" s="14">
        <v>0.0</v>
      </c>
      <c r="P4450" s="21">
        <v>0.0</v>
      </c>
      <c r="Q4450" s="22" t="str">
        <f t="shared" ref="Q4450:R4450" si="2656">"+0"</f>
        <v>+0</v>
      </c>
      <c r="R4450" s="18" t="str">
        <f t="shared" si="2656"/>
        <v>+0</v>
      </c>
      <c r="S4450" s="14" t="s">
        <v>281</v>
      </c>
    </row>
    <row r="4451">
      <c r="A4451" s="13">
        <v>45901.0</v>
      </c>
      <c r="B4451" s="14" t="s">
        <v>47</v>
      </c>
      <c r="C4451" s="14" t="s">
        <v>48</v>
      </c>
      <c r="D4451" s="14" t="s">
        <v>56</v>
      </c>
      <c r="E4451" s="14" t="s">
        <v>57</v>
      </c>
      <c r="F4451" s="14" t="s">
        <v>71</v>
      </c>
      <c r="G4451" s="14">
        <v>5.36003976E8</v>
      </c>
      <c r="H4451" s="14" t="s">
        <v>56</v>
      </c>
      <c r="I4451" s="14" t="s">
        <v>59</v>
      </c>
      <c r="J4451" s="14" t="s">
        <v>199</v>
      </c>
      <c r="K4451" s="14" t="s">
        <v>203</v>
      </c>
      <c r="L4451" s="14" t="s">
        <v>601</v>
      </c>
      <c r="M4451" s="14" t="s">
        <v>601</v>
      </c>
      <c r="N4451" s="14" t="s">
        <v>602</v>
      </c>
      <c r="O4451" s="14">
        <v>0.0</v>
      </c>
      <c r="P4451" s="21">
        <v>0.0</v>
      </c>
      <c r="Q4451" s="22" t="str">
        <f t="shared" ref="Q4451:R4451" si="2657">"+0"</f>
        <v>+0</v>
      </c>
      <c r="R4451" s="18" t="str">
        <f t="shared" si="2657"/>
        <v>+0</v>
      </c>
      <c r="S4451" s="14" t="s">
        <v>260</v>
      </c>
    </row>
    <row r="4452">
      <c r="A4452" s="13">
        <v>45901.0</v>
      </c>
      <c r="B4452" s="14" t="s">
        <v>47</v>
      </c>
      <c r="C4452" s="14" t="s">
        <v>48</v>
      </c>
      <c r="D4452" s="14" t="s">
        <v>56</v>
      </c>
      <c r="E4452" s="14" t="s">
        <v>57</v>
      </c>
      <c r="F4452" s="15" t="s">
        <v>51</v>
      </c>
      <c r="G4452" s="14" t="s">
        <v>58</v>
      </c>
      <c r="H4452" s="14" t="s">
        <v>56</v>
      </c>
      <c r="I4452" s="14" t="s">
        <v>59</v>
      </c>
      <c r="J4452" s="14" t="s">
        <v>198</v>
      </c>
      <c r="K4452" s="14" t="s">
        <v>205</v>
      </c>
      <c r="L4452" s="14" t="s">
        <v>274</v>
      </c>
      <c r="M4452" s="14" t="s">
        <v>791</v>
      </c>
      <c r="N4452" s="14" t="s">
        <v>792</v>
      </c>
      <c r="O4452" s="14">
        <v>50.0</v>
      </c>
      <c r="P4452" s="21">
        <v>1.0</v>
      </c>
      <c r="Q4452" s="22" t="str">
        <f t="shared" ref="Q4452:Q4457" si="2658">"+0"</f>
        <v>+0</v>
      </c>
      <c r="S4452" s="14" t="s">
        <v>260</v>
      </c>
    </row>
    <row r="4453">
      <c r="A4453" s="13">
        <v>45901.0</v>
      </c>
      <c r="B4453" s="14" t="s">
        <v>47</v>
      </c>
      <c r="C4453" s="14" t="s">
        <v>48</v>
      </c>
      <c r="D4453" s="14" t="s">
        <v>181</v>
      </c>
      <c r="E4453" s="14" t="s">
        <v>182</v>
      </c>
      <c r="F4453" s="15" t="s">
        <v>51</v>
      </c>
      <c r="G4453" s="14" t="s">
        <v>183</v>
      </c>
      <c r="H4453" s="14" t="s">
        <v>181</v>
      </c>
      <c r="I4453" s="14" t="s">
        <v>59</v>
      </c>
      <c r="J4453" s="14" t="s">
        <v>198</v>
      </c>
      <c r="K4453" s="14" t="s">
        <v>210</v>
      </c>
      <c r="L4453" s="14" t="s">
        <v>278</v>
      </c>
      <c r="M4453" s="14" t="s">
        <v>279</v>
      </c>
      <c r="N4453" s="14" t="s">
        <v>280</v>
      </c>
      <c r="O4453" s="14">
        <v>100.0</v>
      </c>
      <c r="P4453" s="21">
        <v>0.0</v>
      </c>
      <c r="Q4453" s="22" t="str">
        <f t="shared" si="2658"/>
        <v>+0</v>
      </c>
      <c r="R4453" s="18" t="str">
        <f>"+0"</f>
        <v>+0</v>
      </c>
      <c r="S4453" s="14" t="s">
        <v>281</v>
      </c>
    </row>
    <row r="4454">
      <c r="A4454" s="13">
        <v>45901.0</v>
      </c>
      <c r="B4454" s="14" t="s">
        <v>47</v>
      </c>
      <c r="C4454" s="14" t="s">
        <v>48</v>
      </c>
      <c r="D4454" s="14" t="s">
        <v>140</v>
      </c>
      <c r="E4454" s="14" t="s">
        <v>141</v>
      </c>
      <c r="F4454" s="15" t="s">
        <v>51</v>
      </c>
      <c r="G4454" s="14" t="s">
        <v>142</v>
      </c>
      <c r="H4454" s="14" t="s">
        <v>140</v>
      </c>
      <c r="I4454" s="14" t="s">
        <v>59</v>
      </c>
      <c r="J4454" s="14" t="s">
        <v>198</v>
      </c>
      <c r="K4454" s="14" t="s">
        <v>205</v>
      </c>
      <c r="L4454" s="14" t="s">
        <v>274</v>
      </c>
      <c r="M4454" s="14" t="s">
        <v>636</v>
      </c>
      <c r="N4454" s="14" t="s">
        <v>637</v>
      </c>
      <c r="O4454" s="14">
        <v>0.0</v>
      </c>
      <c r="P4454" s="21">
        <v>0.0</v>
      </c>
      <c r="Q4454" s="22" t="str">
        <f t="shared" si="2658"/>
        <v>+0</v>
      </c>
      <c r="S4454" s="14" t="s">
        <v>281</v>
      </c>
    </row>
    <row r="4455">
      <c r="A4455" s="13">
        <v>45901.0</v>
      </c>
      <c r="B4455" s="14" t="s">
        <v>47</v>
      </c>
      <c r="C4455" s="14" t="s">
        <v>48</v>
      </c>
      <c r="D4455" s="14" t="s">
        <v>155</v>
      </c>
      <c r="E4455" s="14" t="s">
        <v>156</v>
      </c>
      <c r="F4455" s="15" t="s">
        <v>51</v>
      </c>
      <c r="G4455" s="14" t="s">
        <v>157</v>
      </c>
      <c r="H4455" s="14" t="s">
        <v>155</v>
      </c>
      <c r="I4455" s="14" t="s">
        <v>59</v>
      </c>
      <c r="J4455" s="14" t="s">
        <v>198</v>
      </c>
      <c r="K4455" s="14" t="s">
        <v>210</v>
      </c>
      <c r="L4455" s="14" t="s">
        <v>264</v>
      </c>
      <c r="M4455" s="14" t="s">
        <v>470</v>
      </c>
      <c r="N4455" s="14" t="s">
        <v>471</v>
      </c>
      <c r="O4455" s="14">
        <v>100.0</v>
      </c>
      <c r="P4455" s="21">
        <v>0.0</v>
      </c>
      <c r="Q4455" s="22" t="str">
        <f t="shared" si="2658"/>
        <v>+0</v>
      </c>
      <c r="R4455" s="18" t="str">
        <f t="shared" ref="R4455:R4456" si="2659">"+0"</f>
        <v>+0</v>
      </c>
      <c r="S4455" s="14" t="s">
        <v>281</v>
      </c>
    </row>
    <row r="4456">
      <c r="A4456" s="13">
        <v>45901.0</v>
      </c>
      <c r="B4456" s="14" t="s">
        <v>47</v>
      </c>
      <c r="C4456" s="14" t="s">
        <v>48</v>
      </c>
      <c r="D4456" s="14" t="s">
        <v>60</v>
      </c>
      <c r="E4456" s="14" t="s">
        <v>61</v>
      </c>
      <c r="F4456" s="15" t="s">
        <v>51</v>
      </c>
      <c r="G4456" s="14" t="s">
        <v>62</v>
      </c>
      <c r="H4456" s="14" t="s">
        <v>60</v>
      </c>
      <c r="I4456" s="14" t="s">
        <v>59</v>
      </c>
      <c r="J4456" s="14" t="s">
        <v>200</v>
      </c>
      <c r="K4456" s="14" t="s">
        <v>223</v>
      </c>
      <c r="L4456" s="14" t="s">
        <v>261</v>
      </c>
      <c r="M4456" s="14" t="s">
        <v>262</v>
      </c>
      <c r="N4456" s="14" t="s">
        <v>263</v>
      </c>
      <c r="O4456" s="14">
        <v>0.0</v>
      </c>
      <c r="P4456" s="21">
        <v>0.0</v>
      </c>
      <c r="Q4456" s="22" t="str">
        <f t="shared" si="2658"/>
        <v>+0</v>
      </c>
      <c r="R4456" s="18" t="str">
        <f t="shared" si="2659"/>
        <v>+0</v>
      </c>
      <c r="S4456" s="14" t="s">
        <v>260</v>
      </c>
    </row>
    <row r="4457">
      <c r="A4457" s="13">
        <v>45901.0</v>
      </c>
      <c r="B4457" s="14" t="s">
        <v>47</v>
      </c>
      <c r="C4457" s="14" t="s">
        <v>48</v>
      </c>
      <c r="D4457" s="14" t="s">
        <v>49</v>
      </c>
      <c r="E4457" s="14" t="s">
        <v>50</v>
      </c>
      <c r="F4457" s="15" t="s">
        <v>51</v>
      </c>
      <c r="G4457" s="14" t="s">
        <v>52</v>
      </c>
      <c r="H4457" s="14" t="s">
        <v>53</v>
      </c>
      <c r="I4457" s="14" t="s">
        <v>54</v>
      </c>
      <c r="J4457" s="14" t="s">
        <v>198</v>
      </c>
      <c r="K4457" s="14" t="s">
        <v>205</v>
      </c>
      <c r="L4457" s="14" t="s">
        <v>274</v>
      </c>
      <c r="M4457" s="14" t="s">
        <v>275</v>
      </c>
      <c r="N4457" s="14" t="s">
        <v>276</v>
      </c>
      <c r="O4457" s="14">
        <v>0.0</v>
      </c>
      <c r="P4457" s="21">
        <v>1.0</v>
      </c>
      <c r="Q4457" s="22" t="str">
        <f t="shared" si="2658"/>
        <v>+0</v>
      </c>
      <c r="S4457" s="14" t="s">
        <v>277</v>
      </c>
    </row>
    <row r="4458">
      <c r="A4458" s="13">
        <v>45901.0</v>
      </c>
      <c r="B4458" s="14" t="s">
        <v>47</v>
      </c>
      <c r="C4458" s="14" t="s">
        <v>48</v>
      </c>
      <c r="D4458" s="14" t="s">
        <v>63</v>
      </c>
      <c r="E4458" s="14" t="s">
        <v>64</v>
      </c>
      <c r="F4458" s="15" t="s">
        <v>51</v>
      </c>
      <c r="G4458" s="14" t="s">
        <v>65</v>
      </c>
      <c r="H4458" s="14" t="s">
        <v>63</v>
      </c>
      <c r="I4458" s="14" t="s">
        <v>54</v>
      </c>
      <c r="J4458" s="14" t="s">
        <v>200</v>
      </c>
      <c r="K4458" s="14" t="s">
        <v>201</v>
      </c>
      <c r="L4458" s="14" t="s">
        <v>253</v>
      </c>
      <c r="M4458" s="14" t="s">
        <v>538</v>
      </c>
      <c r="N4458" s="14" t="s">
        <v>539</v>
      </c>
      <c r="O4458" s="14">
        <v>4.0</v>
      </c>
      <c r="P4458" s="23">
        <v>0.0423</v>
      </c>
      <c r="Q4458" s="22" t="str">
        <f>"-0.07%"</f>
        <v>-0.07%</v>
      </c>
      <c r="R4458" s="18" t="str">
        <f>"-0.14%"</f>
        <v>-0.14%</v>
      </c>
      <c r="S4458" s="14" t="s">
        <v>540</v>
      </c>
    </row>
    <row r="4459">
      <c r="A4459" s="13">
        <v>45901.0</v>
      </c>
      <c r="B4459" s="14" t="s">
        <v>47</v>
      </c>
      <c r="C4459" s="14" t="s">
        <v>48</v>
      </c>
      <c r="D4459" s="14" t="s">
        <v>63</v>
      </c>
      <c r="E4459" s="14" t="s">
        <v>64</v>
      </c>
      <c r="F4459" s="15" t="s">
        <v>51</v>
      </c>
      <c r="G4459" s="14" t="s">
        <v>65</v>
      </c>
      <c r="H4459" s="14" t="s">
        <v>63</v>
      </c>
      <c r="I4459" s="14" t="s">
        <v>54</v>
      </c>
      <c r="J4459" s="14" t="s">
        <v>199</v>
      </c>
      <c r="K4459" s="14" t="s">
        <v>203</v>
      </c>
      <c r="L4459" s="14" t="s">
        <v>679</v>
      </c>
      <c r="M4459" s="14" t="s">
        <v>679</v>
      </c>
      <c r="N4459" s="14" t="s">
        <v>680</v>
      </c>
      <c r="O4459" s="14">
        <v>0.0</v>
      </c>
      <c r="P4459" s="21">
        <v>0.0</v>
      </c>
      <c r="Q4459" s="22" t="str">
        <f t="shared" ref="Q4459:R4459" si="2660">"+0"</f>
        <v>+0</v>
      </c>
      <c r="R4459" s="18" t="str">
        <f t="shared" si="2660"/>
        <v>+0</v>
      </c>
      <c r="S4459" s="14" t="s">
        <v>260</v>
      </c>
    </row>
    <row r="4460">
      <c r="A4460" s="13">
        <v>45901.0</v>
      </c>
      <c r="B4460" s="14" t="s">
        <v>47</v>
      </c>
      <c r="C4460" s="14" t="s">
        <v>48</v>
      </c>
      <c r="D4460" s="14" t="s">
        <v>91</v>
      </c>
      <c r="E4460" s="14" t="s">
        <v>92</v>
      </c>
      <c r="F4460" s="14" t="s">
        <v>71</v>
      </c>
      <c r="G4460" s="14">
        <v>5.00008613E8</v>
      </c>
      <c r="H4460" s="14" t="s">
        <v>91</v>
      </c>
      <c r="I4460" s="14" t="s">
        <v>59</v>
      </c>
      <c r="J4460" s="14" t="s">
        <v>199</v>
      </c>
      <c r="K4460" s="14" t="s">
        <v>206</v>
      </c>
      <c r="L4460" s="14" t="s">
        <v>295</v>
      </c>
      <c r="M4460" s="14" t="s">
        <v>296</v>
      </c>
      <c r="N4460" s="14" t="s">
        <v>297</v>
      </c>
      <c r="O4460" s="14">
        <v>100.0</v>
      </c>
      <c r="P4460" s="21">
        <v>2.0</v>
      </c>
      <c r="Q4460" s="22" t="str">
        <f t="shared" ref="Q4460:R4460" si="2661">"+0"</f>
        <v>+0</v>
      </c>
      <c r="R4460" s="18" t="str">
        <f t="shared" si="2661"/>
        <v>+0</v>
      </c>
      <c r="S4460" s="14" t="s">
        <v>260</v>
      </c>
    </row>
    <row r="4461">
      <c r="A4461" s="13">
        <v>45901.0</v>
      </c>
      <c r="B4461" s="14" t="s">
        <v>47</v>
      </c>
      <c r="C4461" s="14" t="s">
        <v>48</v>
      </c>
      <c r="D4461" s="14" t="s">
        <v>91</v>
      </c>
      <c r="E4461" s="14" t="s">
        <v>92</v>
      </c>
      <c r="F4461" s="14" t="s">
        <v>79</v>
      </c>
      <c r="G4461" s="14" t="s">
        <v>164</v>
      </c>
      <c r="H4461" s="14" t="s">
        <v>91</v>
      </c>
      <c r="I4461" s="14" t="s">
        <v>154</v>
      </c>
      <c r="J4461" s="14" t="s">
        <v>200</v>
      </c>
      <c r="K4461" s="14" t="s">
        <v>238</v>
      </c>
      <c r="L4461" s="14" t="s">
        <v>253</v>
      </c>
      <c r="M4461" s="14" t="s">
        <v>1550</v>
      </c>
      <c r="N4461" s="14" t="s">
        <v>1551</v>
      </c>
      <c r="O4461" s="14">
        <v>0.0</v>
      </c>
      <c r="P4461" s="23">
        <v>0.0</v>
      </c>
      <c r="Q4461" s="22" t="str">
        <f t="shared" ref="Q4461:R4461" si="2662">"+0.00%"</f>
        <v>+0.00%</v>
      </c>
      <c r="R4461" s="18" t="str">
        <f t="shared" si="2662"/>
        <v>+0.00%</v>
      </c>
      <c r="S4461" s="14" t="s">
        <v>1552</v>
      </c>
    </row>
    <row r="4462">
      <c r="A4462" s="13">
        <v>45901.0</v>
      </c>
      <c r="B4462" s="14" t="s">
        <v>47</v>
      </c>
      <c r="C4462" s="14" t="s">
        <v>48</v>
      </c>
      <c r="D4462" s="14" t="s">
        <v>91</v>
      </c>
      <c r="E4462" s="14" t="s">
        <v>92</v>
      </c>
      <c r="F4462" s="15" t="s">
        <v>51</v>
      </c>
      <c r="G4462" s="14" t="s">
        <v>163</v>
      </c>
      <c r="H4462" s="14" t="s">
        <v>91</v>
      </c>
      <c r="I4462" s="14" t="s">
        <v>59</v>
      </c>
      <c r="J4462" s="14" t="s">
        <v>200</v>
      </c>
      <c r="K4462" s="14" t="s">
        <v>227</v>
      </c>
      <c r="L4462" s="14" t="s">
        <v>270</v>
      </c>
      <c r="M4462" s="14" t="s">
        <v>271</v>
      </c>
      <c r="N4462" s="14" t="s">
        <v>272</v>
      </c>
      <c r="O4462" s="14">
        <v>0.0</v>
      </c>
      <c r="P4462" s="23">
        <v>-1.0</v>
      </c>
      <c r="Q4462" s="22" t="str">
        <f t="shared" ref="Q4462:R4462" si="2663">"+0.00%"</f>
        <v>+0.00%</v>
      </c>
      <c r="R4462" s="18" t="str">
        <f t="shared" si="2663"/>
        <v>+0.00%</v>
      </c>
      <c r="S4462" s="14" t="s">
        <v>273</v>
      </c>
    </row>
    <row r="4463">
      <c r="A4463" s="13">
        <v>45901.0</v>
      </c>
      <c r="B4463" s="14" t="s">
        <v>47</v>
      </c>
      <c r="C4463" s="14" t="s">
        <v>48</v>
      </c>
      <c r="D4463" s="14" t="s">
        <v>63</v>
      </c>
      <c r="E4463" s="14" t="s">
        <v>64</v>
      </c>
      <c r="F4463" s="15" t="s">
        <v>51</v>
      </c>
      <c r="G4463" s="14" t="s">
        <v>65</v>
      </c>
      <c r="H4463" s="14" t="s">
        <v>63</v>
      </c>
      <c r="I4463" s="14" t="s">
        <v>54</v>
      </c>
      <c r="J4463" s="14" t="s">
        <v>200</v>
      </c>
      <c r="K4463" s="14" t="s">
        <v>211</v>
      </c>
      <c r="L4463" s="14" t="s">
        <v>991</v>
      </c>
      <c r="M4463" s="14" t="s">
        <v>992</v>
      </c>
      <c r="N4463" s="14" t="s">
        <v>993</v>
      </c>
      <c r="O4463" s="14">
        <v>46.0</v>
      </c>
      <c r="P4463" s="23">
        <v>-0.0647</v>
      </c>
      <c r="Q4463" s="22" t="str">
        <f>"+12.82%"</f>
        <v>+12.82%</v>
      </c>
      <c r="R4463" s="18" t="str">
        <f>"-54.51%"</f>
        <v>-54.51%</v>
      </c>
      <c r="S4463" s="14" t="s">
        <v>1295</v>
      </c>
    </row>
    <row r="4464">
      <c r="A4464" s="13">
        <v>45901.0</v>
      </c>
      <c r="B4464" s="14" t="s">
        <v>47</v>
      </c>
      <c r="C4464" s="14" t="s">
        <v>48</v>
      </c>
      <c r="D4464" s="14" t="s">
        <v>82</v>
      </c>
      <c r="E4464" s="14" t="s">
        <v>83</v>
      </c>
      <c r="F4464" s="15" t="s">
        <v>51</v>
      </c>
      <c r="G4464" s="14" t="s">
        <v>84</v>
      </c>
      <c r="H4464" s="14" t="s">
        <v>82</v>
      </c>
      <c r="I4464" s="14" t="s">
        <v>59</v>
      </c>
      <c r="J4464" s="14" t="s">
        <v>199</v>
      </c>
      <c r="K4464" s="14" t="s">
        <v>206</v>
      </c>
      <c r="L4464" s="14" t="s">
        <v>531</v>
      </c>
      <c r="M4464" s="14" t="s">
        <v>531</v>
      </c>
      <c r="N4464" s="14" t="s">
        <v>532</v>
      </c>
      <c r="O4464" s="14">
        <v>0.0</v>
      </c>
      <c r="P4464" s="21">
        <v>0.0</v>
      </c>
      <c r="Q4464" s="22" t="str">
        <f t="shared" ref="Q4464:R4464" si="2664">"+0"</f>
        <v>+0</v>
      </c>
      <c r="R4464" s="18" t="str">
        <f t="shared" si="2664"/>
        <v>+0</v>
      </c>
      <c r="S4464" s="14" t="s">
        <v>260</v>
      </c>
    </row>
    <row r="4465">
      <c r="A4465" s="13">
        <v>45901.0</v>
      </c>
      <c r="B4465" s="14" t="s">
        <v>47</v>
      </c>
      <c r="C4465" s="14" t="s">
        <v>48</v>
      </c>
      <c r="D4465" s="14" t="s">
        <v>184</v>
      </c>
      <c r="E4465" s="14" t="s">
        <v>185</v>
      </c>
      <c r="F4465" s="15" t="s">
        <v>51</v>
      </c>
      <c r="G4465" s="14" t="s">
        <v>186</v>
      </c>
      <c r="H4465" s="14" t="s">
        <v>187</v>
      </c>
      <c r="I4465" s="14" t="s">
        <v>59</v>
      </c>
      <c r="J4465" s="14" t="s">
        <v>198</v>
      </c>
      <c r="K4465" s="14" t="s">
        <v>210</v>
      </c>
      <c r="L4465" s="14" t="s">
        <v>264</v>
      </c>
      <c r="M4465" s="14" t="s">
        <v>407</v>
      </c>
      <c r="N4465" s="14" t="s">
        <v>408</v>
      </c>
      <c r="O4465" s="14">
        <v>100.0</v>
      </c>
      <c r="P4465" s="21">
        <v>0.0</v>
      </c>
      <c r="Q4465" s="22" t="str">
        <f t="shared" ref="Q4465:R4465" si="2665">"+0"</f>
        <v>+0</v>
      </c>
      <c r="R4465" s="18" t="str">
        <f t="shared" si="2665"/>
        <v>+0</v>
      </c>
      <c r="S4465" s="14" t="s">
        <v>281</v>
      </c>
    </row>
    <row r="4466">
      <c r="A4466" s="13">
        <v>45901.0</v>
      </c>
      <c r="B4466" s="14" t="s">
        <v>47</v>
      </c>
      <c r="C4466" s="14" t="s">
        <v>48</v>
      </c>
      <c r="D4466" s="14" t="s">
        <v>143</v>
      </c>
      <c r="E4466" s="14" t="s">
        <v>144</v>
      </c>
      <c r="F4466" s="15" t="s">
        <v>51</v>
      </c>
      <c r="G4466" s="14" t="s">
        <v>145</v>
      </c>
      <c r="H4466" s="14" t="s">
        <v>143</v>
      </c>
      <c r="I4466" s="14" t="s">
        <v>59</v>
      </c>
      <c r="J4466" s="14" t="s">
        <v>200</v>
      </c>
      <c r="K4466" s="14" t="s">
        <v>209</v>
      </c>
      <c r="L4466" s="14" t="s">
        <v>253</v>
      </c>
      <c r="M4466" s="14" t="s">
        <v>817</v>
      </c>
      <c r="N4466" s="14" t="s">
        <v>818</v>
      </c>
      <c r="O4466" s="14">
        <v>1.0</v>
      </c>
      <c r="P4466" s="23">
        <v>0.0028</v>
      </c>
      <c r="Q4466" s="22" t="str">
        <f t="shared" ref="Q4466:R4466" si="2666">"+0.01%"</f>
        <v>+0.01%</v>
      </c>
      <c r="R4466" s="18" t="str">
        <f t="shared" si="2666"/>
        <v>+0.01%</v>
      </c>
      <c r="S4466" s="14" t="s">
        <v>2293</v>
      </c>
    </row>
    <row r="4467">
      <c r="A4467" s="13">
        <v>45901.0</v>
      </c>
      <c r="B4467" s="14" t="s">
        <v>47</v>
      </c>
      <c r="C4467" s="14" t="s">
        <v>48</v>
      </c>
      <c r="D4467" s="14" t="s">
        <v>143</v>
      </c>
      <c r="E4467" s="14" t="s">
        <v>144</v>
      </c>
      <c r="F4467" s="15" t="s">
        <v>51</v>
      </c>
      <c r="G4467" s="14" t="s">
        <v>145</v>
      </c>
      <c r="H4467" s="14" t="s">
        <v>143</v>
      </c>
      <c r="I4467" s="14" t="s">
        <v>59</v>
      </c>
      <c r="J4467" s="14" t="s">
        <v>200</v>
      </c>
      <c r="K4467" s="14" t="s">
        <v>232</v>
      </c>
      <c r="L4467" s="14" t="s">
        <v>607</v>
      </c>
      <c r="M4467" s="14" t="s">
        <v>869</v>
      </c>
      <c r="N4467" s="14" t="s">
        <v>870</v>
      </c>
      <c r="O4467" s="14">
        <v>18.0</v>
      </c>
      <c r="P4467" s="23">
        <v>-0.6324</v>
      </c>
      <c r="Q4467" s="22" t="str">
        <f>"+12.92%"</f>
        <v>+12.92%</v>
      </c>
      <c r="R4467" s="18" t="str">
        <f>"-0.74%"</f>
        <v>-0.74%</v>
      </c>
      <c r="S4467" s="14" t="s">
        <v>2294</v>
      </c>
    </row>
    <row r="4468">
      <c r="A4468" s="13">
        <v>45901.0</v>
      </c>
      <c r="B4468" s="14" t="s">
        <v>47</v>
      </c>
      <c r="C4468" s="14" t="s">
        <v>48</v>
      </c>
      <c r="D4468" s="14" t="s">
        <v>73</v>
      </c>
      <c r="E4468" s="14" t="s">
        <v>74</v>
      </c>
      <c r="F4468" s="15" t="s">
        <v>51</v>
      </c>
      <c r="G4468" s="14" t="s">
        <v>75</v>
      </c>
      <c r="H4468" s="14" t="s">
        <v>76</v>
      </c>
      <c r="I4468" s="14" t="s">
        <v>59</v>
      </c>
      <c r="J4468" s="14" t="s">
        <v>198</v>
      </c>
      <c r="K4468" s="14" t="s">
        <v>212</v>
      </c>
      <c r="L4468" s="14" t="s">
        <v>249</v>
      </c>
      <c r="M4468" s="14" t="s">
        <v>250</v>
      </c>
      <c r="N4468" s="14" t="s">
        <v>251</v>
      </c>
      <c r="O4468" s="14">
        <v>100.0</v>
      </c>
      <c r="P4468" s="21">
        <v>0.0</v>
      </c>
      <c r="Q4468" s="22" t="str">
        <f t="shared" ref="Q4468:R4468" si="2667">"+0"</f>
        <v>+0</v>
      </c>
      <c r="R4468" s="18" t="str">
        <f t="shared" si="2667"/>
        <v>+0</v>
      </c>
      <c r="S4468" s="14" t="s">
        <v>281</v>
      </c>
    </row>
    <row r="4469">
      <c r="A4469" s="13">
        <v>45901.0</v>
      </c>
      <c r="B4469" s="14" t="s">
        <v>47</v>
      </c>
      <c r="C4469" s="14" t="s">
        <v>48</v>
      </c>
      <c r="D4469" s="14" t="s">
        <v>73</v>
      </c>
      <c r="E4469" s="14" t="s">
        <v>74</v>
      </c>
      <c r="F4469" s="15" t="s">
        <v>51</v>
      </c>
      <c r="G4469" s="14" t="s">
        <v>75</v>
      </c>
      <c r="H4469" s="14" t="s">
        <v>76</v>
      </c>
      <c r="I4469" s="14" t="s">
        <v>59</v>
      </c>
      <c r="J4469" s="14" t="s">
        <v>199</v>
      </c>
      <c r="K4469" s="14" t="s">
        <v>206</v>
      </c>
      <c r="L4469" s="14" t="s">
        <v>295</v>
      </c>
      <c r="M4469" s="14" t="s">
        <v>529</v>
      </c>
      <c r="N4469" s="14" t="s">
        <v>530</v>
      </c>
      <c r="O4469" s="14">
        <v>0.0</v>
      </c>
      <c r="P4469" s="21">
        <v>0.0</v>
      </c>
      <c r="Q4469" s="22" t="str">
        <f t="shared" ref="Q4469:R4469" si="2668">"+0"</f>
        <v>+0</v>
      </c>
      <c r="R4469" s="18" t="str">
        <f t="shared" si="2668"/>
        <v>+0</v>
      </c>
      <c r="S4469" s="14" t="s">
        <v>260</v>
      </c>
    </row>
    <row r="4470">
      <c r="A4470" s="13">
        <v>45901.0</v>
      </c>
      <c r="B4470" s="14" t="s">
        <v>47</v>
      </c>
      <c r="C4470" s="14" t="s">
        <v>48</v>
      </c>
      <c r="D4470" s="14" t="s">
        <v>136</v>
      </c>
      <c r="E4470" s="14" t="s">
        <v>137</v>
      </c>
      <c r="F4470" s="15" t="s">
        <v>51</v>
      </c>
      <c r="G4470" s="14" t="s">
        <v>138</v>
      </c>
      <c r="H4470" s="14" t="s">
        <v>139</v>
      </c>
      <c r="I4470" s="14" t="s">
        <v>59</v>
      </c>
      <c r="J4470" s="14" t="s">
        <v>199</v>
      </c>
      <c r="K4470" s="14" t="s">
        <v>206</v>
      </c>
      <c r="L4470" s="14" t="s">
        <v>381</v>
      </c>
      <c r="M4470" s="14" t="s">
        <v>381</v>
      </c>
      <c r="N4470" s="14" t="s">
        <v>382</v>
      </c>
      <c r="O4470" s="14">
        <v>0.0</v>
      </c>
      <c r="P4470" s="21">
        <v>0.0</v>
      </c>
      <c r="Q4470" s="22" t="str">
        <f t="shared" ref="Q4470:R4470" si="2669">"+0"</f>
        <v>+0</v>
      </c>
      <c r="R4470" s="18" t="str">
        <f t="shared" si="2669"/>
        <v>+0</v>
      </c>
      <c r="S4470" s="14" t="s">
        <v>383</v>
      </c>
    </row>
    <row r="4471">
      <c r="A4471" s="13">
        <v>45901.0</v>
      </c>
      <c r="B4471" s="14" t="s">
        <v>47</v>
      </c>
      <c r="C4471" s="14" t="s">
        <v>48</v>
      </c>
      <c r="D4471" s="14" t="s">
        <v>87</v>
      </c>
      <c r="E4471" s="14" t="s">
        <v>88</v>
      </c>
      <c r="F4471" s="15" t="s">
        <v>51</v>
      </c>
      <c r="G4471" s="14" t="s">
        <v>89</v>
      </c>
      <c r="H4471" s="14" t="s">
        <v>90</v>
      </c>
      <c r="I4471" s="14" t="s">
        <v>59</v>
      </c>
      <c r="J4471" s="14" t="s">
        <v>200</v>
      </c>
      <c r="K4471" s="14" t="s">
        <v>227</v>
      </c>
      <c r="L4471" s="14" t="s">
        <v>270</v>
      </c>
      <c r="M4471" s="14" t="s">
        <v>417</v>
      </c>
      <c r="N4471" s="14" t="s">
        <v>418</v>
      </c>
      <c r="O4471" s="14">
        <v>45.0</v>
      </c>
      <c r="P4471" s="21">
        <v>5.0</v>
      </c>
      <c r="Q4471" s="22" t="str">
        <f>"+1"</f>
        <v>+1</v>
      </c>
      <c r="R4471" s="18" t="str">
        <f>"+2"</f>
        <v>+2</v>
      </c>
      <c r="S4471" s="14" t="s">
        <v>260</v>
      </c>
    </row>
    <row r="4472">
      <c r="A4472" s="13">
        <v>45901.0</v>
      </c>
      <c r="B4472" s="14" t="s">
        <v>47</v>
      </c>
      <c r="C4472" s="14" t="s">
        <v>48</v>
      </c>
      <c r="D4472" s="14" t="s">
        <v>149</v>
      </c>
      <c r="E4472" s="14" t="s">
        <v>150</v>
      </c>
      <c r="F4472" s="15" t="s">
        <v>51</v>
      </c>
      <c r="G4472" s="14" t="s">
        <v>151</v>
      </c>
      <c r="H4472" s="14" t="s">
        <v>152</v>
      </c>
      <c r="I4472" s="14" t="s">
        <v>54</v>
      </c>
      <c r="J4472" s="14" t="s">
        <v>200</v>
      </c>
      <c r="K4472" s="14" t="s">
        <v>227</v>
      </c>
      <c r="L4472" s="14" t="s">
        <v>721</v>
      </c>
      <c r="M4472" s="14" t="s">
        <v>722</v>
      </c>
      <c r="N4472" s="14" t="s">
        <v>723</v>
      </c>
      <c r="O4472" s="14">
        <v>52.0</v>
      </c>
      <c r="P4472" s="23">
        <v>0.0435</v>
      </c>
      <c r="Q4472" s="22" t="str">
        <f>"-2.28%"</f>
        <v>-2.28%</v>
      </c>
      <c r="R4472" s="18" t="str">
        <f>"-1.37%"</f>
        <v>-1.37%</v>
      </c>
      <c r="S4472" s="14" t="s">
        <v>724</v>
      </c>
    </row>
    <row r="4473">
      <c r="A4473" s="13">
        <v>45901.0</v>
      </c>
      <c r="B4473" s="14" t="s">
        <v>47</v>
      </c>
      <c r="C4473" s="14" t="s">
        <v>48</v>
      </c>
      <c r="D4473" s="14" t="s">
        <v>136</v>
      </c>
      <c r="E4473" s="14" t="s">
        <v>137</v>
      </c>
      <c r="F4473" s="15" t="s">
        <v>51</v>
      </c>
      <c r="G4473" s="14" t="s">
        <v>138</v>
      </c>
      <c r="H4473" s="14" t="s">
        <v>139</v>
      </c>
      <c r="I4473" s="14" t="s">
        <v>59</v>
      </c>
      <c r="J4473" s="14" t="s">
        <v>200</v>
      </c>
      <c r="K4473" s="14" t="s">
        <v>213</v>
      </c>
      <c r="L4473" s="14" t="s">
        <v>289</v>
      </c>
      <c r="M4473" s="14" t="s">
        <v>684</v>
      </c>
      <c r="N4473" s="14" t="s">
        <v>685</v>
      </c>
      <c r="O4473" s="14">
        <v>0.0</v>
      </c>
      <c r="P4473" s="23">
        <v>0.0</v>
      </c>
      <c r="Q4473" s="22" t="str">
        <f t="shared" ref="Q4473:R4473" si="2670">"+0.00%"</f>
        <v>+0.00%</v>
      </c>
      <c r="R4473" s="18" t="str">
        <f t="shared" si="2670"/>
        <v>+0.00%</v>
      </c>
      <c r="S4473" s="14" t="s">
        <v>285</v>
      </c>
    </row>
    <row r="4474">
      <c r="A4474" s="13">
        <v>45901.0</v>
      </c>
      <c r="B4474" s="14" t="s">
        <v>47</v>
      </c>
      <c r="C4474" s="14" t="s">
        <v>48</v>
      </c>
      <c r="D4474" s="14" t="s">
        <v>149</v>
      </c>
      <c r="E4474" s="14" t="s">
        <v>150</v>
      </c>
      <c r="F4474" s="15" t="s">
        <v>51</v>
      </c>
      <c r="G4474" s="14" t="s">
        <v>151</v>
      </c>
      <c r="H4474" s="14" t="s">
        <v>152</v>
      </c>
      <c r="I4474" s="14" t="s">
        <v>54</v>
      </c>
      <c r="J4474" s="14" t="s">
        <v>198</v>
      </c>
      <c r="K4474" s="14" t="s">
        <v>210</v>
      </c>
      <c r="L4474" s="14" t="s">
        <v>458</v>
      </c>
      <c r="M4474" s="14" t="s">
        <v>459</v>
      </c>
      <c r="N4474" s="14" t="s">
        <v>460</v>
      </c>
      <c r="O4474" s="14">
        <v>100.0</v>
      </c>
      <c r="P4474" s="21">
        <v>0.0</v>
      </c>
      <c r="Q4474" s="22" t="str">
        <f>"+0"</f>
        <v>+0</v>
      </c>
      <c r="R4474" s="18" t="str">
        <f>"-41,563"</f>
        <v>-41,563</v>
      </c>
      <c r="S4474" s="14" t="s">
        <v>281</v>
      </c>
    </row>
    <row r="4475">
      <c r="A4475" s="13">
        <v>45901.0</v>
      </c>
      <c r="B4475" s="14" t="s">
        <v>47</v>
      </c>
      <c r="C4475" s="14" t="s">
        <v>48</v>
      </c>
      <c r="D4475" s="14" t="s">
        <v>69</v>
      </c>
      <c r="E4475" s="14" t="s">
        <v>70</v>
      </c>
      <c r="F4475" s="15" t="s">
        <v>51</v>
      </c>
      <c r="G4475" s="14" t="s">
        <v>115</v>
      </c>
      <c r="H4475" s="14" t="s">
        <v>72</v>
      </c>
      <c r="I4475" s="14" t="s">
        <v>54</v>
      </c>
      <c r="J4475" s="14" t="s">
        <v>200</v>
      </c>
      <c r="K4475" s="14" t="s">
        <v>224</v>
      </c>
      <c r="L4475" s="14" t="s">
        <v>392</v>
      </c>
      <c r="M4475" s="14" t="s">
        <v>1172</v>
      </c>
      <c r="N4475" s="14" t="s">
        <v>1173</v>
      </c>
      <c r="O4475" s="14">
        <v>25.0</v>
      </c>
      <c r="P4475" s="23">
        <v>0.25</v>
      </c>
      <c r="Q4475" s="22" t="str">
        <f>"-41.67%"</f>
        <v>-41.67%</v>
      </c>
      <c r="R4475" s="18" t="str">
        <f>"-15.00%"</f>
        <v>-15.00%</v>
      </c>
      <c r="S4475" s="14" t="s">
        <v>2295</v>
      </c>
    </row>
    <row r="4476">
      <c r="A4476" s="13">
        <v>45901.0</v>
      </c>
      <c r="B4476" s="14" t="s">
        <v>47</v>
      </c>
      <c r="C4476" s="14" t="s">
        <v>48</v>
      </c>
      <c r="D4476" s="14" t="s">
        <v>108</v>
      </c>
      <c r="E4476" s="14" t="s">
        <v>109</v>
      </c>
      <c r="F4476" s="15" t="s">
        <v>51</v>
      </c>
      <c r="G4476" s="14" t="s">
        <v>110</v>
      </c>
      <c r="H4476" s="14" t="s">
        <v>108</v>
      </c>
      <c r="I4476" s="14" t="s">
        <v>59</v>
      </c>
      <c r="J4476" s="14" t="s">
        <v>200</v>
      </c>
      <c r="K4476" s="14" t="s">
        <v>215</v>
      </c>
      <c r="L4476" s="14" t="s">
        <v>1341</v>
      </c>
      <c r="M4476" s="14" t="s">
        <v>1342</v>
      </c>
      <c r="N4476" s="14" t="s">
        <v>1343</v>
      </c>
      <c r="O4476" s="14">
        <v>50.0</v>
      </c>
      <c r="P4476" s="23">
        <v>0.0</v>
      </c>
      <c r="Q4476" s="22" t="str">
        <f t="shared" ref="Q4476:R4476" si="2671">"+100.00%"</f>
        <v>+100.00%</v>
      </c>
      <c r="R4476" s="18" t="str">
        <f t="shared" si="2671"/>
        <v>+100.00%</v>
      </c>
      <c r="S4476" s="14" t="s">
        <v>2296</v>
      </c>
    </row>
    <row r="4477">
      <c r="A4477" s="13">
        <v>45901.0</v>
      </c>
      <c r="B4477" s="14" t="s">
        <v>47</v>
      </c>
      <c r="C4477" s="14" t="s">
        <v>48</v>
      </c>
      <c r="D4477" s="14" t="s">
        <v>174</v>
      </c>
      <c r="E4477" s="14" t="s">
        <v>175</v>
      </c>
      <c r="F4477" s="15" t="s">
        <v>51</v>
      </c>
      <c r="G4477" s="14" t="s">
        <v>176</v>
      </c>
      <c r="H4477" s="14" t="s">
        <v>174</v>
      </c>
      <c r="I4477" s="14" t="s">
        <v>59</v>
      </c>
      <c r="J4477" s="14" t="s">
        <v>200</v>
      </c>
      <c r="K4477" s="14" t="s">
        <v>201</v>
      </c>
      <c r="L4477" s="14" t="s">
        <v>253</v>
      </c>
      <c r="M4477" s="14" t="s">
        <v>409</v>
      </c>
      <c r="N4477" s="14" t="s">
        <v>410</v>
      </c>
      <c r="O4477" s="14">
        <v>8.0</v>
      </c>
      <c r="P4477" s="23">
        <v>0.0866</v>
      </c>
      <c r="Q4477" s="22" t="str">
        <f>"-0.02%"</f>
        <v>-0.02%</v>
      </c>
      <c r="R4477" s="18" t="str">
        <f>"-1.01%"</f>
        <v>-1.01%</v>
      </c>
      <c r="S4477" s="14" t="s">
        <v>1405</v>
      </c>
    </row>
    <row r="4478">
      <c r="A4478" s="13">
        <v>45901.0</v>
      </c>
      <c r="B4478" s="14" t="s">
        <v>47</v>
      </c>
      <c r="C4478" s="14" t="s">
        <v>48</v>
      </c>
      <c r="D4478" s="14" t="s">
        <v>77</v>
      </c>
      <c r="E4478" s="14" t="s">
        <v>78</v>
      </c>
      <c r="F4478" s="14" t="s">
        <v>79</v>
      </c>
      <c r="G4478" s="14" t="s">
        <v>80</v>
      </c>
      <c r="H4478" s="14" t="s">
        <v>81</v>
      </c>
      <c r="J4478" s="14" t="s">
        <v>199</v>
      </c>
      <c r="K4478" s="14" t="s">
        <v>206</v>
      </c>
      <c r="L4478" s="14" t="s">
        <v>295</v>
      </c>
      <c r="M4478" s="14" t="s">
        <v>529</v>
      </c>
      <c r="N4478" s="14" t="s">
        <v>530</v>
      </c>
      <c r="O4478" s="14">
        <v>0.0</v>
      </c>
      <c r="P4478" s="21">
        <v>0.0</v>
      </c>
      <c r="Q4478" s="22" t="str">
        <f t="shared" ref="Q4478:R4478" si="2672">"+0"</f>
        <v>+0</v>
      </c>
      <c r="R4478" s="18" t="str">
        <f t="shared" si="2672"/>
        <v>+0</v>
      </c>
      <c r="S4478" s="14" t="s">
        <v>260</v>
      </c>
    </row>
    <row r="4479">
      <c r="A4479" s="13">
        <v>45901.0</v>
      </c>
      <c r="B4479" s="14" t="s">
        <v>47</v>
      </c>
      <c r="C4479" s="14" t="s">
        <v>48</v>
      </c>
      <c r="D4479" s="14" t="s">
        <v>181</v>
      </c>
      <c r="E4479" s="14" t="s">
        <v>182</v>
      </c>
      <c r="F4479" s="15" t="s">
        <v>51</v>
      </c>
      <c r="G4479" s="14" t="s">
        <v>183</v>
      </c>
      <c r="H4479" s="14" t="s">
        <v>181</v>
      </c>
      <c r="I4479" s="14" t="s">
        <v>59</v>
      </c>
      <c r="J4479" s="14" t="s">
        <v>200</v>
      </c>
      <c r="K4479" s="14" t="s">
        <v>232</v>
      </c>
      <c r="L4479" s="14" t="s">
        <v>607</v>
      </c>
      <c r="M4479" s="14" t="s">
        <v>1027</v>
      </c>
      <c r="N4479" s="14" t="s">
        <v>1028</v>
      </c>
      <c r="O4479" s="14">
        <v>0.0</v>
      </c>
      <c r="P4479" s="23">
        <v>-1.0</v>
      </c>
      <c r="Q4479" s="22" t="str">
        <f t="shared" ref="Q4479:R4479" si="2673">"+0.00%"</f>
        <v>+0.00%</v>
      </c>
      <c r="R4479" s="18" t="str">
        <f t="shared" si="2673"/>
        <v>+0.00%</v>
      </c>
      <c r="S4479" s="14" t="s">
        <v>2297</v>
      </c>
    </row>
    <row r="4480">
      <c r="A4480" s="13">
        <v>45901.0</v>
      </c>
      <c r="B4480" s="14" t="s">
        <v>47</v>
      </c>
      <c r="C4480" s="14" t="s">
        <v>48</v>
      </c>
      <c r="D4480" s="14" t="s">
        <v>56</v>
      </c>
      <c r="E4480" s="14" t="s">
        <v>57</v>
      </c>
      <c r="F4480" s="15" t="s">
        <v>51</v>
      </c>
      <c r="G4480" s="14" t="s">
        <v>58</v>
      </c>
      <c r="H4480" s="14" t="s">
        <v>56</v>
      </c>
      <c r="I4480" s="14" t="s">
        <v>59</v>
      </c>
      <c r="J4480" s="14" t="s">
        <v>200</v>
      </c>
      <c r="K4480" s="14" t="s">
        <v>223</v>
      </c>
      <c r="L4480" s="14" t="s">
        <v>304</v>
      </c>
      <c r="M4480" s="14" t="s">
        <v>1012</v>
      </c>
      <c r="N4480" s="14" t="s">
        <v>1013</v>
      </c>
      <c r="O4480" s="14">
        <v>0.0</v>
      </c>
      <c r="P4480" s="23">
        <v>0.0</v>
      </c>
      <c r="Q4480" s="22" t="str">
        <f t="shared" ref="Q4480:R4480" si="2674">"+0.00%"</f>
        <v>+0.00%</v>
      </c>
      <c r="R4480" s="18" t="str">
        <f t="shared" si="2674"/>
        <v>+0.00%</v>
      </c>
      <c r="S4480" s="14" t="s">
        <v>285</v>
      </c>
    </row>
    <row r="4481">
      <c r="A4481" s="13">
        <v>45901.0</v>
      </c>
      <c r="B4481" s="14" t="s">
        <v>47</v>
      </c>
      <c r="C4481" s="14" t="s">
        <v>48</v>
      </c>
      <c r="D4481" s="14" t="s">
        <v>165</v>
      </c>
      <c r="E4481" s="14" t="s">
        <v>166</v>
      </c>
      <c r="F4481" s="14" t="s">
        <v>111</v>
      </c>
      <c r="G4481" s="14">
        <v>7116371.0</v>
      </c>
      <c r="H4481" s="14" t="s">
        <v>165</v>
      </c>
      <c r="I4481" s="14" t="s">
        <v>59</v>
      </c>
      <c r="J4481" s="14" t="s">
        <v>199</v>
      </c>
      <c r="K4481" s="14" t="s">
        <v>203</v>
      </c>
      <c r="L4481" s="14" t="s">
        <v>601</v>
      </c>
      <c r="M4481" s="14" t="s">
        <v>601</v>
      </c>
      <c r="N4481" s="14" t="s">
        <v>602</v>
      </c>
      <c r="O4481" s="14">
        <v>0.0</v>
      </c>
      <c r="P4481" s="21">
        <v>0.0</v>
      </c>
      <c r="Q4481" s="22" t="str">
        <f t="shared" ref="Q4481:R4481" si="2675">"+0"</f>
        <v>+0</v>
      </c>
      <c r="R4481" s="18" t="str">
        <f t="shared" si="2675"/>
        <v>+0</v>
      </c>
      <c r="S4481" s="14" t="s">
        <v>260</v>
      </c>
    </row>
    <row r="4482">
      <c r="A4482" s="13">
        <v>45901.0</v>
      </c>
      <c r="B4482" s="14" t="s">
        <v>47</v>
      </c>
      <c r="C4482" s="14" t="s">
        <v>48</v>
      </c>
      <c r="D4482" s="14" t="s">
        <v>91</v>
      </c>
      <c r="E4482" s="14" t="s">
        <v>92</v>
      </c>
      <c r="F4482" s="15" t="s">
        <v>51</v>
      </c>
      <c r="G4482" s="14" t="s">
        <v>163</v>
      </c>
      <c r="H4482" s="14" t="s">
        <v>91</v>
      </c>
      <c r="I4482" s="14" t="s">
        <v>59</v>
      </c>
      <c r="J4482" s="14" t="s">
        <v>200</v>
      </c>
      <c r="K4482" s="14" t="s">
        <v>223</v>
      </c>
      <c r="L4482" s="14" t="s">
        <v>286</v>
      </c>
      <c r="M4482" s="14" t="s">
        <v>979</v>
      </c>
      <c r="N4482" s="14" t="s">
        <v>980</v>
      </c>
      <c r="O4482" s="14">
        <v>1.0</v>
      </c>
      <c r="P4482" s="23">
        <v>0.0179</v>
      </c>
      <c r="Q4482" s="22" t="str">
        <f>"+1.79%"</f>
        <v>+1.79%</v>
      </c>
      <c r="R4482" s="18" t="str">
        <f>"-1.39%"</f>
        <v>-1.39%</v>
      </c>
      <c r="S4482" s="14" t="s">
        <v>2298</v>
      </c>
    </row>
    <row r="4483">
      <c r="A4483" s="13">
        <v>45901.0</v>
      </c>
      <c r="B4483" s="14" t="s">
        <v>47</v>
      </c>
      <c r="C4483" s="14" t="s">
        <v>48</v>
      </c>
      <c r="D4483" s="14" t="s">
        <v>73</v>
      </c>
      <c r="E4483" s="14" t="s">
        <v>74</v>
      </c>
      <c r="F4483" s="15" t="s">
        <v>51</v>
      </c>
      <c r="G4483" s="14" t="s">
        <v>75</v>
      </c>
      <c r="H4483" s="14" t="s">
        <v>76</v>
      </c>
      <c r="I4483" s="14" t="s">
        <v>59</v>
      </c>
      <c r="J4483" s="14" t="s">
        <v>199</v>
      </c>
      <c r="K4483" s="14" t="s">
        <v>203</v>
      </c>
      <c r="L4483" s="14" t="s">
        <v>601</v>
      </c>
      <c r="M4483" s="14" t="s">
        <v>601</v>
      </c>
      <c r="N4483" s="14" t="s">
        <v>602</v>
      </c>
      <c r="O4483" s="14">
        <v>0.0</v>
      </c>
      <c r="P4483" s="21">
        <v>0.0</v>
      </c>
      <c r="Q4483" s="22" t="str">
        <f t="shared" ref="Q4483:R4483" si="2676">"+0"</f>
        <v>+0</v>
      </c>
      <c r="R4483" s="18" t="str">
        <f t="shared" si="2676"/>
        <v>+0</v>
      </c>
      <c r="S4483" s="14" t="s">
        <v>260</v>
      </c>
    </row>
    <row r="4484">
      <c r="A4484" s="13">
        <v>45901.0</v>
      </c>
      <c r="B4484" s="14" t="s">
        <v>47</v>
      </c>
      <c r="C4484" s="14" t="s">
        <v>48</v>
      </c>
      <c r="D4484" s="14" t="s">
        <v>56</v>
      </c>
      <c r="E4484" s="14" t="s">
        <v>57</v>
      </c>
      <c r="F4484" s="15" t="s">
        <v>51</v>
      </c>
      <c r="G4484" s="14" t="s">
        <v>58</v>
      </c>
      <c r="H4484" s="14" t="s">
        <v>56</v>
      </c>
      <c r="I4484" s="14" t="s">
        <v>59</v>
      </c>
      <c r="J4484" s="14" t="s">
        <v>199</v>
      </c>
      <c r="K4484" s="14" t="s">
        <v>206</v>
      </c>
      <c r="L4484" s="14" t="s">
        <v>295</v>
      </c>
      <c r="M4484" s="14" t="s">
        <v>651</v>
      </c>
      <c r="N4484" s="14" t="s">
        <v>652</v>
      </c>
      <c r="O4484" s="14">
        <v>0.0</v>
      </c>
      <c r="P4484" s="21">
        <v>0.0</v>
      </c>
      <c r="Q4484" s="22" t="str">
        <f t="shared" ref="Q4484:R4484" si="2677">"+0"</f>
        <v>+0</v>
      </c>
      <c r="R4484" s="18" t="str">
        <f t="shared" si="2677"/>
        <v>+0</v>
      </c>
      <c r="S4484" s="14" t="s">
        <v>260</v>
      </c>
    </row>
    <row r="4485">
      <c r="A4485" s="13">
        <v>45901.0</v>
      </c>
      <c r="B4485" s="14" t="s">
        <v>47</v>
      </c>
      <c r="C4485" s="14" t="s">
        <v>48</v>
      </c>
      <c r="D4485" s="14" t="s">
        <v>116</v>
      </c>
      <c r="E4485" s="14" t="s">
        <v>117</v>
      </c>
      <c r="F4485" s="15" t="s">
        <v>51</v>
      </c>
      <c r="G4485" s="14" t="s">
        <v>161</v>
      </c>
      <c r="H4485" s="14" t="s">
        <v>116</v>
      </c>
      <c r="I4485" s="14" t="s">
        <v>54</v>
      </c>
      <c r="J4485" s="14" t="s">
        <v>198</v>
      </c>
      <c r="K4485" s="14" t="s">
        <v>210</v>
      </c>
      <c r="L4485" s="14" t="s">
        <v>264</v>
      </c>
      <c r="M4485" s="14" t="s">
        <v>1409</v>
      </c>
      <c r="N4485" s="14" t="s">
        <v>1410</v>
      </c>
      <c r="O4485" s="14">
        <v>0.0</v>
      </c>
      <c r="P4485" s="21">
        <v>0.0</v>
      </c>
      <c r="Q4485" s="22" t="str">
        <f t="shared" ref="Q4485:R4485" si="2678">"+0"</f>
        <v>+0</v>
      </c>
      <c r="R4485" s="18" t="str">
        <f t="shared" si="2678"/>
        <v>+0</v>
      </c>
      <c r="S4485" s="14" t="s">
        <v>277</v>
      </c>
    </row>
    <row r="4486">
      <c r="A4486" s="13">
        <v>45901.0</v>
      </c>
      <c r="B4486" s="14" t="s">
        <v>47</v>
      </c>
      <c r="C4486" s="14" t="s">
        <v>48</v>
      </c>
      <c r="D4486" s="14" t="s">
        <v>158</v>
      </c>
      <c r="E4486" s="14" t="s">
        <v>159</v>
      </c>
      <c r="F4486" s="15" t="s">
        <v>51</v>
      </c>
      <c r="G4486" s="14" t="s">
        <v>160</v>
      </c>
      <c r="H4486" s="14" t="s">
        <v>158</v>
      </c>
      <c r="I4486" s="14" t="s">
        <v>54</v>
      </c>
      <c r="J4486" s="14" t="s">
        <v>198</v>
      </c>
      <c r="K4486" s="14" t="s">
        <v>210</v>
      </c>
      <c r="L4486" s="14" t="s">
        <v>505</v>
      </c>
      <c r="M4486" s="14" t="s">
        <v>1097</v>
      </c>
      <c r="N4486" s="14" t="s">
        <v>1098</v>
      </c>
      <c r="O4486" s="14">
        <v>0.0</v>
      </c>
      <c r="P4486" s="21">
        <v>0.0</v>
      </c>
      <c r="Q4486" s="22" t="str">
        <f t="shared" ref="Q4486:R4486" si="2679">"+0"</f>
        <v>+0</v>
      </c>
      <c r="R4486" s="18" t="str">
        <f t="shared" si="2679"/>
        <v>+0</v>
      </c>
      <c r="S4486" s="14" t="s">
        <v>277</v>
      </c>
    </row>
    <row r="4487">
      <c r="A4487" s="13">
        <v>45901.0</v>
      </c>
      <c r="B4487" s="14" t="s">
        <v>47</v>
      </c>
      <c r="C4487" s="14" t="s">
        <v>48</v>
      </c>
      <c r="D4487" s="14" t="s">
        <v>184</v>
      </c>
      <c r="E4487" s="14" t="s">
        <v>185</v>
      </c>
      <c r="F4487" s="15" t="s">
        <v>51</v>
      </c>
      <c r="G4487" s="14" t="s">
        <v>186</v>
      </c>
      <c r="H4487" s="14" t="s">
        <v>187</v>
      </c>
      <c r="I4487" s="14" t="s">
        <v>59</v>
      </c>
      <c r="J4487" s="14" t="s">
        <v>199</v>
      </c>
      <c r="K4487" s="14" t="s">
        <v>206</v>
      </c>
      <c r="L4487" s="14" t="s">
        <v>515</v>
      </c>
      <c r="M4487" s="14" t="s">
        <v>515</v>
      </c>
      <c r="N4487" s="14" t="s">
        <v>516</v>
      </c>
      <c r="O4487" s="14">
        <v>0.0</v>
      </c>
      <c r="P4487" s="21">
        <v>0.0</v>
      </c>
      <c r="Q4487" s="22" t="str">
        <f t="shared" ref="Q4487:R4487" si="2680">"+0"</f>
        <v>+0</v>
      </c>
      <c r="R4487" s="18" t="str">
        <f t="shared" si="2680"/>
        <v>+0</v>
      </c>
      <c r="S4487" s="14" t="s">
        <v>383</v>
      </c>
    </row>
    <row r="4488">
      <c r="A4488" s="13">
        <v>45901.0</v>
      </c>
      <c r="B4488" s="14" t="s">
        <v>47</v>
      </c>
      <c r="C4488" s="14" t="s">
        <v>48</v>
      </c>
      <c r="D4488" s="14" t="s">
        <v>73</v>
      </c>
      <c r="E4488" s="14" t="s">
        <v>74</v>
      </c>
      <c r="F4488" s="15" t="s">
        <v>51</v>
      </c>
      <c r="G4488" s="14" t="s">
        <v>75</v>
      </c>
      <c r="H4488" s="14" t="s">
        <v>76</v>
      </c>
      <c r="I4488" s="14" t="s">
        <v>59</v>
      </c>
      <c r="J4488" s="14" t="s">
        <v>200</v>
      </c>
      <c r="K4488" s="14" t="s">
        <v>232</v>
      </c>
      <c r="L4488" s="14" t="s">
        <v>487</v>
      </c>
      <c r="M4488" s="14" t="s">
        <v>1415</v>
      </c>
      <c r="N4488" s="14" t="s">
        <v>1416</v>
      </c>
      <c r="O4488" s="14">
        <v>0.0</v>
      </c>
      <c r="P4488" s="21">
        <v>0.0</v>
      </c>
      <c r="Q4488" s="22" t="str">
        <f t="shared" ref="Q4488:R4488" si="2681">"+0"</f>
        <v>+0</v>
      </c>
      <c r="R4488" s="18" t="str">
        <f t="shared" si="2681"/>
        <v>+0</v>
      </c>
      <c r="S4488" s="14" t="s">
        <v>260</v>
      </c>
    </row>
    <row r="4489">
      <c r="A4489" s="13">
        <v>45901.0</v>
      </c>
      <c r="B4489" s="14" t="s">
        <v>47</v>
      </c>
      <c r="C4489" s="14" t="s">
        <v>48</v>
      </c>
      <c r="D4489" s="14" t="s">
        <v>103</v>
      </c>
      <c r="E4489" s="14" t="s">
        <v>104</v>
      </c>
      <c r="F4489" s="15" t="s">
        <v>51</v>
      </c>
      <c r="G4489" s="14" t="s">
        <v>105</v>
      </c>
      <c r="H4489" s="14" t="s">
        <v>106</v>
      </c>
      <c r="I4489" s="14" t="s">
        <v>59</v>
      </c>
      <c r="J4489" s="14" t="s">
        <v>200</v>
      </c>
      <c r="K4489" s="14" t="s">
        <v>232</v>
      </c>
      <c r="L4489" s="14" t="s">
        <v>607</v>
      </c>
      <c r="M4489" s="14" t="s">
        <v>1035</v>
      </c>
      <c r="N4489" s="14" t="s">
        <v>1036</v>
      </c>
      <c r="O4489" s="14">
        <v>0.0</v>
      </c>
      <c r="P4489" s="23">
        <v>0.0</v>
      </c>
      <c r="Q4489" s="22" t="str">
        <f t="shared" ref="Q4489:R4489" si="2682">"+0.00%"</f>
        <v>+0.00%</v>
      </c>
      <c r="R4489" s="18" t="str">
        <f t="shared" si="2682"/>
        <v>+0.00%</v>
      </c>
      <c r="S4489" s="14" t="s">
        <v>2299</v>
      </c>
    </row>
    <row r="4490">
      <c r="A4490" s="13">
        <v>45901.0</v>
      </c>
      <c r="B4490" s="14" t="s">
        <v>47</v>
      </c>
      <c r="C4490" s="14" t="s">
        <v>48</v>
      </c>
      <c r="D4490" s="14" t="s">
        <v>149</v>
      </c>
      <c r="E4490" s="14" t="s">
        <v>150</v>
      </c>
      <c r="F4490" s="15" t="s">
        <v>51</v>
      </c>
      <c r="G4490" s="14" t="s">
        <v>151</v>
      </c>
      <c r="H4490" s="14" t="s">
        <v>152</v>
      </c>
      <c r="I4490" s="14" t="s">
        <v>54</v>
      </c>
      <c r="J4490" s="14" t="s">
        <v>198</v>
      </c>
      <c r="K4490" s="14" t="s">
        <v>210</v>
      </c>
      <c r="L4490" s="14" t="s">
        <v>458</v>
      </c>
      <c r="M4490" s="14" t="s">
        <v>1401</v>
      </c>
      <c r="N4490" s="14" t="s">
        <v>1402</v>
      </c>
      <c r="O4490" s="14">
        <v>100.0</v>
      </c>
      <c r="P4490" s="21">
        <v>2.0</v>
      </c>
      <c r="Q4490" s="22" t="str">
        <f t="shared" ref="Q4490:R4490" si="2683">"+2"</f>
        <v>+2</v>
      </c>
      <c r="R4490" s="18" t="str">
        <f t="shared" si="2683"/>
        <v>+2</v>
      </c>
      <c r="S4490" s="14" t="s">
        <v>277</v>
      </c>
    </row>
    <row r="4491">
      <c r="A4491" s="13">
        <v>45901.0</v>
      </c>
      <c r="B4491" s="14" t="s">
        <v>47</v>
      </c>
      <c r="C4491" s="14" t="s">
        <v>48</v>
      </c>
      <c r="D4491" s="14" t="s">
        <v>87</v>
      </c>
      <c r="E4491" s="14" t="s">
        <v>88</v>
      </c>
      <c r="F4491" s="15" t="s">
        <v>51</v>
      </c>
      <c r="G4491" s="14" t="s">
        <v>89</v>
      </c>
      <c r="H4491" s="14" t="s">
        <v>90</v>
      </c>
      <c r="I4491" s="14" t="s">
        <v>59</v>
      </c>
      <c r="J4491" s="14" t="s">
        <v>200</v>
      </c>
      <c r="K4491" s="14" t="s">
        <v>223</v>
      </c>
      <c r="L4491" s="14" t="s">
        <v>607</v>
      </c>
      <c r="M4491" s="14" t="s">
        <v>692</v>
      </c>
      <c r="N4491" s="14" t="s">
        <v>693</v>
      </c>
      <c r="O4491" s="14">
        <v>100.0</v>
      </c>
      <c r="P4491" s="23">
        <v>0.011</v>
      </c>
      <c r="Q4491" s="22" t="str">
        <f>"+0.56%"</f>
        <v>+0.56%</v>
      </c>
      <c r="R4491" s="18" t="str">
        <f>"+1.10%"</f>
        <v>+1.10%</v>
      </c>
      <c r="S4491" s="14" t="s">
        <v>285</v>
      </c>
    </row>
    <row r="4492">
      <c r="A4492" s="13">
        <v>45901.0</v>
      </c>
      <c r="B4492" s="14" t="s">
        <v>47</v>
      </c>
      <c r="C4492" s="14" t="s">
        <v>48</v>
      </c>
      <c r="D4492" s="14" t="s">
        <v>171</v>
      </c>
      <c r="E4492" s="14" t="s">
        <v>172</v>
      </c>
      <c r="F4492" s="15" t="s">
        <v>51</v>
      </c>
      <c r="G4492" s="14" t="s">
        <v>173</v>
      </c>
      <c r="H4492" s="14" t="s">
        <v>171</v>
      </c>
      <c r="I4492" s="14" t="s">
        <v>59</v>
      </c>
      <c r="J4492" s="14" t="s">
        <v>200</v>
      </c>
      <c r="K4492" s="14" t="s">
        <v>213</v>
      </c>
      <c r="L4492" s="14" t="s">
        <v>253</v>
      </c>
      <c r="M4492" s="14" t="s">
        <v>552</v>
      </c>
      <c r="N4492" s="14" t="s">
        <v>553</v>
      </c>
      <c r="O4492" s="14">
        <v>48.0</v>
      </c>
      <c r="P4492" s="23">
        <v>0.48</v>
      </c>
      <c r="Q4492" s="22" t="str">
        <f>"+12.52%"</f>
        <v>+12.52%</v>
      </c>
      <c r="R4492" s="18" t="str">
        <f>"-11.18%"</f>
        <v>-11.18%</v>
      </c>
      <c r="S4492" s="14" t="s">
        <v>2300</v>
      </c>
    </row>
    <row r="4493">
      <c r="A4493" s="13">
        <v>45901.0</v>
      </c>
      <c r="B4493" s="14" t="s">
        <v>47</v>
      </c>
      <c r="C4493" s="14" t="s">
        <v>48</v>
      </c>
      <c r="D4493" s="14" t="s">
        <v>69</v>
      </c>
      <c r="E4493" s="14" t="s">
        <v>70</v>
      </c>
      <c r="F4493" s="15" t="s">
        <v>51</v>
      </c>
      <c r="G4493" s="14" t="s">
        <v>115</v>
      </c>
      <c r="H4493" s="14" t="s">
        <v>72</v>
      </c>
      <c r="I4493" s="14" t="s">
        <v>54</v>
      </c>
      <c r="J4493" s="14" t="s">
        <v>198</v>
      </c>
      <c r="K4493" s="14" t="s">
        <v>210</v>
      </c>
      <c r="L4493" s="14" t="s">
        <v>505</v>
      </c>
      <c r="M4493" s="14" t="s">
        <v>880</v>
      </c>
      <c r="N4493" s="14" t="s">
        <v>881</v>
      </c>
      <c r="O4493" s="14">
        <v>0.0</v>
      </c>
      <c r="P4493" s="21">
        <v>0.0</v>
      </c>
      <c r="Q4493" s="22" t="str">
        <f t="shared" ref="Q4493:R4493" si="2684">"+0"</f>
        <v>+0</v>
      </c>
      <c r="R4493" s="18" t="str">
        <f t="shared" si="2684"/>
        <v>+0</v>
      </c>
      <c r="S4493" s="14" t="s">
        <v>277</v>
      </c>
    </row>
    <row r="4494">
      <c r="A4494" s="13">
        <v>45901.0</v>
      </c>
      <c r="B4494" s="14" t="s">
        <v>47</v>
      </c>
      <c r="C4494" s="14" t="s">
        <v>48</v>
      </c>
      <c r="D4494" s="14" t="s">
        <v>125</v>
      </c>
      <c r="E4494" s="14" t="s">
        <v>126</v>
      </c>
      <c r="F4494" s="15" t="s">
        <v>51</v>
      </c>
      <c r="G4494" s="14" t="s">
        <v>127</v>
      </c>
      <c r="H4494" s="14" t="s">
        <v>125</v>
      </c>
      <c r="I4494" s="14" t="s">
        <v>59</v>
      </c>
      <c r="J4494" s="14" t="s">
        <v>200</v>
      </c>
      <c r="K4494" s="14" t="s">
        <v>232</v>
      </c>
      <c r="L4494" s="14" t="s">
        <v>607</v>
      </c>
      <c r="M4494" s="14" t="s">
        <v>932</v>
      </c>
      <c r="N4494" s="14" t="s">
        <v>933</v>
      </c>
      <c r="O4494" s="14">
        <v>0.0</v>
      </c>
      <c r="P4494" s="23">
        <v>0.0</v>
      </c>
      <c r="Q4494" s="22" t="str">
        <f t="shared" ref="Q4494:R4494" si="2685">"+0.00%"</f>
        <v>+0.00%</v>
      </c>
      <c r="R4494" s="18" t="str">
        <f t="shared" si="2685"/>
        <v>+0.00%</v>
      </c>
      <c r="S4494" s="14" t="s">
        <v>285</v>
      </c>
    </row>
    <row r="4495">
      <c r="A4495" s="13">
        <v>45901.0</v>
      </c>
      <c r="B4495" s="14" t="s">
        <v>47</v>
      </c>
      <c r="C4495" s="14" t="s">
        <v>48</v>
      </c>
      <c r="D4495" s="14" t="s">
        <v>85</v>
      </c>
      <c r="E4495" s="14" t="s">
        <v>86</v>
      </c>
      <c r="F4495" s="14" t="s">
        <v>146</v>
      </c>
      <c r="G4495" s="14" t="s">
        <v>162</v>
      </c>
      <c r="H4495" s="14" t="s">
        <v>85</v>
      </c>
      <c r="I4495" s="14" t="s">
        <v>107</v>
      </c>
      <c r="J4495" s="14" t="s">
        <v>199</v>
      </c>
      <c r="K4495" s="14" t="s">
        <v>206</v>
      </c>
      <c r="L4495" s="14" t="s">
        <v>531</v>
      </c>
      <c r="M4495" s="14" t="s">
        <v>531</v>
      </c>
      <c r="N4495" s="14" t="s">
        <v>532</v>
      </c>
      <c r="O4495" s="14">
        <v>75.0</v>
      </c>
      <c r="P4495" s="21">
        <v>1.0</v>
      </c>
      <c r="Q4495" s="22" t="str">
        <f t="shared" ref="Q4495:R4495" si="2686">"+0"</f>
        <v>+0</v>
      </c>
      <c r="R4495" s="18" t="str">
        <f t="shared" si="2686"/>
        <v>+0</v>
      </c>
      <c r="S4495" s="14" t="s">
        <v>260</v>
      </c>
    </row>
    <row r="4496">
      <c r="A4496" s="13">
        <v>45901.0</v>
      </c>
      <c r="B4496" s="14" t="s">
        <v>47</v>
      </c>
      <c r="C4496" s="14" t="s">
        <v>48</v>
      </c>
      <c r="D4496" s="14" t="s">
        <v>96</v>
      </c>
      <c r="E4496" s="14" t="s">
        <v>97</v>
      </c>
      <c r="F4496" s="15" t="s">
        <v>51</v>
      </c>
      <c r="G4496" s="14" t="s">
        <v>98</v>
      </c>
      <c r="H4496" s="14" t="s">
        <v>96</v>
      </c>
      <c r="I4496" s="14" t="s">
        <v>59</v>
      </c>
      <c r="J4496" s="14" t="s">
        <v>199</v>
      </c>
      <c r="K4496" s="14" t="s">
        <v>203</v>
      </c>
      <c r="L4496" s="14" t="s">
        <v>431</v>
      </c>
      <c r="M4496" s="14" t="s">
        <v>431</v>
      </c>
      <c r="N4496" s="14" t="s">
        <v>432</v>
      </c>
      <c r="O4496" s="14">
        <v>0.0</v>
      </c>
      <c r="P4496" s="21">
        <v>0.0</v>
      </c>
      <c r="Q4496" s="22" t="str">
        <f t="shared" ref="Q4496:R4496" si="2687">"+0"</f>
        <v>+0</v>
      </c>
      <c r="R4496" s="18" t="str">
        <f t="shared" si="2687"/>
        <v>+0</v>
      </c>
      <c r="S4496" s="14" t="s">
        <v>260</v>
      </c>
    </row>
    <row r="4497">
      <c r="A4497" s="13">
        <v>45901.0</v>
      </c>
      <c r="B4497" s="14" t="s">
        <v>47</v>
      </c>
      <c r="C4497" s="14" t="s">
        <v>48</v>
      </c>
      <c r="D4497" s="14" t="s">
        <v>96</v>
      </c>
      <c r="E4497" s="14" t="s">
        <v>97</v>
      </c>
      <c r="F4497" s="15" t="s">
        <v>51</v>
      </c>
      <c r="G4497" s="14" t="s">
        <v>98</v>
      </c>
      <c r="H4497" s="14" t="s">
        <v>96</v>
      </c>
      <c r="I4497" s="14" t="s">
        <v>59</v>
      </c>
      <c r="J4497" s="14" t="s">
        <v>200</v>
      </c>
      <c r="K4497" s="14" t="s">
        <v>223</v>
      </c>
      <c r="L4497" s="14" t="s">
        <v>286</v>
      </c>
      <c r="M4497" s="14" t="s">
        <v>1199</v>
      </c>
      <c r="N4497" s="14" t="s">
        <v>1200</v>
      </c>
      <c r="O4497" s="14">
        <v>0.0</v>
      </c>
      <c r="P4497" s="23">
        <v>0.0</v>
      </c>
      <c r="Q4497" s="22" t="str">
        <f t="shared" ref="Q4497:R4497" si="2688">"+0.00%"</f>
        <v>+0.00%</v>
      </c>
      <c r="R4497" s="18" t="str">
        <f t="shared" si="2688"/>
        <v>+0.00%</v>
      </c>
      <c r="S4497" s="14" t="s">
        <v>285</v>
      </c>
    </row>
    <row r="4498">
      <c r="A4498" s="13">
        <v>45901.0</v>
      </c>
      <c r="B4498" s="14" t="s">
        <v>47</v>
      </c>
      <c r="C4498" s="14" t="s">
        <v>48</v>
      </c>
      <c r="D4498" s="14" t="s">
        <v>158</v>
      </c>
      <c r="E4498" s="14" t="s">
        <v>159</v>
      </c>
      <c r="F4498" s="15" t="s">
        <v>51</v>
      </c>
      <c r="G4498" s="14" t="s">
        <v>160</v>
      </c>
      <c r="H4498" s="14" t="s">
        <v>158</v>
      </c>
      <c r="I4498" s="14" t="s">
        <v>54</v>
      </c>
      <c r="J4498" s="14" t="s">
        <v>198</v>
      </c>
      <c r="K4498" s="14" t="s">
        <v>210</v>
      </c>
      <c r="L4498" s="14" t="s">
        <v>278</v>
      </c>
      <c r="M4498" s="14" t="s">
        <v>668</v>
      </c>
      <c r="N4498" s="14" t="s">
        <v>669</v>
      </c>
      <c r="O4498" s="14">
        <v>0.0</v>
      </c>
      <c r="P4498" s="21">
        <v>0.0</v>
      </c>
      <c r="Q4498" s="22" t="str">
        <f t="shared" ref="Q4498:R4498" si="2689">"+0"</f>
        <v>+0</v>
      </c>
      <c r="R4498" s="18" t="str">
        <f t="shared" si="2689"/>
        <v>+0</v>
      </c>
      <c r="S4498" s="14" t="s">
        <v>277</v>
      </c>
    </row>
    <row r="4499">
      <c r="A4499" s="13">
        <v>45901.0</v>
      </c>
      <c r="B4499" s="14" t="s">
        <v>47</v>
      </c>
      <c r="C4499" s="14" t="s">
        <v>48</v>
      </c>
      <c r="D4499" s="14" t="s">
        <v>158</v>
      </c>
      <c r="E4499" s="14" t="s">
        <v>159</v>
      </c>
      <c r="F4499" s="15" t="s">
        <v>51</v>
      </c>
      <c r="G4499" s="14" t="s">
        <v>160</v>
      </c>
      <c r="H4499" s="14" t="s">
        <v>158</v>
      </c>
      <c r="I4499" s="14" t="s">
        <v>54</v>
      </c>
      <c r="J4499" s="14" t="s">
        <v>200</v>
      </c>
      <c r="K4499" s="14" t="s">
        <v>229</v>
      </c>
      <c r="L4499" s="14" t="s">
        <v>253</v>
      </c>
      <c r="M4499" s="14" t="s">
        <v>389</v>
      </c>
      <c r="N4499" s="14" t="s">
        <v>390</v>
      </c>
      <c r="O4499" s="14">
        <v>36.0</v>
      </c>
      <c r="P4499" s="23">
        <v>0.3661</v>
      </c>
      <c r="Q4499" s="22" t="str">
        <f>"+7.14%"</f>
        <v>+7.14%</v>
      </c>
      <c r="R4499" s="18" t="str">
        <f>"-3.93%"</f>
        <v>-3.93%</v>
      </c>
      <c r="S4499" s="14" t="s">
        <v>2301</v>
      </c>
    </row>
    <row r="4500">
      <c r="A4500" s="13">
        <v>45901.0</v>
      </c>
      <c r="B4500" s="14" t="s">
        <v>47</v>
      </c>
      <c r="C4500" s="14" t="s">
        <v>48</v>
      </c>
      <c r="D4500" s="14" t="s">
        <v>112</v>
      </c>
      <c r="E4500" s="14" t="s">
        <v>113</v>
      </c>
      <c r="F4500" s="15" t="s">
        <v>51</v>
      </c>
      <c r="G4500" s="14" t="s">
        <v>114</v>
      </c>
      <c r="H4500" s="14" t="s">
        <v>112</v>
      </c>
      <c r="I4500" s="14" t="s">
        <v>59</v>
      </c>
      <c r="J4500" s="14" t="s">
        <v>199</v>
      </c>
      <c r="K4500" s="14" t="s">
        <v>206</v>
      </c>
      <c r="L4500" s="14" t="s">
        <v>433</v>
      </c>
      <c r="M4500" s="14" t="s">
        <v>433</v>
      </c>
      <c r="N4500" s="14" t="s">
        <v>434</v>
      </c>
      <c r="O4500" s="14">
        <v>0.0</v>
      </c>
      <c r="P4500" s="21">
        <v>0.0</v>
      </c>
      <c r="Q4500" s="22" t="str">
        <f t="shared" ref="Q4500:R4500" si="2690">"+0"</f>
        <v>+0</v>
      </c>
      <c r="R4500" s="18" t="str">
        <f t="shared" si="2690"/>
        <v>+0</v>
      </c>
      <c r="S4500" s="14" t="s">
        <v>383</v>
      </c>
    </row>
    <row r="4501">
      <c r="A4501" s="13">
        <v>45901.0</v>
      </c>
      <c r="B4501" s="14" t="s">
        <v>47</v>
      </c>
      <c r="C4501" s="14" t="s">
        <v>48</v>
      </c>
      <c r="D4501" s="14" t="s">
        <v>174</v>
      </c>
      <c r="E4501" s="14" t="s">
        <v>175</v>
      </c>
      <c r="F4501" s="15" t="s">
        <v>51</v>
      </c>
      <c r="G4501" s="14" t="s">
        <v>176</v>
      </c>
      <c r="H4501" s="14" t="s">
        <v>174</v>
      </c>
      <c r="I4501" s="14" t="s">
        <v>59</v>
      </c>
      <c r="J4501" s="14" t="s">
        <v>198</v>
      </c>
      <c r="K4501" s="14" t="s">
        <v>205</v>
      </c>
      <c r="L4501" s="14" t="s">
        <v>274</v>
      </c>
      <c r="M4501" s="14" t="s">
        <v>354</v>
      </c>
      <c r="N4501" s="14" t="s">
        <v>355</v>
      </c>
      <c r="O4501" s="14">
        <v>100.0</v>
      </c>
      <c r="P4501" s="21">
        <v>3.0</v>
      </c>
      <c r="Q4501" s="22" t="str">
        <f t="shared" ref="Q4501:Q4502" si="2691">"+0"</f>
        <v>+0</v>
      </c>
      <c r="S4501" s="14" t="s">
        <v>356</v>
      </c>
    </row>
    <row r="4502">
      <c r="A4502" s="13">
        <v>45901.0</v>
      </c>
      <c r="B4502" s="14" t="s">
        <v>47</v>
      </c>
      <c r="C4502" s="14" t="s">
        <v>48</v>
      </c>
      <c r="D4502" s="14" t="s">
        <v>181</v>
      </c>
      <c r="E4502" s="14" t="s">
        <v>182</v>
      </c>
      <c r="F4502" s="15" t="s">
        <v>51</v>
      </c>
      <c r="G4502" s="14" t="s">
        <v>183</v>
      </c>
      <c r="H4502" s="14" t="s">
        <v>181</v>
      </c>
      <c r="I4502" s="14" t="s">
        <v>59</v>
      </c>
      <c r="J4502" s="14" t="s">
        <v>198</v>
      </c>
      <c r="K4502" s="14" t="s">
        <v>210</v>
      </c>
      <c r="L4502" s="14" t="s">
        <v>264</v>
      </c>
      <c r="M4502" s="14" t="s">
        <v>470</v>
      </c>
      <c r="N4502" s="14" t="s">
        <v>471</v>
      </c>
      <c r="O4502" s="14">
        <v>100.0</v>
      </c>
      <c r="P4502" s="21">
        <v>0.0</v>
      </c>
      <c r="Q4502" s="22" t="str">
        <f t="shared" si="2691"/>
        <v>+0</v>
      </c>
      <c r="R4502" s="18" t="str">
        <f>"+0"</f>
        <v>+0</v>
      </c>
      <c r="S4502" s="14" t="s">
        <v>281</v>
      </c>
    </row>
    <row r="4503">
      <c r="A4503" s="13">
        <v>45901.0</v>
      </c>
      <c r="B4503" s="14" t="s">
        <v>47</v>
      </c>
      <c r="C4503" s="14" t="s">
        <v>48</v>
      </c>
      <c r="D4503" s="14" t="s">
        <v>181</v>
      </c>
      <c r="E4503" s="14" t="s">
        <v>182</v>
      </c>
      <c r="F4503" s="15" t="s">
        <v>51</v>
      </c>
      <c r="G4503" s="14" t="s">
        <v>183</v>
      </c>
      <c r="H4503" s="14" t="s">
        <v>181</v>
      </c>
      <c r="I4503" s="14" t="s">
        <v>59</v>
      </c>
      <c r="J4503" s="14" t="s">
        <v>200</v>
      </c>
      <c r="K4503" s="14" t="s">
        <v>232</v>
      </c>
      <c r="L4503" s="14" t="s">
        <v>607</v>
      </c>
      <c r="M4503" s="14" t="s">
        <v>758</v>
      </c>
      <c r="N4503" s="14" t="s">
        <v>759</v>
      </c>
      <c r="O4503" s="14">
        <v>0.0</v>
      </c>
      <c r="P4503" s="23">
        <v>-1.0</v>
      </c>
      <c r="Q4503" s="22" t="str">
        <f t="shared" ref="Q4503:R4503" si="2692">"+0.00%"</f>
        <v>+0.00%</v>
      </c>
      <c r="R4503" s="18" t="str">
        <f t="shared" si="2692"/>
        <v>+0.00%</v>
      </c>
      <c r="S4503" s="14" t="s">
        <v>2302</v>
      </c>
    </row>
    <row r="4504">
      <c r="A4504" s="13">
        <v>45901.0</v>
      </c>
      <c r="B4504" s="14" t="s">
        <v>47</v>
      </c>
      <c r="C4504" s="14" t="s">
        <v>48</v>
      </c>
      <c r="D4504" s="14" t="s">
        <v>121</v>
      </c>
      <c r="E4504" s="14" t="s">
        <v>122</v>
      </c>
      <c r="F4504" s="15" t="s">
        <v>51</v>
      </c>
      <c r="G4504" s="14" t="s">
        <v>123</v>
      </c>
      <c r="H4504" s="14" t="s">
        <v>124</v>
      </c>
      <c r="I4504" s="14" t="s">
        <v>59</v>
      </c>
      <c r="J4504" s="14" t="s">
        <v>200</v>
      </c>
      <c r="K4504" s="14" t="s">
        <v>227</v>
      </c>
      <c r="L4504" s="14" t="s">
        <v>270</v>
      </c>
      <c r="M4504" s="14" t="s">
        <v>417</v>
      </c>
      <c r="N4504" s="14" t="s">
        <v>418</v>
      </c>
      <c r="O4504" s="14">
        <v>0.0</v>
      </c>
      <c r="P4504" s="21">
        <v>0.0</v>
      </c>
      <c r="Q4504" s="22" t="str">
        <f>"+0"</f>
        <v>+0</v>
      </c>
      <c r="R4504" s="18" t="str">
        <f>"-1"</f>
        <v>-1</v>
      </c>
      <c r="S4504" s="14" t="s">
        <v>260</v>
      </c>
    </row>
    <row r="4505">
      <c r="A4505" s="13">
        <v>45901.0</v>
      </c>
      <c r="B4505" s="14" t="s">
        <v>47</v>
      </c>
      <c r="C4505" s="14" t="s">
        <v>48</v>
      </c>
      <c r="D4505" s="14" t="s">
        <v>121</v>
      </c>
      <c r="E4505" s="14" t="s">
        <v>122</v>
      </c>
      <c r="F4505" s="15" t="s">
        <v>51</v>
      </c>
      <c r="G4505" s="14" t="s">
        <v>123</v>
      </c>
      <c r="H4505" s="14" t="s">
        <v>124</v>
      </c>
      <c r="I4505" s="14" t="s">
        <v>59</v>
      </c>
      <c r="J4505" s="14" t="s">
        <v>200</v>
      </c>
      <c r="K4505" s="14" t="s">
        <v>204</v>
      </c>
      <c r="L4505" s="14" t="s">
        <v>253</v>
      </c>
      <c r="M4505" s="14" t="s">
        <v>490</v>
      </c>
      <c r="N4505" s="14" t="s">
        <v>491</v>
      </c>
      <c r="O4505" s="14">
        <v>0.0</v>
      </c>
      <c r="P4505" s="23">
        <v>0.0</v>
      </c>
      <c r="Q4505" s="22" t="str">
        <f t="shared" ref="Q4505:R4505" si="2693">"+0.00%"</f>
        <v>+0.00%</v>
      </c>
      <c r="R4505" s="18" t="str">
        <f t="shared" si="2693"/>
        <v>+0.00%</v>
      </c>
      <c r="S4505" s="14" t="s">
        <v>492</v>
      </c>
    </row>
    <row r="4506">
      <c r="A4506" s="13">
        <v>45901.0</v>
      </c>
      <c r="B4506" s="14" t="s">
        <v>47</v>
      </c>
      <c r="C4506" s="14" t="s">
        <v>48</v>
      </c>
      <c r="D4506" s="14" t="s">
        <v>165</v>
      </c>
      <c r="E4506" s="14" t="s">
        <v>166</v>
      </c>
      <c r="F4506" s="15" t="s">
        <v>51</v>
      </c>
      <c r="G4506" s="14" t="s">
        <v>167</v>
      </c>
      <c r="H4506" s="14" t="s">
        <v>165</v>
      </c>
      <c r="I4506" s="14" t="s">
        <v>54</v>
      </c>
      <c r="J4506" s="14" t="s">
        <v>200</v>
      </c>
      <c r="K4506" s="14" t="s">
        <v>211</v>
      </c>
      <c r="L4506" s="14" t="s">
        <v>253</v>
      </c>
      <c r="M4506" s="14" t="s">
        <v>1024</v>
      </c>
      <c r="N4506" s="14" t="s">
        <v>1025</v>
      </c>
      <c r="O4506" s="14">
        <v>0.0</v>
      </c>
      <c r="P4506" s="23">
        <v>0.0</v>
      </c>
      <c r="Q4506" s="22" t="str">
        <f t="shared" ref="Q4506:R4506" si="2694">"+0.00%"</f>
        <v>+0.00%</v>
      </c>
      <c r="R4506" s="18" t="str">
        <f t="shared" si="2694"/>
        <v>+0.00%</v>
      </c>
      <c r="S4506" s="14" t="s">
        <v>2303</v>
      </c>
    </row>
    <row r="4507">
      <c r="A4507" s="13">
        <v>45901.0</v>
      </c>
      <c r="B4507" s="14" t="s">
        <v>47</v>
      </c>
      <c r="C4507" s="14" t="s">
        <v>48</v>
      </c>
      <c r="D4507" s="14" t="s">
        <v>49</v>
      </c>
      <c r="E4507" s="14" t="s">
        <v>50</v>
      </c>
      <c r="F4507" s="15" t="s">
        <v>51</v>
      </c>
      <c r="G4507" s="14" t="s">
        <v>52</v>
      </c>
      <c r="H4507" s="14" t="s">
        <v>53</v>
      </c>
      <c r="I4507" s="14" t="s">
        <v>54</v>
      </c>
      <c r="J4507" s="14" t="s">
        <v>199</v>
      </c>
      <c r="K4507" s="14" t="s">
        <v>208</v>
      </c>
      <c r="L4507" s="14" t="s">
        <v>412</v>
      </c>
      <c r="M4507" s="14" t="s">
        <v>412</v>
      </c>
      <c r="N4507" s="14" t="s">
        <v>413</v>
      </c>
      <c r="O4507" s="14">
        <v>100.0</v>
      </c>
      <c r="P4507" s="21">
        <v>19.0</v>
      </c>
      <c r="Q4507" s="22" t="str">
        <f t="shared" ref="Q4507:R4507" si="2695">"+0"</f>
        <v>+0</v>
      </c>
      <c r="R4507" s="18" t="str">
        <f t="shared" si="2695"/>
        <v>+0</v>
      </c>
      <c r="S4507" s="14" t="s">
        <v>260</v>
      </c>
    </row>
    <row r="4508">
      <c r="A4508" s="13">
        <v>45901.0</v>
      </c>
      <c r="B4508" s="14" t="s">
        <v>47</v>
      </c>
      <c r="C4508" s="14" t="s">
        <v>48</v>
      </c>
      <c r="D4508" s="14" t="s">
        <v>91</v>
      </c>
      <c r="E4508" s="14" t="s">
        <v>92</v>
      </c>
      <c r="F4508" s="14" t="s">
        <v>71</v>
      </c>
      <c r="G4508" s="14">
        <v>5.10000484E8</v>
      </c>
      <c r="H4508" s="14" t="s">
        <v>91</v>
      </c>
      <c r="I4508" s="14" t="s">
        <v>54</v>
      </c>
      <c r="J4508" s="14" t="s">
        <v>199</v>
      </c>
      <c r="K4508" s="14" t="s">
        <v>203</v>
      </c>
      <c r="L4508" s="14" t="s">
        <v>1083</v>
      </c>
      <c r="M4508" s="14" t="s">
        <v>1083</v>
      </c>
      <c r="N4508" s="14" t="s">
        <v>1084</v>
      </c>
      <c r="O4508" s="14">
        <v>100.0</v>
      </c>
      <c r="P4508" s="21">
        <v>2.0</v>
      </c>
      <c r="Q4508" s="22" t="str">
        <f t="shared" ref="Q4508:Q4512" si="2696">"+0"</f>
        <v>+0</v>
      </c>
      <c r="R4508" s="18" t="str">
        <f>"+1"</f>
        <v>+1</v>
      </c>
      <c r="S4508" s="14" t="s">
        <v>260</v>
      </c>
    </row>
    <row r="4509">
      <c r="A4509" s="13">
        <v>45901.0</v>
      </c>
      <c r="B4509" s="14" t="s">
        <v>47</v>
      </c>
      <c r="C4509" s="14" t="s">
        <v>48</v>
      </c>
      <c r="D4509" s="14" t="s">
        <v>99</v>
      </c>
      <c r="E4509" s="14" t="s">
        <v>100</v>
      </c>
      <c r="F4509" s="15" t="s">
        <v>51</v>
      </c>
      <c r="G4509" s="14" t="s">
        <v>101</v>
      </c>
      <c r="H4509" s="14" t="s">
        <v>102</v>
      </c>
      <c r="I4509" s="14" t="s">
        <v>54</v>
      </c>
      <c r="J4509" s="14" t="s">
        <v>198</v>
      </c>
      <c r="K4509" s="14" t="s">
        <v>210</v>
      </c>
      <c r="L4509" s="14" t="s">
        <v>264</v>
      </c>
      <c r="M4509" s="14" t="s">
        <v>357</v>
      </c>
      <c r="N4509" s="14" t="s">
        <v>358</v>
      </c>
      <c r="O4509" s="14">
        <v>100.0</v>
      </c>
      <c r="P4509" s="21">
        <v>0.0</v>
      </c>
      <c r="Q4509" s="22" t="str">
        <f t="shared" si="2696"/>
        <v>+0</v>
      </c>
      <c r="R4509" s="18" t="str">
        <f t="shared" ref="R4509:R4511" si="2697">"+0"</f>
        <v>+0</v>
      </c>
      <c r="S4509" s="14" t="s">
        <v>281</v>
      </c>
    </row>
    <row r="4510">
      <c r="A4510" s="13">
        <v>45901.0</v>
      </c>
      <c r="B4510" s="14" t="s">
        <v>47</v>
      </c>
      <c r="C4510" s="14" t="s">
        <v>48</v>
      </c>
      <c r="D4510" s="14" t="s">
        <v>91</v>
      </c>
      <c r="E4510" s="14" t="s">
        <v>92</v>
      </c>
      <c r="F4510" s="14" t="s">
        <v>146</v>
      </c>
      <c r="G4510" s="14" t="s">
        <v>147</v>
      </c>
      <c r="H4510" s="14" t="s">
        <v>91</v>
      </c>
      <c r="I4510" s="14" t="s">
        <v>107</v>
      </c>
      <c r="J4510" s="14" t="s">
        <v>200</v>
      </c>
      <c r="K4510" s="14" t="s">
        <v>226</v>
      </c>
      <c r="L4510" s="14" t="s">
        <v>1105</v>
      </c>
      <c r="M4510" s="14" t="s">
        <v>1147</v>
      </c>
      <c r="N4510" s="14" t="s">
        <v>1148</v>
      </c>
      <c r="O4510" s="14">
        <v>0.0</v>
      </c>
      <c r="P4510" s="21">
        <v>0.0</v>
      </c>
      <c r="Q4510" s="22" t="str">
        <f t="shared" si="2696"/>
        <v>+0</v>
      </c>
      <c r="R4510" s="18" t="str">
        <f t="shared" si="2697"/>
        <v>+0</v>
      </c>
      <c r="S4510" s="14" t="s">
        <v>260</v>
      </c>
    </row>
    <row r="4511">
      <c r="A4511" s="13">
        <v>45901.0</v>
      </c>
      <c r="B4511" s="14" t="s">
        <v>47</v>
      </c>
      <c r="C4511" s="14" t="s">
        <v>48</v>
      </c>
      <c r="D4511" s="14" t="s">
        <v>192</v>
      </c>
      <c r="E4511" s="14" t="s">
        <v>193</v>
      </c>
      <c r="F4511" s="15" t="s">
        <v>51</v>
      </c>
      <c r="G4511" s="14" t="s">
        <v>194</v>
      </c>
      <c r="H4511" s="14" t="s">
        <v>192</v>
      </c>
      <c r="I4511" s="14" t="s">
        <v>54</v>
      </c>
      <c r="J4511" s="14" t="s">
        <v>198</v>
      </c>
      <c r="K4511" s="14" t="s">
        <v>210</v>
      </c>
      <c r="L4511" s="14" t="s">
        <v>458</v>
      </c>
      <c r="M4511" s="14" t="s">
        <v>742</v>
      </c>
      <c r="N4511" s="14" t="s">
        <v>743</v>
      </c>
      <c r="O4511" s="14">
        <v>0.0</v>
      </c>
      <c r="P4511" s="21">
        <v>0.0</v>
      </c>
      <c r="Q4511" s="22" t="str">
        <f t="shared" si="2696"/>
        <v>+0</v>
      </c>
      <c r="R4511" s="18" t="str">
        <f t="shared" si="2697"/>
        <v>+0</v>
      </c>
      <c r="S4511" s="14" t="s">
        <v>277</v>
      </c>
    </row>
    <row r="4512">
      <c r="A4512" s="13">
        <v>45901.0</v>
      </c>
      <c r="B4512" s="14" t="s">
        <v>47</v>
      </c>
      <c r="C4512" s="14" t="s">
        <v>48</v>
      </c>
      <c r="D4512" s="14" t="s">
        <v>143</v>
      </c>
      <c r="E4512" s="14" t="s">
        <v>144</v>
      </c>
      <c r="F4512" s="15" t="s">
        <v>51</v>
      </c>
      <c r="G4512" s="14" t="s">
        <v>145</v>
      </c>
      <c r="H4512" s="14" t="s">
        <v>143</v>
      </c>
      <c r="I4512" s="14" t="s">
        <v>59</v>
      </c>
      <c r="J4512" s="14" t="s">
        <v>198</v>
      </c>
      <c r="K4512" s="14" t="s">
        <v>205</v>
      </c>
      <c r="L4512" s="14" t="s">
        <v>274</v>
      </c>
      <c r="M4512" s="14" t="s">
        <v>387</v>
      </c>
      <c r="N4512" s="14" t="s">
        <v>388</v>
      </c>
      <c r="O4512" s="14">
        <v>100.0</v>
      </c>
      <c r="P4512" s="21">
        <v>1.0</v>
      </c>
      <c r="Q4512" s="22" t="str">
        <f t="shared" si="2696"/>
        <v>+0</v>
      </c>
      <c r="S4512" s="14" t="s">
        <v>281</v>
      </c>
    </row>
    <row r="4513">
      <c r="A4513" s="13">
        <v>45901.0</v>
      </c>
      <c r="B4513" s="14" t="s">
        <v>47</v>
      </c>
      <c r="C4513" s="14" t="s">
        <v>48</v>
      </c>
      <c r="D4513" s="14" t="s">
        <v>103</v>
      </c>
      <c r="E4513" s="14" t="s">
        <v>104</v>
      </c>
      <c r="F4513" s="15" t="s">
        <v>51</v>
      </c>
      <c r="G4513" s="14" t="s">
        <v>105</v>
      </c>
      <c r="H4513" s="14" t="s">
        <v>106</v>
      </c>
      <c r="I4513" s="14" t="s">
        <v>59</v>
      </c>
      <c r="J4513" s="14" t="s">
        <v>200</v>
      </c>
      <c r="K4513" s="14" t="s">
        <v>232</v>
      </c>
      <c r="L4513" s="14" t="s">
        <v>375</v>
      </c>
      <c r="M4513" s="14" t="s">
        <v>902</v>
      </c>
      <c r="N4513" s="14" t="s">
        <v>903</v>
      </c>
      <c r="O4513" s="14">
        <v>0.0</v>
      </c>
      <c r="P4513" s="23">
        <v>0.0</v>
      </c>
      <c r="Q4513" s="22" t="str">
        <f t="shared" ref="Q4513:R4513" si="2698">"+0.00%"</f>
        <v>+0.00%</v>
      </c>
      <c r="R4513" s="18" t="str">
        <f t="shared" si="2698"/>
        <v>+0.00%</v>
      </c>
      <c r="S4513" s="14" t="s">
        <v>285</v>
      </c>
    </row>
    <row r="4514">
      <c r="A4514" s="13">
        <v>45901.0</v>
      </c>
      <c r="B4514" s="14" t="s">
        <v>47</v>
      </c>
      <c r="C4514" s="14" t="s">
        <v>48</v>
      </c>
      <c r="D4514" s="14" t="s">
        <v>132</v>
      </c>
      <c r="E4514" s="14" t="s">
        <v>133</v>
      </c>
      <c r="F4514" s="15" t="s">
        <v>51</v>
      </c>
      <c r="G4514" s="14" t="s">
        <v>134</v>
      </c>
      <c r="H4514" s="14" t="s">
        <v>135</v>
      </c>
      <c r="I4514" s="14" t="s">
        <v>59</v>
      </c>
      <c r="J4514" s="14" t="s">
        <v>199</v>
      </c>
      <c r="K4514" s="14" t="s">
        <v>206</v>
      </c>
      <c r="L4514" s="14" t="s">
        <v>531</v>
      </c>
      <c r="M4514" s="14" t="s">
        <v>531</v>
      </c>
      <c r="N4514" s="14" t="s">
        <v>532</v>
      </c>
      <c r="O4514" s="14">
        <v>0.0</v>
      </c>
      <c r="P4514" s="21">
        <v>0.0</v>
      </c>
      <c r="Q4514" s="22" t="str">
        <f t="shared" ref="Q4514:R4514" si="2699">"+0"</f>
        <v>+0</v>
      </c>
      <c r="R4514" s="18" t="str">
        <f t="shared" si="2699"/>
        <v>+0</v>
      </c>
      <c r="S4514" s="14" t="s">
        <v>260</v>
      </c>
    </row>
    <row r="4515">
      <c r="A4515" s="13">
        <v>45901.0</v>
      </c>
      <c r="B4515" s="14" t="s">
        <v>47</v>
      </c>
      <c r="C4515" s="14" t="s">
        <v>48</v>
      </c>
      <c r="D4515" s="14" t="s">
        <v>129</v>
      </c>
      <c r="E4515" s="14" t="s">
        <v>130</v>
      </c>
      <c r="F4515" s="15" t="s">
        <v>51</v>
      </c>
      <c r="G4515" s="14" t="s">
        <v>131</v>
      </c>
      <c r="H4515" s="14" t="s">
        <v>129</v>
      </c>
      <c r="I4515" s="14" t="s">
        <v>59</v>
      </c>
      <c r="J4515" s="14" t="s">
        <v>200</v>
      </c>
      <c r="K4515" s="14" t="s">
        <v>231</v>
      </c>
      <c r="L4515" s="14" t="s">
        <v>751</v>
      </c>
      <c r="M4515" s="14" t="s">
        <v>2059</v>
      </c>
      <c r="N4515" s="14" t="s">
        <v>2060</v>
      </c>
      <c r="O4515" s="14">
        <v>0.0</v>
      </c>
      <c r="P4515" s="23">
        <v>0.0</v>
      </c>
      <c r="Q4515" s="22" t="str">
        <f t="shared" ref="Q4515:R4515" si="2700">"+0.00%"</f>
        <v>+0.00%</v>
      </c>
      <c r="R4515" s="18" t="str">
        <f t="shared" si="2700"/>
        <v>+0.00%</v>
      </c>
      <c r="S4515" s="14" t="s">
        <v>2061</v>
      </c>
    </row>
    <row r="4516">
      <c r="A4516" s="13">
        <v>45901.0</v>
      </c>
      <c r="B4516" s="14" t="s">
        <v>47</v>
      </c>
      <c r="C4516" s="14" t="s">
        <v>48</v>
      </c>
      <c r="D4516" s="14" t="s">
        <v>149</v>
      </c>
      <c r="E4516" s="14" t="s">
        <v>150</v>
      </c>
      <c r="F4516" s="15" t="s">
        <v>51</v>
      </c>
      <c r="G4516" s="14" t="s">
        <v>151</v>
      </c>
      <c r="H4516" s="14" t="s">
        <v>152</v>
      </c>
      <c r="I4516" s="14" t="s">
        <v>54</v>
      </c>
      <c r="J4516" s="14" t="s">
        <v>200</v>
      </c>
      <c r="K4516" s="14" t="s">
        <v>231</v>
      </c>
      <c r="L4516" s="14" t="s">
        <v>751</v>
      </c>
      <c r="M4516" s="14" t="s">
        <v>1051</v>
      </c>
      <c r="N4516" s="14" t="s">
        <v>1052</v>
      </c>
      <c r="O4516" s="14">
        <v>0.0</v>
      </c>
      <c r="P4516" s="21">
        <v>0.0</v>
      </c>
      <c r="Q4516" s="22" t="str">
        <f t="shared" ref="Q4516:R4516" si="2701">"+0"</f>
        <v>+0</v>
      </c>
      <c r="R4516" s="18" t="str">
        <f t="shared" si="2701"/>
        <v>+0</v>
      </c>
      <c r="S4516" s="14" t="s">
        <v>260</v>
      </c>
    </row>
    <row r="4517">
      <c r="A4517" s="13">
        <v>45901.0</v>
      </c>
      <c r="B4517" s="14" t="s">
        <v>47</v>
      </c>
      <c r="C4517" s="14" t="s">
        <v>48</v>
      </c>
      <c r="D4517" s="14" t="s">
        <v>125</v>
      </c>
      <c r="E4517" s="14" t="s">
        <v>126</v>
      </c>
      <c r="F4517" s="15" t="s">
        <v>51</v>
      </c>
      <c r="G4517" s="14" t="s">
        <v>127</v>
      </c>
      <c r="H4517" s="14" t="s">
        <v>125</v>
      </c>
      <c r="I4517" s="14" t="s">
        <v>59</v>
      </c>
      <c r="J4517" s="14" t="s">
        <v>200</v>
      </c>
      <c r="K4517" s="14" t="s">
        <v>224</v>
      </c>
      <c r="L4517" s="14" t="s">
        <v>453</v>
      </c>
      <c r="M4517" s="14" t="s">
        <v>665</v>
      </c>
      <c r="N4517" s="14" t="s">
        <v>666</v>
      </c>
      <c r="O4517" s="14">
        <v>0.0</v>
      </c>
      <c r="P4517" s="17"/>
      <c r="Q4517" s="22"/>
      <c r="S4517" s="14" t="s">
        <v>667</v>
      </c>
    </row>
    <row r="4518">
      <c r="A4518" s="13">
        <v>45901.0</v>
      </c>
      <c r="B4518" s="14" t="s">
        <v>47</v>
      </c>
      <c r="C4518" s="14" t="s">
        <v>48</v>
      </c>
      <c r="D4518" s="14" t="s">
        <v>85</v>
      </c>
      <c r="E4518" s="14" t="s">
        <v>86</v>
      </c>
      <c r="F4518" s="15" t="s">
        <v>51</v>
      </c>
      <c r="G4518" s="14" t="s">
        <v>148</v>
      </c>
      <c r="H4518" s="14" t="s">
        <v>85</v>
      </c>
      <c r="I4518" s="14" t="s">
        <v>59</v>
      </c>
      <c r="J4518" s="14" t="s">
        <v>200</v>
      </c>
      <c r="K4518" s="14" t="s">
        <v>227</v>
      </c>
      <c r="L4518" s="14" t="s">
        <v>270</v>
      </c>
      <c r="M4518" s="14" t="s">
        <v>321</v>
      </c>
      <c r="N4518" s="14" t="s">
        <v>322</v>
      </c>
      <c r="O4518" s="14">
        <v>44.0</v>
      </c>
      <c r="P4518" s="23">
        <v>-0.119</v>
      </c>
      <c r="Q4518" s="22" t="str">
        <f>"+6.70%"</f>
        <v>+6.70%</v>
      </c>
      <c r="R4518" s="18" t="str">
        <f>"-17.79%"</f>
        <v>-17.79%</v>
      </c>
      <c r="S4518" s="14" t="s">
        <v>323</v>
      </c>
    </row>
    <row r="4519">
      <c r="A4519" s="13">
        <v>45901.0</v>
      </c>
      <c r="B4519" s="14" t="s">
        <v>47</v>
      </c>
      <c r="C4519" s="14" t="s">
        <v>48</v>
      </c>
      <c r="D4519" s="14" t="s">
        <v>69</v>
      </c>
      <c r="E4519" s="14" t="s">
        <v>70</v>
      </c>
      <c r="F4519" s="15" t="s">
        <v>51</v>
      </c>
      <c r="G4519" s="14" t="s">
        <v>115</v>
      </c>
      <c r="H4519" s="14" t="s">
        <v>72</v>
      </c>
      <c r="I4519" s="14" t="s">
        <v>54</v>
      </c>
      <c r="J4519" s="14" t="s">
        <v>200</v>
      </c>
      <c r="K4519" s="14" t="s">
        <v>224</v>
      </c>
      <c r="L4519" s="14" t="s">
        <v>427</v>
      </c>
      <c r="M4519" s="14" t="s">
        <v>617</v>
      </c>
      <c r="N4519" s="14" t="s">
        <v>618</v>
      </c>
      <c r="O4519" s="14">
        <v>0.0</v>
      </c>
      <c r="P4519" s="23">
        <v>0.0</v>
      </c>
      <c r="Q4519" s="22" t="str">
        <f t="shared" ref="Q4519:R4519" si="2702">"+0.00%"</f>
        <v>+0.00%</v>
      </c>
      <c r="R4519" s="18" t="str">
        <f t="shared" si="2702"/>
        <v>+0.00%</v>
      </c>
      <c r="S4519" s="14" t="s">
        <v>619</v>
      </c>
    </row>
    <row r="4520">
      <c r="A4520" s="13">
        <v>45901.0</v>
      </c>
      <c r="B4520" s="14" t="s">
        <v>47</v>
      </c>
      <c r="C4520" s="14" t="s">
        <v>48</v>
      </c>
      <c r="D4520" s="14" t="s">
        <v>85</v>
      </c>
      <c r="E4520" s="14" t="s">
        <v>86</v>
      </c>
      <c r="F4520" s="15" t="s">
        <v>51</v>
      </c>
      <c r="G4520" s="14" t="s">
        <v>148</v>
      </c>
      <c r="H4520" s="14" t="s">
        <v>85</v>
      </c>
      <c r="I4520" s="14" t="s">
        <v>59</v>
      </c>
      <c r="J4520" s="14" t="s">
        <v>198</v>
      </c>
      <c r="K4520" s="14" t="s">
        <v>210</v>
      </c>
      <c r="L4520" s="14" t="s">
        <v>278</v>
      </c>
      <c r="M4520" s="14" t="s">
        <v>443</v>
      </c>
      <c r="N4520" s="14" t="s">
        <v>444</v>
      </c>
      <c r="O4520" s="14">
        <v>21.0</v>
      </c>
      <c r="P4520" s="21">
        <v>192.0</v>
      </c>
      <c r="Q4520" s="22" t="str">
        <f>"+18"</f>
        <v>+18</v>
      </c>
      <c r="R4520" s="18" t="str">
        <f>"-19"</f>
        <v>-19</v>
      </c>
      <c r="S4520" s="14" t="s">
        <v>1257</v>
      </c>
    </row>
    <row r="4521">
      <c r="A4521" s="13">
        <v>45901.0</v>
      </c>
      <c r="B4521" s="14" t="s">
        <v>47</v>
      </c>
      <c r="C4521" s="14" t="s">
        <v>48</v>
      </c>
      <c r="D4521" s="14" t="s">
        <v>116</v>
      </c>
      <c r="E4521" s="14" t="s">
        <v>117</v>
      </c>
      <c r="F4521" s="14" t="s">
        <v>111</v>
      </c>
      <c r="G4521" s="14">
        <v>5298600.0</v>
      </c>
      <c r="H4521" s="14" t="s">
        <v>116</v>
      </c>
      <c r="I4521" s="14" t="s">
        <v>59</v>
      </c>
      <c r="J4521" s="14" t="s">
        <v>199</v>
      </c>
      <c r="K4521" s="14" t="s">
        <v>203</v>
      </c>
      <c r="L4521" s="14" t="s">
        <v>431</v>
      </c>
      <c r="M4521" s="14" t="s">
        <v>431</v>
      </c>
      <c r="N4521" s="14" t="s">
        <v>432</v>
      </c>
      <c r="O4521" s="14">
        <v>0.0</v>
      </c>
      <c r="P4521" s="21">
        <v>0.0</v>
      </c>
      <c r="Q4521" s="22" t="str">
        <f t="shared" ref="Q4521:R4521" si="2703">"+0"</f>
        <v>+0</v>
      </c>
      <c r="R4521" s="18" t="str">
        <f t="shared" si="2703"/>
        <v>+0</v>
      </c>
      <c r="S4521" s="14" t="s">
        <v>260</v>
      </c>
    </row>
    <row r="4522">
      <c r="A4522" s="13">
        <v>45901.0</v>
      </c>
      <c r="B4522" s="14" t="s">
        <v>47</v>
      </c>
      <c r="C4522" s="14" t="s">
        <v>48</v>
      </c>
      <c r="D4522" s="14" t="s">
        <v>158</v>
      </c>
      <c r="E4522" s="14" t="s">
        <v>159</v>
      </c>
      <c r="F4522" s="15" t="s">
        <v>51</v>
      </c>
      <c r="G4522" s="14" t="s">
        <v>160</v>
      </c>
      <c r="H4522" s="14" t="s">
        <v>158</v>
      </c>
      <c r="I4522" s="14" t="s">
        <v>54</v>
      </c>
      <c r="J4522" s="14" t="s">
        <v>198</v>
      </c>
      <c r="K4522" s="14" t="s">
        <v>205</v>
      </c>
      <c r="L4522" s="14" t="s">
        <v>274</v>
      </c>
      <c r="M4522" s="14" t="s">
        <v>575</v>
      </c>
      <c r="N4522" s="14" t="s">
        <v>576</v>
      </c>
      <c r="O4522" s="14">
        <v>100.0</v>
      </c>
      <c r="P4522" s="21">
        <v>90.0</v>
      </c>
      <c r="Q4522" s="22" t="str">
        <f t="shared" ref="Q4522:Q4525" si="2704">"+0"</f>
        <v>+0</v>
      </c>
      <c r="S4522" s="14" t="s">
        <v>577</v>
      </c>
    </row>
    <row r="4523">
      <c r="A4523" s="13">
        <v>45901.0</v>
      </c>
      <c r="B4523" s="14" t="s">
        <v>47</v>
      </c>
      <c r="C4523" s="14" t="s">
        <v>48</v>
      </c>
      <c r="D4523" s="14" t="s">
        <v>112</v>
      </c>
      <c r="E4523" s="14" t="s">
        <v>113</v>
      </c>
      <c r="F4523" s="15" t="s">
        <v>51</v>
      </c>
      <c r="G4523" s="14" t="s">
        <v>114</v>
      </c>
      <c r="H4523" s="14" t="s">
        <v>112</v>
      </c>
      <c r="I4523" s="14" t="s">
        <v>59</v>
      </c>
      <c r="J4523" s="14" t="s">
        <v>199</v>
      </c>
      <c r="K4523" s="14" t="s">
        <v>203</v>
      </c>
      <c r="L4523" s="14" t="s">
        <v>340</v>
      </c>
      <c r="M4523" s="14" t="s">
        <v>340</v>
      </c>
      <c r="N4523" s="14" t="s">
        <v>341</v>
      </c>
      <c r="O4523" s="14">
        <v>0.0</v>
      </c>
      <c r="P4523" s="21">
        <v>0.0</v>
      </c>
      <c r="Q4523" s="22" t="str">
        <f t="shared" si="2704"/>
        <v>+0</v>
      </c>
      <c r="R4523" s="18" t="str">
        <f t="shared" ref="R4523:R4525" si="2705">"+0"</f>
        <v>+0</v>
      </c>
      <c r="S4523" s="14" t="s">
        <v>260</v>
      </c>
    </row>
    <row r="4524">
      <c r="A4524" s="13">
        <v>45901.0</v>
      </c>
      <c r="B4524" s="14" t="s">
        <v>47</v>
      </c>
      <c r="C4524" s="14" t="s">
        <v>48</v>
      </c>
      <c r="D4524" s="14" t="s">
        <v>158</v>
      </c>
      <c r="E4524" s="14" t="s">
        <v>159</v>
      </c>
      <c r="F4524" s="15" t="s">
        <v>51</v>
      </c>
      <c r="G4524" s="14" t="s">
        <v>160</v>
      </c>
      <c r="H4524" s="14" t="s">
        <v>158</v>
      </c>
      <c r="I4524" s="14" t="s">
        <v>54</v>
      </c>
      <c r="J4524" s="14" t="s">
        <v>198</v>
      </c>
      <c r="K4524" s="14" t="s">
        <v>210</v>
      </c>
      <c r="L4524" s="14" t="s">
        <v>264</v>
      </c>
      <c r="M4524" s="14" t="s">
        <v>559</v>
      </c>
      <c r="N4524" s="14" t="s">
        <v>560</v>
      </c>
      <c r="O4524" s="14">
        <v>0.0</v>
      </c>
      <c r="P4524" s="21">
        <v>0.0</v>
      </c>
      <c r="Q4524" s="22" t="str">
        <f t="shared" si="2704"/>
        <v>+0</v>
      </c>
      <c r="R4524" s="18" t="str">
        <f t="shared" si="2705"/>
        <v>+0</v>
      </c>
      <c r="S4524" s="14" t="s">
        <v>277</v>
      </c>
    </row>
    <row r="4525">
      <c r="A4525" s="13">
        <v>45901.0</v>
      </c>
      <c r="B4525" s="14" t="s">
        <v>47</v>
      </c>
      <c r="C4525" s="14" t="s">
        <v>48</v>
      </c>
      <c r="D4525" s="14" t="s">
        <v>181</v>
      </c>
      <c r="E4525" s="14" t="s">
        <v>182</v>
      </c>
      <c r="F4525" s="15" t="s">
        <v>51</v>
      </c>
      <c r="G4525" s="14" t="s">
        <v>183</v>
      </c>
      <c r="H4525" s="14" t="s">
        <v>181</v>
      </c>
      <c r="I4525" s="14" t="s">
        <v>59</v>
      </c>
      <c r="J4525" s="14" t="s">
        <v>199</v>
      </c>
      <c r="K4525" s="14" t="s">
        <v>208</v>
      </c>
      <c r="L4525" s="14" t="s">
        <v>352</v>
      </c>
      <c r="M4525" s="14" t="s">
        <v>352</v>
      </c>
      <c r="N4525" s="14" t="s">
        <v>353</v>
      </c>
      <c r="O4525" s="14">
        <v>100.0</v>
      </c>
      <c r="P4525" s="21">
        <v>7.0</v>
      </c>
      <c r="Q4525" s="22" t="str">
        <f t="shared" si="2704"/>
        <v>+0</v>
      </c>
      <c r="R4525" s="18" t="str">
        <f t="shared" si="2705"/>
        <v>+0</v>
      </c>
      <c r="S4525" s="14" t="s">
        <v>260</v>
      </c>
    </row>
    <row r="4526">
      <c r="A4526" s="13">
        <v>45901.0</v>
      </c>
      <c r="B4526" s="14" t="s">
        <v>47</v>
      </c>
      <c r="C4526" s="14" t="s">
        <v>48</v>
      </c>
      <c r="D4526" s="14" t="s">
        <v>49</v>
      </c>
      <c r="E4526" s="14" t="s">
        <v>50</v>
      </c>
      <c r="F4526" s="15" t="s">
        <v>51</v>
      </c>
      <c r="G4526" s="14" t="s">
        <v>52</v>
      </c>
      <c r="H4526" s="14" t="s">
        <v>53</v>
      </c>
      <c r="I4526" s="14" t="s">
        <v>54</v>
      </c>
      <c r="J4526" s="14" t="s">
        <v>200</v>
      </c>
      <c r="K4526" s="14" t="s">
        <v>228</v>
      </c>
      <c r="L4526" s="14" t="s">
        <v>253</v>
      </c>
      <c r="M4526" s="14" t="s">
        <v>1165</v>
      </c>
      <c r="N4526" s="14" t="s">
        <v>1166</v>
      </c>
      <c r="O4526" s="14">
        <v>40.0</v>
      </c>
      <c r="P4526" s="23">
        <v>0.4058</v>
      </c>
      <c r="Q4526" s="22" t="str">
        <f>"-0.39%"</f>
        <v>-0.39%</v>
      </c>
      <c r="R4526" s="18" t="str">
        <f>"-1.29%"</f>
        <v>-1.29%</v>
      </c>
      <c r="S4526" s="14" t="s">
        <v>1747</v>
      </c>
    </row>
    <row r="4527">
      <c r="A4527" s="13">
        <v>45901.0</v>
      </c>
      <c r="B4527" s="14" t="s">
        <v>47</v>
      </c>
      <c r="C4527" s="14" t="s">
        <v>48</v>
      </c>
      <c r="D4527" s="14" t="s">
        <v>49</v>
      </c>
      <c r="E4527" s="14" t="s">
        <v>50</v>
      </c>
      <c r="F4527" s="15" t="s">
        <v>51</v>
      </c>
      <c r="G4527" s="14" t="s">
        <v>52</v>
      </c>
      <c r="H4527" s="14" t="s">
        <v>53</v>
      </c>
      <c r="I4527" s="14" t="s">
        <v>54</v>
      </c>
      <c r="J4527" s="14" t="s">
        <v>198</v>
      </c>
      <c r="K4527" s="14" t="s">
        <v>210</v>
      </c>
      <c r="L4527" s="14" t="s">
        <v>458</v>
      </c>
      <c r="M4527" s="14" t="s">
        <v>1489</v>
      </c>
      <c r="N4527" s="14" t="s">
        <v>1490</v>
      </c>
      <c r="O4527" s="14">
        <v>100.0</v>
      </c>
      <c r="P4527" s="21">
        <v>1.0</v>
      </c>
      <c r="Q4527" s="22" t="str">
        <f t="shared" ref="Q4527:R4527" si="2706">"+1"</f>
        <v>+1</v>
      </c>
      <c r="R4527" s="18" t="str">
        <f t="shared" si="2706"/>
        <v>+1</v>
      </c>
      <c r="S4527" s="14" t="s">
        <v>277</v>
      </c>
    </row>
    <row r="4528">
      <c r="A4528" s="13">
        <v>45901.0</v>
      </c>
      <c r="B4528" s="14" t="s">
        <v>47</v>
      </c>
      <c r="C4528" s="14" t="s">
        <v>48</v>
      </c>
      <c r="D4528" s="14" t="s">
        <v>63</v>
      </c>
      <c r="E4528" s="14" t="s">
        <v>64</v>
      </c>
      <c r="F4528" s="15" t="s">
        <v>51</v>
      </c>
      <c r="G4528" s="14" t="s">
        <v>65</v>
      </c>
      <c r="H4528" s="14" t="s">
        <v>63</v>
      </c>
      <c r="I4528" s="14" t="s">
        <v>54</v>
      </c>
      <c r="J4528" s="14" t="s">
        <v>198</v>
      </c>
      <c r="K4528" s="14" t="s">
        <v>210</v>
      </c>
      <c r="L4528" s="14" t="s">
        <v>264</v>
      </c>
      <c r="M4528" s="14" t="s">
        <v>918</v>
      </c>
      <c r="N4528" s="14" t="s">
        <v>919</v>
      </c>
      <c r="O4528" s="14">
        <v>0.0</v>
      </c>
      <c r="P4528" s="21">
        <v>0.0</v>
      </c>
      <c r="Q4528" s="22" t="str">
        <f t="shared" ref="Q4528:R4528" si="2707">"+0"</f>
        <v>+0</v>
      </c>
      <c r="R4528" s="18" t="str">
        <f t="shared" si="2707"/>
        <v>+0</v>
      </c>
      <c r="S4528" s="14" t="s">
        <v>277</v>
      </c>
    </row>
    <row r="4529">
      <c r="A4529" s="13">
        <v>45901.0</v>
      </c>
      <c r="B4529" s="14" t="s">
        <v>47</v>
      </c>
      <c r="C4529" s="14" t="s">
        <v>48</v>
      </c>
      <c r="D4529" s="14" t="s">
        <v>91</v>
      </c>
      <c r="E4529" s="14" t="s">
        <v>92</v>
      </c>
      <c r="F4529" s="14" t="s">
        <v>71</v>
      </c>
      <c r="G4529" s="14">
        <v>1.00005882E8</v>
      </c>
      <c r="H4529" s="14" t="s">
        <v>91</v>
      </c>
      <c r="I4529" s="14" t="s">
        <v>59</v>
      </c>
      <c r="J4529" s="14" t="s">
        <v>200</v>
      </c>
      <c r="K4529" s="14" t="s">
        <v>218</v>
      </c>
      <c r="L4529" s="14" t="s">
        <v>253</v>
      </c>
      <c r="M4529" s="14" t="s">
        <v>1202</v>
      </c>
      <c r="N4529" s="14" t="s">
        <v>1203</v>
      </c>
      <c r="O4529" s="14">
        <v>8.0</v>
      </c>
      <c r="P4529" s="23">
        <v>0.0888</v>
      </c>
      <c r="Q4529" s="22" t="str">
        <f>"-1.06%"</f>
        <v>-1.06%</v>
      </c>
      <c r="R4529" s="18" t="str">
        <f>"-3.04%"</f>
        <v>-3.04%</v>
      </c>
      <c r="S4529" s="14" t="s">
        <v>786</v>
      </c>
    </row>
    <row r="4530">
      <c r="A4530" s="13">
        <v>45901.0</v>
      </c>
      <c r="B4530" s="14" t="s">
        <v>47</v>
      </c>
      <c r="C4530" s="14" t="s">
        <v>48</v>
      </c>
      <c r="D4530" s="14" t="s">
        <v>63</v>
      </c>
      <c r="E4530" s="14" t="s">
        <v>64</v>
      </c>
      <c r="F4530" s="15" t="s">
        <v>51</v>
      </c>
      <c r="G4530" s="14" t="s">
        <v>65</v>
      </c>
      <c r="H4530" s="14" t="s">
        <v>63</v>
      </c>
      <c r="I4530" s="14" t="s">
        <v>54</v>
      </c>
      <c r="J4530" s="14" t="s">
        <v>198</v>
      </c>
      <c r="K4530" s="14" t="s">
        <v>212</v>
      </c>
      <c r="L4530" s="14" t="s">
        <v>249</v>
      </c>
      <c r="M4530" s="14" t="s">
        <v>686</v>
      </c>
      <c r="N4530" s="14" t="s">
        <v>687</v>
      </c>
      <c r="O4530" s="14">
        <v>0.0</v>
      </c>
      <c r="P4530" s="21">
        <v>0.0</v>
      </c>
      <c r="Q4530" s="22" t="str">
        <f t="shared" ref="Q4530:R4530" si="2708">"+0"</f>
        <v>+0</v>
      </c>
      <c r="R4530" s="18" t="str">
        <f t="shared" si="2708"/>
        <v>+0</v>
      </c>
      <c r="S4530" s="14" t="s">
        <v>277</v>
      </c>
    </row>
    <row r="4531">
      <c r="A4531" s="13">
        <v>45901.0</v>
      </c>
      <c r="B4531" s="14" t="s">
        <v>47</v>
      </c>
      <c r="C4531" s="14" t="s">
        <v>48</v>
      </c>
      <c r="D4531" s="14" t="s">
        <v>99</v>
      </c>
      <c r="E4531" s="14" t="s">
        <v>100</v>
      </c>
      <c r="F4531" s="15" t="s">
        <v>51</v>
      </c>
      <c r="G4531" s="14" t="s">
        <v>101</v>
      </c>
      <c r="H4531" s="14" t="s">
        <v>102</v>
      </c>
      <c r="I4531" s="14" t="s">
        <v>54</v>
      </c>
      <c r="J4531" s="14" t="s">
        <v>200</v>
      </c>
      <c r="K4531" s="14" t="s">
        <v>209</v>
      </c>
      <c r="L4531" s="14" t="s">
        <v>253</v>
      </c>
      <c r="M4531" s="14" t="s">
        <v>402</v>
      </c>
      <c r="N4531" s="14" t="s">
        <v>403</v>
      </c>
      <c r="O4531" s="14">
        <v>12.0</v>
      </c>
      <c r="P4531" s="23">
        <v>0.1282</v>
      </c>
      <c r="Q4531" s="22" t="str">
        <f>"+0.10%"</f>
        <v>+0.10%</v>
      </c>
      <c r="R4531" s="18" t="str">
        <f>"+0.31%"</f>
        <v>+0.31%</v>
      </c>
      <c r="S4531" s="14" t="s">
        <v>2304</v>
      </c>
    </row>
    <row r="4532">
      <c r="A4532" s="13">
        <v>45901.0</v>
      </c>
      <c r="B4532" s="14" t="s">
        <v>47</v>
      </c>
      <c r="C4532" s="14" t="s">
        <v>48</v>
      </c>
      <c r="D4532" s="14" t="s">
        <v>99</v>
      </c>
      <c r="E4532" s="14" t="s">
        <v>100</v>
      </c>
      <c r="F4532" s="15" t="s">
        <v>51</v>
      </c>
      <c r="G4532" s="14" t="s">
        <v>101</v>
      </c>
      <c r="H4532" s="14" t="s">
        <v>102</v>
      </c>
      <c r="I4532" s="14" t="s">
        <v>54</v>
      </c>
      <c r="J4532" s="14" t="s">
        <v>198</v>
      </c>
      <c r="K4532" s="14" t="s">
        <v>210</v>
      </c>
      <c r="L4532" s="14" t="s">
        <v>278</v>
      </c>
      <c r="M4532" s="14" t="s">
        <v>1005</v>
      </c>
      <c r="N4532" s="14" t="s">
        <v>1006</v>
      </c>
      <c r="O4532" s="14">
        <v>0.0</v>
      </c>
      <c r="P4532" s="21">
        <v>0.0</v>
      </c>
      <c r="Q4532" s="22" t="str">
        <f t="shared" ref="Q4532:R4532" si="2709">"+0"</f>
        <v>+0</v>
      </c>
      <c r="R4532" s="18" t="str">
        <f t="shared" si="2709"/>
        <v>+0</v>
      </c>
      <c r="S4532" s="14" t="s">
        <v>277</v>
      </c>
    </row>
    <row r="4533">
      <c r="A4533" s="13">
        <v>45901.0</v>
      </c>
      <c r="B4533" s="14" t="s">
        <v>47</v>
      </c>
      <c r="C4533" s="14" t="s">
        <v>48</v>
      </c>
      <c r="D4533" s="14" t="s">
        <v>82</v>
      </c>
      <c r="E4533" s="14" t="s">
        <v>83</v>
      </c>
      <c r="F4533" s="15" t="s">
        <v>51</v>
      </c>
      <c r="G4533" s="14" t="s">
        <v>84</v>
      </c>
      <c r="H4533" s="14" t="s">
        <v>82</v>
      </c>
      <c r="I4533" s="14" t="s">
        <v>59</v>
      </c>
      <c r="J4533" s="14" t="s">
        <v>200</v>
      </c>
      <c r="K4533" s="14" t="s">
        <v>213</v>
      </c>
      <c r="L4533" s="14" t="s">
        <v>359</v>
      </c>
      <c r="M4533" s="14" t="s">
        <v>360</v>
      </c>
      <c r="N4533" s="14" t="s">
        <v>361</v>
      </c>
      <c r="O4533" s="14">
        <v>0.0</v>
      </c>
      <c r="P4533" s="23">
        <v>0.0</v>
      </c>
      <c r="Q4533" s="22" t="str">
        <f t="shared" ref="Q4533:R4533" si="2710">"+0.00%"</f>
        <v>+0.00%</v>
      </c>
      <c r="R4533" s="18" t="str">
        <f t="shared" si="2710"/>
        <v>+0.00%</v>
      </c>
      <c r="S4533" s="14" t="s">
        <v>2305</v>
      </c>
    </row>
    <row r="4534">
      <c r="A4534" s="13">
        <v>45901.0</v>
      </c>
      <c r="B4534" s="14" t="s">
        <v>47</v>
      </c>
      <c r="C4534" s="14" t="s">
        <v>48</v>
      </c>
      <c r="D4534" s="14" t="s">
        <v>192</v>
      </c>
      <c r="E4534" s="14" t="s">
        <v>193</v>
      </c>
      <c r="F4534" s="15" t="s">
        <v>51</v>
      </c>
      <c r="G4534" s="14" t="s">
        <v>194</v>
      </c>
      <c r="H4534" s="14" t="s">
        <v>192</v>
      </c>
      <c r="I4534" s="14" t="s">
        <v>54</v>
      </c>
      <c r="J4534" s="14" t="s">
        <v>198</v>
      </c>
      <c r="K4534" s="14" t="s">
        <v>210</v>
      </c>
      <c r="L4534" s="14" t="s">
        <v>264</v>
      </c>
      <c r="M4534" s="14" t="s">
        <v>313</v>
      </c>
      <c r="N4534" s="14" t="s">
        <v>314</v>
      </c>
      <c r="O4534" s="14">
        <v>0.0</v>
      </c>
      <c r="P4534" s="21">
        <v>0.0</v>
      </c>
      <c r="Q4534" s="22" t="str">
        <f t="shared" ref="Q4534:R4534" si="2711">"+0"</f>
        <v>+0</v>
      </c>
      <c r="R4534" s="18" t="str">
        <f t="shared" si="2711"/>
        <v>+0</v>
      </c>
      <c r="S4534" s="14" t="s">
        <v>277</v>
      </c>
    </row>
    <row r="4535">
      <c r="A4535" s="13">
        <v>45901.0</v>
      </c>
      <c r="B4535" s="14" t="s">
        <v>47</v>
      </c>
      <c r="C4535" s="14" t="s">
        <v>48</v>
      </c>
      <c r="D4535" s="14" t="s">
        <v>66</v>
      </c>
      <c r="E4535" s="14" t="s">
        <v>67</v>
      </c>
      <c r="F4535" s="15" t="s">
        <v>51</v>
      </c>
      <c r="G4535" s="14" t="s">
        <v>68</v>
      </c>
      <c r="H4535" s="14" t="s">
        <v>66</v>
      </c>
      <c r="I4535" s="14" t="s">
        <v>59</v>
      </c>
      <c r="J4535" s="14" t="s">
        <v>200</v>
      </c>
      <c r="K4535" s="14" t="s">
        <v>223</v>
      </c>
      <c r="L4535" s="14" t="s">
        <v>261</v>
      </c>
      <c r="M4535" s="14" t="s">
        <v>566</v>
      </c>
      <c r="N4535" s="14" t="s">
        <v>567</v>
      </c>
      <c r="O4535" s="14">
        <v>0.0</v>
      </c>
      <c r="P4535" s="23">
        <v>0.0</v>
      </c>
      <c r="Q4535" s="22" t="str">
        <f t="shared" ref="Q4535:R4535" si="2712">"+0.00%"</f>
        <v>+0.00%</v>
      </c>
      <c r="R4535" s="18" t="str">
        <f t="shared" si="2712"/>
        <v>+0.00%</v>
      </c>
      <c r="S4535" s="14" t="s">
        <v>481</v>
      </c>
    </row>
    <row r="4536">
      <c r="A4536" s="13">
        <v>45901.0</v>
      </c>
      <c r="B4536" s="14" t="s">
        <v>47</v>
      </c>
      <c r="C4536" s="14" t="s">
        <v>48</v>
      </c>
      <c r="D4536" s="14" t="s">
        <v>192</v>
      </c>
      <c r="E4536" s="14" t="s">
        <v>193</v>
      </c>
      <c r="F4536" s="15" t="s">
        <v>51</v>
      </c>
      <c r="G4536" s="14" t="s">
        <v>194</v>
      </c>
      <c r="H4536" s="14" t="s">
        <v>192</v>
      </c>
      <c r="I4536" s="14" t="s">
        <v>54</v>
      </c>
      <c r="J4536" s="14" t="s">
        <v>200</v>
      </c>
      <c r="K4536" s="14" t="s">
        <v>223</v>
      </c>
      <c r="L4536" s="14" t="s">
        <v>363</v>
      </c>
      <c r="M4536" s="14" t="s">
        <v>708</v>
      </c>
      <c r="N4536" s="14" t="s">
        <v>709</v>
      </c>
      <c r="O4536" s="14">
        <v>100.0</v>
      </c>
      <c r="P4536" s="23">
        <v>8.0E-4</v>
      </c>
      <c r="Q4536" s="22" t="str">
        <f t="shared" ref="Q4536:R4536" si="2713">"-0.04%"</f>
        <v>-0.04%</v>
      </c>
      <c r="R4536" s="18" t="str">
        <f t="shared" si="2713"/>
        <v>-0.04%</v>
      </c>
      <c r="S4536" s="14" t="s">
        <v>285</v>
      </c>
    </row>
    <row r="4537">
      <c r="A4537" s="13">
        <v>45901.0</v>
      </c>
      <c r="B4537" s="14" t="s">
        <v>47</v>
      </c>
      <c r="C4537" s="14" t="s">
        <v>48</v>
      </c>
      <c r="D4537" s="14" t="s">
        <v>73</v>
      </c>
      <c r="E4537" s="14" t="s">
        <v>74</v>
      </c>
      <c r="F4537" s="15" t="s">
        <v>51</v>
      </c>
      <c r="G4537" s="14" t="s">
        <v>75</v>
      </c>
      <c r="H4537" s="14" t="s">
        <v>76</v>
      </c>
      <c r="I4537" s="14" t="s">
        <v>59</v>
      </c>
      <c r="J4537" s="14" t="s">
        <v>200</v>
      </c>
      <c r="K4537" s="14" t="s">
        <v>202</v>
      </c>
      <c r="L4537" s="14" t="s">
        <v>253</v>
      </c>
      <c r="M4537" s="14" t="s">
        <v>874</v>
      </c>
      <c r="N4537" s="14" t="s">
        <v>875</v>
      </c>
      <c r="O4537" s="14">
        <v>100.0</v>
      </c>
      <c r="P4537" s="23">
        <v>1.0</v>
      </c>
      <c r="Q4537" s="22" t="str">
        <f t="shared" ref="Q4537:R4537" si="2714">"+0.00%"</f>
        <v>+0.00%</v>
      </c>
      <c r="R4537" s="18" t="str">
        <f t="shared" si="2714"/>
        <v>+0.00%</v>
      </c>
      <c r="S4537" s="14" t="s">
        <v>1947</v>
      </c>
    </row>
    <row r="4538">
      <c r="A4538" s="13">
        <v>45901.0</v>
      </c>
      <c r="B4538" s="14" t="s">
        <v>47</v>
      </c>
      <c r="C4538" s="14" t="s">
        <v>48</v>
      </c>
      <c r="D4538" s="14" t="s">
        <v>103</v>
      </c>
      <c r="E4538" s="14" t="s">
        <v>104</v>
      </c>
      <c r="F4538" s="15" t="s">
        <v>51</v>
      </c>
      <c r="G4538" s="14" t="s">
        <v>105</v>
      </c>
      <c r="H4538" s="14" t="s">
        <v>106</v>
      </c>
      <c r="I4538" s="14" t="s">
        <v>59</v>
      </c>
      <c r="J4538" s="14" t="s">
        <v>199</v>
      </c>
      <c r="K4538" s="14" t="s">
        <v>206</v>
      </c>
      <c r="L4538" s="14" t="s">
        <v>295</v>
      </c>
      <c r="M4538" s="14" t="s">
        <v>651</v>
      </c>
      <c r="N4538" s="14" t="s">
        <v>652</v>
      </c>
      <c r="O4538" s="14">
        <v>0.0</v>
      </c>
      <c r="P4538" s="21">
        <v>0.0</v>
      </c>
      <c r="Q4538" s="22" t="str">
        <f t="shared" ref="Q4538:R4538" si="2715">"+0"</f>
        <v>+0</v>
      </c>
      <c r="R4538" s="18" t="str">
        <f t="shared" si="2715"/>
        <v>+0</v>
      </c>
      <c r="S4538" s="14" t="s">
        <v>260</v>
      </c>
    </row>
    <row r="4539">
      <c r="A4539" s="13">
        <v>45901.0</v>
      </c>
      <c r="B4539" s="14" t="s">
        <v>47</v>
      </c>
      <c r="C4539" s="14" t="s">
        <v>48</v>
      </c>
      <c r="D4539" s="14" t="s">
        <v>129</v>
      </c>
      <c r="E4539" s="14" t="s">
        <v>130</v>
      </c>
      <c r="F4539" s="15" t="s">
        <v>51</v>
      </c>
      <c r="G4539" s="14" t="s">
        <v>131</v>
      </c>
      <c r="H4539" s="14" t="s">
        <v>129</v>
      </c>
      <c r="I4539" s="14" t="s">
        <v>59</v>
      </c>
      <c r="J4539" s="14" t="s">
        <v>198</v>
      </c>
      <c r="K4539" s="14" t="s">
        <v>205</v>
      </c>
      <c r="L4539" s="14" t="s">
        <v>274</v>
      </c>
      <c r="M4539" s="14" t="s">
        <v>767</v>
      </c>
      <c r="N4539" s="14" t="s">
        <v>768</v>
      </c>
      <c r="O4539" s="14">
        <v>100.0</v>
      </c>
      <c r="P4539" s="21">
        <v>1.0</v>
      </c>
      <c r="Q4539" s="22" t="str">
        <f>"+0"</f>
        <v>+0</v>
      </c>
      <c r="S4539" s="14" t="s">
        <v>281</v>
      </c>
    </row>
    <row r="4540">
      <c r="A4540" s="13">
        <v>45901.0</v>
      </c>
      <c r="B4540" s="14" t="s">
        <v>47</v>
      </c>
      <c r="C4540" s="14" t="s">
        <v>48</v>
      </c>
      <c r="D4540" s="14" t="s">
        <v>129</v>
      </c>
      <c r="E4540" s="14" t="s">
        <v>130</v>
      </c>
      <c r="F4540" s="15" t="s">
        <v>51</v>
      </c>
      <c r="G4540" s="14" t="s">
        <v>131</v>
      </c>
      <c r="H4540" s="14" t="s">
        <v>129</v>
      </c>
      <c r="I4540" s="14" t="s">
        <v>59</v>
      </c>
      <c r="J4540" s="14" t="s">
        <v>200</v>
      </c>
      <c r="K4540" s="14" t="s">
        <v>213</v>
      </c>
      <c r="L4540" s="14" t="s">
        <v>307</v>
      </c>
      <c r="M4540" s="14" t="s">
        <v>561</v>
      </c>
      <c r="N4540" s="14" t="s">
        <v>562</v>
      </c>
      <c r="O4540" s="14">
        <v>100.0</v>
      </c>
      <c r="P4540" s="23">
        <v>7.0E-4</v>
      </c>
      <c r="Q4540" s="22" t="str">
        <f t="shared" ref="Q4540:R4540" si="2716">"+0.07%"</f>
        <v>+0.07%</v>
      </c>
      <c r="R4540" s="18" t="str">
        <f t="shared" si="2716"/>
        <v>+0.07%</v>
      </c>
      <c r="S4540" s="14" t="s">
        <v>285</v>
      </c>
    </row>
    <row r="4541">
      <c r="A4541" s="13">
        <v>45901.0</v>
      </c>
      <c r="B4541" s="14" t="s">
        <v>47</v>
      </c>
      <c r="C4541" s="14" t="s">
        <v>48</v>
      </c>
      <c r="D4541" s="14" t="s">
        <v>149</v>
      </c>
      <c r="E4541" s="14" t="s">
        <v>150</v>
      </c>
      <c r="F4541" s="15" t="s">
        <v>51</v>
      </c>
      <c r="G4541" s="14" t="s">
        <v>151</v>
      </c>
      <c r="H4541" s="14" t="s">
        <v>152</v>
      </c>
      <c r="I4541" s="14" t="s">
        <v>54</v>
      </c>
      <c r="J4541" s="14" t="s">
        <v>198</v>
      </c>
      <c r="K4541" s="14" t="s">
        <v>210</v>
      </c>
      <c r="L4541" s="14" t="s">
        <v>505</v>
      </c>
      <c r="M4541" s="14" t="s">
        <v>1393</v>
      </c>
      <c r="N4541" s="14" t="s">
        <v>1394</v>
      </c>
      <c r="O4541" s="14">
        <v>0.0</v>
      </c>
      <c r="P4541" s="21">
        <v>0.0</v>
      </c>
      <c r="Q4541" s="22" t="str">
        <f t="shared" ref="Q4541:R4541" si="2717">"+0"</f>
        <v>+0</v>
      </c>
      <c r="R4541" s="18" t="str">
        <f t="shared" si="2717"/>
        <v>+0</v>
      </c>
      <c r="S4541" s="14" t="s">
        <v>277</v>
      </c>
    </row>
    <row r="4542">
      <c r="A4542" s="13">
        <v>45901.0</v>
      </c>
      <c r="B4542" s="14" t="s">
        <v>47</v>
      </c>
      <c r="C4542" s="14" t="s">
        <v>48</v>
      </c>
      <c r="D4542" s="14" t="s">
        <v>87</v>
      </c>
      <c r="E4542" s="14" t="s">
        <v>88</v>
      </c>
      <c r="F4542" s="15" t="s">
        <v>51</v>
      </c>
      <c r="G4542" s="14" t="s">
        <v>89</v>
      </c>
      <c r="H4542" s="14" t="s">
        <v>90</v>
      </c>
      <c r="I4542" s="14" t="s">
        <v>59</v>
      </c>
      <c r="J4542" s="14" t="s">
        <v>200</v>
      </c>
      <c r="K4542" s="14" t="s">
        <v>223</v>
      </c>
      <c r="L4542" s="14" t="s">
        <v>253</v>
      </c>
      <c r="M4542" s="14" t="s">
        <v>552</v>
      </c>
      <c r="N4542" s="14" t="s">
        <v>553</v>
      </c>
      <c r="O4542" s="14">
        <v>52.0</v>
      </c>
      <c r="P4542" s="23">
        <v>0.5234</v>
      </c>
      <c r="Q4542" s="22" t="str">
        <f>"+1.48%"</f>
        <v>+1.48%</v>
      </c>
      <c r="R4542" s="18" t="str">
        <f>"-2.18%"</f>
        <v>-2.18%</v>
      </c>
      <c r="S4542" s="14" t="s">
        <v>2306</v>
      </c>
    </row>
    <row r="4543">
      <c r="A4543" s="13">
        <v>45901.0</v>
      </c>
      <c r="B4543" s="14" t="s">
        <v>47</v>
      </c>
      <c r="C4543" s="14" t="s">
        <v>48</v>
      </c>
      <c r="D4543" s="14" t="s">
        <v>149</v>
      </c>
      <c r="E4543" s="14" t="s">
        <v>150</v>
      </c>
      <c r="F4543" s="15" t="s">
        <v>51</v>
      </c>
      <c r="G4543" s="14" t="s">
        <v>151</v>
      </c>
      <c r="H4543" s="14" t="s">
        <v>152</v>
      </c>
      <c r="I4543" s="14" t="s">
        <v>54</v>
      </c>
      <c r="J4543" s="14" t="s">
        <v>200</v>
      </c>
      <c r="K4543" s="14" t="s">
        <v>231</v>
      </c>
      <c r="L4543" s="14" t="s">
        <v>512</v>
      </c>
      <c r="M4543" s="14" t="s">
        <v>1937</v>
      </c>
      <c r="N4543" s="14" t="s">
        <v>1938</v>
      </c>
      <c r="O4543" s="14">
        <v>0.0</v>
      </c>
      <c r="P4543" s="21">
        <v>0.0</v>
      </c>
      <c r="Q4543" s="22" t="str">
        <f t="shared" ref="Q4543:R4543" si="2718">"+0"</f>
        <v>+0</v>
      </c>
      <c r="R4543" s="18" t="str">
        <f t="shared" si="2718"/>
        <v>+0</v>
      </c>
      <c r="S4543" s="14" t="s">
        <v>260</v>
      </c>
    </row>
    <row r="4544">
      <c r="A4544" s="13">
        <v>45901.0</v>
      </c>
      <c r="B4544" s="14" t="s">
        <v>47</v>
      </c>
      <c r="C4544" s="14" t="s">
        <v>48</v>
      </c>
      <c r="D4544" s="14" t="s">
        <v>149</v>
      </c>
      <c r="E4544" s="14" t="s">
        <v>150</v>
      </c>
      <c r="F4544" s="15" t="s">
        <v>51</v>
      </c>
      <c r="G4544" s="14" t="s">
        <v>151</v>
      </c>
      <c r="H4544" s="14" t="s">
        <v>152</v>
      </c>
      <c r="I4544" s="14" t="s">
        <v>54</v>
      </c>
      <c r="J4544" s="14" t="s">
        <v>200</v>
      </c>
      <c r="K4544" s="14" t="s">
        <v>223</v>
      </c>
      <c r="L4544" s="14" t="s">
        <v>282</v>
      </c>
      <c r="M4544" s="14" t="s">
        <v>283</v>
      </c>
      <c r="N4544" s="14" t="s">
        <v>284</v>
      </c>
      <c r="O4544" s="14">
        <v>0.0</v>
      </c>
      <c r="P4544" s="23">
        <v>0.0</v>
      </c>
      <c r="Q4544" s="22" t="str">
        <f t="shared" ref="Q4544:R4544" si="2719">"+0.00%"</f>
        <v>+0.00%</v>
      </c>
      <c r="R4544" s="18" t="str">
        <f t="shared" si="2719"/>
        <v>+0.00%</v>
      </c>
      <c r="S4544" s="14" t="s">
        <v>285</v>
      </c>
    </row>
    <row r="4545">
      <c r="A4545" s="13">
        <v>45901.0</v>
      </c>
      <c r="B4545" s="14" t="s">
        <v>47</v>
      </c>
      <c r="C4545" s="14" t="s">
        <v>48</v>
      </c>
      <c r="D4545" s="14" t="s">
        <v>69</v>
      </c>
      <c r="E4545" s="14" t="s">
        <v>70</v>
      </c>
      <c r="F4545" s="15" t="s">
        <v>51</v>
      </c>
      <c r="G4545" s="14" t="s">
        <v>115</v>
      </c>
      <c r="H4545" s="14" t="s">
        <v>72</v>
      </c>
      <c r="I4545" s="14" t="s">
        <v>54</v>
      </c>
      <c r="J4545" s="14" t="s">
        <v>198</v>
      </c>
      <c r="K4545" s="14" t="s">
        <v>210</v>
      </c>
      <c r="L4545" s="14" t="s">
        <v>278</v>
      </c>
      <c r="M4545" s="14" t="s">
        <v>947</v>
      </c>
      <c r="N4545" s="14" t="s">
        <v>948</v>
      </c>
      <c r="O4545" s="14">
        <v>0.0</v>
      </c>
      <c r="P4545" s="21">
        <v>0.0</v>
      </c>
      <c r="Q4545" s="22" t="str">
        <f t="shared" ref="Q4545:R4545" si="2720">"+0"</f>
        <v>+0</v>
      </c>
      <c r="R4545" s="18" t="str">
        <f t="shared" si="2720"/>
        <v>+0</v>
      </c>
      <c r="S4545" s="14" t="s">
        <v>277</v>
      </c>
    </row>
    <row r="4546">
      <c r="A4546" s="13">
        <v>45901.0</v>
      </c>
      <c r="B4546" s="14" t="s">
        <v>47</v>
      </c>
      <c r="C4546" s="14" t="s">
        <v>48</v>
      </c>
      <c r="D4546" s="14" t="s">
        <v>69</v>
      </c>
      <c r="E4546" s="14" t="s">
        <v>70</v>
      </c>
      <c r="F4546" s="15" t="s">
        <v>51</v>
      </c>
      <c r="G4546" s="14" t="s">
        <v>115</v>
      </c>
      <c r="H4546" s="14" t="s">
        <v>72</v>
      </c>
      <c r="I4546" s="14" t="s">
        <v>54</v>
      </c>
      <c r="J4546" s="14" t="s">
        <v>199</v>
      </c>
      <c r="K4546" s="14" t="s">
        <v>208</v>
      </c>
      <c r="L4546" s="14" t="s">
        <v>352</v>
      </c>
      <c r="M4546" s="14" t="s">
        <v>352</v>
      </c>
      <c r="N4546" s="14" t="s">
        <v>353</v>
      </c>
      <c r="O4546" s="14">
        <v>100.0</v>
      </c>
      <c r="P4546" s="21">
        <v>36.0</v>
      </c>
      <c r="Q4546" s="22" t="str">
        <f>"+0"</f>
        <v>+0</v>
      </c>
      <c r="R4546" s="18" t="str">
        <f>"+2"</f>
        <v>+2</v>
      </c>
      <c r="S4546" s="14" t="s">
        <v>260</v>
      </c>
    </row>
    <row r="4547">
      <c r="A4547" s="13">
        <v>45901.0</v>
      </c>
      <c r="B4547" s="14" t="s">
        <v>47</v>
      </c>
      <c r="C4547" s="14" t="s">
        <v>48</v>
      </c>
      <c r="D4547" s="14" t="s">
        <v>195</v>
      </c>
      <c r="E4547" s="14" t="s">
        <v>196</v>
      </c>
      <c r="F4547" s="14" t="s">
        <v>111</v>
      </c>
      <c r="G4547" s="14">
        <v>5252823.0</v>
      </c>
      <c r="H4547" s="14" t="s">
        <v>197</v>
      </c>
      <c r="I4547" s="14" t="s">
        <v>59</v>
      </c>
      <c r="J4547" s="14" t="s">
        <v>200</v>
      </c>
      <c r="K4547" s="14" t="s">
        <v>221</v>
      </c>
      <c r="L4547" s="14" t="s">
        <v>253</v>
      </c>
      <c r="M4547" s="14" t="s">
        <v>2067</v>
      </c>
      <c r="N4547" s="14" t="s">
        <v>2068</v>
      </c>
      <c r="O4547" s="14">
        <v>0.0</v>
      </c>
      <c r="P4547" s="17"/>
      <c r="Q4547" s="22"/>
      <c r="S4547" s="14" t="s">
        <v>2307</v>
      </c>
    </row>
    <row r="4548">
      <c r="A4548" s="13">
        <v>45901.0</v>
      </c>
      <c r="B4548" s="14" t="s">
        <v>47</v>
      </c>
      <c r="C4548" s="14" t="s">
        <v>48</v>
      </c>
      <c r="D4548" s="14" t="s">
        <v>69</v>
      </c>
      <c r="E4548" s="14" t="s">
        <v>70</v>
      </c>
      <c r="F4548" s="15" t="s">
        <v>51</v>
      </c>
      <c r="G4548" s="14" t="s">
        <v>115</v>
      </c>
      <c r="H4548" s="14" t="s">
        <v>72</v>
      </c>
      <c r="I4548" s="14" t="s">
        <v>54</v>
      </c>
      <c r="J4548" s="14" t="s">
        <v>200</v>
      </c>
      <c r="K4548" s="14" t="s">
        <v>227</v>
      </c>
      <c r="L4548" s="14" t="s">
        <v>253</v>
      </c>
      <c r="M4548" s="14" t="s">
        <v>849</v>
      </c>
      <c r="N4548" s="14" t="s">
        <v>850</v>
      </c>
      <c r="O4548" s="14">
        <v>60.0</v>
      </c>
      <c r="P4548" s="23">
        <v>0.6</v>
      </c>
      <c r="Q4548" s="22" t="str">
        <f t="shared" ref="Q4548:Q4549" si="2721">"+0.00%"</f>
        <v>+0.00%</v>
      </c>
      <c r="R4548" s="18" t="str">
        <f>"+60.00%"</f>
        <v>+60.00%</v>
      </c>
      <c r="S4548" s="14" t="s">
        <v>851</v>
      </c>
    </row>
    <row r="4549">
      <c r="A4549" s="13">
        <v>45901.0</v>
      </c>
      <c r="B4549" s="14" t="s">
        <v>47</v>
      </c>
      <c r="C4549" s="14" t="s">
        <v>48</v>
      </c>
      <c r="D4549" s="14" t="s">
        <v>96</v>
      </c>
      <c r="E4549" s="14" t="s">
        <v>97</v>
      </c>
      <c r="F4549" s="15" t="s">
        <v>51</v>
      </c>
      <c r="G4549" s="14" t="s">
        <v>98</v>
      </c>
      <c r="H4549" s="14" t="s">
        <v>96</v>
      </c>
      <c r="I4549" s="14" t="s">
        <v>59</v>
      </c>
      <c r="J4549" s="14" t="s">
        <v>200</v>
      </c>
      <c r="K4549" s="14" t="s">
        <v>223</v>
      </c>
      <c r="L4549" s="14" t="s">
        <v>487</v>
      </c>
      <c r="M4549" s="14" t="s">
        <v>1075</v>
      </c>
      <c r="N4549" s="14" t="s">
        <v>1076</v>
      </c>
      <c r="O4549" s="14">
        <v>0.0</v>
      </c>
      <c r="P4549" s="23">
        <v>0.0</v>
      </c>
      <c r="Q4549" s="22" t="str">
        <f t="shared" si="2721"/>
        <v>+0.00%</v>
      </c>
      <c r="R4549" s="18" t="str">
        <f>"+0.00%"</f>
        <v>+0.00%</v>
      </c>
      <c r="S4549" s="14" t="s">
        <v>285</v>
      </c>
    </row>
    <row r="4550">
      <c r="A4550" s="13">
        <v>45901.0</v>
      </c>
      <c r="B4550" s="14" t="s">
        <v>47</v>
      </c>
      <c r="C4550" s="14" t="s">
        <v>48</v>
      </c>
      <c r="D4550" s="14" t="s">
        <v>158</v>
      </c>
      <c r="E4550" s="14" t="s">
        <v>159</v>
      </c>
      <c r="F4550" s="15" t="s">
        <v>51</v>
      </c>
      <c r="G4550" s="14" t="s">
        <v>160</v>
      </c>
      <c r="H4550" s="14" t="s">
        <v>158</v>
      </c>
      <c r="I4550" s="14" t="s">
        <v>54</v>
      </c>
      <c r="J4550" s="14" t="s">
        <v>198</v>
      </c>
      <c r="K4550" s="14" t="s">
        <v>205</v>
      </c>
      <c r="L4550" s="14" t="s">
        <v>274</v>
      </c>
      <c r="M4550" s="14" t="s">
        <v>387</v>
      </c>
      <c r="N4550" s="14" t="s">
        <v>388</v>
      </c>
      <c r="O4550" s="14">
        <v>0.0</v>
      </c>
      <c r="P4550" s="21">
        <v>0.0</v>
      </c>
      <c r="Q4550" s="22" t="str">
        <f t="shared" ref="Q4550:Q4551" si="2722">"+0"</f>
        <v>+0</v>
      </c>
      <c r="S4550" s="14" t="s">
        <v>281</v>
      </c>
    </row>
    <row r="4551">
      <c r="A4551" s="13">
        <v>45901.0</v>
      </c>
      <c r="B4551" s="14" t="s">
        <v>47</v>
      </c>
      <c r="C4551" s="14" t="s">
        <v>48</v>
      </c>
      <c r="D4551" s="14" t="s">
        <v>116</v>
      </c>
      <c r="E4551" s="14" t="s">
        <v>117</v>
      </c>
      <c r="F4551" s="15" t="s">
        <v>51</v>
      </c>
      <c r="G4551" s="14" t="s">
        <v>161</v>
      </c>
      <c r="H4551" s="14" t="s">
        <v>116</v>
      </c>
      <c r="I4551" s="14" t="s">
        <v>54</v>
      </c>
      <c r="J4551" s="14" t="s">
        <v>198</v>
      </c>
      <c r="K4551" s="14" t="s">
        <v>210</v>
      </c>
      <c r="L4551" s="14" t="s">
        <v>458</v>
      </c>
      <c r="M4551" s="14" t="s">
        <v>1439</v>
      </c>
      <c r="N4551" s="14" t="s">
        <v>1440</v>
      </c>
      <c r="O4551" s="14">
        <v>0.0</v>
      </c>
      <c r="P4551" s="21">
        <v>0.0</v>
      </c>
      <c r="Q4551" s="22" t="str">
        <f t="shared" si="2722"/>
        <v>+0</v>
      </c>
      <c r="R4551" s="18" t="str">
        <f>"+0"</f>
        <v>+0</v>
      </c>
      <c r="S4551" s="14" t="s">
        <v>277</v>
      </c>
    </row>
    <row r="4552">
      <c r="A4552" s="13">
        <v>45901.0</v>
      </c>
      <c r="B4552" s="14" t="s">
        <v>47</v>
      </c>
      <c r="C4552" s="14" t="s">
        <v>48</v>
      </c>
      <c r="D4552" s="14" t="s">
        <v>116</v>
      </c>
      <c r="E4552" s="14" t="s">
        <v>117</v>
      </c>
      <c r="F4552" s="15" t="s">
        <v>51</v>
      </c>
      <c r="G4552" s="14" t="s">
        <v>161</v>
      </c>
      <c r="H4552" s="14" t="s">
        <v>116</v>
      </c>
      <c r="I4552" s="14" t="s">
        <v>54</v>
      </c>
      <c r="J4552" s="14" t="s">
        <v>200</v>
      </c>
      <c r="K4552" s="14" t="s">
        <v>224</v>
      </c>
      <c r="L4552" s="14" t="s">
        <v>392</v>
      </c>
      <c r="M4552" s="14" t="s">
        <v>1424</v>
      </c>
      <c r="N4552" s="14" t="s">
        <v>1425</v>
      </c>
      <c r="O4552" s="14">
        <v>0.0</v>
      </c>
      <c r="P4552" s="23">
        <v>0.0</v>
      </c>
      <c r="Q4552" s="22"/>
      <c r="S4552" s="14" t="s">
        <v>2308</v>
      </c>
    </row>
    <row r="4553">
      <c r="A4553" s="13">
        <v>45901.0</v>
      </c>
      <c r="B4553" s="14" t="s">
        <v>47</v>
      </c>
      <c r="C4553" s="14" t="s">
        <v>48</v>
      </c>
      <c r="D4553" s="14" t="s">
        <v>108</v>
      </c>
      <c r="E4553" s="14" t="s">
        <v>109</v>
      </c>
      <c r="F4553" s="14" t="s">
        <v>79</v>
      </c>
      <c r="G4553" s="14" t="s">
        <v>153</v>
      </c>
      <c r="H4553" s="14" t="s">
        <v>108</v>
      </c>
      <c r="I4553" s="14" t="s">
        <v>154</v>
      </c>
      <c r="J4553" s="14" t="s">
        <v>199</v>
      </c>
      <c r="K4553" s="14" t="s">
        <v>203</v>
      </c>
      <c r="L4553" s="14" t="s">
        <v>601</v>
      </c>
      <c r="M4553" s="14" t="s">
        <v>601</v>
      </c>
      <c r="N4553" s="14" t="s">
        <v>602</v>
      </c>
      <c r="O4553" s="14">
        <v>0.0</v>
      </c>
      <c r="P4553" s="21">
        <v>0.0</v>
      </c>
      <c r="Q4553" s="22" t="str">
        <f>"+0"</f>
        <v>+0</v>
      </c>
      <c r="S4553" s="14" t="s">
        <v>260</v>
      </c>
    </row>
    <row r="4554">
      <c r="A4554" s="13">
        <v>45901.0</v>
      </c>
      <c r="B4554" s="14" t="s">
        <v>47</v>
      </c>
      <c r="C4554" s="14" t="s">
        <v>48</v>
      </c>
      <c r="D4554" s="14" t="s">
        <v>77</v>
      </c>
      <c r="E4554" s="14" t="s">
        <v>78</v>
      </c>
      <c r="F4554" s="15" t="s">
        <v>51</v>
      </c>
      <c r="G4554" s="14" t="s">
        <v>128</v>
      </c>
      <c r="H4554" s="14" t="s">
        <v>81</v>
      </c>
      <c r="I4554" s="14" t="s">
        <v>59</v>
      </c>
      <c r="J4554" s="14" t="s">
        <v>200</v>
      </c>
      <c r="K4554" s="14" t="s">
        <v>223</v>
      </c>
      <c r="L4554" s="14" t="s">
        <v>261</v>
      </c>
      <c r="M4554" s="14" t="s">
        <v>1338</v>
      </c>
      <c r="N4554" s="14" t="s">
        <v>1339</v>
      </c>
      <c r="O4554" s="14">
        <v>0.0</v>
      </c>
      <c r="P4554" s="23">
        <v>0.0</v>
      </c>
      <c r="Q4554" s="22" t="str">
        <f t="shared" ref="Q4554:R4554" si="2723">"+0.00%"</f>
        <v>+0.00%</v>
      </c>
      <c r="R4554" s="18" t="str">
        <f t="shared" si="2723"/>
        <v>+0.00%</v>
      </c>
      <c r="S4554" s="14" t="s">
        <v>285</v>
      </c>
    </row>
    <row r="4555">
      <c r="A4555" s="13">
        <v>45901.0</v>
      </c>
      <c r="B4555" s="14" t="s">
        <v>47</v>
      </c>
      <c r="C4555" s="14" t="s">
        <v>48</v>
      </c>
      <c r="D4555" s="14" t="s">
        <v>121</v>
      </c>
      <c r="E4555" s="14" t="s">
        <v>122</v>
      </c>
      <c r="F4555" s="15" t="s">
        <v>51</v>
      </c>
      <c r="G4555" s="14" t="s">
        <v>123</v>
      </c>
      <c r="H4555" s="14" t="s">
        <v>124</v>
      </c>
      <c r="I4555" s="14" t="s">
        <v>59</v>
      </c>
      <c r="J4555" s="14" t="s">
        <v>199</v>
      </c>
      <c r="K4555" s="14" t="s">
        <v>208</v>
      </c>
      <c r="L4555" s="14" t="s">
        <v>412</v>
      </c>
      <c r="M4555" s="14" t="s">
        <v>412</v>
      </c>
      <c r="N4555" s="14" t="s">
        <v>413</v>
      </c>
      <c r="O4555" s="14">
        <v>0.0</v>
      </c>
      <c r="P4555" s="21">
        <v>0.0</v>
      </c>
      <c r="Q4555" s="22" t="str">
        <f t="shared" ref="Q4555:R4555" si="2724">"+0"</f>
        <v>+0</v>
      </c>
      <c r="R4555" s="18" t="str">
        <f t="shared" si="2724"/>
        <v>+0</v>
      </c>
      <c r="S4555" s="14" t="s">
        <v>260</v>
      </c>
    </row>
    <row r="4556">
      <c r="A4556" s="13">
        <v>45901.0</v>
      </c>
      <c r="B4556" s="14" t="s">
        <v>47</v>
      </c>
      <c r="C4556" s="14" t="s">
        <v>48</v>
      </c>
      <c r="D4556" s="14" t="s">
        <v>56</v>
      </c>
      <c r="E4556" s="14" t="s">
        <v>57</v>
      </c>
      <c r="F4556" s="15" t="s">
        <v>51</v>
      </c>
      <c r="G4556" s="14" t="s">
        <v>58</v>
      </c>
      <c r="H4556" s="14" t="s">
        <v>56</v>
      </c>
      <c r="I4556" s="14" t="s">
        <v>59</v>
      </c>
      <c r="J4556" s="14" t="s">
        <v>200</v>
      </c>
      <c r="K4556" s="14" t="s">
        <v>223</v>
      </c>
      <c r="L4556" s="14" t="s">
        <v>307</v>
      </c>
      <c r="M4556" s="14" t="s">
        <v>502</v>
      </c>
      <c r="N4556" s="14" t="s">
        <v>503</v>
      </c>
      <c r="O4556" s="14">
        <v>0.0</v>
      </c>
      <c r="P4556" s="23">
        <v>0.0</v>
      </c>
      <c r="Q4556" s="22" t="str">
        <f t="shared" ref="Q4556:R4556" si="2725">"+0.00%"</f>
        <v>+0.00%</v>
      </c>
      <c r="R4556" s="18" t="str">
        <f t="shared" si="2725"/>
        <v>+0.00%</v>
      </c>
      <c r="S4556" s="14" t="s">
        <v>1847</v>
      </c>
    </row>
    <row r="4557">
      <c r="A4557" s="13">
        <v>45901.0</v>
      </c>
      <c r="B4557" s="14" t="s">
        <v>47</v>
      </c>
      <c r="C4557" s="14" t="s">
        <v>48</v>
      </c>
      <c r="D4557" s="14" t="s">
        <v>121</v>
      </c>
      <c r="E4557" s="14" t="s">
        <v>122</v>
      </c>
      <c r="F4557" s="15" t="s">
        <v>51</v>
      </c>
      <c r="G4557" s="14" t="s">
        <v>123</v>
      </c>
      <c r="H4557" s="14" t="s">
        <v>124</v>
      </c>
      <c r="I4557" s="14" t="s">
        <v>59</v>
      </c>
      <c r="J4557" s="14" t="s">
        <v>200</v>
      </c>
      <c r="K4557" s="14" t="s">
        <v>232</v>
      </c>
      <c r="L4557" s="14" t="s">
        <v>363</v>
      </c>
      <c r="M4557" s="14" t="s">
        <v>379</v>
      </c>
      <c r="N4557" s="14" t="s">
        <v>380</v>
      </c>
      <c r="O4557" s="14">
        <v>0.0</v>
      </c>
      <c r="P4557" s="21">
        <v>0.0</v>
      </c>
      <c r="Q4557" s="22" t="str">
        <f t="shared" ref="Q4557:R4557" si="2726">"+0"</f>
        <v>+0</v>
      </c>
      <c r="R4557" s="18" t="str">
        <f t="shared" si="2726"/>
        <v>+0</v>
      </c>
      <c r="S4557" s="14" t="s">
        <v>260</v>
      </c>
    </row>
    <row r="4558">
      <c r="A4558" s="13">
        <v>45901.0</v>
      </c>
      <c r="B4558" s="14" t="s">
        <v>47</v>
      </c>
      <c r="C4558" s="14" t="s">
        <v>48</v>
      </c>
      <c r="D4558" s="14" t="s">
        <v>63</v>
      </c>
      <c r="E4558" s="14" t="s">
        <v>64</v>
      </c>
      <c r="F4558" s="15" t="s">
        <v>51</v>
      </c>
      <c r="G4558" s="14" t="s">
        <v>65</v>
      </c>
      <c r="H4558" s="14" t="s">
        <v>63</v>
      </c>
      <c r="I4558" s="14" t="s">
        <v>54</v>
      </c>
      <c r="J4558" s="14" t="s">
        <v>200</v>
      </c>
      <c r="K4558" s="14" t="s">
        <v>213</v>
      </c>
      <c r="L4558" s="14" t="s">
        <v>257</v>
      </c>
      <c r="M4558" s="14" t="s">
        <v>493</v>
      </c>
      <c r="N4558" s="14" t="s">
        <v>494</v>
      </c>
      <c r="O4558" s="14">
        <v>46.0</v>
      </c>
      <c r="P4558" s="23">
        <v>-0.0689</v>
      </c>
      <c r="Q4558" s="22" t="str">
        <f>"+20.56%"</f>
        <v>+20.56%</v>
      </c>
      <c r="R4558" s="18" t="str">
        <f>"+0.99%"</f>
        <v>+0.99%</v>
      </c>
      <c r="S4558" s="14" t="s">
        <v>968</v>
      </c>
    </row>
    <row r="4559">
      <c r="A4559" s="13">
        <v>45901.0</v>
      </c>
      <c r="B4559" s="14" t="s">
        <v>47</v>
      </c>
      <c r="C4559" s="14" t="s">
        <v>48</v>
      </c>
      <c r="D4559" s="14" t="s">
        <v>91</v>
      </c>
      <c r="E4559" s="14" t="s">
        <v>92</v>
      </c>
      <c r="F4559" s="14" t="s">
        <v>71</v>
      </c>
      <c r="G4559" s="14">
        <v>5.10000484E8</v>
      </c>
      <c r="H4559" s="14" t="s">
        <v>91</v>
      </c>
      <c r="I4559" s="14" t="s">
        <v>54</v>
      </c>
      <c r="J4559" s="14" t="s">
        <v>200</v>
      </c>
      <c r="K4559" s="14" t="s">
        <v>218</v>
      </c>
      <c r="L4559" s="14" t="s">
        <v>253</v>
      </c>
      <c r="M4559" s="14" t="s">
        <v>784</v>
      </c>
      <c r="N4559" s="14" t="s">
        <v>785</v>
      </c>
      <c r="O4559" s="14">
        <v>32.0</v>
      </c>
      <c r="P4559" s="23">
        <v>0.321</v>
      </c>
      <c r="Q4559" s="22" t="str">
        <f>"+4.04%"</f>
        <v>+4.04%</v>
      </c>
      <c r="R4559" s="18" t="str">
        <f>"+15.42%"</f>
        <v>+15.42%</v>
      </c>
      <c r="S4559" s="14" t="s">
        <v>2309</v>
      </c>
    </row>
    <row r="4560">
      <c r="A4560" s="13">
        <v>45901.0</v>
      </c>
      <c r="B4560" s="14" t="s">
        <v>47</v>
      </c>
      <c r="C4560" s="14" t="s">
        <v>48</v>
      </c>
      <c r="D4560" s="14" t="s">
        <v>91</v>
      </c>
      <c r="E4560" s="14" t="s">
        <v>92</v>
      </c>
      <c r="F4560" s="14" t="s">
        <v>71</v>
      </c>
      <c r="G4560" s="14">
        <v>7295600.0</v>
      </c>
      <c r="H4560" s="14" t="s">
        <v>91</v>
      </c>
      <c r="I4560" s="14" t="s">
        <v>54</v>
      </c>
      <c r="J4560" s="14" t="s">
        <v>199</v>
      </c>
      <c r="K4560" s="14" t="s">
        <v>206</v>
      </c>
      <c r="L4560" s="14" t="s">
        <v>268</v>
      </c>
      <c r="M4560" s="14" t="s">
        <v>268</v>
      </c>
      <c r="N4560" s="14" t="s">
        <v>269</v>
      </c>
      <c r="O4560" s="14">
        <v>100.0</v>
      </c>
      <c r="P4560" s="21">
        <v>9.0</v>
      </c>
      <c r="Q4560" s="22" t="str">
        <f t="shared" ref="Q4560:R4560" si="2727">"+5"</f>
        <v>+5</v>
      </c>
      <c r="R4560" s="18" t="str">
        <f t="shared" si="2727"/>
        <v>+5</v>
      </c>
      <c r="S4560" s="14" t="s">
        <v>260</v>
      </c>
    </row>
    <row r="4561">
      <c r="A4561" s="13">
        <v>45901.0</v>
      </c>
      <c r="B4561" s="14" t="s">
        <v>47</v>
      </c>
      <c r="C4561" s="14" t="s">
        <v>48</v>
      </c>
      <c r="D4561" s="14" t="s">
        <v>177</v>
      </c>
      <c r="E4561" s="14" t="s">
        <v>178</v>
      </c>
      <c r="F4561" s="14" t="s">
        <v>146</v>
      </c>
      <c r="G4561" s="14" t="s">
        <v>179</v>
      </c>
      <c r="H4561" s="14" t="s">
        <v>177</v>
      </c>
      <c r="I4561" s="14" t="s">
        <v>107</v>
      </c>
      <c r="J4561" s="14" t="s">
        <v>199</v>
      </c>
      <c r="K4561" s="14" t="s">
        <v>206</v>
      </c>
      <c r="L4561" s="14" t="s">
        <v>295</v>
      </c>
      <c r="M4561" s="14" t="s">
        <v>461</v>
      </c>
      <c r="N4561" s="14" t="s">
        <v>462</v>
      </c>
      <c r="O4561" s="14">
        <v>0.0</v>
      </c>
      <c r="P4561" s="21">
        <v>0.0</v>
      </c>
      <c r="Q4561" s="22" t="str">
        <f t="shared" ref="Q4561:R4561" si="2728">"+0"</f>
        <v>+0</v>
      </c>
      <c r="R4561" s="18" t="str">
        <f t="shared" si="2728"/>
        <v>+0</v>
      </c>
      <c r="S4561" s="14" t="s">
        <v>260</v>
      </c>
    </row>
    <row r="4562">
      <c r="A4562" s="13">
        <v>45901.0</v>
      </c>
      <c r="B4562" s="14" t="s">
        <v>47</v>
      </c>
      <c r="C4562" s="14" t="s">
        <v>48</v>
      </c>
      <c r="D4562" s="14" t="s">
        <v>91</v>
      </c>
      <c r="E4562" s="14" t="s">
        <v>92</v>
      </c>
      <c r="F4562" s="15" t="s">
        <v>51</v>
      </c>
      <c r="G4562" s="14" t="s">
        <v>163</v>
      </c>
      <c r="H4562" s="14" t="s">
        <v>91</v>
      </c>
      <c r="I4562" s="14" t="s">
        <v>59</v>
      </c>
      <c r="J4562" s="14" t="s">
        <v>200</v>
      </c>
      <c r="K4562" s="14" t="s">
        <v>223</v>
      </c>
      <c r="L4562" s="14" t="s">
        <v>304</v>
      </c>
      <c r="M4562" s="14" t="s">
        <v>662</v>
      </c>
      <c r="N4562" s="14" t="s">
        <v>663</v>
      </c>
      <c r="O4562" s="14">
        <v>0.0</v>
      </c>
      <c r="P4562" s="23">
        <v>-1.0</v>
      </c>
      <c r="Q4562" s="22" t="str">
        <f t="shared" ref="Q4562:R4562" si="2729">"+0.00%"</f>
        <v>+0.00%</v>
      </c>
      <c r="R4562" s="18" t="str">
        <f t="shared" si="2729"/>
        <v>+0.00%</v>
      </c>
      <c r="S4562" s="14" t="s">
        <v>362</v>
      </c>
    </row>
    <row r="4563">
      <c r="A4563" s="13">
        <v>45901.0</v>
      </c>
      <c r="B4563" s="14" t="s">
        <v>47</v>
      </c>
      <c r="C4563" s="14" t="s">
        <v>48</v>
      </c>
      <c r="D4563" s="14" t="s">
        <v>91</v>
      </c>
      <c r="E4563" s="14" t="s">
        <v>92</v>
      </c>
      <c r="F4563" s="14" t="s">
        <v>71</v>
      </c>
      <c r="G4563" s="14">
        <v>5.00008343E8</v>
      </c>
      <c r="H4563" s="14" t="s">
        <v>91</v>
      </c>
      <c r="I4563" s="14" t="s">
        <v>59</v>
      </c>
      <c r="J4563" s="14" t="s">
        <v>199</v>
      </c>
      <c r="K4563" s="14" t="s">
        <v>208</v>
      </c>
      <c r="L4563" s="14" t="s">
        <v>412</v>
      </c>
      <c r="M4563" s="14" t="s">
        <v>412</v>
      </c>
      <c r="N4563" s="14" t="s">
        <v>413</v>
      </c>
      <c r="O4563" s="14">
        <v>100.0</v>
      </c>
      <c r="P4563" s="21">
        <v>11.0</v>
      </c>
      <c r="Q4563" s="22" t="str">
        <f t="shared" ref="Q4563:R4563" si="2730">"+0"</f>
        <v>+0</v>
      </c>
      <c r="R4563" s="18" t="str">
        <f t="shared" si="2730"/>
        <v>+0</v>
      </c>
      <c r="S4563" s="14" t="s">
        <v>260</v>
      </c>
    </row>
    <row r="4564">
      <c r="A4564" s="13">
        <v>45901.0</v>
      </c>
      <c r="B4564" s="14" t="s">
        <v>47</v>
      </c>
      <c r="C4564" s="14" t="s">
        <v>48</v>
      </c>
      <c r="D4564" s="14" t="s">
        <v>99</v>
      </c>
      <c r="E4564" s="14" t="s">
        <v>100</v>
      </c>
      <c r="F4564" s="15" t="s">
        <v>51</v>
      </c>
      <c r="G4564" s="14" t="s">
        <v>101</v>
      </c>
      <c r="H4564" s="14" t="s">
        <v>102</v>
      </c>
      <c r="I4564" s="14" t="s">
        <v>54</v>
      </c>
      <c r="J4564" s="14" t="s">
        <v>198</v>
      </c>
      <c r="K4564" s="14" t="s">
        <v>210</v>
      </c>
      <c r="L4564" s="14" t="s">
        <v>264</v>
      </c>
      <c r="M4564" s="14" t="s">
        <v>1802</v>
      </c>
      <c r="N4564" s="14" t="s">
        <v>1803</v>
      </c>
      <c r="O4564" s="14">
        <v>0.0</v>
      </c>
      <c r="P4564" s="21">
        <v>0.0</v>
      </c>
      <c r="Q4564" s="22" t="str">
        <f t="shared" ref="Q4564:R4564" si="2731">"+0"</f>
        <v>+0</v>
      </c>
      <c r="R4564" s="18" t="str">
        <f t="shared" si="2731"/>
        <v>+0</v>
      </c>
      <c r="S4564" s="14" t="s">
        <v>277</v>
      </c>
    </row>
    <row r="4565">
      <c r="A4565" s="13">
        <v>45901.0</v>
      </c>
      <c r="B4565" s="14" t="s">
        <v>47</v>
      </c>
      <c r="C4565" s="14" t="s">
        <v>48</v>
      </c>
      <c r="D4565" s="14" t="s">
        <v>77</v>
      </c>
      <c r="E4565" s="14" t="s">
        <v>78</v>
      </c>
      <c r="F4565" s="15" t="s">
        <v>51</v>
      </c>
      <c r="G4565" s="14" t="s">
        <v>128</v>
      </c>
      <c r="H4565" s="14" t="s">
        <v>81</v>
      </c>
      <c r="I4565" s="14" t="s">
        <v>59</v>
      </c>
      <c r="J4565" s="14" t="s">
        <v>200</v>
      </c>
      <c r="K4565" s="14" t="s">
        <v>211</v>
      </c>
      <c r="L4565" s="14" t="s">
        <v>253</v>
      </c>
      <c r="M4565" s="14" t="s">
        <v>1381</v>
      </c>
      <c r="N4565" s="14" t="s">
        <v>1382</v>
      </c>
      <c r="O4565" s="14">
        <v>0.0</v>
      </c>
      <c r="P4565" s="23">
        <v>0.0</v>
      </c>
      <c r="Q4565" s="22" t="str">
        <f t="shared" ref="Q4565:R4565" si="2732">"+0.00%"</f>
        <v>+0.00%</v>
      </c>
      <c r="R4565" s="18" t="str">
        <f t="shared" si="2732"/>
        <v>+0.00%</v>
      </c>
      <c r="S4565" s="14" t="s">
        <v>371</v>
      </c>
    </row>
    <row r="4566">
      <c r="A4566" s="13">
        <v>45901.0</v>
      </c>
      <c r="B4566" s="14" t="s">
        <v>47</v>
      </c>
      <c r="C4566" s="14" t="s">
        <v>48</v>
      </c>
      <c r="D4566" s="14" t="s">
        <v>158</v>
      </c>
      <c r="E4566" s="14" t="s">
        <v>159</v>
      </c>
      <c r="F4566" s="15" t="s">
        <v>51</v>
      </c>
      <c r="G4566" s="14" t="s">
        <v>160</v>
      </c>
      <c r="H4566" s="14" t="s">
        <v>158</v>
      </c>
      <c r="I4566" s="14" t="s">
        <v>54</v>
      </c>
      <c r="J4566" s="14" t="s">
        <v>198</v>
      </c>
      <c r="K4566" s="14" t="s">
        <v>210</v>
      </c>
      <c r="L4566" s="14" t="s">
        <v>264</v>
      </c>
      <c r="M4566" s="14" t="s">
        <v>1596</v>
      </c>
      <c r="N4566" s="14" t="s">
        <v>1597</v>
      </c>
      <c r="O4566" s="14">
        <v>0.0</v>
      </c>
      <c r="P4566" s="21">
        <v>0.0</v>
      </c>
      <c r="Q4566" s="22" t="str">
        <f t="shared" ref="Q4566:R4566" si="2733">"+0"</f>
        <v>+0</v>
      </c>
      <c r="R4566" s="18" t="str">
        <f t="shared" si="2733"/>
        <v>+0</v>
      </c>
      <c r="S4566" s="14" t="s">
        <v>277</v>
      </c>
    </row>
    <row r="4567">
      <c r="A4567" s="13">
        <v>45901.0</v>
      </c>
      <c r="B4567" s="14" t="s">
        <v>47</v>
      </c>
      <c r="C4567" s="14" t="s">
        <v>48</v>
      </c>
      <c r="D4567" s="14" t="s">
        <v>177</v>
      </c>
      <c r="E4567" s="14" t="s">
        <v>178</v>
      </c>
      <c r="F4567" s="14" t="s">
        <v>146</v>
      </c>
      <c r="G4567" s="14" t="s">
        <v>179</v>
      </c>
      <c r="H4567" s="14" t="s">
        <v>177</v>
      </c>
      <c r="I4567" s="14" t="s">
        <v>107</v>
      </c>
      <c r="J4567" s="14" t="s">
        <v>199</v>
      </c>
      <c r="K4567" s="14" t="s">
        <v>206</v>
      </c>
      <c r="L4567" s="14" t="s">
        <v>295</v>
      </c>
      <c r="M4567" s="14" t="s">
        <v>986</v>
      </c>
      <c r="N4567" s="14" t="s">
        <v>987</v>
      </c>
      <c r="O4567" s="14">
        <v>0.0</v>
      </c>
      <c r="P4567" s="21">
        <v>0.0</v>
      </c>
      <c r="Q4567" s="22" t="str">
        <f t="shared" ref="Q4567:R4567" si="2734">"+0"</f>
        <v>+0</v>
      </c>
      <c r="R4567" s="18" t="str">
        <f t="shared" si="2734"/>
        <v>+0</v>
      </c>
      <c r="S4567" s="14" t="s">
        <v>260</v>
      </c>
    </row>
    <row r="4568">
      <c r="A4568" s="13">
        <v>45901.0</v>
      </c>
      <c r="B4568" s="14" t="s">
        <v>47</v>
      </c>
      <c r="C4568" s="14" t="s">
        <v>48</v>
      </c>
      <c r="D4568" s="14" t="s">
        <v>66</v>
      </c>
      <c r="E4568" s="14" t="s">
        <v>67</v>
      </c>
      <c r="F4568" s="15" t="s">
        <v>51</v>
      </c>
      <c r="G4568" s="14" t="s">
        <v>68</v>
      </c>
      <c r="H4568" s="14" t="s">
        <v>66</v>
      </c>
      <c r="I4568" s="14" t="s">
        <v>59</v>
      </c>
      <c r="J4568" s="14" t="s">
        <v>200</v>
      </c>
      <c r="K4568" s="14" t="s">
        <v>231</v>
      </c>
      <c r="L4568" s="14" t="s">
        <v>512</v>
      </c>
      <c r="M4568" s="14" t="s">
        <v>1327</v>
      </c>
      <c r="N4568" s="14" t="s">
        <v>1328</v>
      </c>
      <c r="O4568" s="14">
        <v>0.0</v>
      </c>
      <c r="P4568" s="21">
        <v>0.0</v>
      </c>
      <c r="Q4568" s="22" t="str">
        <f t="shared" ref="Q4568:R4568" si="2735">"+0"</f>
        <v>+0</v>
      </c>
      <c r="R4568" s="18" t="str">
        <f t="shared" si="2735"/>
        <v>+0</v>
      </c>
      <c r="S4568" s="14" t="s">
        <v>260</v>
      </c>
    </row>
    <row r="4569">
      <c r="A4569" s="13">
        <v>45901.0</v>
      </c>
      <c r="B4569" s="14" t="s">
        <v>47</v>
      </c>
      <c r="C4569" s="14" t="s">
        <v>48</v>
      </c>
      <c r="D4569" s="14" t="s">
        <v>132</v>
      </c>
      <c r="E4569" s="14" t="s">
        <v>133</v>
      </c>
      <c r="F4569" s="15" t="s">
        <v>51</v>
      </c>
      <c r="G4569" s="14" t="s">
        <v>134</v>
      </c>
      <c r="H4569" s="14" t="s">
        <v>135</v>
      </c>
      <c r="I4569" s="14" t="s">
        <v>59</v>
      </c>
      <c r="J4569" s="14" t="s">
        <v>200</v>
      </c>
      <c r="K4569" s="14" t="s">
        <v>213</v>
      </c>
      <c r="L4569" s="14" t="s">
        <v>359</v>
      </c>
      <c r="M4569" s="14" t="s">
        <v>519</v>
      </c>
      <c r="N4569" s="14" t="s">
        <v>520</v>
      </c>
      <c r="O4569" s="14">
        <v>0.0</v>
      </c>
      <c r="P4569" s="21">
        <v>0.0</v>
      </c>
      <c r="Q4569" s="22" t="str">
        <f t="shared" ref="Q4569:R4569" si="2736">"+0"</f>
        <v>+0</v>
      </c>
      <c r="R4569" s="18" t="str">
        <f t="shared" si="2736"/>
        <v>+0</v>
      </c>
      <c r="S4569" s="14" t="s">
        <v>260</v>
      </c>
    </row>
    <row r="4570">
      <c r="A4570" s="13">
        <v>45901.0</v>
      </c>
      <c r="B4570" s="14" t="s">
        <v>47</v>
      </c>
      <c r="C4570" s="14" t="s">
        <v>48</v>
      </c>
      <c r="D4570" s="14" t="s">
        <v>125</v>
      </c>
      <c r="E4570" s="14" t="s">
        <v>126</v>
      </c>
      <c r="F4570" s="15" t="s">
        <v>51</v>
      </c>
      <c r="G4570" s="14" t="s">
        <v>127</v>
      </c>
      <c r="H4570" s="14" t="s">
        <v>125</v>
      </c>
      <c r="I4570" s="14" t="s">
        <v>59</v>
      </c>
      <c r="J4570" s="14" t="s">
        <v>200</v>
      </c>
      <c r="K4570" s="14" t="s">
        <v>202</v>
      </c>
      <c r="L4570" s="14" t="s">
        <v>253</v>
      </c>
      <c r="M4570" s="14" t="s">
        <v>347</v>
      </c>
      <c r="N4570" s="14" t="s">
        <v>348</v>
      </c>
      <c r="O4570" s="14">
        <v>0.0</v>
      </c>
      <c r="P4570" s="23">
        <v>0.0</v>
      </c>
      <c r="Q4570" s="22" t="str">
        <f t="shared" ref="Q4570:R4570" si="2737">"+0.00%"</f>
        <v>+0.00%</v>
      </c>
      <c r="R4570" s="18" t="str">
        <f t="shared" si="2737"/>
        <v>+0.00%</v>
      </c>
      <c r="S4570" s="14" t="s">
        <v>1608</v>
      </c>
    </row>
    <row r="4571">
      <c r="A4571" s="13">
        <v>45901.0</v>
      </c>
      <c r="B4571" s="14" t="s">
        <v>47</v>
      </c>
      <c r="C4571" s="14" t="s">
        <v>48</v>
      </c>
      <c r="D4571" s="14" t="s">
        <v>85</v>
      </c>
      <c r="E4571" s="14" t="s">
        <v>86</v>
      </c>
      <c r="F4571" s="15" t="s">
        <v>51</v>
      </c>
      <c r="G4571" s="14" t="s">
        <v>148</v>
      </c>
      <c r="H4571" s="14" t="s">
        <v>85</v>
      </c>
      <c r="I4571" s="14" t="s">
        <v>59</v>
      </c>
      <c r="J4571" s="14" t="s">
        <v>200</v>
      </c>
      <c r="K4571" s="14" t="s">
        <v>213</v>
      </c>
      <c r="L4571" s="14" t="s">
        <v>307</v>
      </c>
      <c r="M4571" s="14" t="s">
        <v>561</v>
      </c>
      <c r="N4571" s="14" t="s">
        <v>562</v>
      </c>
      <c r="O4571" s="14">
        <v>100.0</v>
      </c>
      <c r="P4571" s="23">
        <v>0.0087</v>
      </c>
      <c r="Q4571" s="22" t="str">
        <f>"+0.28%"</f>
        <v>+0.28%</v>
      </c>
      <c r="R4571" s="18" t="str">
        <f>"+0.87%"</f>
        <v>+0.87%</v>
      </c>
      <c r="S4571" s="14" t="s">
        <v>285</v>
      </c>
    </row>
    <row r="4572">
      <c r="A4572" s="13">
        <v>45901.0</v>
      </c>
      <c r="B4572" s="14" t="s">
        <v>47</v>
      </c>
      <c r="C4572" s="14" t="s">
        <v>48</v>
      </c>
      <c r="D4572" s="14" t="s">
        <v>125</v>
      </c>
      <c r="E4572" s="14" t="s">
        <v>126</v>
      </c>
      <c r="F4572" s="15" t="s">
        <v>51</v>
      </c>
      <c r="G4572" s="14" t="s">
        <v>127</v>
      </c>
      <c r="H4572" s="14" t="s">
        <v>125</v>
      </c>
      <c r="I4572" s="14" t="s">
        <v>59</v>
      </c>
      <c r="J4572" s="14" t="s">
        <v>200</v>
      </c>
      <c r="K4572" s="14" t="s">
        <v>232</v>
      </c>
      <c r="L4572" s="14" t="s">
        <v>607</v>
      </c>
      <c r="M4572" s="14" t="s">
        <v>1204</v>
      </c>
      <c r="N4572" s="14" t="s">
        <v>1205</v>
      </c>
      <c r="O4572" s="14">
        <v>0.0</v>
      </c>
      <c r="P4572" s="21">
        <v>0.0</v>
      </c>
      <c r="Q4572" s="22" t="str">
        <f t="shared" ref="Q4572:R4572" si="2738">"+0"</f>
        <v>+0</v>
      </c>
      <c r="R4572" s="18" t="str">
        <f t="shared" si="2738"/>
        <v>+0</v>
      </c>
      <c r="S4572" s="14" t="s">
        <v>260</v>
      </c>
    </row>
    <row r="4573">
      <c r="A4573" s="13">
        <v>45901.0</v>
      </c>
      <c r="B4573" s="14" t="s">
        <v>47</v>
      </c>
      <c r="C4573" s="14" t="s">
        <v>48</v>
      </c>
      <c r="D4573" s="14" t="s">
        <v>85</v>
      </c>
      <c r="E4573" s="14" t="s">
        <v>86</v>
      </c>
      <c r="F4573" s="14" t="s">
        <v>146</v>
      </c>
      <c r="G4573" s="14" t="s">
        <v>162</v>
      </c>
      <c r="H4573" s="14" t="s">
        <v>85</v>
      </c>
      <c r="I4573" s="14" t="s">
        <v>107</v>
      </c>
      <c r="J4573" s="14" t="s">
        <v>199</v>
      </c>
      <c r="K4573" s="14" t="s">
        <v>206</v>
      </c>
      <c r="L4573" s="14" t="s">
        <v>569</v>
      </c>
      <c r="M4573" s="14" t="s">
        <v>569</v>
      </c>
      <c r="N4573" s="14" t="s">
        <v>570</v>
      </c>
      <c r="O4573" s="14">
        <v>100.0</v>
      </c>
      <c r="P4573" s="21">
        <v>7.0</v>
      </c>
      <c r="Q4573" s="22" t="str">
        <f t="shared" ref="Q4573:R4573" si="2739">"+6"</f>
        <v>+6</v>
      </c>
      <c r="R4573" s="18" t="str">
        <f t="shared" si="2739"/>
        <v>+6</v>
      </c>
      <c r="S4573" s="14" t="s">
        <v>383</v>
      </c>
    </row>
    <row r="4574">
      <c r="A4574" s="13">
        <v>45901.0</v>
      </c>
      <c r="B4574" s="14" t="s">
        <v>47</v>
      </c>
      <c r="C4574" s="14" t="s">
        <v>48</v>
      </c>
      <c r="D4574" s="14" t="s">
        <v>69</v>
      </c>
      <c r="E4574" s="14" t="s">
        <v>70</v>
      </c>
      <c r="F4574" s="15" t="s">
        <v>51</v>
      </c>
      <c r="G4574" s="14" t="s">
        <v>115</v>
      </c>
      <c r="H4574" s="14" t="s">
        <v>72</v>
      </c>
      <c r="I4574" s="14" t="s">
        <v>54</v>
      </c>
      <c r="J4574" s="14" t="s">
        <v>200</v>
      </c>
      <c r="K4574" s="14" t="s">
        <v>222</v>
      </c>
      <c r="L4574" s="14" t="s">
        <v>337</v>
      </c>
      <c r="M4574" s="14" t="s">
        <v>1000</v>
      </c>
      <c r="N4574" s="14" t="s">
        <v>1001</v>
      </c>
      <c r="O4574" s="14">
        <v>0.0</v>
      </c>
      <c r="P4574" s="21">
        <v>0.0</v>
      </c>
      <c r="Q4574" s="22" t="str">
        <f t="shared" ref="Q4574:R4574" si="2740">"+0"</f>
        <v>+0</v>
      </c>
      <c r="R4574" s="18" t="str">
        <f t="shared" si="2740"/>
        <v>+0</v>
      </c>
      <c r="S4574" s="14" t="s">
        <v>260</v>
      </c>
    </row>
    <row r="4575">
      <c r="A4575" s="13">
        <v>45901.0</v>
      </c>
      <c r="B4575" s="14" t="s">
        <v>47</v>
      </c>
      <c r="C4575" s="14" t="s">
        <v>48</v>
      </c>
      <c r="D4575" s="14" t="s">
        <v>69</v>
      </c>
      <c r="E4575" s="14" t="s">
        <v>70</v>
      </c>
      <c r="F4575" s="15" t="s">
        <v>51</v>
      </c>
      <c r="G4575" s="14" t="s">
        <v>115</v>
      </c>
      <c r="H4575" s="14" t="s">
        <v>72</v>
      </c>
      <c r="I4575" s="14" t="s">
        <v>54</v>
      </c>
      <c r="J4575" s="14" t="s">
        <v>198</v>
      </c>
      <c r="K4575" s="14" t="s">
        <v>205</v>
      </c>
      <c r="L4575" s="14" t="s">
        <v>274</v>
      </c>
      <c r="M4575" s="14" t="s">
        <v>473</v>
      </c>
      <c r="N4575" s="14" t="s">
        <v>474</v>
      </c>
      <c r="O4575" s="14">
        <v>50.0</v>
      </c>
      <c r="P4575" s="21">
        <v>15.0</v>
      </c>
      <c r="Q4575" s="22" t="str">
        <f>"+0"</f>
        <v>+0</v>
      </c>
      <c r="S4575" s="14" t="s">
        <v>475</v>
      </c>
    </row>
    <row r="4576">
      <c r="A4576" s="13">
        <v>45901.0</v>
      </c>
      <c r="B4576" s="14" t="s">
        <v>47</v>
      </c>
      <c r="C4576" s="14" t="s">
        <v>48</v>
      </c>
      <c r="D4576" s="14" t="s">
        <v>108</v>
      </c>
      <c r="E4576" s="14" t="s">
        <v>109</v>
      </c>
      <c r="F4576" s="15" t="s">
        <v>51</v>
      </c>
      <c r="G4576" s="14" t="s">
        <v>110</v>
      </c>
      <c r="H4576" s="14" t="s">
        <v>108</v>
      </c>
      <c r="I4576" s="14" t="s">
        <v>59</v>
      </c>
      <c r="J4576" s="14" t="s">
        <v>200</v>
      </c>
      <c r="K4576" s="14" t="s">
        <v>213</v>
      </c>
      <c r="L4576" s="14" t="s">
        <v>307</v>
      </c>
      <c r="M4576" s="14" t="s">
        <v>1176</v>
      </c>
      <c r="N4576" s="14" t="s">
        <v>1177</v>
      </c>
      <c r="O4576" s="14">
        <v>0.0</v>
      </c>
      <c r="P4576" s="23">
        <v>0.0</v>
      </c>
      <c r="Q4576" s="22" t="str">
        <f>"+0.00%"</f>
        <v>+0.00%</v>
      </c>
      <c r="S4576" s="14" t="s">
        <v>285</v>
      </c>
    </row>
    <row r="4577">
      <c r="A4577" s="13">
        <v>45901.0</v>
      </c>
      <c r="B4577" s="14" t="s">
        <v>47</v>
      </c>
      <c r="C4577" s="14" t="s">
        <v>48</v>
      </c>
      <c r="D4577" s="14" t="s">
        <v>116</v>
      </c>
      <c r="E4577" s="14" t="s">
        <v>117</v>
      </c>
      <c r="F4577" s="15" t="s">
        <v>51</v>
      </c>
      <c r="G4577" s="14" t="s">
        <v>161</v>
      </c>
      <c r="H4577" s="14" t="s">
        <v>116</v>
      </c>
      <c r="I4577" s="14" t="s">
        <v>54</v>
      </c>
      <c r="J4577" s="14" t="s">
        <v>198</v>
      </c>
      <c r="K4577" s="14" t="s">
        <v>205</v>
      </c>
      <c r="L4577" s="14" t="s">
        <v>274</v>
      </c>
      <c r="M4577" s="14" t="s">
        <v>696</v>
      </c>
      <c r="N4577" s="14" t="s">
        <v>697</v>
      </c>
      <c r="O4577" s="14">
        <v>100.0</v>
      </c>
      <c r="P4577" s="21">
        <v>1.0</v>
      </c>
      <c r="Q4577" s="22" t="str">
        <f>"+0"</f>
        <v>+0</v>
      </c>
      <c r="S4577" s="14" t="s">
        <v>281</v>
      </c>
    </row>
    <row r="4578">
      <c r="A4578" s="13">
        <v>45901.0</v>
      </c>
      <c r="B4578" s="14" t="s">
        <v>47</v>
      </c>
      <c r="C4578" s="14" t="s">
        <v>48</v>
      </c>
      <c r="D4578" s="14" t="s">
        <v>116</v>
      </c>
      <c r="E4578" s="14" t="s">
        <v>117</v>
      </c>
      <c r="F4578" s="15" t="s">
        <v>51</v>
      </c>
      <c r="G4578" s="14" t="s">
        <v>161</v>
      </c>
      <c r="H4578" s="14" t="s">
        <v>116</v>
      </c>
      <c r="I4578" s="14" t="s">
        <v>54</v>
      </c>
      <c r="J4578" s="14" t="s">
        <v>200</v>
      </c>
      <c r="K4578" s="14" t="s">
        <v>224</v>
      </c>
      <c r="L4578" s="14" t="s">
        <v>453</v>
      </c>
      <c r="M4578" s="14" t="s">
        <v>521</v>
      </c>
      <c r="N4578" s="14" t="s">
        <v>522</v>
      </c>
      <c r="O4578" s="14">
        <v>50.0</v>
      </c>
      <c r="P4578" s="23">
        <v>0.5</v>
      </c>
      <c r="Q4578" s="22"/>
      <c r="S4578" s="14" t="s">
        <v>523</v>
      </c>
    </row>
    <row r="4579">
      <c r="A4579" s="13">
        <v>45901.0</v>
      </c>
      <c r="B4579" s="14" t="s">
        <v>47</v>
      </c>
      <c r="C4579" s="14" t="s">
        <v>48</v>
      </c>
      <c r="D4579" s="14" t="s">
        <v>77</v>
      </c>
      <c r="E4579" s="14" t="s">
        <v>78</v>
      </c>
      <c r="F4579" s="15" t="s">
        <v>51</v>
      </c>
      <c r="G4579" s="14" t="s">
        <v>128</v>
      </c>
      <c r="H4579" s="14" t="s">
        <v>81</v>
      </c>
      <c r="I4579" s="14" t="s">
        <v>59</v>
      </c>
      <c r="J4579" s="14" t="s">
        <v>200</v>
      </c>
      <c r="K4579" s="14" t="s">
        <v>223</v>
      </c>
      <c r="L4579" s="14" t="s">
        <v>710</v>
      </c>
      <c r="M4579" s="14" t="s">
        <v>711</v>
      </c>
      <c r="N4579" s="14" t="s">
        <v>712</v>
      </c>
      <c r="O4579" s="14">
        <v>0.0</v>
      </c>
      <c r="P4579" s="23">
        <v>0.0</v>
      </c>
      <c r="Q4579" s="22" t="str">
        <f t="shared" ref="Q4579:R4579" si="2741">"+0.00%"</f>
        <v>+0.00%</v>
      </c>
      <c r="R4579" s="18" t="str">
        <f t="shared" si="2741"/>
        <v>+0.00%</v>
      </c>
      <c r="S4579" s="14" t="s">
        <v>285</v>
      </c>
    </row>
    <row r="4580">
      <c r="A4580" s="13">
        <v>45901.0</v>
      </c>
      <c r="B4580" s="14" t="s">
        <v>47</v>
      </c>
      <c r="C4580" s="14" t="s">
        <v>48</v>
      </c>
      <c r="D4580" s="14" t="s">
        <v>112</v>
      </c>
      <c r="E4580" s="14" t="s">
        <v>113</v>
      </c>
      <c r="F4580" s="15" t="s">
        <v>51</v>
      </c>
      <c r="G4580" s="14" t="s">
        <v>114</v>
      </c>
      <c r="H4580" s="14" t="s">
        <v>112</v>
      </c>
      <c r="I4580" s="14" t="s">
        <v>59</v>
      </c>
      <c r="J4580" s="14" t="s">
        <v>198</v>
      </c>
      <c r="K4580" s="14" t="s">
        <v>210</v>
      </c>
      <c r="L4580" s="14" t="s">
        <v>264</v>
      </c>
      <c r="M4580" s="14" t="s">
        <v>357</v>
      </c>
      <c r="N4580" s="14" t="s">
        <v>358</v>
      </c>
      <c r="O4580" s="14">
        <v>100.0</v>
      </c>
      <c r="P4580" s="21">
        <v>0.0</v>
      </c>
      <c r="Q4580" s="22" t="str">
        <f t="shared" ref="Q4580:R4580" si="2742">"+0"</f>
        <v>+0</v>
      </c>
      <c r="R4580" s="18" t="str">
        <f t="shared" si="2742"/>
        <v>+0</v>
      </c>
      <c r="S4580" s="14" t="s">
        <v>281</v>
      </c>
    </row>
    <row r="4581">
      <c r="A4581" s="13">
        <v>45901.0</v>
      </c>
      <c r="B4581" s="14" t="s">
        <v>47</v>
      </c>
      <c r="C4581" s="14" t="s">
        <v>48</v>
      </c>
      <c r="D4581" s="14" t="s">
        <v>77</v>
      </c>
      <c r="E4581" s="14" t="s">
        <v>78</v>
      </c>
      <c r="F4581" s="15" t="s">
        <v>51</v>
      </c>
      <c r="G4581" s="14" t="s">
        <v>128</v>
      </c>
      <c r="H4581" s="14" t="s">
        <v>81</v>
      </c>
      <c r="I4581" s="14" t="s">
        <v>59</v>
      </c>
      <c r="J4581" s="14" t="s">
        <v>200</v>
      </c>
      <c r="K4581" s="14" t="s">
        <v>211</v>
      </c>
      <c r="L4581" s="14" t="s">
        <v>253</v>
      </c>
      <c r="M4581" s="14" t="s">
        <v>1085</v>
      </c>
      <c r="N4581" s="14" t="s">
        <v>1086</v>
      </c>
      <c r="O4581" s="14">
        <v>0.0</v>
      </c>
      <c r="P4581" s="23">
        <v>0.0</v>
      </c>
      <c r="Q4581" s="22" t="str">
        <f t="shared" ref="Q4581:R4581" si="2743">"+0.00%"</f>
        <v>+0.00%</v>
      </c>
      <c r="R4581" s="18" t="str">
        <f t="shared" si="2743"/>
        <v>+0.00%</v>
      </c>
      <c r="S4581" s="14" t="s">
        <v>2310</v>
      </c>
    </row>
    <row r="4582">
      <c r="A4582" s="13">
        <v>45901.0</v>
      </c>
      <c r="B4582" s="14" t="s">
        <v>47</v>
      </c>
      <c r="C4582" s="14" t="s">
        <v>48</v>
      </c>
      <c r="D4582" s="14" t="s">
        <v>174</v>
      </c>
      <c r="E4582" s="14" t="s">
        <v>175</v>
      </c>
      <c r="F4582" s="15" t="s">
        <v>51</v>
      </c>
      <c r="G4582" s="14" t="s">
        <v>176</v>
      </c>
      <c r="H4582" s="14" t="s">
        <v>174</v>
      </c>
      <c r="I4582" s="14" t="s">
        <v>59</v>
      </c>
      <c r="J4582" s="14" t="s">
        <v>198</v>
      </c>
      <c r="K4582" s="14" t="s">
        <v>210</v>
      </c>
      <c r="L4582" s="14" t="s">
        <v>264</v>
      </c>
      <c r="M4582" s="14" t="s">
        <v>407</v>
      </c>
      <c r="N4582" s="14" t="s">
        <v>408</v>
      </c>
      <c r="O4582" s="14">
        <v>89.0</v>
      </c>
      <c r="P4582" s="21">
        <v>1.0</v>
      </c>
      <c r="Q4582" s="22" t="str">
        <f>"-3"</f>
        <v>-3</v>
      </c>
      <c r="R4582" s="18" t="str">
        <f>"+1"</f>
        <v>+1</v>
      </c>
      <c r="S4582" s="14" t="s">
        <v>356</v>
      </c>
    </row>
    <row r="4583">
      <c r="A4583" s="13">
        <v>45901.0</v>
      </c>
      <c r="B4583" s="14" t="s">
        <v>47</v>
      </c>
      <c r="C4583" s="14" t="s">
        <v>48</v>
      </c>
      <c r="D4583" s="14" t="s">
        <v>108</v>
      </c>
      <c r="E4583" s="14" t="s">
        <v>109</v>
      </c>
      <c r="F4583" s="14" t="s">
        <v>79</v>
      </c>
      <c r="G4583" s="14" t="s">
        <v>153</v>
      </c>
      <c r="H4583" s="14" t="s">
        <v>108</v>
      </c>
      <c r="I4583" s="14" t="s">
        <v>154</v>
      </c>
      <c r="J4583" s="14" t="s">
        <v>199</v>
      </c>
      <c r="K4583" s="14" t="s">
        <v>206</v>
      </c>
      <c r="L4583" s="14" t="s">
        <v>433</v>
      </c>
      <c r="M4583" s="14" t="s">
        <v>433</v>
      </c>
      <c r="N4583" s="14" t="s">
        <v>434</v>
      </c>
      <c r="O4583" s="14">
        <v>100.0</v>
      </c>
      <c r="P4583" s="21">
        <v>11.0</v>
      </c>
      <c r="Q4583" s="22" t="str">
        <f>"+4"</f>
        <v>+4</v>
      </c>
      <c r="S4583" s="14" t="s">
        <v>383</v>
      </c>
    </row>
    <row r="4584">
      <c r="A4584" s="13">
        <v>45901.0</v>
      </c>
      <c r="B4584" s="14" t="s">
        <v>47</v>
      </c>
      <c r="C4584" s="14" t="s">
        <v>48</v>
      </c>
      <c r="D4584" s="14" t="s">
        <v>174</v>
      </c>
      <c r="E4584" s="14" t="s">
        <v>175</v>
      </c>
      <c r="F4584" s="15" t="s">
        <v>51</v>
      </c>
      <c r="G4584" s="14" t="s">
        <v>176</v>
      </c>
      <c r="H4584" s="14" t="s">
        <v>174</v>
      </c>
      <c r="I4584" s="14" t="s">
        <v>59</v>
      </c>
      <c r="J4584" s="14" t="s">
        <v>200</v>
      </c>
      <c r="K4584" s="14" t="s">
        <v>213</v>
      </c>
      <c r="L4584" s="14" t="s">
        <v>307</v>
      </c>
      <c r="M4584" s="14" t="s">
        <v>856</v>
      </c>
      <c r="N4584" s="14" t="s">
        <v>857</v>
      </c>
      <c r="O4584" s="14">
        <v>0.0</v>
      </c>
      <c r="P4584" s="23">
        <v>0.0</v>
      </c>
      <c r="Q4584" s="22" t="str">
        <f t="shared" ref="Q4584:R4584" si="2744">"+0.00%"</f>
        <v>+0.00%</v>
      </c>
      <c r="R4584" s="18" t="str">
        <f t="shared" si="2744"/>
        <v>+0.00%</v>
      </c>
      <c r="S4584" s="14" t="s">
        <v>285</v>
      </c>
    </row>
    <row r="4585">
      <c r="A4585" s="13">
        <v>45901.0</v>
      </c>
      <c r="B4585" s="14" t="s">
        <v>47</v>
      </c>
      <c r="C4585" s="14" t="s">
        <v>48</v>
      </c>
      <c r="D4585" s="14" t="s">
        <v>155</v>
      </c>
      <c r="E4585" s="14" t="s">
        <v>156</v>
      </c>
      <c r="F4585" s="15" t="s">
        <v>51</v>
      </c>
      <c r="G4585" s="14" t="s">
        <v>157</v>
      </c>
      <c r="H4585" s="14" t="s">
        <v>155</v>
      </c>
      <c r="I4585" s="14" t="s">
        <v>59</v>
      </c>
      <c r="J4585" s="14" t="s">
        <v>200</v>
      </c>
      <c r="K4585" s="14" t="s">
        <v>223</v>
      </c>
      <c r="L4585" s="14" t="s">
        <v>487</v>
      </c>
      <c r="M4585" s="14" t="s">
        <v>788</v>
      </c>
      <c r="N4585" s="14" t="s">
        <v>789</v>
      </c>
      <c r="O4585" s="14">
        <v>0.0</v>
      </c>
      <c r="P4585" s="17"/>
      <c r="Q4585" s="22"/>
      <c r="S4585" s="14" t="s">
        <v>285</v>
      </c>
    </row>
    <row r="4586">
      <c r="A4586" s="13">
        <v>45901.0</v>
      </c>
      <c r="B4586" s="14" t="s">
        <v>47</v>
      </c>
      <c r="C4586" s="14" t="s">
        <v>48</v>
      </c>
      <c r="D4586" s="14" t="s">
        <v>181</v>
      </c>
      <c r="E4586" s="14" t="s">
        <v>182</v>
      </c>
      <c r="F4586" s="15" t="s">
        <v>51</v>
      </c>
      <c r="G4586" s="14" t="s">
        <v>183</v>
      </c>
      <c r="H4586" s="14" t="s">
        <v>181</v>
      </c>
      <c r="I4586" s="14" t="s">
        <v>59</v>
      </c>
      <c r="J4586" s="14" t="s">
        <v>200</v>
      </c>
      <c r="K4586" s="14" t="s">
        <v>232</v>
      </c>
      <c r="L4586" s="14" t="s">
        <v>282</v>
      </c>
      <c r="M4586" s="14" t="s">
        <v>283</v>
      </c>
      <c r="N4586" s="14" t="s">
        <v>284</v>
      </c>
      <c r="O4586" s="14">
        <v>0.0</v>
      </c>
      <c r="P4586" s="23">
        <v>0.0</v>
      </c>
      <c r="Q4586" s="22" t="str">
        <f t="shared" ref="Q4586:R4586" si="2745">"+0.00%"</f>
        <v>+0.00%</v>
      </c>
      <c r="R4586" s="18" t="str">
        <f t="shared" si="2745"/>
        <v>+0.00%</v>
      </c>
      <c r="S4586" s="14" t="s">
        <v>285</v>
      </c>
    </row>
    <row r="4587">
      <c r="A4587" s="13">
        <v>45901.0</v>
      </c>
      <c r="B4587" s="14" t="s">
        <v>47</v>
      </c>
      <c r="C4587" s="14" t="s">
        <v>48</v>
      </c>
      <c r="D4587" s="14" t="s">
        <v>121</v>
      </c>
      <c r="E4587" s="14" t="s">
        <v>122</v>
      </c>
      <c r="F4587" s="15" t="s">
        <v>51</v>
      </c>
      <c r="G4587" s="14" t="s">
        <v>123</v>
      </c>
      <c r="H4587" s="14" t="s">
        <v>124</v>
      </c>
      <c r="I4587" s="14" t="s">
        <v>59</v>
      </c>
      <c r="J4587" s="14" t="s">
        <v>198</v>
      </c>
      <c r="K4587" s="14" t="s">
        <v>210</v>
      </c>
      <c r="L4587" s="14" t="s">
        <v>264</v>
      </c>
      <c r="M4587" s="14" t="s">
        <v>407</v>
      </c>
      <c r="N4587" s="14" t="s">
        <v>408</v>
      </c>
      <c r="O4587" s="14">
        <v>100.0</v>
      </c>
      <c r="P4587" s="21">
        <v>0.0</v>
      </c>
      <c r="Q4587" s="22" t="str">
        <f t="shared" ref="Q4587:R4587" si="2746">"+0"</f>
        <v>+0</v>
      </c>
      <c r="R4587" s="18" t="str">
        <f t="shared" si="2746"/>
        <v>+0</v>
      </c>
      <c r="S4587" s="14" t="s">
        <v>281</v>
      </c>
    </row>
    <row r="4588">
      <c r="A4588" s="13">
        <v>45901.0</v>
      </c>
      <c r="B4588" s="14" t="s">
        <v>47</v>
      </c>
      <c r="C4588" s="14" t="s">
        <v>48</v>
      </c>
      <c r="D4588" s="14" t="s">
        <v>121</v>
      </c>
      <c r="E4588" s="14" t="s">
        <v>122</v>
      </c>
      <c r="F4588" s="15" t="s">
        <v>51</v>
      </c>
      <c r="G4588" s="14" t="s">
        <v>123</v>
      </c>
      <c r="H4588" s="14" t="s">
        <v>124</v>
      </c>
      <c r="I4588" s="14" t="s">
        <v>59</v>
      </c>
      <c r="J4588" s="14" t="s">
        <v>200</v>
      </c>
      <c r="K4588" s="14" t="s">
        <v>232</v>
      </c>
      <c r="L4588" s="14" t="s">
        <v>607</v>
      </c>
      <c r="M4588" s="14" t="s">
        <v>886</v>
      </c>
      <c r="N4588" s="14" t="s">
        <v>887</v>
      </c>
      <c r="O4588" s="14">
        <v>0.0</v>
      </c>
      <c r="P4588" s="23">
        <v>0.0</v>
      </c>
      <c r="Q4588" s="22" t="str">
        <f t="shared" ref="Q4588:R4588" si="2747">"+0.00%"</f>
        <v>+0.00%</v>
      </c>
      <c r="R4588" s="18" t="str">
        <f t="shared" si="2747"/>
        <v>+0.00%</v>
      </c>
      <c r="S4588" s="14" t="s">
        <v>2311</v>
      </c>
    </row>
    <row r="4589">
      <c r="A4589" s="13">
        <v>45901.0</v>
      </c>
      <c r="B4589" s="14" t="s">
        <v>47</v>
      </c>
      <c r="C4589" s="14" t="s">
        <v>48</v>
      </c>
      <c r="D4589" s="14" t="s">
        <v>56</v>
      </c>
      <c r="E4589" s="14" t="s">
        <v>57</v>
      </c>
      <c r="F4589" s="15" t="s">
        <v>51</v>
      </c>
      <c r="G4589" s="14" t="s">
        <v>58</v>
      </c>
      <c r="H4589" s="14" t="s">
        <v>56</v>
      </c>
      <c r="I4589" s="14" t="s">
        <v>59</v>
      </c>
      <c r="J4589" s="14" t="s">
        <v>200</v>
      </c>
      <c r="K4589" s="14" t="s">
        <v>201</v>
      </c>
      <c r="L4589" s="14" t="s">
        <v>253</v>
      </c>
      <c r="M4589" s="14" t="s">
        <v>538</v>
      </c>
      <c r="N4589" s="14" t="s">
        <v>539</v>
      </c>
      <c r="O4589" s="14">
        <v>1.0</v>
      </c>
      <c r="P4589" s="23">
        <v>7.0E-4</v>
      </c>
      <c r="Q4589" s="22" t="str">
        <f t="shared" ref="Q4589:R4589" si="2748">"-0.00%"</f>
        <v>-0.00%</v>
      </c>
      <c r="R4589" s="18" t="str">
        <f t="shared" si="2748"/>
        <v>-0.00%</v>
      </c>
      <c r="S4589" s="14" t="s">
        <v>1667</v>
      </c>
    </row>
    <row r="4590">
      <c r="A4590" s="13">
        <v>45901.0</v>
      </c>
      <c r="B4590" s="14" t="s">
        <v>47</v>
      </c>
      <c r="C4590" s="14" t="s">
        <v>48</v>
      </c>
      <c r="D4590" s="14" t="s">
        <v>165</v>
      </c>
      <c r="E4590" s="14" t="s">
        <v>166</v>
      </c>
      <c r="F4590" s="15" t="s">
        <v>51</v>
      </c>
      <c r="G4590" s="14" t="s">
        <v>167</v>
      </c>
      <c r="H4590" s="14" t="s">
        <v>165</v>
      </c>
      <c r="I4590" s="14" t="s">
        <v>54</v>
      </c>
      <c r="J4590" s="14" t="s">
        <v>198</v>
      </c>
      <c r="K4590" s="14" t="s">
        <v>210</v>
      </c>
      <c r="L4590" s="14" t="s">
        <v>264</v>
      </c>
      <c r="M4590" s="14" t="s">
        <v>357</v>
      </c>
      <c r="N4590" s="14" t="s">
        <v>358</v>
      </c>
      <c r="O4590" s="14">
        <v>100.0</v>
      </c>
      <c r="P4590" s="21">
        <v>0.0</v>
      </c>
      <c r="Q4590" s="22" t="str">
        <f>"+0"</f>
        <v>+0</v>
      </c>
      <c r="R4590" s="18" t="str">
        <f>"-121,665"</f>
        <v>-121,665</v>
      </c>
      <c r="S4590" s="14" t="s">
        <v>281</v>
      </c>
    </row>
    <row r="4591">
      <c r="A4591" s="13">
        <v>45901.0</v>
      </c>
      <c r="B4591" s="14" t="s">
        <v>47</v>
      </c>
      <c r="C4591" s="14" t="s">
        <v>48</v>
      </c>
      <c r="D4591" s="14" t="s">
        <v>165</v>
      </c>
      <c r="E4591" s="14" t="s">
        <v>166</v>
      </c>
      <c r="F4591" s="15" t="s">
        <v>51</v>
      </c>
      <c r="G4591" s="14" t="s">
        <v>167</v>
      </c>
      <c r="H4591" s="14" t="s">
        <v>165</v>
      </c>
      <c r="I4591" s="14" t="s">
        <v>54</v>
      </c>
      <c r="J4591" s="14" t="s">
        <v>200</v>
      </c>
      <c r="K4591" s="14" t="s">
        <v>213</v>
      </c>
      <c r="L4591" s="14" t="s">
        <v>307</v>
      </c>
      <c r="M4591" s="14" t="s">
        <v>502</v>
      </c>
      <c r="N4591" s="14" t="s">
        <v>503</v>
      </c>
      <c r="O4591" s="14">
        <v>18.0</v>
      </c>
      <c r="P4591" s="23">
        <v>0.1813</v>
      </c>
      <c r="Q4591" s="22" t="str">
        <f>"-0.64%"</f>
        <v>-0.64%</v>
      </c>
      <c r="R4591" s="18" t="str">
        <f>"-0.05%"</f>
        <v>-0.05%</v>
      </c>
      <c r="S4591" s="14" t="s">
        <v>2245</v>
      </c>
    </row>
    <row r="4592">
      <c r="A4592" s="13">
        <v>45901.0</v>
      </c>
      <c r="B4592" s="14" t="s">
        <v>47</v>
      </c>
      <c r="C4592" s="14" t="s">
        <v>48</v>
      </c>
      <c r="D4592" s="14" t="s">
        <v>165</v>
      </c>
      <c r="E4592" s="14" t="s">
        <v>166</v>
      </c>
      <c r="F4592" s="15" t="s">
        <v>51</v>
      </c>
      <c r="G4592" s="14" t="s">
        <v>167</v>
      </c>
      <c r="H4592" s="14" t="s">
        <v>165</v>
      </c>
      <c r="I4592" s="14" t="s">
        <v>54</v>
      </c>
      <c r="J4592" s="14" t="s">
        <v>200</v>
      </c>
      <c r="K4592" s="14" t="s">
        <v>224</v>
      </c>
      <c r="L4592" s="14" t="s">
        <v>392</v>
      </c>
      <c r="M4592" s="14" t="s">
        <v>1638</v>
      </c>
      <c r="N4592" s="14" t="s">
        <v>1639</v>
      </c>
      <c r="O4592" s="14">
        <v>4.0</v>
      </c>
      <c r="P4592" s="23">
        <v>0.0455</v>
      </c>
      <c r="Q4592" s="22" t="str">
        <f>"-1.70%"</f>
        <v>-1.70%</v>
      </c>
      <c r="R4592" s="18" t="str">
        <f>"-0.72%"</f>
        <v>-0.72%</v>
      </c>
      <c r="S4592" s="14" t="s">
        <v>2312</v>
      </c>
    </row>
    <row r="4593">
      <c r="A4593" s="13">
        <v>45901.0</v>
      </c>
      <c r="B4593" s="14" t="s">
        <v>47</v>
      </c>
      <c r="C4593" s="14" t="s">
        <v>48</v>
      </c>
      <c r="D4593" s="14" t="s">
        <v>63</v>
      </c>
      <c r="E4593" s="14" t="s">
        <v>64</v>
      </c>
      <c r="F4593" s="15" t="s">
        <v>51</v>
      </c>
      <c r="G4593" s="14" t="s">
        <v>65</v>
      </c>
      <c r="H4593" s="14" t="s">
        <v>63</v>
      </c>
      <c r="I4593" s="14" t="s">
        <v>54</v>
      </c>
      <c r="J4593" s="14" t="s">
        <v>198</v>
      </c>
      <c r="K4593" s="14" t="s">
        <v>210</v>
      </c>
      <c r="L4593" s="14" t="s">
        <v>264</v>
      </c>
      <c r="M4593" s="14" t="s">
        <v>527</v>
      </c>
      <c r="N4593" s="14" t="s">
        <v>528</v>
      </c>
      <c r="O4593" s="14">
        <v>0.0</v>
      </c>
      <c r="P4593" s="21">
        <v>0.0</v>
      </c>
      <c r="Q4593" s="22" t="str">
        <f t="shared" ref="Q4593:R4593" si="2749">"+0"</f>
        <v>+0</v>
      </c>
      <c r="R4593" s="18" t="str">
        <f t="shared" si="2749"/>
        <v>+0</v>
      </c>
      <c r="S4593" s="14" t="s">
        <v>277</v>
      </c>
    </row>
    <row r="4594">
      <c r="A4594" s="13">
        <v>45901.0</v>
      </c>
      <c r="B4594" s="14" t="s">
        <v>47</v>
      </c>
      <c r="C4594" s="14" t="s">
        <v>48</v>
      </c>
      <c r="D4594" s="14" t="s">
        <v>91</v>
      </c>
      <c r="E4594" s="14" t="s">
        <v>92</v>
      </c>
      <c r="F4594" s="14" t="s">
        <v>71</v>
      </c>
      <c r="G4594" s="14">
        <v>5.10000484E8</v>
      </c>
      <c r="H4594" s="14" t="s">
        <v>91</v>
      </c>
      <c r="I4594" s="14" t="s">
        <v>54</v>
      </c>
      <c r="J4594" s="14" t="s">
        <v>200</v>
      </c>
      <c r="K4594" s="14" t="s">
        <v>218</v>
      </c>
      <c r="L4594" s="14" t="s">
        <v>253</v>
      </c>
      <c r="M4594" s="14" t="s">
        <v>1202</v>
      </c>
      <c r="N4594" s="14" t="s">
        <v>1203</v>
      </c>
      <c r="O4594" s="14">
        <v>54.0</v>
      </c>
      <c r="P4594" s="23">
        <v>0.546</v>
      </c>
      <c r="Q4594" s="22" t="str">
        <f>"-1.35%"</f>
        <v>-1.35%</v>
      </c>
      <c r="R4594" s="18" t="str">
        <f>"-4.67%"</f>
        <v>-4.67%</v>
      </c>
      <c r="S4594" s="14" t="s">
        <v>2309</v>
      </c>
    </row>
    <row r="4595">
      <c r="A4595" s="13">
        <v>45901.0</v>
      </c>
      <c r="B4595" s="14" t="s">
        <v>47</v>
      </c>
      <c r="C4595" s="14" t="s">
        <v>48</v>
      </c>
      <c r="D4595" s="14" t="s">
        <v>91</v>
      </c>
      <c r="E4595" s="14" t="s">
        <v>92</v>
      </c>
      <c r="F4595" s="14" t="s">
        <v>71</v>
      </c>
      <c r="G4595" s="14">
        <v>7295600.0</v>
      </c>
      <c r="H4595" s="14" t="s">
        <v>91</v>
      </c>
      <c r="I4595" s="14" t="s">
        <v>54</v>
      </c>
      <c r="J4595" s="14" t="s">
        <v>199</v>
      </c>
      <c r="K4595" s="14" t="s">
        <v>203</v>
      </c>
      <c r="L4595" s="14" t="s">
        <v>725</v>
      </c>
      <c r="M4595" s="14" t="s">
        <v>725</v>
      </c>
      <c r="N4595" s="14" t="s">
        <v>726</v>
      </c>
      <c r="O4595" s="14">
        <v>100.0</v>
      </c>
      <c r="P4595" s="21">
        <v>4.0</v>
      </c>
      <c r="Q4595" s="22" t="str">
        <f>"+1"</f>
        <v>+1</v>
      </c>
      <c r="R4595" s="18" t="str">
        <f>"+2"</f>
        <v>+2</v>
      </c>
      <c r="S4595" s="14" t="s">
        <v>260</v>
      </c>
    </row>
    <row r="4596">
      <c r="A4596" s="13">
        <v>45901.0</v>
      </c>
      <c r="B4596" s="14" t="s">
        <v>47</v>
      </c>
      <c r="C4596" s="14" t="s">
        <v>48</v>
      </c>
      <c r="D4596" s="14" t="s">
        <v>99</v>
      </c>
      <c r="E4596" s="14" t="s">
        <v>100</v>
      </c>
      <c r="F4596" s="15" t="s">
        <v>51</v>
      </c>
      <c r="G4596" s="14" t="s">
        <v>101</v>
      </c>
      <c r="H4596" s="14" t="s">
        <v>102</v>
      </c>
      <c r="I4596" s="14" t="s">
        <v>54</v>
      </c>
      <c r="J4596" s="14" t="s">
        <v>199</v>
      </c>
      <c r="K4596" s="14" t="s">
        <v>203</v>
      </c>
      <c r="L4596" s="14" t="s">
        <v>601</v>
      </c>
      <c r="M4596" s="14" t="s">
        <v>601</v>
      </c>
      <c r="N4596" s="14" t="s">
        <v>602</v>
      </c>
      <c r="O4596" s="14">
        <v>0.0</v>
      </c>
      <c r="P4596" s="21">
        <v>0.0</v>
      </c>
      <c r="Q4596" s="22" t="str">
        <f t="shared" ref="Q4596:R4596" si="2750">"+0"</f>
        <v>+0</v>
      </c>
      <c r="R4596" s="18" t="str">
        <f t="shared" si="2750"/>
        <v>+0</v>
      </c>
      <c r="S4596" s="14" t="s">
        <v>260</v>
      </c>
    </row>
    <row r="4597">
      <c r="A4597" s="13">
        <v>45901.0</v>
      </c>
      <c r="B4597" s="14" t="s">
        <v>47</v>
      </c>
      <c r="C4597" s="14" t="s">
        <v>48</v>
      </c>
      <c r="D4597" s="14" t="s">
        <v>91</v>
      </c>
      <c r="E4597" s="14" t="s">
        <v>92</v>
      </c>
      <c r="F4597" s="14" t="s">
        <v>79</v>
      </c>
      <c r="G4597" s="14" t="s">
        <v>164</v>
      </c>
      <c r="H4597" s="14" t="s">
        <v>91</v>
      </c>
      <c r="I4597" s="14" t="s">
        <v>154</v>
      </c>
      <c r="J4597" s="14" t="s">
        <v>198</v>
      </c>
      <c r="K4597" s="14" t="s">
        <v>212</v>
      </c>
      <c r="L4597" s="14" t="s">
        <v>249</v>
      </c>
      <c r="M4597" s="14" t="s">
        <v>1134</v>
      </c>
      <c r="N4597" s="14" t="s">
        <v>1135</v>
      </c>
      <c r="O4597" s="14">
        <v>100.0</v>
      </c>
      <c r="P4597" s="21">
        <v>0.0</v>
      </c>
      <c r="Q4597" s="22" t="str">
        <f t="shared" ref="Q4597:Q4601" si="2751">"+0"</f>
        <v>+0</v>
      </c>
      <c r="S4597" s="14" t="s">
        <v>281</v>
      </c>
    </row>
    <row r="4598">
      <c r="A4598" s="13">
        <v>45901.0</v>
      </c>
      <c r="B4598" s="14" t="s">
        <v>47</v>
      </c>
      <c r="C4598" s="14" t="s">
        <v>48</v>
      </c>
      <c r="D4598" s="14" t="s">
        <v>91</v>
      </c>
      <c r="E4598" s="14" t="s">
        <v>92</v>
      </c>
      <c r="F4598" s="14" t="s">
        <v>71</v>
      </c>
      <c r="G4598" s="14">
        <v>5.10011769E8</v>
      </c>
      <c r="H4598" s="14" t="s">
        <v>91</v>
      </c>
      <c r="I4598" s="14" t="s">
        <v>59</v>
      </c>
      <c r="J4598" s="14" t="s">
        <v>199</v>
      </c>
      <c r="K4598" s="14" t="s">
        <v>206</v>
      </c>
      <c r="L4598" s="14" t="s">
        <v>381</v>
      </c>
      <c r="M4598" s="14" t="s">
        <v>381</v>
      </c>
      <c r="N4598" s="14" t="s">
        <v>382</v>
      </c>
      <c r="O4598" s="14">
        <v>0.0</v>
      </c>
      <c r="P4598" s="21">
        <v>0.0</v>
      </c>
      <c r="Q4598" s="22" t="str">
        <f t="shared" si="2751"/>
        <v>+0</v>
      </c>
      <c r="R4598" s="18" t="str">
        <f t="shared" ref="R4598:R4599" si="2752">"+0"</f>
        <v>+0</v>
      </c>
      <c r="S4598" s="14" t="s">
        <v>383</v>
      </c>
    </row>
    <row r="4599">
      <c r="A4599" s="13">
        <v>45901.0</v>
      </c>
      <c r="B4599" s="14" t="s">
        <v>47</v>
      </c>
      <c r="C4599" s="14" t="s">
        <v>48</v>
      </c>
      <c r="D4599" s="14" t="s">
        <v>91</v>
      </c>
      <c r="E4599" s="14" t="s">
        <v>92</v>
      </c>
      <c r="F4599" s="14" t="s">
        <v>71</v>
      </c>
      <c r="G4599" s="14">
        <v>7295600.0</v>
      </c>
      <c r="H4599" s="14" t="s">
        <v>91</v>
      </c>
      <c r="I4599" s="14" t="s">
        <v>54</v>
      </c>
      <c r="J4599" s="14" t="s">
        <v>199</v>
      </c>
      <c r="K4599" s="14" t="s">
        <v>203</v>
      </c>
      <c r="L4599" s="14" t="s">
        <v>862</v>
      </c>
      <c r="M4599" s="14" t="s">
        <v>862</v>
      </c>
      <c r="N4599" s="14" t="s">
        <v>863</v>
      </c>
      <c r="O4599" s="14">
        <v>0.0</v>
      </c>
      <c r="P4599" s="21">
        <v>0.0</v>
      </c>
      <c r="Q4599" s="22" t="str">
        <f t="shared" si="2751"/>
        <v>+0</v>
      </c>
      <c r="R4599" s="18" t="str">
        <f t="shared" si="2752"/>
        <v>+0</v>
      </c>
      <c r="S4599" s="14" t="s">
        <v>260</v>
      </c>
    </row>
    <row r="4600">
      <c r="A4600" s="13">
        <v>45901.0</v>
      </c>
      <c r="B4600" s="14" t="s">
        <v>47</v>
      </c>
      <c r="C4600" s="14" t="s">
        <v>48</v>
      </c>
      <c r="D4600" s="14" t="s">
        <v>149</v>
      </c>
      <c r="E4600" s="14" t="s">
        <v>150</v>
      </c>
      <c r="F4600" s="15" t="s">
        <v>51</v>
      </c>
      <c r="G4600" s="14" t="s">
        <v>151</v>
      </c>
      <c r="H4600" s="14" t="s">
        <v>152</v>
      </c>
      <c r="I4600" s="14" t="s">
        <v>54</v>
      </c>
      <c r="J4600" s="14" t="s">
        <v>198</v>
      </c>
      <c r="K4600" s="14" t="s">
        <v>207</v>
      </c>
      <c r="L4600" s="14" t="s">
        <v>648</v>
      </c>
      <c r="M4600" s="14" t="s">
        <v>649</v>
      </c>
      <c r="N4600" s="14" t="s">
        <v>650</v>
      </c>
      <c r="O4600" s="14">
        <v>100.0</v>
      </c>
      <c r="P4600" s="21">
        <v>1.0</v>
      </c>
      <c r="Q4600" s="22" t="str">
        <f t="shared" si="2751"/>
        <v>+0</v>
      </c>
      <c r="S4600" s="14" t="s">
        <v>281</v>
      </c>
    </row>
    <row r="4601">
      <c r="A4601" s="13">
        <v>45901.0</v>
      </c>
      <c r="B4601" s="14" t="s">
        <v>47</v>
      </c>
      <c r="C4601" s="14" t="s">
        <v>48</v>
      </c>
      <c r="D4601" s="14" t="s">
        <v>108</v>
      </c>
      <c r="E4601" s="14" t="s">
        <v>109</v>
      </c>
      <c r="F4601" s="15" t="s">
        <v>51</v>
      </c>
      <c r="G4601" s="14" t="s">
        <v>110</v>
      </c>
      <c r="H4601" s="14" t="s">
        <v>108</v>
      </c>
      <c r="I4601" s="14" t="s">
        <v>59</v>
      </c>
      <c r="J4601" s="14" t="s">
        <v>198</v>
      </c>
      <c r="K4601" s="14" t="s">
        <v>205</v>
      </c>
      <c r="L4601" s="14" t="s">
        <v>274</v>
      </c>
      <c r="M4601" s="14" t="s">
        <v>791</v>
      </c>
      <c r="N4601" s="14" t="s">
        <v>792</v>
      </c>
      <c r="O4601" s="14">
        <v>50.0</v>
      </c>
      <c r="P4601" s="21">
        <v>1.0</v>
      </c>
      <c r="Q4601" s="22" t="str">
        <f t="shared" si="2751"/>
        <v>+0</v>
      </c>
      <c r="S4601" s="14" t="s">
        <v>260</v>
      </c>
    </row>
    <row r="4602">
      <c r="A4602" s="13">
        <v>45901.0</v>
      </c>
      <c r="B4602" s="14" t="s">
        <v>47</v>
      </c>
      <c r="C4602" s="14" t="s">
        <v>48</v>
      </c>
      <c r="D4602" s="14" t="s">
        <v>56</v>
      </c>
      <c r="E4602" s="14" t="s">
        <v>57</v>
      </c>
      <c r="F4602" s="15" t="s">
        <v>51</v>
      </c>
      <c r="G4602" s="14" t="s">
        <v>58</v>
      </c>
      <c r="H4602" s="14" t="s">
        <v>56</v>
      </c>
      <c r="I4602" s="14" t="s">
        <v>59</v>
      </c>
      <c r="J4602" s="14" t="s">
        <v>200</v>
      </c>
      <c r="K4602" s="14" t="s">
        <v>223</v>
      </c>
      <c r="L4602" s="14" t="s">
        <v>253</v>
      </c>
      <c r="M4602" s="14" t="s">
        <v>552</v>
      </c>
      <c r="N4602" s="14" t="s">
        <v>553</v>
      </c>
      <c r="O4602" s="14">
        <v>46.0</v>
      </c>
      <c r="P4602" s="23">
        <v>0.4613</v>
      </c>
      <c r="Q4602" s="22" t="str">
        <f>"+8.07%"</f>
        <v>+8.07%</v>
      </c>
      <c r="R4602" s="18" t="str">
        <f>"+5.02%"</f>
        <v>+5.02%</v>
      </c>
      <c r="S4602" s="14" t="s">
        <v>2313</v>
      </c>
    </row>
    <row r="4603">
      <c r="A4603" s="13">
        <v>45901.0</v>
      </c>
      <c r="B4603" s="14" t="s">
        <v>47</v>
      </c>
      <c r="C4603" s="14" t="s">
        <v>48</v>
      </c>
      <c r="D4603" s="14" t="s">
        <v>181</v>
      </c>
      <c r="E4603" s="14" t="s">
        <v>182</v>
      </c>
      <c r="F4603" s="15" t="s">
        <v>51</v>
      </c>
      <c r="G4603" s="14" t="s">
        <v>183</v>
      </c>
      <c r="H4603" s="14" t="s">
        <v>181</v>
      </c>
      <c r="I4603" s="14" t="s">
        <v>59</v>
      </c>
      <c r="J4603" s="14" t="s">
        <v>200</v>
      </c>
      <c r="K4603" s="14" t="s">
        <v>232</v>
      </c>
      <c r="L4603" s="14" t="s">
        <v>607</v>
      </c>
      <c r="M4603" s="14" t="s">
        <v>1204</v>
      </c>
      <c r="N4603" s="14" t="s">
        <v>1205</v>
      </c>
      <c r="O4603" s="14">
        <v>0.0</v>
      </c>
      <c r="P4603" s="21">
        <v>0.0</v>
      </c>
      <c r="Q4603" s="22" t="str">
        <f t="shared" ref="Q4603:R4603" si="2753">"+0"</f>
        <v>+0</v>
      </c>
      <c r="R4603" s="18" t="str">
        <f t="shared" si="2753"/>
        <v>+0</v>
      </c>
      <c r="S4603" s="14" t="s">
        <v>260</v>
      </c>
    </row>
    <row r="4604">
      <c r="A4604" s="13">
        <v>45901.0</v>
      </c>
      <c r="B4604" s="14" t="s">
        <v>47</v>
      </c>
      <c r="C4604" s="14" t="s">
        <v>48</v>
      </c>
      <c r="D4604" s="14" t="s">
        <v>155</v>
      </c>
      <c r="E4604" s="14" t="s">
        <v>156</v>
      </c>
      <c r="F4604" s="15" t="s">
        <v>51</v>
      </c>
      <c r="G4604" s="14" t="s">
        <v>157</v>
      </c>
      <c r="H4604" s="14" t="s">
        <v>155</v>
      </c>
      <c r="I4604" s="14" t="s">
        <v>59</v>
      </c>
      <c r="J4604" s="14" t="s">
        <v>200</v>
      </c>
      <c r="K4604" s="14" t="s">
        <v>223</v>
      </c>
      <c r="L4604" s="14" t="s">
        <v>607</v>
      </c>
      <c r="M4604" s="14" t="s">
        <v>608</v>
      </c>
      <c r="N4604" s="14" t="s">
        <v>609</v>
      </c>
      <c r="O4604" s="14">
        <v>0.0</v>
      </c>
      <c r="P4604" s="17"/>
      <c r="Q4604" s="22"/>
      <c r="S4604" s="14" t="s">
        <v>2314</v>
      </c>
    </row>
    <row r="4605">
      <c r="A4605" s="13">
        <v>45901.0</v>
      </c>
      <c r="B4605" s="14" t="s">
        <v>47</v>
      </c>
      <c r="C4605" s="14" t="s">
        <v>48</v>
      </c>
      <c r="D4605" s="14" t="s">
        <v>49</v>
      </c>
      <c r="E4605" s="14" t="s">
        <v>50</v>
      </c>
      <c r="F4605" s="15" t="s">
        <v>51</v>
      </c>
      <c r="G4605" s="14" t="s">
        <v>52</v>
      </c>
      <c r="H4605" s="14" t="s">
        <v>53</v>
      </c>
      <c r="I4605" s="14" t="s">
        <v>54</v>
      </c>
      <c r="J4605" s="14" t="s">
        <v>198</v>
      </c>
      <c r="K4605" s="14" t="s">
        <v>205</v>
      </c>
      <c r="L4605" s="14" t="s">
        <v>274</v>
      </c>
      <c r="M4605" s="14" t="s">
        <v>448</v>
      </c>
      <c r="N4605" s="14" t="s">
        <v>449</v>
      </c>
      <c r="O4605" s="14">
        <v>100.0</v>
      </c>
      <c r="P4605" s="21">
        <v>3.0</v>
      </c>
      <c r="Q4605" s="22" t="str">
        <f>"+0"</f>
        <v>+0</v>
      </c>
      <c r="S4605" s="14" t="s">
        <v>450</v>
      </c>
    </row>
    <row r="4606">
      <c r="A4606" s="13">
        <v>45901.0</v>
      </c>
      <c r="B4606" s="14" t="s">
        <v>47</v>
      </c>
      <c r="C4606" s="14" t="s">
        <v>48</v>
      </c>
      <c r="D4606" s="14" t="s">
        <v>49</v>
      </c>
      <c r="E4606" s="14" t="s">
        <v>50</v>
      </c>
      <c r="F4606" s="15" t="s">
        <v>51</v>
      </c>
      <c r="G4606" s="14" t="s">
        <v>52</v>
      </c>
      <c r="H4606" s="14" t="s">
        <v>53</v>
      </c>
      <c r="I4606" s="14" t="s">
        <v>54</v>
      </c>
      <c r="J4606" s="14" t="s">
        <v>200</v>
      </c>
      <c r="K4606" s="14" t="s">
        <v>224</v>
      </c>
      <c r="L4606" s="14" t="s">
        <v>427</v>
      </c>
      <c r="M4606" s="14" t="s">
        <v>428</v>
      </c>
      <c r="N4606" s="14" t="s">
        <v>429</v>
      </c>
      <c r="O4606" s="14">
        <v>100.0</v>
      </c>
      <c r="P4606" s="23">
        <v>1.0</v>
      </c>
      <c r="Q4606" s="22" t="str">
        <f t="shared" ref="Q4606:R4606" si="2754">"+0.00%"</f>
        <v>+0.00%</v>
      </c>
      <c r="R4606" s="18" t="str">
        <f t="shared" si="2754"/>
        <v>+0.00%</v>
      </c>
      <c r="S4606" s="14" t="s">
        <v>2315</v>
      </c>
    </row>
    <row r="4607">
      <c r="A4607" s="13">
        <v>45901.0</v>
      </c>
      <c r="B4607" s="14" t="s">
        <v>47</v>
      </c>
      <c r="C4607" s="14" t="s">
        <v>48</v>
      </c>
      <c r="D4607" s="14" t="s">
        <v>99</v>
      </c>
      <c r="E4607" s="14" t="s">
        <v>100</v>
      </c>
      <c r="F4607" s="15" t="s">
        <v>51</v>
      </c>
      <c r="G4607" s="14" t="s">
        <v>101</v>
      </c>
      <c r="H4607" s="14" t="s">
        <v>102</v>
      </c>
      <c r="I4607" s="14" t="s">
        <v>54</v>
      </c>
      <c r="J4607" s="14" t="s">
        <v>200</v>
      </c>
      <c r="K4607" s="14" t="s">
        <v>213</v>
      </c>
      <c r="L4607" s="14" t="s">
        <v>257</v>
      </c>
      <c r="M4607" s="14" t="s">
        <v>622</v>
      </c>
      <c r="N4607" s="14" t="s">
        <v>623</v>
      </c>
      <c r="O4607" s="14">
        <v>0.0</v>
      </c>
      <c r="P4607" s="23">
        <v>-1.0</v>
      </c>
      <c r="Q4607" s="22" t="str">
        <f t="shared" ref="Q4607:R4607" si="2755">"+0.00%"</f>
        <v>+0.00%</v>
      </c>
      <c r="R4607" s="18" t="str">
        <f t="shared" si="2755"/>
        <v>+0.00%</v>
      </c>
      <c r="S4607" s="14" t="s">
        <v>2316</v>
      </c>
    </row>
    <row r="4608">
      <c r="A4608" s="13">
        <v>45901.0</v>
      </c>
      <c r="B4608" s="14" t="s">
        <v>47</v>
      </c>
      <c r="C4608" s="14" t="s">
        <v>48</v>
      </c>
      <c r="D4608" s="14" t="s">
        <v>63</v>
      </c>
      <c r="E4608" s="14" t="s">
        <v>64</v>
      </c>
      <c r="F4608" s="15" t="s">
        <v>51</v>
      </c>
      <c r="G4608" s="14" t="s">
        <v>65</v>
      </c>
      <c r="H4608" s="14" t="s">
        <v>63</v>
      </c>
      <c r="I4608" s="14" t="s">
        <v>54</v>
      </c>
      <c r="J4608" s="14" t="s">
        <v>199</v>
      </c>
      <c r="K4608" s="14" t="s">
        <v>203</v>
      </c>
      <c r="L4608" s="14" t="s">
        <v>1183</v>
      </c>
      <c r="M4608" s="14" t="s">
        <v>1184</v>
      </c>
      <c r="N4608" s="14" t="s">
        <v>1185</v>
      </c>
      <c r="O4608" s="14">
        <v>77.0</v>
      </c>
      <c r="P4608" s="23">
        <v>0.7736</v>
      </c>
      <c r="Q4608" s="22" t="str">
        <f>"+2.36%"</f>
        <v>+2.36%</v>
      </c>
      <c r="R4608" s="18" t="str">
        <f>"+8.94%"</f>
        <v>+8.94%</v>
      </c>
      <c r="S4608" s="14" t="s">
        <v>371</v>
      </c>
    </row>
    <row r="4609">
      <c r="A4609" s="13">
        <v>45901.0</v>
      </c>
      <c r="B4609" s="14" t="s">
        <v>47</v>
      </c>
      <c r="C4609" s="14" t="s">
        <v>48</v>
      </c>
      <c r="D4609" s="14" t="s">
        <v>192</v>
      </c>
      <c r="E4609" s="14" t="s">
        <v>193</v>
      </c>
      <c r="F4609" s="15" t="s">
        <v>51</v>
      </c>
      <c r="G4609" s="14" t="s">
        <v>194</v>
      </c>
      <c r="H4609" s="14" t="s">
        <v>192</v>
      </c>
      <c r="I4609" s="14" t="s">
        <v>54</v>
      </c>
      <c r="J4609" s="14" t="s">
        <v>200</v>
      </c>
      <c r="K4609" s="14" t="s">
        <v>223</v>
      </c>
      <c r="L4609" s="14" t="s">
        <v>571</v>
      </c>
      <c r="M4609" s="14" t="s">
        <v>578</v>
      </c>
      <c r="N4609" s="14" t="s">
        <v>579</v>
      </c>
      <c r="O4609" s="14">
        <v>100.0</v>
      </c>
      <c r="P4609" s="23">
        <v>8.0E-4</v>
      </c>
      <c r="Q4609" s="22" t="str">
        <f>"-0.00%"</f>
        <v>-0.00%</v>
      </c>
      <c r="R4609" s="18" t="str">
        <f>"-0.04%"</f>
        <v>-0.04%</v>
      </c>
      <c r="S4609" s="14" t="s">
        <v>285</v>
      </c>
    </row>
    <row r="4610">
      <c r="A4610" s="13">
        <v>45901.0</v>
      </c>
      <c r="B4610" s="14" t="s">
        <v>47</v>
      </c>
      <c r="C4610" s="14" t="s">
        <v>48</v>
      </c>
      <c r="D4610" s="14" t="s">
        <v>184</v>
      </c>
      <c r="E4610" s="14" t="s">
        <v>185</v>
      </c>
      <c r="F4610" s="15" t="s">
        <v>51</v>
      </c>
      <c r="G4610" s="14" t="s">
        <v>186</v>
      </c>
      <c r="H4610" s="14" t="s">
        <v>187</v>
      </c>
      <c r="I4610" s="14" t="s">
        <v>59</v>
      </c>
      <c r="J4610" s="14" t="s">
        <v>199</v>
      </c>
      <c r="K4610" s="14" t="s">
        <v>206</v>
      </c>
      <c r="L4610" s="14" t="s">
        <v>569</v>
      </c>
      <c r="M4610" s="14" t="s">
        <v>569</v>
      </c>
      <c r="N4610" s="14" t="s">
        <v>570</v>
      </c>
      <c r="O4610" s="14">
        <v>100.0</v>
      </c>
      <c r="P4610" s="21">
        <v>2.0</v>
      </c>
      <c r="Q4610" s="22" t="str">
        <f>"+0"</f>
        <v>+0</v>
      </c>
      <c r="R4610" s="18" t="str">
        <f>"+1"</f>
        <v>+1</v>
      </c>
      <c r="S4610" s="14" t="s">
        <v>383</v>
      </c>
    </row>
    <row r="4611">
      <c r="A4611" s="13">
        <v>45901.0</v>
      </c>
      <c r="B4611" s="14" t="s">
        <v>47</v>
      </c>
      <c r="C4611" s="14" t="s">
        <v>48</v>
      </c>
      <c r="D4611" s="14" t="s">
        <v>192</v>
      </c>
      <c r="E4611" s="14" t="s">
        <v>193</v>
      </c>
      <c r="F4611" s="15" t="s">
        <v>51</v>
      </c>
      <c r="G4611" s="14" t="s">
        <v>194</v>
      </c>
      <c r="H4611" s="14" t="s">
        <v>192</v>
      </c>
      <c r="I4611" s="14" t="s">
        <v>54</v>
      </c>
      <c r="J4611" s="14" t="s">
        <v>200</v>
      </c>
      <c r="K4611" s="14" t="s">
        <v>227</v>
      </c>
      <c r="L4611" s="14" t="s">
        <v>253</v>
      </c>
      <c r="M4611" s="14" t="s">
        <v>396</v>
      </c>
      <c r="N4611" s="14" t="s">
        <v>397</v>
      </c>
      <c r="O4611" s="14">
        <v>100.0</v>
      </c>
      <c r="P4611" s="23">
        <v>1.0</v>
      </c>
      <c r="Q4611" s="22" t="str">
        <f t="shared" ref="Q4611:R4611" si="2756">"+0.00%"</f>
        <v>+0.00%</v>
      </c>
      <c r="R4611" s="18" t="str">
        <f t="shared" si="2756"/>
        <v>+0.00%</v>
      </c>
      <c r="S4611" s="14" t="s">
        <v>916</v>
      </c>
    </row>
    <row r="4612">
      <c r="A4612" s="13">
        <v>45901.0</v>
      </c>
      <c r="B4612" s="14" t="s">
        <v>47</v>
      </c>
      <c r="C4612" s="14" t="s">
        <v>48</v>
      </c>
      <c r="D4612" s="14" t="s">
        <v>93</v>
      </c>
      <c r="E4612" s="14" t="s">
        <v>94</v>
      </c>
      <c r="F4612" s="15" t="s">
        <v>51</v>
      </c>
      <c r="G4612" s="14" t="s">
        <v>191</v>
      </c>
      <c r="H4612" s="14" t="s">
        <v>95</v>
      </c>
      <c r="I4612" s="14" t="s">
        <v>59</v>
      </c>
      <c r="J4612" s="14" t="s">
        <v>199</v>
      </c>
      <c r="K4612" s="14" t="s">
        <v>203</v>
      </c>
      <c r="L4612" s="14" t="s">
        <v>342</v>
      </c>
      <c r="M4612" s="14" t="s">
        <v>342</v>
      </c>
      <c r="N4612" s="14" t="s">
        <v>343</v>
      </c>
      <c r="O4612" s="14">
        <v>0.0</v>
      </c>
      <c r="P4612" s="21">
        <v>0.0</v>
      </c>
      <c r="Q4612" s="22" t="str">
        <f t="shared" ref="Q4612:R4612" si="2757">"+0"</f>
        <v>+0</v>
      </c>
      <c r="R4612" s="18" t="str">
        <f t="shared" si="2757"/>
        <v>+0</v>
      </c>
      <c r="S4612" s="14" t="s">
        <v>260</v>
      </c>
    </row>
    <row r="4613">
      <c r="A4613" s="13">
        <v>45901.0</v>
      </c>
      <c r="B4613" s="14" t="s">
        <v>47</v>
      </c>
      <c r="C4613" s="14" t="s">
        <v>48</v>
      </c>
      <c r="D4613" s="14" t="s">
        <v>73</v>
      </c>
      <c r="E4613" s="14" t="s">
        <v>74</v>
      </c>
      <c r="F4613" s="15" t="s">
        <v>51</v>
      </c>
      <c r="G4613" s="14" t="s">
        <v>75</v>
      </c>
      <c r="H4613" s="14" t="s">
        <v>76</v>
      </c>
      <c r="I4613" s="14" t="s">
        <v>59</v>
      </c>
      <c r="J4613" s="14" t="s">
        <v>200</v>
      </c>
      <c r="K4613" s="14" t="s">
        <v>232</v>
      </c>
      <c r="L4613" s="14" t="s">
        <v>363</v>
      </c>
      <c r="M4613" s="14" t="s">
        <v>364</v>
      </c>
      <c r="N4613" s="14" t="s">
        <v>365</v>
      </c>
      <c r="O4613" s="14">
        <v>0.0</v>
      </c>
      <c r="P4613" s="23">
        <v>0.0</v>
      </c>
      <c r="Q4613" s="22" t="str">
        <f t="shared" ref="Q4613:R4613" si="2758">"+0.00%"</f>
        <v>+0.00%</v>
      </c>
      <c r="R4613" s="18" t="str">
        <f t="shared" si="2758"/>
        <v>+0.00%</v>
      </c>
      <c r="S4613" s="14" t="s">
        <v>285</v>
      </c>
    </row>
    <row r="4614">
      <c r="A4614" s="13">
        <v>45901.0</v>
      </c>
      <c r="B4614" s="14" t="s">
        <v>47</v>
      </c>
      <c r="C4614" s="14" t="s">
        <v>48</v>
      </c>
      <c r="D4614" s="14" t="s">
        <v>132</v>
      </c>
      <c r="E4614" s="14" t="s">
        <v>133</v>
      </c>
      <c r="F4614" s="15" t="s">
        <v>51</v>
      </c>
      <c r="G4614" s="14" t="s">
        <v>134</v>
      </c>
      <c r="H4614" s="14" t="s">
        <v>135</v>
      </c>
      <c r="I4614" s="14" t="s">
        <v>59</v>
      </c>
      <c r="J4614" s="14" t="s">
        <v>199</v>
      </c>
      <c r="K4614" s="14" t="s">
        <v>206</v>
      </c>
      <c r="L4614" s="14" t="s">
        <v>295</v>
      </c>
      <c r="M4614" s="14" t="s">
        <v>461</v>
      </c>
      <c r="N4614" s="14" t="s">
        <v>462</v>
      </c>
      <c r="O4614" s="14">
        <v>0.0</v>
      </c>
      <c r="P4614" s="21">
        <v>0.0</v>
      </c>
      <c r="Q4614" s="22" t="str">
        <f t="shared" ref="Q4614:R4614" si="2759">"+0"</f>
        <v>+0</v>
      </c>
      <c r="R4614" s="18" t="str">
        <f t="shared" si="2759"/>
        <v>+0</v>
      </c>
      <c r="S4614" s="14" t="s">
        <v>260</v>
      </c>
    </row>
    <row r="4615">
      <c r="A4615" s="13">
        <v>45901.0</v>
      </c>
      <c r="B4615" s="14" t="s">
        <v>47</v>
      </c>
      <c r="C4615" s="14" t="s">
        <v>48</v>
      </c>
      <c r="D4615" s="14" t="s">
        <v>149</v>
      </c>
      <c r="E4615" s="14" t="s">
        <v>150</v>
      </c>
      <c r="F4615" s="15" t="s">
        <v>51</v>
      </c>
      <c r="G4615" s="14" t="s">
        <v>151</v>
      </c>
      <c r="H4615" s="14" t="s">
        <v>152</v>
      </c>
      <c r="I4615" s="14" t="s">
        <v>54</v>
      </c>
      <c r="J4615" s="14" t="s">
        <v>198</v>
      </c>
      <c r="K4615" s="14" t="s">
        <v>210</v>
      </c>
      <c r="L4615" s="14" t="s">
        <v>458</v>
      </c>
      <c r="M4615" s="14" t="s">
        <v>1489</v>
      </c>
      <c r="N4615" s="14" t="s">
        <v>1490</v>
      </c>
      <c r="O4615" s="14">
        <v>0.0</v>
      </c>
      <c r="P4615" s="21">
        <v>0.0</v>
      </c>
      <c r="Q4615" s="22" t="str">
        <f t="shared" ref="Q4615:R4615" si="2760">"+0"</f>
        <v>+0</v>
      </c>
      <c r="R4615" s="18" t="str">
        <f t="shared" si="2760"/>
        <v>+0</v>
      </c>
      <c r="S4615" s="14" t="s">
        <v>277</v>
      </c>
    </row>
    <row r="4616">
      <c r="A4616" s="13">
        <v>45901.0</v>
      </c>
      <c r="B4616" s="14" t="s">
        <v>47</v>
      </c>
      <c r="C4616" s="14" t="s">
        <v>48</v>
      </c>
      <c r="D4616" s="14" t="s">
        <v>96</v>
      </c>
      <c r="E4616" s="14" t="s">
        <v>97</v>
      </c>
      <c r="F4616" s="15" t="s">
        <v>51</v>
      </c>
      <c r="G4616" s="14" t="s">
        <v>98</v>
      </c>
      <c r="H4616" s="14" t="s">
        <v>96</v>
      </c>
      <c r="I4616" s="14" t="s">
        <v>59</v>
      </c>
      <c r="J4616" s="14" t="s">
        <v>200</v>
      </c>
      <c r="K4616" s="14" t="s">
        <v>223</v>
      </c>
      <c r="L4616" s="14" t="s">
        <v>286</v>
      </c>
      <c r="M4616" s="14" t="s">
        <v>419</v>
      </c>
      <c r="N4616" s="14" t="s">
        <v>420</v>
      </c>
      <c r="O4616" s="14">
        <v>0.0</v>
      </c>
      <c r="P4616" s="23">
        <v>0.0</v>
      </c>
      <c r="Q4616" s="22" t="str">
        <f t="shared" ref="Q4616:R4616" si="2761">"+0.00%"</f>
        <v>+0.00%</v>
      </c>
      <c r="R4616" s="18" t="str">
        <f t="shared" si="2761"/>
        <v>+0.00%</v>
      </c>
      <c r="S4616" s="14" t="s">
        <v>371</v>
      </c>
    </row>
    <row r="4617">
      <c r="A4617" s="13">
        <v>45901.0</v>
      </c>
      <c r="B4617" s="14" t="s">
        <v>47</v>
      </c>
      <c r="C4617" s="14" t="s">
        <v>48</v>
      </c>
      <c r="D4617" s="14" t="s">
        <v>125</v>
      </c>
      <c r="E4617" s="14" t="s">
        <v>126</v>
      </c>
      <c r="F4617" s="15" t="s">
        <v>51</v>
      </c>
      <c r="G4617" s="14" t="s">
        <v>127</v>
      </c>
      <c r="H4617" s="14" t="s">
        <v>125</v>
      </c>
      <c r="I4617" s="14" t="s">
        <v>59</v>
      </c>
      <c r="J4617" s="14" t="s">
        <v>200</v>
      </c>
      <c r="K4617" s="14" t="s">
        <v>232</v>
      </c>
      <c r="L4617" s="14" t="s">
        <v>487</v>
      </c>
      <c r="M4617" s="14" t="s">
        <v>904</v>
      </c>
      <c r="N4617" s="14" t="s">
        <v>905</v>
      </c>
      <c r="O4617" s="14">
        <v>0.0</v>
      </c>
      <c r="P4617" s="21">
        <v>0.0</v>
      </c>
      <c r="Q4617" s="22" t="str">
        <f t="shared" ref="Q4617:R4617" si="2762">"+0"</f>
        <v>+0</v>
      </c>
      <c r="R4617" s="18" t="str">
        <f t="shared" si="2762"/>
        <v>+0</v>
      </c>
      <c r="S4617" s="14" t="s">
        <v>260</v>
      </c>
    </row>
    <row r="4618">
      <c r="A4618" s="13">
        <v>45901.0</v>
      </c>
      <c r="B4618" s="14" t="s">
        <v>47</v>
      </c>
      <c r="C4618" s="14" t="s">
        <v>48</v>
      </c>
      <c r="D4618" s="14" t="s">
        <v>85</v>
      </c>
      <c r="E4618" s="14" t="s">
        <v>86</v>
      </c>
      <c r="F4618" s="15" t="s">
        <v>51</v>
      </c>
      <c r="G4618" s="14" t="s">
        <v>148</v>
      </c>
      <c r="H4618" s="14" t="s">
        <v>85</v>
      </c>
      <c r="I4618" s="14" t="s">
        <v>59</v>
      </c>
      <c r="J4618" s="14" t="s">
        <v>200</v>
      </c>
      <c r="K4618" s="14" t="s">
        <v>227</v>
      </c>
      <c r="L4618" s="14" t="s">
        <v>253</v>
      </c>
      <c r="M4618" s="14" t="s">
        <v>811</v>
      </c>
      <c r="N4618" s="14" t="s">
        <v>812</v>
      </c>
      <c r="O4618" s="14">
        <v>0.0</v>
      </c>
      <c r="P4618" s="23">
        <v>0.0</v>
      </c>
      <c r="Q4618" s="22" t="str">
        <f t="shared" ref="Q4618:R4618" si="2763">"+0.00%"</f>
        <v>+0.00%</v>
      </c>
      <c r="R4618" s="18" t="str">
        <f t="shared" si="2763"/>
        <v>+0.00%</v>
      </c>
      <c r="S4618" s="14" t="s">
        <v>813</v>
      </c>
    </row>
    <row r="4619">
      <c r="A4619" s="13">
        <v>45901.0</v>
      </c>
      <c r="B4619" s="14" t="s">
        <v>47</v>
      </c>
      <c r="C4619" s="14" t="s">
        <v>48</v>
      </c>
      <c r="D4619" s="14" t="s">
        <v>96</v>
      </c>
      <c r="E4619" s="14" t="s">
        <v>97</v>
      </c>
      <c r="F4619" s="15" t="s">
        <v>51</v>
      </c>
      <c r="G4619" s="14" t="s">
        <v>98</v>
      </c>
      <c r="H4619" s="14" t="s">
        <v>96</v>
      </c>
      <c r="I4619" s="14" t="s">
        <v>59</v>
      </c>
      <c r="J4619" s="14" t="s">
        <v>199</v>
      </c>
      <c r="K4619" s="14" t="s">
        <v>206</v>
      </c>
      <c r="L4619" s="14" t="s">
        <v>295</v>
      </c>
      <c r="M4619" s="14" t="s">
        <v>461</v>
      </c>
      <c r="N4619" s="14" t="s">
        <v>462</v>
      </c>
      <c r="O4619" s="14">
        <v>0.0</v>
      </c>
      <c r="P4619" s="21">
        <v>0.0</v>
      </c>
      <c r="Q4619" s="22" t="str">
        <f t="shared" ref="Q4619:R4619" si="2764">"+0"</f>
        <v>+0</v>
      </c>
      <c r="R4619" s="18" t="str">
        <f t="shared" si="2764"/>
        <v>+0</v>
      </c>
      <c r="S4619" s="14" t="s">
        <v>260</v>
      </c>
    </row>
    <row r="4620">
      <c r="A4620" s="13">
        <v>45901.0</v>
      </c>
      <c r="B4620" s="14" t="s">
        <v>47</v>
      </c>
      <c r="C4620" s="14" t="s">
        <v>48</v>
      </c>
      <c r="D4620" s="14" t="s">
        <v>108</v>
      </c>
      <c r="E4620" s="14" t="s">
        <v>109</v>
      </c>
      <c r="F4620" s="14" t="s">
        <v>79</v>
      </c>
      <c r="G4620" s="14" t="s">
        <v>153</v>
      </c>
      <c r="H4620" s="14" t="s">
        <v>108</v>
      </c>
      <c r="I4620" s="14" t="s">
        <v>154</v>
      </c>
      <c r="J4620" s="14" t="s">
        <v>199</v>
      </c>
      <c r="K4620" s="14" t="s">
        <v>206</v>
      </c>
      <c r="L4620" s="14" t="s">
        <v>381</v>
      </c>
      <c r="M4620" s="14" t="s">
        <v>381</v>
      </c>
      <c r="N4620" s="14" t="s">
        <v>382</v>
      </c>
      <c r="O4620" s="14">
        <v>0.0</v>
      </c>
      <c r="P4620" s="21">
        <v>0.0</v>
      </c>
      <c r="Q4620" s="22" t="str">
        <f t="shared" ref="Q4620:Q4621" si="2765">"+0"</f>
        <v>+0</v>
      </c>
      <c r="S4620" s="14" t="s">
        <v>383</v>
      </c>
    </row>
    <row r="4621">
      <c r="A4621" s="13">
        <v>45901.0</v>
      </c>
      <c r="B4621" s="14" t="s">
        <v>47</v>
      </c>
      <c r="C4621" s="14" t="s">
        <v>48</v>
      </c>
      <c r="D4621" s="14" t="s">
        <v>77</v>
      </c>
      <c r="E4621" s="14" t="s">
        <v>78</v>
      </c>
      <c r="F4621" s="14" t="s">
        <v>79</v>
      </c>
      <c r="G4621" s="14" t="s">
        <v>80</v>
      </c>
      <c r="H4621" s="14" t="s">
        <v>81</v>
      </c>
      <c r="J4621" s="14" t="s">
        <v>200</v>
      </c>
      <c r="K4621" s="14" t="s">
        <v>237</v>
      </c>
      <c r="L4621" s="14" t="s">
        <v>333</v>
      </c>
      <c r="M4621" s="14" t="s">
        <v>1714</v>
      </c>
      <c r="N4621" s="14" t="s">
        <v>1715</v>
      </c>
      <c r="O4621" s="14">
        <v>0.0</v>
      </c>
      <c r="P4621" s="21">
        <v>0.0</v>
      </c>
      <c r="Q4621" s="22" t="str">
        <f t="shared" si="2765"/>
        <v>+0</v>
      </c>
      <c r="R4621" s="18" t="str">
        <f>"+0"</f>
        <v>+0</v>
      </c>
      <c r="S4621" s="14" t="s">
        <v>260</v>
      </c>
    </row>
    <row r="4622">
      <c r="A4622" s="13">
        <v>45901.0</v>
      </c>
      <c r="B4622" s="14" t="s">
        <v>47</v>
      </c>
      <c r="C4622" s="14" t="s">
        <v>48</v>
      </c>
      <c r="D4622" s="14" t="s">
        <v>116</v>
      </c>
      <c r="E4622" s="14" t="s">
        <v>117</v>
      </c>
      <c r="F4622" s="15" t="s">
        <v>51</v>
      </c>
      <c r="G4622" s="14" t="s">
        <v>161</v>
      </c>
      <c r="H4622" s="14" t="s">
        <v>116</v>
      </c>
      <c r="I4622" s="14" t="s">
        <v>54</v>
      </c>
      <c r="J4622" s="14" t="s">
        <v>200</v>
      </c>
      <c r="K4622" s="14" t="s">
        <v>213</v>
      </c>
      <c r="L4622" s="14" t="s">
        <v>257</v>
      </c>
      <c r="M4622" s="14" t="s">
        <v>622</v>
      </c>
      <c r="N4622" s="14" t="s">
        <v>623</v>
      </c>
      <c r="O4622" s="14">
        <v>18.0</v>
      </c>
      <c r="P4622" s="23">
        <v>-0.633</v>
      </c>
      <c r="Q4622" s="22" t="str">
        <f>"+9.40%"</f>
        <v>+9.40%</v>
      </c>
      <c r="R4622" s="18" t="str">
        <f>"+10.83%"</f>
        <v>+10.83%</v>
      </c>
      <c r="S4622" s="14" t="s">
        <v>2317</v>
      </c>
    </row>
    <row r="4623">
      <c r="A4623" s="13">
        <v>45901.0</v>
      </c>
      <c r="B4623" s="14" t="s">
        <v>47</v>
      </c>
      <c r="C4623" s="14" t="s">
        <v>48</v>
      </c>
      <c r="D4623" s="14" t="s">
        <v>77</v>
      </c>
      <c r="E4623" s="14" t="s">
        <v>78</v>
      </c>
      <c r="F4623" s="15" t="s">
        <v>51</v>
      </c>
      <c r="G4623" s="14" t="s">
        <v>128</v>
      </c>
      <c r="H4623" s="14" t="s">
        <v>81</v>
      </c>
      <c r="I4623" s="14" t="s">
        <v>59</v>
      </c>
      <c r="J4623" s="14" t="s">
        <v>200</v>
      </c>
      <c r="K4623" s="14" t="s">
        <v>222</v>
      </c>
      <c r="L4623" s="14" t="s">
        <v>301</v>
      </c>
      <c r="M4623" s="14" t="s">
        <v>302</v>
      </c>
      <c r="N4623" s="14" t="s">
        <v>303</v>
      </c>
      <c r="O4623" s="14">
        <v>0.0</v>
      </c>
      <c r="P4623" s="21">
        <v>0.0</v>
      </c>
      <c r="Q4623" s="22" t="str">
        <f t="shared" ref="Q4623:R4623" si="2766">"+0"</f>
        <v>+0</v>
      </c>
      <c r="R4623" s="18" t="str">
        <f t="shared" si="2766"/>
        <v>+0</v>
      </c>
      <c r="S4623" s="14" t="s">
        <v>260</v>
      </c>
    </row>
    <row r="4624">
      <c r="A4624" s="13">
        <v>45901.0</v>
      </c>
      <c r="B4624" s="14" t="s">
        <v>47</v>
      </c>
      <c r="C4624" s="14" t="s">
        <v>48</v>
      </c>
      <c r="D4624" s="14" t="s">
        <v>77</v>
      </c>
      <c r="E4624" s="14" t="s">
        <v>78</v>
      </c>
      <c r="F4624" s="15" t="s">
        <v>51</v>
      </c>
      <c r="G4624" s="14" t="s">
        <v>128</v>
      </c>
      <c r="H4624" s="14" t="s">
        <v>81</v>
      </c>
      <c r="I4624" s="14" t="s">
        <v>59</v>
      </c>
      <c r="J4624" s="14" t="s">
        <v>200</v>
      </c>
      <c r="K4624" s="14" t="s">
        <v>223</v>
      </c>
      <c r="L4624" s="14" t="s">
        <v>261</v>
      </c>
      <c r="M4624" s="14" t="s">
        <v>566</v>
      </c>
      <c r="N4624" s="14" t="s">
        <v>567</v>
      </c>
      <c r="O4624" s="14">
        <v>0.0</v>
      </c>
      <c r="P4624" s="23">
        <v>0.0</v>
      </c>
      <c r="Q4624" s="22" t="str">
        <f t="shared" ref="Q4624:R4624" si="2767">"+0.00%"</f>
        <v>+0.00%</v>
      </c>
      <c r="R4624" s="18" t="str">
        <f t="shared" si="2767"/>
        <v>+0.00%</v>
      </c>
      <c r="S4624" s="14" t="s">
        <v>2318</v>
      </c>
    </row>
    <row r="4625">
      <c r="A4625" s="13">
        <v>45901.0</v>
      </c>
      <c r="B4625" s="14" t="s">
        <v>47</v>
      </c>
      <c r="C4625" s="14" t="s">
        <v>48</v>
      </c>
      <c r="D4625" s="14" t="s">
        <v>116</v>
      </c>
      <c r="E4625" s="14" t="s">
        <v>117</v>
      </c>
      <c r="F4625" s="15" t="s">
        <v>51</v>
      </c>
      <c r="G4625" s="14" t="s">
        <v>161</v>
      </c>
      <c r="H4625" s="14" t="s">
        <v>116</v>
      </c>
      <c r="I4625" s="14" t="s">
        <v>54</v>
      </c>
      <c r="J4625" s="14" t="s">
        <v>200</v>
      </c>
      <c r="K4625" s="14" t="s">
        <v>224</v>
      </c>
      <c r="L4625" s="14" t="s">
        <v>427</v>
      </c>
      <c r="M4625" s="14" t="s">
        <v>617</v>
      </c>
      <c r="N4625" s="14" t="s">
        <v>618</v>
      </c>
      <c r="O4625" s="14">
        <v>0.0</v>
      </c>
      <c r="P4625" s="23">
        <v>0.0</v>
      </c>
      <c r="Q4625" s="22"/>
      <c r="S4625" s="14" t="s">
        <v>619</v>
      </c>
    </row>
    <row r="4626">
      <c r="A4626" s="13">
        <v>45901.0</v>
      </c>
      <c r="B4626" s="14" t="s">
        <v>47</v>
      </c>
      <c r="C4626" s="14" t="s">
        <v>48</v>
      </c>
      <c r="D4626" s="14" t="s">
        <v>121</v>
      </c>
      <c r="E4626" s="14" t="s">
        <v>122</v>
      </c>
      <c r="F4626" s="15" t="s">
        <v>51</v>
      </c>
      <c r="G4626" s="14" t="s">
        <v>123</v>
      </c>
      <c r="H4626" s="14" t="s">
        <v>124</v>
      </c>
      <c r="I4626" s="14" t="s">
        <v>59</v>
      </c>
      <c r="J4626" s="14" t="s">
        <v>199</v>
      </c>
      <c r="K4626" s="14" t="s">
        <v>206</v>
      </c>
      <c r="L4626" s="14" t="s">
        <v>295</v>
      </c>
      <c r="M4626" s="14" t="s">
        <v>651</v>
      </c>
      <c r="N4626" s="14" t="s">
        <v>652</v>
      </c>
      <c r="O4626" s="14">
        <v>0.0</v>
      </c>
      <c r="P4626" s="21">
        <v>0.0</v>
      </c>
      <c r="Q4626" s="22" t="str">
        <f t="shared" ref="Q4626:R4626" si="2768">"+0"</f>
        <v>+0</v>
      </c>
      <c r="R4626" s="18" t="str">
        <f t="shared" si="2768"/>
        <v>+0</v>
      </c>
      <c r="S4626" s="14" t="s">
        <v>260</v>
      </c>
    </row>
    <row r="4627">
      <c r="A4627" s="13">
        <v>45901.0</v>
      </c>
      <c r="B4627" s="14" t="s">
        <v>47</v>
      </c>
      <c r="C4627" s="14" t="s">
        <v>48</v>
      </c>
      <c r="D4627" s="14" t="s">
        <v>155</v>
      </c>
      <c r="E4627" s="14" t="s">
        <v>156</v>
      </c>
      <c r="F4627" s="15" t="s">
        <v>51</v>
      </c>
      <c r="G4627" s="14" t="s">
        <v>157</v>
      </c>
      <c r="H4627" s="14" t="s">
        <v>155</v>
      </c>
      <c r="I4627" s="14" t="s">
        <v>59</v>
      </c>
      <c r="J4627" s="14" t="s">
        <v>200</v>
      </c>
      <c r="K4627" s="14" t="s">
        <v>223</v>
      </c>
      <c r="L4627" s="14" t="s">
        <v>253</v>
      </c>
      <c r="M4627" s="14" t="s">
        <v>366</v>
      </c>
      <c r="N4627" s="14" t="s">
        <v>367</v>
      </c>
      <c r="O4627" s="14">
        <v>100.0</v>
      </c>
      <c r="P4627" s="23">
        <v>1.0</v>
      </c>
      <c r="Q4627" s="22" t="str">
        <f t="shared" ref="Q4627:R4627" si="2769">"+0.00%"</f>
        <v>+0.00%</v>
      </c>
      <c r="R4627" s="18" t="str">
        <f t="shared" si="2769"/>
        <v>+0.00%</v>
      </c>
      <c r="S4627" s="14" t="s">
        <v>2319</v>
      </c>
    </row>
    <row r="4628">
      <c r="A4628" s="13">
        <v>45901.0</v>
      </c>
      <c r="B4628" s="14" t="s">
        <v>47</v>
      </c>
      <c r="C4628" s="14" t="s">
        <v>48</v>
      </c>
      <c r="D4628" s="14" t="s">
        <v>155</v>
      </c>
      <c r="E4628" s="14" t="s">
        <v>156</v>
      </c>
      <c r="F4628" s="15" t="s">
        <v>51</v>
      </c>
      <c r="G4628" s="14" t="s">
        <v>157</v>
      </c>
      <c r="H4628" s="14" t="s">
        <v>155</v>
      </c>
      <c r="I4628" s="14" t="s">
        <v>59</v>
      </c>
      <c r="J4628" s="14" t="s">
        <v>200</v>
      </c>
      <c r="K4628" s="14" t="s">
        <v>223</v>
      </c>
      <c r="L4628" s="14" t="s">
        <v>307</v>
      </c>
      <c r="M4628" s="14" t="s">
        <v>308</v>
      </c>
      <c r="N4628" s="14" t="s">
        <v>309</v>
      </c>
      <c r="O4628" s="14">
        <v>0.0</v>
      </c>
      <c r="P4628" s="17"/>
      <c r="Q4628" s="22"/>
      <c r="S4628" s="14" t="s">
        <v>285</v>
      </c>
    </row>
    <row r="4629">
      <c r="A4629" s="13">
        <v>45901.0</v>
      </c>
      <c r="B4629" s="14" t="s">
        <v>47</v>
      </c>
      <c r="C4629" s="14" t="s">
        <v>48</v>
      </c>
      <c r="D4629" s="14" t="s">
        <v>168</v>
      </c>
      <c r="E4629" s="14" t="s">
        <v>169</v>
      </c>
      <c r="F4629" s="15" t="s">
        <v>51</v>
      </c>
      <c r="G4629" s="14" t="s">
        <v>170</v>
      </c>
      <c r="H4629" s="14" t="s">
        <v>168</v>
      </c>
      <c r="I4629" s="14" t="s">
        <v>59</v>
      </c>
      <c r="J4629" s="14" t="s">
        <v>198</v>
      </c>
      <c r="K4629" s="14" t="s">
        <v>210</v>
      </c>
      <c r="L4629" s="14" t="s">
        <v>264</v>
      </c>
      <c r="M4629" s="14" t="s">
        <v>524</v>
      </c>
      <c r="N4629" s="14" t="s">
        <v>525</v>
      </c>
      <c r="O4629" s="14">
        <v>100.0</v>
      </c>
      <c r="P4629" s="21">
        <v>0.0</v>
      </c>
      <c r="Q4629" s="22" t="str">
        <f>"-3"</f>
        <v>-3</v>
      </c>
      <c r="R4629" s="18" t="str">
        <f>"-46"</f>
        <v>-46</v>
      </c>
      <c r="S4629" s="14" t="s">
        <v>281</v>
      </c>
    </row>
    <row r="4630">
      <c r="A4630" s="13">
        <v>45901.0</v>
      </c>
      <c r="B4630" s="14" t="s">
        <v>47</v>
      </c>
      <c r="C4630" s="14" t="s">
        <v>48</v>
      </c>
      <c r="D4630" s="14" t="s">
        <v>60</v>
      </c>
      <c r="E4630" s="14" t="s">
        <v>61</v>
      </c>
      <c r="F4630" s="15" t="s">
        <v>51</v>
      </c>
      <c r="G4630" s="14" t="s">
        <v>62</v>
      </c>
      <c r="H4630" s="14" t="s">
        <v>60</v>
      </c>
      <c r="I4630" s="14" t="s">
        <v>59</v>
      </c>
      <c r="J4630" s="14" t="s">
        <v>200</v>
      </c>
      <c r="K4630" s="14" t="s">
        <v>223</v>
      </c>
      <c r="L4630" s="14" t="s">
        <v>710</v>
      </c>
      <c r="M4630" s="14" t="s">
        <v>1302</v>
      </c>
      <c r="N4630" s="14" t="s">
        <v>1303</v>
      </c>
      <c r="O4630" s="14">
        <v>3.0</v>
      </c>
      <c r="P4630" s="23">
        <v>0.0392</v>
      </c>
      <c r="Q4630" s="22" t="str">
        <f>"+3.92%"</f>
        <v>+3.92%</v>
      </c>
      <c r="R4630" s="18" t="str">
        <f>"+2.07%"</f>
        <v>+2.07%</v>
      </c>
      <c r="S4630" s="14" t="s">
        <v>2320</v>
      </c>
    </row>
    <row r="4631">
      <c r="A4631" s="13">
        <v>45901.0</v>
      </c>
      <c r="B4631" s="14" t="s">
        <v>47</v>
      </c>
      <c r="C4631" s="14" t="s">
        <v>48</v>
      </c>
      <c r="D4631" s="14" t="s">
        <v>56</v>
      </c>
      <c r="E4631" s="14" t="s">
        <v>57</v>
      </c>
      <c r="F4631" s="15" t="s">
        <v>51</v>
      </c>
      <c r="G4631" s="14" t="s">
        <v>58</v>
      </c>
      <c r="H4631" s="14" t="s">
        <v>56</v>
      </c>
      <c r="I4631" s="14" t="s">
        <v>59</v>
      </c>
      <c r="J4631" s="14" t="s">
        <v>200</v>
      </c>
      <c r="K4631" s="14" t="s">
        <v>223</v>
      </c>
      <c r="L4631" s="14" t="s">
        <v>607</v>
      </c>
      <c r="M4631" s="14" t="s">
        <v>1312</v>
      </c>
      <c r="N4631" s="14" t="s">
        <v>1313</v>
      </c>
      <c r="O4631" s="14">
        <v>0.0</v>
      </c>
      <c r="P4631" s="23">
        <v>0.0</v>
      </c>
      <c r="Q4631" s="22" t="str">
        <f t="shared" ref="Q4631:R4631" si="2770">"+0.00%"</f>
        <v>+0.00%</v>
      </c>
      <c r="R4631" s="18" t="str">
        <f t="shared" si="2770"/>
        <v>+0.00%</v>
      </c>
      <c r="S4631" s="14" t="s">
        <v>285</v>
      </c>
    </row>
    <row r="4632">
      <c r="A4632" s="13">
        <v>45901.0</v>
      </c>
      <c r="B4632" s="14" t="s">
        <v>47</v>
      </c>
      <c r="C4632" s="14" t="s">
        <v>48</v>
      </c>
      <c r="D4632" s="14" t="s">
        <v>155</v>
      </c>
      <c r="E4632" s="14" t="s">
        <v>156</v>
      </c>
      <c r="F4632" s="15" t="s">
        <v>51</v>
      </c>
      <c r="G4632" s="14" t="s">
        <v>157</v>
      </c>
      <c r="H4632" s="14" t="s">
        <v>155</v>
      </c>
      <c r="I4632" s="14" t="s">
        <v>59</v>
      </c>
      <c r="J4632" s="14" t="s">
        <v>200</v>
      </c>
      <c r="K4632" s="14" t="s">
        <v>223</v>
      </c>
      <c r="L4632" s="14" t="s">
        <v>676</v>
      </c>
      <c r="M4632" s="14" t="s">
        <v>677</v>
      </c>
      <c r="N4632" s="14" t="s">
        <v>678</v>
      </c>
      <c r="O4632" s="14">
        <v>0.0</v>
      </c>
      <c r="P4632" s="17"/>
      <c r="Q4632" s="22"/>
      <c r="S4632" s="14" t="s">
        <v>285</v>
      </c>
    </row>
    <row r="4633">
      <c r="A4633" s="13">
        <v>45901.0</v>
      </c>
      <c r="B4633" s="14" t="s">
        <v>47</v>
      </c>
      <c r="C4633" s="14" t="s">
        <v>48</v>
      </c>
      <c r="D4633" s="14" t="s">
        <v>118</v>
      </c>
      <c r="E4633" s="14" t="s">
        <v>119</v>
      </c>
      <c r="F4633" s="15" t="s">
        <v>51</v>
      </c>
      <c r="G4633" s="14" t="s">
        <v>120</v>
      </c>
      <c r="H4633" s="14" t="s">
        <v>118</v>
      </c>
      <c r="I4633" s="14" t="s">
        <v>59</v>
      </c>
      <c r="J4633" s="14" t="s">
        <v>200</v>
      </c>
      <c r="K4633" s="14" t="s">
        <v>213</v>
      </c>
      <c r="L4633" s="14" t="s">
        <v>571</v>
      </c>
      <c r="M4633" s="14" t="s">
        <v>572</v>
      </c>
      <c r="N4633" s="14" t="s">
        <v>573</v>
      </c>
      <c r="O4633" s="14">
        <v>0.0</v>
      </c>
      <c r="P4633" s="23">
        <v>0.0</v>
      </c>
      <c r="Q4633" s="22" t="str">
        <f t="shared" ref="Q4633:R4633" si="2771">"+0.00%"</f>
        <v>+0.00%</v>
      </c>
      <c r="R4633" s="18" t="str">
        <f t="shared" si="2771"/>
        <v>+0.00%</v>
      </c>
      <c r="S4633" s="14" t="s">
        <v>285</v>
      </c>
    </row>
    <row r="4634">
      <c r="A4634" s="13">
        <v>45901.0</v>
      </c>
      <c r="B4634" s="14" t="s">
        <v>47</v>
      </c>
      <c r="C4634" s="14" t="s">
        <v>48</v>
      </c>
      <c r="D4634" s="14" t="s">
        <v>99</v>
      </c>
      <c r="E4634" s="14" t="s">
        <v>100</v>
      </c>
      <c r="F4634" s="15" t="s">
        <v>51</v>
      </c>
      <c r="G4634" s="14" t="s">
        <v>101</v>
      </c>
      <c r="H4634" s="14" t="s">
        <v>102</v>
      </c>
      <c r="I4634" s="14" t="s">
        <v>54</v>
      </c>
      <c r="J4634" s="14" t="s">
        <v>198</v>
      </c>
      <c r="K4634" s="14" t="s">
        <v>210</v>
      </c>
      <c r="L4634" s="14" t="s">
        <v>278</v>
      </c>
      <c r="M4634" s="14" t="s">
        <v>1227</v>
      </c>
      <c r="N4634" s="14" t="s">
        <v>1228</v>
      </c>
      <c r="O4634" s="14">
        <v>0.0</v>
      </c>
      <c r="P4634" s="21">
        <v>0.0</v>
      </c>
      <c r="Q4634" s="22" t="str">
        <f t="shared" ref="Q4634:R4634" si="2772">"+0"</f>
        <v>+0</v>
      </c>
      <c r="R4634" s="18" t="str">
        <f t="shared" si="2772"/>
        <v>+0</v>
      </c>
      <c r="S4634" s="14" t="s">
        <v>277</v>
      </c>
    </row>
    <row r="4635">
      <c r="A4635" s="13">
        <v>45901.0</v>
      </c>
      <c r="B4635" s="14" t="s">
        <v>47</v>
      </c>
      <c r="C4635" s="14" t="s">
        <v>48</v>
      </c>
      <c r="D4635" s="14" t="s">
        <v>63</v>
      </c>
      <c r="E4635" s="14" t="s">
        <v>64</v>
      </c>
      <c r="F4635" s="15" t="s">
        <v>51</v>
      </c>
      <c r="G4635" s="14" t="s">
        <v>65</v>
      </c>
      <c r="H4635" s="14" t="s">
        <v>63</v>
      </c>
      <c r="I4635" s="14" t="s">
        <v>54</v>
      </c>
      <c r="J4635" s="14" t="s">
        <v>200</v>
      </c>
      <c r="K4635" s="14" t="s">
        <v>219</v>
      </c>
      <c r="L4635" s="14" t="s">
        <v>253</v>
      </c>
      <c r="M4635" s="14" t="s">
        <v>1614</v>
      </c>
      <c r="N4635" s="14" t="s">
        <v>1615</v>
      </c>
      <c r="O4635" s="14">
        <v>100.0</v>
      </c>
      <c r="P4635" s="23">
        <v>1.0</v>
      </c>
      <c r="Q4635" s="22" t="str">
        <f t="shared" ref="Q4635:R4635" si="2773">"+0.00%"</f>
        <v>+0.00%</v>
      </c>
      <c r="R4635" s="18" t="str">
        <f t="shared" si="2773"/>
        <v>+0.00%</v>
      </c>
      <c r="S4635" s="14" t="s">
        <v>285</v>
      </c>
    </row>
    <row r="4636">
      <c r="A4636" s="13">
        <v>45901.0</v>
      </c>
      <c r="B4636" s="14" t="s">
        <v>47</v>
      </c>
      <c r="C4636" s="14" t="s">
        <v>48</v>
      </c>
      <c r="D4636" s="14" t="s">
        <v>63</v>
      </c>
      <c r="E4636" s="14" t="s">
        <v>64</v>
      </c>
      <c r="F4636" s="15" t="s">
        <v>51</v>
      </c>
      <c r="G4636" s="14" t="s">
        <v>65</v>
      </c>
      <c r="H4636" s="14" t="s">
        <v>63</v>
      </c>
      <c r="I4636" s="14" t="s">
        <v>54</v>
      </c>
      <c r="J4636" s="14" t="s">
        <v>200</v>
      </c>
      <c r="K4636" s="14" t="s">
        <v>224</v>
      </c>
      <c r="L4636" s="14" t="s">
        <v>427</v>
      </c>
      <c r="M4636" s="14" t="s">
        <v>1575</v>
      </c>
      <c r="N4636" s="14" t="s">
        <v>1576</v>
      </c>
      <c r="O4636" s="14">
        <v>0.0</v>
      </c>
      <c r="P4636" s="23">
        <v>0.0</v>
      </c>
      <c r="Q4636" s="22" t="str">
        <f>"+0.00%"</f>
        <v>+0.00%</v>
      </c>
      <c r="R4636" s="18" t="str">
        <f>"-4.55%"</f>
        <v>-4.55%</v>
      </c>
      <c r="S4636" s="14" t="s">
        <v>2321</v>
      </c>
    </row>
    <row r="4637">
      <c r="A4637" s="13">
        <v>45901.0</v>
      </c>
      <c r="B4637" s="14" t="s">
        <v>47</v>
      </c>
      <c r="C4637" s="14" t="s">
        <v>48</v>
      </c>
      <c r="D4637" s="14" t="s">
        <v>99</v>
      </c>
      <c r="E4637" s="14" t="s">
        <v>100</v>
      </c>
      <c r="F4637" s="15" t="s">
        <v>51</v>
      </c>
      <c r="G4637" s="14" t="s">
        <v>101</v>
      </c>
      <c r="H4637" s="14" t="s">
        <v>102</v>
      </c>
      <c r="I4637" s="14" t="s">
        <v>54</v>
      </c>
      <c r="J4637" s="14" t="s">
        <v>199</v>
      </c>
      <c r="K4637" s="14" t="s">
        <v>203</v>
      </c>
      <c r="L4637" s="14" t="s">
        <v>1631</v>
      </c>
      <c r="M4637" s="14" t="s">
        <v>1632</v>
      </c>
      <c r="N4637" s="14" t="s">
        <v>1633</v>
      </c>
      <c r="O4637" s="14">
        <v>100.0</v>
      </c>
      <c r="P4637" s="21">
        <v>1.0</v>
      </c>
      <c r="Q4637" s="22" t="str">
        <f t="shared" ref="Q4637:R4637" si="2774">"+0"</f>
        <v>+0</v>
      </c>
      <c r="R4637" s="18" t="str">
        <f t="shared" si="2774"/>
        <v>+0</v>
      </c>
      <c r="S4637" s="14" t="s">
        <v>260</v>
      </c>
    </row>
    <row r="4638">
      <c r="A4638" s="13">
        <v>45901.0</v>
      </c>
      <c r="B4638" s="14" t="s">
        <v>47</v>
      </c>
      <c r="C4638" s="14" t="s">
        <v>48</v>
      </c>
      <c r="D4638" s="14" t="s">
        <v>91</v>
      </c>
      <c r="E4638" s="14" t="s">
        <v>92</v>
      </c>
      <c r="F4638" s="14" t="s">
        <v>146</v>
      </c>
      <c r="G4638" s="14" t="s">
        <v>147</v>
      </c>
      <c r="H4638" s="14" t="s">
        <v>91</v>
      </c>
      <c r="I4638" s="14" t="s">
        <v>107</v>
      </c>
      <c r="J4638" s="14" t="s">
        <v>199</v>
      </c>
      <c r="K4638" s="14" t="s">
        <v>206</v>
      </c>
      <c r="L4638" s="14" t="s">
        <v>295</v>
      </c>
      <c r="M4638" s="14" t="s">
        <v>461</v>
      </c>
      <c r="N4638" s="14" t="s">
        <v>462</v>
      </c>
      <c r="O4638" s="14">
        <v>0.0</v>
      </c>
      <c r="P4638" s="21">
        <v>0.0</v>
      </c>
      <c r="Q4638" s="22" t="str">
        <f t="shared" ref="Q4638:R4638" si="2775">"+0"</f>
        <v>+0</v>
      </c>
      <c r="R4638" s="18" t="str">
        <f t="shared" si="2775"/>
        <v>+0</v>
      </c>
      <c r="S4638" s="14" t="s">
        <v>260</v>
      </c>
    </row>
    <row r="4639">
      <c r="A4639" s="13">
        <v>45901.0</v>
      </c>
      <c r="B4639" s="14" t="s">
        <v>47</v>
      </c>
      <c r="C4639" s="14" t="s">
        <v>48</v>
      </c>
      <c r="D4639" s="14" t="s">
        <v>66</v>
      </c>
      <c r="E4639" s="14" t="s">
        <v>67</v>
      </c>
      <c r="F4639" s="15" t="s">
        <v>51</v>
      </c>
      <c r="G4639" s="14" t="s">
        <v>68</v>
      </c>
      <c r="H4639" s="14" t="s">
        <v>66</v>
      </c>
      <c r="I4639" s="14" t="s">
        <v>59</v>
      </c>
      <c r="J4639" s="14" t="s">
        <v>200</v>
      </c>
      <c r="K4639" s="14" t="s">
        <v>223</v>
      </c>
      <c r="L4639" s="14" t="s">
        <v>607</v>
      </c>
      <c r="M4639" s="14" t="s">
        <v>886</v>
      </c>
      <c r="N4639" s="14" t="s">
        <v>887</v>
      </c>
      <c r="O4639" s="14">
        <v>0.0</v>
      </c>
      <c r="P4639" s="23">
        <v>0.0</v>
      </c>
      <c r="Q4639" s="22" t="str">
        <f t="shared" ref="Q4639:R4639" si="2776">"+0.00%"</f>
        <v>+0.00%</v>
      </c>
      <c r="R4639" s="18" t="str">
        <f t="shared" si="2776"/>
        <v>+0.00%</v>
      </c>
      <c r="S4639" s="14" t="s">
        <v>371</v>
      </c>
    </row>
    <row r="4640">
      <c r="A4640" s="13">
        <v>45901.0</v>
      </c>
      <c r="B4640" s="14" t="s">
        <v>47</v>
      </c>
      <c r="C4640" s="14" t="s">
        <v>48</v>
      </c>
      <c r="D4640" s="14" t="s">
        <v>66</v>
      </c>
      <c r="E4640" s="14" t="s">
        <v>67</v>
      </c>
      <c r="F4640" s="15" t="s">
        <v>51</v>
      </c>
      <c r="G4640" s="14" t="s">
        <v>68</v>
      </c>
      <c r="H4640" s="14" t="s">
        <v>66</v>
      </c>
      <c r="I4640" s="14" t="s">
        <v>59</v>
      </c>
      <c r="J4640" s="14" t="s">
        <v>200</v>
      </c>
      <c r="K4640" s="14" t="s">
        <v>231</v>
      </c>
      <c r="L4640" s="14" t="s">
        <v>512</v>
      </c>
      <c r="M4640" s="14" t="s">
        <v>1399</v>
      </c>
      <c r="N4640" s="14" t="s">
        <v>1400</v>
      </c>
      <c r="O4640" s="14">
        <v>0.0</v>
      </c>
      <c r="P4640" s="21">
        <v>0.0</v>
      </c>
      <c r="Q4640" s="22" t="str">
        <f t="shared" ref="Q4640:R4640" si="2777">"+0"</f>
        <v>+0</v>
      </c>
      <c r="R4640" s="18" t="str">
        <f t="shared" si="2777"/>
        <v>+0</v>
      </c>
      <c r="S4640" s="14" t="s">
        <v>260</v>
      </c>
    </row>
    <row r="4641">
      <c r="A4641" s="13">
        <v>45901.0</v>
      </c>
      <c r="B4641" s="14" t="s">
        <v>47</v>
      </c>
      <c r="C4641" s="14" t="s">
        <v>48</v>
      </c>
      <c r="D4641" s="14" t="s">
        <v>66</v>
      </c>
      <c r="E4641" s="14" t="s">
        <v>67</v>
      </c>
      <c r="F4641" s="15" t="s">
        <v>51</v>
      </c>
      <c r="G4641" s="14" t="s">
        <v>68</v>
      </c>
      <c r="H4641" s="14" t="s">
        <v>66</v>
      </c>
      <c r="I4641" s="14" t="s">
        <v>59</v>
      </c>
      <c r="J4641" s="14" t="s">
        <v>199</v>
      </c>
      <c r="K4641" s="14" t="s">
        <v>203</v>
      </c>
      <c r="L4641" s="14" t="s">
        <v>342</v>
      </c>
      <c r="M4641" s="14" t="s">
        <v>342</v>
      </c>
      <c r="N4641" s="14" t="s">
        <v>343</v>
      </c>
      <c r="O4641" s="14">
        <v>100.0</v>
      </c>
      <c r="P4641" s="21">
        <v>1.0</v>
      </c>
      <c r="Q4641" s="22" t="str">
        <f t="shared" ref="Q4641:R4641" si="2778">"+0"</f>
        <v>+0</v>
      </c>
      <c r="R4641" s="18" t="str">
        <f t="shared" si="2778"/>
        <v>+0</v>
      </c>
      <c r="S4641" s="14" t="s">
        <v>260</v>
      </c>
    </row>
    <row r="4642">
      <c r="A4642" s="13">
        <v>45901.0</v>
      </c>
      <c r="B4642" s="14" t="s">
        <v>47</v>
      </c>
      <c r="C4642" s="14" t="s">
        <v>48</v>
      </c>
      <c r="D4642" s="14" t="s">
        <v>73</v>
      </c>
      <c r="E4642" s="14" t="s">
        <v>74</v>
      </c>
      <c r="F4642" s="15" t="s">
        <v>51</v>
      </c>
      <c r="G4642" s="14" t="s">
        <v>75</v>
      </c>
      <c r="H4642" s="14" t="s">
        <v>76</v>
      </c>
      <c r="I4642" s="14" t="s">
        <v>59</v>
      </c>
      <c r="J4642" s="14" t="s">
        <v>200</v>
      </c>
      <c r="K4642" s="14" t="s">
        <v>227</v>
      </c>
      <c r="L4642" s="14" t="s">
        <v>270</v>
      </c>
      <c r="M4642" s="14" t="s">
        <v>417</v>
      </c>
      <c r="N4642" s="14" t="s">
        <v>418</v>
      </c>
      <c r="O4642" s="14">
        <v>0.0</v>
      </c>
      <c r="P4642" s="21">
        <v>0.0</v>
      </c>
      <c r="Q4642" s="22" t="str">
        <f t="shared" ref="Q4642:R4642" si="2779">"+0"</f>
        <v>+0</v>
      </c>
      <c r="R4642" s="18" t="str">
        <f t="shared" si="2779"/>
        <v>+0</v>
      </c>
      <c r="S4642" s="14" t="s">
        <v>260</v>
      </c>
    </row>
    <row r="4643">
      <c r="A4643" s="13">
        <v>45901.0</v>
      </c>
      <c r="B4643" s="14" t="s">
        <v>47</v>
      </c>
      <c r="C4643" s="14" t="s">
        <v>48</v>
      </c>
      <c r="D4643" s="14" t="s">
        <v>129</v>
      </c>
      <c r="E4643" s="14" t="s">
        <v>130</v>
      </c>
      <c r="F4643" s="15" t="s">
        <v>51</v>
      </c>
      <c r="G4643" s="14" t="s">
        <v>131</v>
      </c>
      <c r="H4643" s="14" t="s">
        <v>129</v>
      </c>
      <c r="I4643" s="14" t="s">
        <v>59</v>
      </c>
      <c r="J4643" s="14" t="s">
        <v>200</v>
      </c>
      <c r="K4643" s="14" t="s">
        <v>222</v>
      </c>
      <c r="L4643" s="14" t="s">
        <v>337</v>
      </c>
      <c r="M4643" s="14" t="s">
        <v>734</v>
      </c>
      <c r="N4643" s="14" t="s">
        <v>735</v>
      </c>
      <c r="O4643" s="14">
        <v>0.0</v>
      </c>
      <c r="P4643" s="21">
        <v>0.0</v>
      </c>
      <c r="Q4643" s="22" t="str">
        <f t="shared" ref="Q4643:R4643" si="2780">"+0"</f>
        <v>+0</v>
      </c>
      <c r="R4643" s="18" t="str">
        <f t="shared" si="2780"/>
        <v>+0</v>
      </c>
      <c r="S4643" s="14" t="s">
        <v>260</v>
      </c>
    </row>
    <row r="4644">
      <c r="A4644" s="13">
        <v>45901.0</v>
      </c>
      <c r="B4644" s="14" t="s">
        <v>47</v>
      </c>
      <c r="C4644" s="14" t="s">
        <v>48</v>
      </c>
      <c r="D4644" s="14" t="s">
        <v>171</v>
      </c>
      <c r="E4644" s="14" t="s">
        <v>172</v>
      </c>
      <c r="F4644" s="15" t="s">
        <v>51</v>
      </c>
      <c r="G4644" s="14" t="s">
        <v>173</v>
      </c>
      <c r="H4644" s="14" t="s">
        <v>171</v>
      </c>
      <c r="I4644" s="14" t="s">
        <v>59</v>
      </c>
      <c r="J4644" s="14" t="s">
        <v>200</v>
      </c>
      <c r="K4644" s="14" t="s">
        <v>222</v>
      </c>
      <c r="L4644" s="14" t="s">
        <v>337</v>
      </c>
      <c r="M4644" s="14" t="s">
        <v>338</v>
      </c>
      <c r="N4644" s="14" t="s">
        <v>339</v>
      </c>
      <c r="O4644" s="14">
        <v>0.0</v>
      </c>
      <c r="P4644" s="21">
        <v>0.0</v>
      </c>
      <c r="Q4644" s="22" t="str">
        <f t="shared" ref="Q4644:R4644" si="2781">"+0"</f>
        <v>+0</v>
      </c>
      <c r="R4644" s="18" t="str">
        <f t="shared" si="2781"/>
        <v>+0</v>
      </c>
      <c r="S4644" s="14" t="s">
        <v>260</v>
      </c>
    </row>
    <row r="4645">
      <c r="A4645" s="13">
        <v>45901.0</v>
      </c>
      <c r="B4645" s="14" t="s">
        <v>47</v>
      </c>
      <c r="C4645" s="14" t="s">
        <v>48</v>
      </c>
      <c r="D4645" s="14" t="s">
        <v>149</v>
      </c>
      <c r="E4645" s="14" t="s">
        <v>150</v>
      </c>
      <c r="F4645" s="15" t="s">
        <v>51</v>
      </c>
      <c r="G4645" s="14" t="s">
        <v>151</v>
      </c>
      <c r="H4645" s="14" t="s">
        <v>152</v>
      </c>
      <c r="I4645" s="14" t="s">
        <v>54</v>
      </c>
      <c r="J4645" s="14" t="s">
        <v>198</v>
      </c>
      <c r="K4645" s="14" t="s">
        <v>210</v>
      </c>
      <c r="L4645" s="14" t="s">
        <v>264</v>
      </c>
      <c r="M4645" s="14" t="s">
        <v>1369</v>
      </c>
      <c r="N4645" s="14" t="s">
        <v>1370</v>
      </c>
      <c r="O4645" s="14">
        <v>100.0</v>
      </c>
      <c r="P4645" s="21">
        <v>2.0</v>
      </c>
      <c r="Q4645" s="22" t="str">
        <f t="shared" ref="Q4645:Q4646" si="2782">"+0"</f>
        <v>+0</v>
      </c>
      <c r="R4645" s="18" t="str">
        <f>"-2"</f>
        <v>-2</v>
      </c>
      <c r="S4645" s="14" t="s">
        <v>277</v>
      </c>
    </row>
    <row r="4646">
      <c r="A4646" s="13">
        <v>45901.0</v>
      </c>
      <c r="B4646" s="14" t="s">
        <v>47</v>
      </c>
      <c r="C4646" s="14" t="s">
        <v>48</v>
      </c>
      <c r="D4646" s="14" t="s">
        <v>96</v>
      </c>
      <c r="E4646" s="14" t="s">
        <v>97</v>
      </c>
      <c r="F4646" s="15" t="s">
        <v>51</v>
      </c>
      <c r="G4646" s="14" t="s">
        <v>98</v>
      </c>
      <c r="H4646" s="14" t="s">
        <v>96</v>
      </c>
      <c r="I4646" s="14" t="s">
        <v>59</v>
      </c>
      <c r="J4646" s="14" t="s">
        <v>198</v>
      </c>
      <c r="K4646" s="14" t="s">
        <v>210</v>
      </c>
      <c r="L4646" s="14" t="s">
        <v>264</v>
      </c>
      <c r="M4646" s="14" t="s">
        <v>470</v>
      </c>
      <c r="N4646" s="14" t="s">
        <v>471</v>
      </c>
      <c r="O4646" s="14">
        <v>100.0</v>
      </c>
      <c r="P4646" s="21">
        <v>0.0</v>
      </c>
      <c r="Q4646" s="22" t="str">
        <f t="shared" si="2782"/>
        <v>+0</v>
      </c>
      <c r="R4646" s="18" t="str">
        <f>"+0"</f>
        <v>+0</v>
      </c>
      <c r="S4646" s="14" t="s">
        <v>281</v>
      </c>
    </row>
    <row r="4647">
      <c r="A4647" s="13">
        <v>45901.0</v>
      </c>
      <c r="B4647" s="14" t="s">
        <v>47</v>
      </c>
      <c r="C4647" s="14" t="s">
        <v>48</v>
      </c>
      <c r="D4647" s="14" t="s">
        <v>85</v>
      </c>
      <c r="E4647" s="14" t="s">
        <v>86</v>
      </c>
      <c r="F4647" s="15" t="s">
        <v>51</v>
      </c>
      <c r="G4647" s="14" t="s">
        <v>148</v>
      </c>
      <c r="H4647" s="14" t="s">
        <v>85</v>
      </c>
      <c r="I4647" s="14" t="s">
        <v>59</v>
      </c>
      <c r="J4647" s="14" t="s">
        <v>200</v>
      </c>
      <c r="K4647" s="14" t="s">
        <v>213</v>
      </c>
      <c r="L4647" s="14" t="s">
        <v>253</v>
      </c>
      <c r="M4647" s="14" t="s">
        <v>552</v>
      </c>
      <c r="N4647" s="14" t="s">
        <v>553</v>
      </c>
      <c r="O4647" s="14">
        <v>54.0</v>
      </c>
      <c r="P4647" s="23">
        <v>0.5432</v>
      </c>
      <c r="Q4647" s="22" t="str">
        <f>"+2.13%"</f>
        <v>+2.13%</v>
      </c>
      <c r="R4647" s="18" t="str">
        <f>"+0.03%"</f>
        <v>+0.03%</v>
      </c>
      <c r="S4647" s="14" t="s">
        <v>757</v>
      </c>
    </row>
    <row r="4648">
      <c r="A4648" s="13">
        <v>45901.0</v>
      </c>
      <c r="B4648" s="14" t="s">
        <v>47</v>
      </c>
      <c r="C4648" s="14" t="s">
        <v>48</v>
      </c>
      <c r="D4648" s="14" t="s">
        <v>85</v>
      </c>
      <c r="E4648" s="14" t="s">
        <v>86</v>
      </c>
      <c r="F4648" s="15" t="s">
        <v>51</v>
      </c>
      <c r="G4648" s="14" t="s">
        <v>148</v>
      </c>
      <c r="H4648" s="14" t="s">
        <v>85</v>
      </c>
      <c r="I4648" s="14" t="s">
        <v>59</v>
      </c>
      <c r="J4648" s="14" t="s">
        <v>200</v>
      </c>
      <c r="K4648" s="14" t="s">
        <v>213</v>
      </c>
      <c r="L4648" s="14" t="s">
        <v>289</v>
      </c>
      <c r="M4648" s="14" t="s">
        <v>384</v>
      </c>
      <c r="N4648" s="14" t="s">
        <v>385</v>
      </c>
      <c r="O4648" s="14">
        <v>24.0</v>
      </c>
      <c r="P4648" s="23">
        <v>0.2435</v>
      </c>
      <c r="Q4648" s="22" t="str">
        <f>"-0.43%"</f>
        <v>-0.43%</v>
      </c>
      <c r="R4648" s="18" t="str">
        <f>"-2.19%"</f>
        <v>-2.19%</v>
      </c>
      <c r="S4648" s="14" t="s">
        <v>2322</v>
      </c>
    </row>
    <row r="4649">
      <c r="A4649" s="13">
        <v>45901.0</v>
      </c>
      <c r="B4649" s="14" t="s">
        <v>47</v>
      </c>
      <c r="C4649" s="14" t="s">
        <v>48</v>
      </c>
      <c r="D4649" s="14" t="s">
        <v>108</v>
      </c>
      <c r="E4649" s="14" t="s">
        <v>109</v>
      </c>
      <c r="F4649" s="15" t="s">
        <v>51</v>
      </c>
      <c r="G4649" s="14" t="s">
        <v>110</v>
      </c>
      <c r="H4649" s="14" t="s">
        <v>108</v>
      </c>
      <c r="I4649" s="14" t="s">
        <v>59</v>
      </c>
      <c r="J4649" s="14" t="s">
        <v>200</v>
      </c>
      <c r="K4649" s="14" t="s">
        <v>213</v>
      </c>
      <c r="L4649" s="14" t="s">
        <v>253</v>
      </c>
      <c r="M4649" s="14" t="s">
        <v>389</v>
      </c>
      <c r="N4649" s="14" t="s">
        <v>390</v>
      </c>
      <c r="O4649" s="14">
        <v>54.0</v>
      </c>
      <c r="P4649" s="23">
        <v>0.5455</v>
      </c>
      <c r="Q4649" s="22" t="str">
        <f>"-0.99%"</f>
        <v>-0.99%</v>
      </c>
      <c r="S4649" s="14" t="s">
        <v>2323</v>
      </c>
    </row>
    <row r="4650">
      <c r="A4650" s="13">
        <v>45901.0</v>
      </c>
      <c r="B4650" s="14" t="s">
        <v>47</v>
      </c>
      <c r="C4650" s="14" t="s">
        <v>48</v>
      </c>
      <c r="D4650" s="14" t="s">
        <v>116</v>
      </c>
      <c r="E4650" s="14" t="s">
        <v>117</v>
      </c>
      <c r="F4650" s="15" t="s">
        <v>51</v>
      </c>
      <c r="G4650" s="14" t="s">
        <v>161</v>
      </c>
      <c r="H4650" s="14" t="s">
        <v>116</v>
      </c>
      <c r="I4650" s="14" t="s">
        <v>54</v>
      </c>
      <c r="J4650" s="14" t="s">
        <v>198</v>
      </c>
      <c r="K4650" s="14" t="s">
        <v>210</v>
      </c>
      <c r="L4650" s="14" t="s">
        <v>264</v>
      </c>
      <c r="M4650" s="14" t="s">
        <v>959</v>
      </c>
      <c r="N4650" s="14" t="s">
        <v>960</v>
      </c>
      <c r="O4650" s="14">
        <v>0.0</v>
      </c>
      <c r="P4650" s="21">
        <v>0.0</v>
      </c>
      <c r="Q4650" s="22" t="str">
        <f t="shared" ref="Q4650:R4650" si="2783">"+0"</f>
        <v>+0</v>
      </c>
      <c r="R4650" s="18" t="str">
        <f t="shared" si="2783"/>
        <v>+0</v>
      </c>
      <c r="S4650" s="14" t="s">
        <v>277</v>
      </c>
    </row>
    <row r="4651">
      <c r="A4651" s="13">
        <v>45901.0</v>
      </c>
      <c r="B4651" s="14" t="s">
        <v>47</v>
      </c>
      <c r="C4651" s="14" t="s">
        <v>48</v>
      </c>
      <c r="D4651" s="14" t="s">
        <v>108</v>
      </c>
      <c r="E4651" s="14" t="s">
        <v>109</v>
      </c>
      <c r="F4651" s="15" t="s">
        <v>51</v>
      </c>
      <c r="G4651" s="14" t="s">
        <v>110</v>
      </c>
      <c r="H4651" s="14" t="s">
        <v>108</v>
      </c>
      <c r="I4651" s="14" t="s">
        <v>59</v>
      </c>
      <c r="J4651" s="14" t="s">
        <v>200</v>
      </c>
      <c r="K4651" s="14" t="s">
        <v>241</v>
      </c>
      <c r="L4651" s="14" t="s">
        <v>253</v>
      </c>
      <c r="M4651" s="14" t="s">
        <v>389</v>
      </c>
      <c r="N4651" s="14" t="s">
        <v>390</v>
      </c>
      <c r="O4651" s="14">
        <v>100.0</v>
      </c>
      <c r="P4651" s="23">
        <v>1.0</v>
      </c>
      <c r="Q4651" s="22" t="str">
        <f>"+0.00%"</f>
        <v>+0.00%</v>
      </c>
      <c r="S4651" s="14" t="s">
        <v>2324</v>
      </c>
    </row>
    <row r="4652">
      <c r="A4652" s="13">
        <v>45901.0</v>
      </c>
      <c r="B4652" s="14" t="s">
        <v>47</v>
      </c>
      <c r="C4652" s="14" t="s">
        <v>48</v>
      </c>
      <c r="D4652" s="14" t="s">
        <v>108</v>
      </c>
      <c r="E4652" s="14" t="s">
        <v>109</v>
      </c>
      <c r="F4652" s="15" t="s">
        <v>51</v>
      </c>
      <c r="G4652" s="14" t="s">
        <v>110</v>
      </c>
      <c r="H4652" s="14" t="s">
        <v>108</v>
      </c>
      <c r="I4652" s="14" t="s">
        <v>59</v>
      </c>
      <c r="J4652" s="14" t="s">
        <v>199</v>
      </c>
      <c r="K4652" s="14" t="s">
        <v>206</v>
      </c>
      <c r="L4652" s="14" t="s">
        <v>569</v>
      </c>
      <c r="M4652" s="14" t="s">
        <v>569</v>
      </c>
      <c r="N4652" s="14" t="s">
        <v>570</v>
      </c>
      <c r="O4652" s="14">
        <v>0.0</v>
      </c>
      <c r="P4652" s="21">
        <v>0.0</v>
      </c>
      <c r="Q4652" s="22" t="str">
        <f t="shared" ref="Q4652:R4652" si="2784">"+0"</f>
        <v>+0</v>
      </c>
      <c r="R4652" s="18" t="str">
        <f t="shared" si="2784"/>
        <v>+0</v>
      </c>
      <c r="S4652" s="14" t="s">
        <v>383</v>
      </c>
    </row>
    <row r="4653">
      <c r="A4653" s="13">
        <v>45901.0</v>
      </c>
      <c r="B4653" s="14" t="s">
        <v>47</v>
      </c>
      <c r="C4653" s="14" t="s">
        <v>48</v>
      </c>
      <c r="D4653" s="14" t="s">
        <v>158</v>
      </c>
      <c r="E4653" s="14" t="s">
        <v>159</v>
      </c>
      <c r="F4653" s="15" t="s">
        <v>51</v>
      </c>
      <c r="G4653" s="14" t="s">
        <v>160</v>
      </c>
      <c r="H4653" s="14" t="s">
        <v>158</v>
      </c>
      <c r="I4653" s="14" t="s">
        <v>54</v>
      </c>
      <c r="J4653" s="14" t="s">
        <v>198</v>
      </c>
      <c r="K4653" s="14" t="s">
        <v>210</v>
      </c>
      <c r="L4653" s="14" t="s">
        <v>278</v>
      </c>
      <c r="M4653" s="14" t="s">
        <v>443</v>
      </c>
      <c r="N4653" s="14" t="s">
        <v>444</v>
      </c>
      <c r="O4653" s="14">
        <v>49.0</v>
      </c>
      <c r="P4653" s="21">
        <v>113.0</v>
      </c>
      <c r="Q4653" s="22" t="str">
        <f>"+47"</f>
        <v>+47</v>
      </c>
      <c r="R4653" s="18" t="str">
        <f>"+28"</f>
        <v>+28</v>
      </c>
      <c r="S4653" s="14" t="s">
        <v>2325</v>
      </c>
    </row>
    <row r="4654">
      <c r="A4654" s="13">
        <v>45901.0</v>
      </c>
      <c r="B4654" s="14" t="s">
        <v>47</v>
      </c>
      <c r="C4654" s="14" t="s">
        <v>48</v>
      </c>
      <c r="D4654" s="14" t="s">
        <v>174</v>
      </c>
      <c r="E4654" s="14" t="s">
        <v>175</v>
      </c>
      <c r="F4654" s="15" t="s">
        <v>51</v>
      </c>
      <c r="G4654" s="14" t="s">
        <v>176</v>
      </c>
      <c r="H4654" s="14" t="s">
        <v>174</v>
      </c>
      <c r="I4654" s="14" t="s">
        <v>59</v>
      </c>
      <c r="J4654" s="14" t="s">
        <v>199</v>
      </c>
      <c r="K4654" s="14" t="s">
        <v>206</v>
      </c>
      <c r="L4654" s="14" t="s">
        <v>295</v>
      </c>
      <c r="M4654" s="14" t="s">
        <v>461</v>
      </c>
      <c r="N4654" s="14" t="s">
        <v>462</v>
      </c>
      <c r="O4654" s="14">
        <v>0.0</v>
      </c>
      <c r="P4654" s="21">
        <v>0.0</v>
      </c>
      <c r="Q4654" s="22" t="str">
        <f t="shared" ref="Q4654:R4654" si="2785">"+0"</f>
        <v>+0</v>
      </c>
      <c r="R4654" s="18" t="str">
        <f t="shared" si="2785"/>
        <v>+0</v>
      </c>
      <c r="S4654" s="14" t="s">
        <v>260</v>
      </c>
    </row>
    <row r="4655">
      <c r="A4655" s="13">
        <v>45901.0</v>
      </c>
      <c r="B4655" s="14" t="s">
        <v>47</v>
      </c>
      <c r="C4655" s="14" t="s">
        <v>48</v>
      </c>
      <c r="D4655" s="14" t="s">
        <v>116</v>
      </c>
      <c r="E4655" s="14" t="s">
        <v>117</v>
      </c>
      <c r="F4655" s="15" t="s">
        <v>51</v>
      </c>
      <c r="G4655" s="14" t="s">
        <v>161</v>
      </c>
      <c r="H4655" s="14" t="s">
        <v>116</v>
      </c>
      <c r="I4655" s="14" t="s">
        <v>54</v>
      </c>
      <c r="J4655" s="14" t="s">
        <v>200</v>
      </c>
      <c r="K4655" s="14" t="s">
        <v>211</v>
      </c>
      <c r="L4655" s="14" t="s">
        <v>253</v>
      </c>
      <c r="M4655" s="14" t="s">
        <v>1024</v>
      </c>
      <c r="N4655" s="14" t="s">
        <v>1025</v>
      </c>
      <c r="O4655" s="14">
        <v>1.0</v>
      </c>
      <c r="P4655" s="23">
        <v>5.0E-4</v>
      </c>
      <c r="Q4655" s="22" t="str">
        <f>"-0.00%"</f>
        <v>-0.00%</v>
      </c>
      <c r="R4655" s="18" t="str">
        <f>"-0.01%"</f>
        <v>-0.01%</v>
      </c>
      <c r="S4655" s="14" t="s">
        <v>971</v>
      </c>
    </row>
    <row r="4656">
      <c r="A4656" s="13">
        <v>45901.0</v>
      </c>
      <c r="B4656" s="14" t="s">
        <v>47</v>
      </c>
      <c r="C4656" s="14" t="s">
        <v>48</v>
      </c>
      <c r="D4656" s="14" t="s">
        <v>181</v>
      </c>
      <c r="E4656" s="14" t="s">
        <v>182</v>
      </c>
      <c r="F4656" s="15" t="s">
        <v>51</v>
      </c>
      <c r="G4656" s="14" t="s">
        <v>183</v>
      </c>
      <c r="H4656" s="14" t="s">
        <v>181</v>
      </c>
      <c r="I4656" s="14" t="s">
        <v>59</v>
      </c>
      <c r="J4656" s="14" t="s">
        <v>200</v>
      </c>
      <c r="K4656" s="14" t="s">
        <v>232</v>
      </c>
      <c r="L4656" s="14" t="s">
        <v>253</v>
      </c>
      <c r="M4656" s="14" t="s">
        <v>552</v>
      </c>
      <c r="N4656" s="14" t="s">
        <v>553</v>
      </c>
      <c r="O4656" s="14">
        <v>75.0</v>
      </c>
      <c r="P4656" s="23">
        <v>0.7583</v>
      </c>
      <c r="Q4656" s="22" t="str">
        <f>"+13.89%"</f>
        <v>+13.89%</v>
      </c>
      <c r="R4656" s="18" t="str">
        <f>"+45.53%"</f>
        <v>+45.53%</v>
      </c>
      <c r="S4656" s="14" t="s">
        <v>2326</v>
      </c>
    </row>
    <row r="4657">
      <c r="A4657" s="13">
        <v>45901.0</v>
      </c>
      <c r="B4657" s="14" t="s">
        <v>47</v>
      </c>
      <c r="C4657" s="14" t="s">
        <v>48</v>
      </c>
      <c r="D4657" s="14" t="s">
        <v>49</v>
      </c>
      <c r="E4657" s="14" t="s">
        <v>50</v>
      </c>
      <c r="F4657" s="15" t="s">
        <v>51</v>
      </c>
      <c r="G4657" s="14" t="s">
        <v>52</v>
      </c>
      <c r="H4657" s="14" t="s">
        <v>53</v>
      </c>
      <c r="I4657" s="14" t="s">
        <v>54</v>
      </c>
      <c r="J4657" s="14" t="s">
        <v>198</v>
      </c>
      <c r="K4657" s="14" t="s">
        <v>205</v>
      </c>
      <c r="L4657" s="14" t="s">
        <v>274</v>
      </c>
      <c r="M4657" s="14" t="s">
        <v>636</v>
      </c>
      <c r="N4657" s="14" t="s">
        <v>637</v>
      </c>
      <c r="O4657" s="14">
        <v>100.0</v>
      </c>
      <c r="P4657" s="21">
        <v>1.0</v>
      </c>
      <c r="Q4657" s="22" t="str">
        <f t="shared" ref="Q4657:Q4658" si="2786">"+0"</f>
        <v>+0</v>
      </c>
      <c r="S4657" s="14" t="s">
        <v>281</v>
      </c>
    </row>
    <row r="4658">
      <c r="A4658" s="13">
        <v>45901.0</v>
      </c>
      <c r="B4658" s="14" t="s">
        <v>47</v>
      </c>
      <c r="C4658" s="14" t="s">
        <v>48</v>
      </c>
      <c r="D4658" s="14" t="s">
        <v>165</v>
      </c>
      <c r="E4658" s="14" t="s">
        <v>166</v>
      </c>
      <c r="F4658" s="15" t="s">
        <v>51</v>
      </c>
      <c r="G4658" s="14" t="s">
        <v>167</v>
      </c>
      <c r="H4658" s="14" t="s">
        <v>165</v>
      </c>
      <c r="I4658" s="14" t="s">
        <v>54</v>
      </c>
      <c r="J4658" s="14" t="s">
        <v>198</v>
      </c>
      <c r="K4658" s="14" t="s">
        <v>210</v>
      </c>
      <c r="L4658" s="14" t="s">
        <v>458</v>
      </c>
      <c r="M4658" s="14" t="s">
        <v>796</v>
      </c>
      <c r="N4658" s="14" t="s">
        <v>797</v>
      </c>
      <c r="O4658" s="14">
        <v>0.0</v>
      </c>
      <c r="P4658" s="21">
        <v>0.0</v>
      </c>
      <c r="Q4658" s="22" t="str">
        <f t="shared" si="2786"/>
        <v>+0</v>
      </c>
      <c r="R4658" s="18" t="str">
        <f>"+0"</f>
        <v>+0</v>
      </c>
      <c r="S4658" s="14" t="s">
        <v>277</v>
      </c>
    </row>
    <row r="4659">
      <c r="A4659" s="13">
        <v>45901.0</v>
      </c>
      <c r="B4659" s="14" t="s">
        <v>47</v>
      </c>
      <c r="C4659" s="14" t="s">
        <v>48</v>
      </c>
      <c r="D4659" s="14" t="s">
        <v>99</v>
      </c>
      <c r="E4659" s="14" t="s">
        <v>100</v>
      </c>
      <c r="F4659" s="15" t="s">
        <v>51</v>
      </c>
      <c r="G4659" s="14" t="s">
        <v>101</v>
      </c>
      <c r="H4659" s="14" t="s">
        <v>102</v>
      </c>
      <c r="I4659" s="14" t="s">
        <v>54</v>
      </c>
      <c r="J4659" s="14" t="s">
        <v>200</v>
      </c>
      <c r="K4659" s="14" t="s">
        <v>227</v>
      </c>
      <c r="L4659" s="14" t="s">
        <v>721</v>
      </c>
      <c r="M4659" s="14" t="s">
        <v>748</v>
      </c>
      <c r="N4659" s="14" t="s">
        <v>749</v>
      </c>
      <c r="O4659" s="14">
        <v>0.0</v>
      </c>
      <c r="P4659" s="23">
        <v>-1.0</v>
      </c>
      <c r="Q4659" s="22" t="str">
        <f t="shared" ref="Q4659:R4659" si="2787">"+0.00%"</f>
        <v>+0.00%</v>
      </c>
      <c r="R4659" s="18" t="str">
        <f t="shared" si="2787"/>
        <v>+0.00%</v>
      </c>
      <c r="S4659" s="14" t="s">
        <v>750</v>
      </c>
    </row>
    <row r="4660">
      <c r="A4660" s="13">
        <v>45901.0</v>
      </c>
      <c r="B4660" s="14" t="s">
        <v>47</v>
      </c>
      <c r="C4660" s="14" t="s">
        <v>48</v>
      </c>
      <c r="D4660" s="14" t="s">
        <v>91</v>
      </c>
      <c r="E4660" s="14" t="s">
        <v>92</v>
      </c>
      <c r="F4660" s="14" t="s">
        <v>146</v>
      </c>
      <c r="G4660" s="14" t="s">
        <v>147</v>
      </c>
      <c r="H4660" s="14" t="s">
        <v>91</v>
      </c>
      <c r="I4660" s="14" t="s">
        <v>107</v>
      </c>
      <c r="J4660" s="14" t="s">
        <v>200</v>
      </c>
      <c r="K4660" s="14" t="s">
        <v>226</v>
      </c>
      <c r="L4660" s="14" t="s">
        <v>698</v>
      </c>
      <c r="M4660" s="14" t="s">
        <v>1934</v>
      </c>
      <c r="N4660" s="14" t="s">
        <v>1935</v>
      </c>
      <c r="O4660" s="14">
        <v>0.0</v>
      </c>
      <c r="P4660" s="23">
        <v>0.0</v>
      </c>
      <c r="Q4660" s="22" t="str">
        <f>"+0.00%"</f>
        <v>+0.00%</v>
      </c>
      <c r="R4660" s="18" t="str">
        <f>"-100.00%"</f>
        <v>-100.00%</v>
      </c>
      <c r="S4660" s="14" t="s">
        <v>1936</v>
      </c>
    </row>
    <row r="4661">
      <c r="A4661" s="13">
        <v>45901.0</v>
      </c>
      <c r="B4661" s="14" t="s">
        <v>47</v>
      </c>
      <c r="C4661" s="14" t="s">
        <v>48</v>
      </c>
      <c r="D4661" s="14" t="s">
        <v>63</v>
      </c>
      <c r="E4661" s="14" t="s">
        <v>64</v>
      </c>
      <c r="F4661" s="15" t="s">
        <v>51</v>
      </c>
      <c r="G4661" s="14" t="s">
        <v>65</v>
      </c>
      <c r="H4661" s="14" t="s">
        <v>63</v>
      </c>
      <c r="I4661" s="14" t="s">
        <v>54</v>
      </c>
      <c r="J4661" s="14" t="s">
        <v>200</v>
      </c>
      <c r="K4661" s="14" t="s">
        <v>202</v>
      </c>
      <c r="L4661" s="14" t="s">
        <v>253</v>
      </c>
      <c r="M4661" s="14" t="s">
        <v>347</v>
      </c>
      <c r="N4661" s="14" t="s">
        <v>348</v>
      </c>
      <c r="O4661" s="14">
        <v>63.0</v>
      </c>
      <c r="P4661" s="23">
        <v>0.6154</v>
      </c>
      <c r="Q4661" s="22" t="str">
        <f>"+1.54%"</f>
        <v>+1.54%</v>
      </c>
      <c r="R4661" s="18" t="str">
        <f>"+5.54%"</f>
        <v>+5.54%</v>
      </c>
      <c r="S4661" s="14" t="s">
        <v>1991</v>
      </c>
    </row>
    <row r="4662">
      <c r="A4662" s="13">
        <v>45901.0</v>
      </c>
      <c r="B4662" s="14" t="s">
        <v>47</v>
      </c>
      <c r="C4662" s="14" t="s">
        <v>48</v>
      </c>
      <c r="D4662" s="14" t="s">
        <v>91</v>
      </c>
      <c r="E4662" s="14" t="s">
        <v>92</v>
      </c>
      <c r="F4662" s="14" t="s">
        <v>71</v>
      </c>
      <c r="G4662" s="14">
        <v>5.00008613E8</v>
      </c>
      <c r="H4662" s="14" t="s">
        <v>91</v>
      </c>
      <c r="I4662" s="14" t="s">
        <v>59</v>
      </c>
      <c r="J4662" s="14" t="s">
        <v>199</v>
      </c>
      <c r="K4662" s="14" t="s">
        <v>206</v>
      </c>
      <c r="L4662" s="14" t="s">
        <v>515</v>
      </c>
      <c r="M4662" s="14" t="s">
        <v>515</v>
      </c>
      <c r="N4662" s="14" t="s">
        <v>516</v>
      </c>
      <c r="O4662" s="14">
        <v>25.0</v>
      </c>
      <c r="P4662" s="21">
        <v>1.0</v>
      </c>
      <c r="Q4662" s="22" t="str">
        <f t="shared" ref="Q4662:R4662" si="2788">"+0"</f>
        <v>+0</v>
      </c>
      <c r="R4662" s="18" t="str">
        <f t="shared" si="2788"/>
        <v>+0</v>
      </c>
      <c r="S4662" s="14" t="s">
        <v>383</v>
      </c>
    </row>
    <row r="4663">
      <c r="A4663" s="13">
        <v>45901.0</v>
      </c>
      <c r="B4663" s="14" t="s">
        <v>47</v>
      </c>
      <c r="C4663" s="14" t="s">
        <v>48</v>
      </c>
      <c r="D4663" s="14" t="s">
        <v>99</v>
      </c>
      <c r="E4663" s="14" t="s">
        <v>100</v>
      </c>
      <c r="F4663" s="15" t="s">
        <v>51</v>
      </c>
      <c r="G4663" s="14" t="s">
        <v>101</v>
      </c>
      <c r="H4663" s="14" t="s">
        <v>102</v>
      </c>
      <c r="I4663" s="14" t="s">
        <v>54</v>
      </c>
      <c r="J4663" s="14" t="s">
        <v>200</v>
      </c>
      <c r="K4663" s="14" t="s">
        <v>222</v>
      </c>
      <c r="L4663" s="14" t="s">
        <v>301</v>
      </c>
      <c r="M4663" s="14" t="s">
        <v>302</v>
      </c>
      <c r="N4663" s="14" t="s">
        <v>303</v>
      </c>
      <c r="O4663" s="14">
        <v>100.0</v>
      </c>
      <c r="P4663" s="21">
        <v>14.0</v>
      </c>
      <c r="Q4663" s="22" t="str">
        <f t="shared" ref="Q4663:R4663" si="2789">"+14"</f>
        <v>+14</v>
      </c>
      <c r="R4663" s="18" t="str">
        <f t="shared" si="2789"/>
        <v>+14</v>
      </c>
      <c r="S4663" s="14" t="s">
        <v>260</v>
      </c>
    </row>
    <row r="4664">
      <c r="A4664" s="13">
        <v>45901.0</v>
      </c>
      <c r="B4664" s="14" t="s">
        <v>47</v>
      </c>
      <c r="C4664" s="14" t="s">
        <v>48</v>
      </c>
      <c r="D4664" s="14" t="s">
        <v>91</v>
      </c>
      <c r="E4664" s="14" t="s">
        <v>92</v>
      </c>
      <c r="F4664" s="14" t="s">
        <v>71</v>
      </c>
      <c r="G4664" s="14">
        <v>5.00008343E8</v>
      </c>
      <c r="H4664" s="14" t="s">
        <v>91</v>
      </c>
      <c r="I4664" s="14" t="s">
        <v>59</v>
      </c>
      <c r="J4664" s="14" t="s">
        <v>199</v>
      </c>
      <c r="K4664" s="14" t="s">
        <v>206</v>
      </c>
      <c r="L4664" s="14" t="s">
        <v>295</v>
      </c>
      <c r="M4664" s="14" t="s">
        <v>986</v>
      </c>
      <c r="N4664" s="14" t="s">
        <v>987</v>
      </c>
      <c r="O4664" s="14">
        <v>0.0</v>
      </c>
      <c r="P4664" s="21">
        <v>0.0</v>
      </c>
      <c r="Q4664" s="22" t="str">
        <f t="shared" ref="Q4664:R4664" si="2790">"-6"</f>
        <v>-6</v>
      </c>
      <c r="R4664" s="18" t="str">
        <f t="shared" si="2790"/>
        <v>-6</v>
      </c>
      <c r="S4664" s="14" t="s">
        <v>260</v>
      </c>
    </row>
    <row r="4665">
      <c r="A4665" s="13">
        <v>45901.0</v>
      </c>
      <c r="B4665" s="14" t="s">
        <v>47</v>
      </c>
      <c r="C4665" s="14" t="s">
        <v>48</v>
      </c>
      <c r="D4665" s="14" t="s">
        <v>177</v>
      </c>
      <c r="E4665" s="14" t="s">
        <v>178</v>
      </c>
      <c r="F4665" s="14" t="s">
        <v>146</v>
      </c>
      <c r="G4665" s="14" t="s">
        <v>179</v>
      </c>
      <c r="H4665" s="14" t="s">
        <v>177</v>
      </c>
      <c r="I4665" s="14" t="s">
        <v>107</v>
      </c>
      <c r="J4665" s="14" t="s">
        <v>199</v>
      </c>
      <c r="K4665" s="14" t="s">
        <v>206</v>
      </c>
      <c r="L4665" s="14" t="s">
        <v>381</v>
      </c>
      <c r="M4665" s="14" t="s">
        <v>381</v>
      </c>
      <c r="N4665" s="14" t="s">
        <v>382</v>
      </c>
      <c r="O4665" s="14">
        <v>0.0</v>
      </c>
      <c r="P4665" s="21">
        <v>0.0</v>
      </c>
      <c r="Q4665" s="22" t="str">
        <f t="shared" ref="Q4665:R4665" si="2791">"+0"</f>
        <v>+0</v>
      </c>
      <c r="R4665" s="18" t="str">
        <f t="shared" si="2791"/>
        <v>+0</v>
      </c>
      <c r="S4665" s="14" t="s">
        <v>383</v>
      </c>
    </row>
    <row r="4666">
      <c r="A4666" s="13">
        <v>45901.0</v>
      </c>
      <c r="B4666" s="14" t="s">
        <v>47</v>
      </c>
      <c r="C4666" s="14" t="s">
        <v>48</v>
      </c>
      <c r="D4666" s="14" t="s">
        <v>91</v>
      </c>
      <c r="E4666" s="14" t="s">
        <v>92</v>
      </c>
      <c r="F4666" s="14" t="s">
        <v>71</v>
      </c>
      <c r="G4666" s="14">
        <v>5.10011769E8</v>
      </c>
      <c r="H4666" s="14" t="s">
        <v>91</v>
      </c>
      <c r="I4666" s="14" t="s">
        <v>59</v>
      </c>
      <c r="J4666" s="14" t="s">
        <v>200</v>
      </c>
      <c r="K4666" s="14" t="s">
        <v>218</v>
      </c>
      <c r="L4666" s="14" t="s">
        <v>253</v>
      </c>
      <c r="M4666" s="14" t="s">
        <v>1388</v>
      </c>
      <c r="N4666" s="14" t="s">
        <v>1389</v>
      </c>
      <c r="O4666" s="14">
        <v>100.0</v>
      </c>
      <c r="P4666" s="23">
        <v>1.0</v>
      </c>
      <c r="Q4666" s="22" t="str">
        <f>"+0.00%"</f>
        <v>+0.00%</v>
      </c>
      <c r="R4666" s="18" t="str">
        <f>"+100.00%"</f>
        <v>+100.00%</v>
      </c>
      <c r="S4666" s="14" t="s">
        <v>2327</v>
      </c>
    </row>
    <row r="4667">
      <c r="A4667" s="13">
        <v>45901.0</v>
      </c>
      <c r="B4667" s="14" t="s">
        <v>47</v>
      </c>
      <c r="C4667" s="14" t="s">
        <v>48</v>
      </c>
      <c r="D4667" s="14" t="s">
        <v>118</v>
      </c>
      <c r="E4667" s="14" t="s">
        <v>119</v>
      </c>
      <c r="F4667" s="15" t="s">
        <v>51</v>
      </c>
      <c r="G4667" s="14" t="s">
        <v>120</v>
      </c>
      <c r="H4667" s="14" t="s">
        <v>118</v>
      </c>
      <c r="I4667" s="14" t="s">
        <v>59</v>
      </c>
      <c r="J4667" s="14" t="s">
        <v>199</v>
      </c>
      <c r="K4667" s="14" t="s">
        <v>208</v>
      </c>
      <c r="L4667" s="14" t="s">
        <v>412</v>
      </c>
      <c r="M4667" s="14" t="s">
        <v>412</v>
      </c>
      <c r="N4667" s="14" t="s">
        <v>413</v>
      </c>
      <c r="O4667" s="14">
        <v>80.0</v>
      </c>
      <c r="P4667" s="21">
        <v>2.0</v>
      </c>
      <c r="Q4667" s="22" t="str">
        <f t="shared" ref="Q4667:Q4671" si="2792">"+0"</f>
        <v>+0</v>
      </c>
      <c r="R4667" s="18" t="str">
        <f>"+1"</f>
        <v>+1</v>
      </c>
      <c r="S4667" s="14" t="s">
        <v>260</v>
      </c>
    </row>
    <row r="4668">
      <c r="A4668" s="13">
        <v>45901.0</v>
      </c>
      <c r="B4668" s="14" t="s">
        <v>47</v>
      </c>
      <c r="C4668" s="14" t="s">
        <v>48</v>
      </c>
      <c r="D4668" s="14" t="s">
        <v>91</v>
      </c>
      <c r="E4668" s="14" t="s">
        <v>92</v>
      </c>
      <c r="F4668" s="15" t="s">
        <v>51</v>
      </c>
      <c r="G4668" s="14" t="s">
        <v>163</v>
      </c>
      <c r="H4668" s="14" t="s">
        <v>91</v>
      </c>
      <c r="I4668" s="14" t="s">
        <v>59</v>
      </c>
      <c r="J4668" s="14" t="s">
        <v>199</v>
      </c>
      <c r="K4668" s="14" t="s">
        <v>203</v>
      </c>
      <c r="L4668" s="14" t="s">
        <v>601</v>
      </c>
      <c r="M4668" s="14" t="s">
        <v>601</v>
      </c>
      <c r="N4668" s="14" t="s">
        <v>602</v>
      </c>
      <c r="O4668" s="14">
        <v>0.0</v>
      </c>
      <c r="P4668" s="21">
        <v>0.0</v>
      </c>
      <c r="Q4668" s="22" t="str">
        <f t="shared" si="2792"/>
        <v>+0</v>
      </c>
      <c r="R4668" s="18" t="str">
        <f t="shared" ref="R4668:R4670" si="2793">"+0"</f>
        <v>+0</v>
      </c>
      <c r="S4668" s="14" t="s">
        <v>260</v>
      </c>
    </row>
    <row r="4669">
      <c r="A4669" s="13">
        <v>45901.0</v>
      </c>
      <c r="B4669" s="14" t="s">
        <v>47</v>
      </c>
      <c r="C4669" s="14" t="s">
        <v>48</v>
      </c>
      <c r="D4669" s="14" t="s">
        <v>192</v>
      </c>
      <c r="E4669" s="14" t="s">
        <v>193</v>
      </c>
      <c r="F4669" s="15" t="s">
        <v>51</v>
      </c>
      <c r="G4669" s="14" t="s">
        <v>194</v>
      </c>
      <c r="H4669" s="14" t="s">
        <v>192</v>
      </c>
      <c r="I4669" s="14" t="s">
        <v>54</v>
      </c>
      <c r="J4669" s="14" t="s">
        <v>198</v>
      </c>
      <c r="K4669" s="14" t="s">
        <v>210</v>
      </c>
      <c r="L4669" s="14" t="s">
        <v>278</v>
      </c>
      <c r="M4669" s="14" t="s">
        <v>1005</v>
      </c>
      <c r="N4669" s="14" t="s">
        <v>1006</v>
      </c>
      <c r="O4669" s="14">
        <v>0.0</v>
      </c>
      <c r="P4669" s="21">
        <v>0.0</v>
      </c>
      <c r="Q4669" s="22" t="str">
        <f t="shared" si="2792"/>
        <v>+0</v>
      </c>
      <c r="R4669" s="18" t="str">
        <f t="shared" si="2793"/>
        <v>+0</v>
      </c>
      <c r="S4669" s="14" t="s">
        <v>277</v>
      </c>
    </row>
    <row r="4670">
      <c r="A4670" s="13">
        <v>45901.0</v>
      </c>
      <c r="B4670" s="14" t="s">
        <v>47</v>
      </c>
      <c r="C4670" s="14" t="s">
        <v>48</v>
      </c>
      <c r="D4670" s="14" t="s">
        <v>192</v>
      </c>
      <c r="E4670" s="14" t="s">
        <v>193</v>
      </c>
      <c r="F4670" s="15" t="s">
        <v>51</v>
      </c>
      <c r="G4670" s="14" t="s">
        <v>194</v>
      </c>
      <c r="H4670" s="14" t="s">
        <v>192</v>
      </c>
      <c r="I4670" s="14" t="s">
        <v>54</v>
      </c>
      <c r="J4670" s="14" t="s">
        <v>200</v>
      </c>
      <c r="K4670" s="14" t="s">
        <v>231</v>
      </c>
      <c r="L4670" s="14" t="s">
        <v>751</v>
      </c>
      <c r="M4670" s="14" t="s">
        <v>1120</v>
      </c>
      <c r="N4670" s="14" t="s">
        <v>1121</v>
      </c>
      <c r="O4670" s="14">
        <v>0.0</v>
      </c>
      <c r="P4670" s="21">
        <v>0.0</v>
      </c>
      <c r="Q4670" s="22" t="str">
        <f t="shared" si="2792"/>
        <v>+0</v>
      </c>
      <c r="R4670" s="18" t="str">
        <f t="shared" si="2793"/>
        <v>+0</v>
      </c>
      <c r="S4670" s="14" t="s">
        <v>260</v>
      </c>
    </row>
    <row r="4671">
      <c r="A4671" s="13">
        <v>45901.0</v>
      </c>
      <c r="B4671" s="14" t="s">
        <v>47</v>
      </c>
      <c r="C4671" s="14" t="s">
        <v>48</v>
      </c>
      <c r="D4671" s="14" t="s">
        <v>112</v>
      </c>
      <c r="E4671" s="14" t="s">
        <v>113</v>
      </c>
      <c r="F4671" s="15" t="s">
        <v>51</v>
      </c>
      <c r="G4671" s="14" t="s">
        <v>114</v>
      </c>
      <c r="H4671" s="14" t="s">
        <v>112</v>
      </c>
      <c r="I4671" s="14" t="s">
        <v>59</v>
      </c>
      <c r="J4671" s="14" t="s">
        <v>198</v>
      </c>
      <c r="K4671" s="14" t="s">
        <v>205</v>
      </c>
      <c r="L4671" s="14" t="s">
        <v>274</v>
      </c>
      <c r="M4671" s="14" t="s">
        <v>425</v>
      </c>
      <c r="N4671" s="14" t="s">
        <v>426</v>
      </c>
      <c r="O4671" s="14">
        <v>0.0</v>
      </c>
      <c r="P4671" s="21">
        <v>0.0</v>
      </c>
      <c r="Q4671" s="22" t="str">
        <f t="shared" si="2792"/>
        <v>+0</v>
      </c>
      <c r="S4671" s="14" t="s">
        <v>281</v>
      </c>
    </row>
    <row r="4672">
      <c r="A4672" s="13">
        <v>45901.0</v>
      </c>
      <c r="B4672" s="14" t="s">
        <v>47</v>
      </c>
      <c r="C4672" s="14" t="s">
        <v>48</v>
      </c>
      <c r="D4672" s="14" t="s">
        <v>165</v>
      </c>
      <c r="E4672" s="14" t="s">
        <v>166</v>
      </c>
      <c r="F4672" s="15" t="s">
        <v>51</v>
      </c>
      <c r="G4672" s="14" t="s">
        <v>167</v>
      </c>
      <c r="H4672" s="14" t="s">
        <v>165</v>
      </c>
      <c r="I4672" s="14" t="s">
        <v>54</v>
      </c>
      <c r="J4672" s="14" t="s">
        <v>200</v>
      </c>
      <c r="K4672" s="14" t="s">
        <v>227</v>
      </c>
      <c r="L4672" s="14" t="s">
        <v>253</v>
      </c>
      <c r="M4672" s="14" t="s">
        <v>811</v>
      </c>
      <c r="N4672" s="14" t="s">
        <v>812</v>
      </c>
      <c r="O4672" s="14">
        <v>100.0</v>
      </c>
      <c r="P4672" s="23">
        <v>1.0</v>
      </c>
      <c r="Q4672" s="22" t="str">
        <f t="shared" ref="Q4672:R4672" si="2794">"+0.00%"</f>
        <v>+0.00%</v>
      </c>
      <c r="R4672" s="18" t="str">
        <f t="shared" si="2794"/>
        <v>+0.00%</v>
      </c>
      <c r="S4672" s="14" t="s">
        <v>813</v>
      </c>
    </row>
    <row r="4673">
      <c r="A4673" s="13">
        <v>45901.0</v>
      </c>
      <c r="B4673" s="14" t="s">
        <v>47</v>
      </c>
      <c r="C4673" s="14" t="s">
        <v>48</v>
      </c>
      <c r="D4673" s="14" t="s">
        <v>63</v>
      </c>
      <c r="E4673" s="14" t="s">
        <v>64</v>
      </c>
      <c r="F4673" s="15" t="s">
        <v>51</v>
      </c>
      <c r="G4673" s="14" t="s">
        <v>65</v>
      </c>
      <c r="H4673" s="14" t="s">
        <v>63</v>
      </c>
      <c r="I4673" s="14" t="s">
        <v>54</v>
      </c>
      <c r="J4673" s="14" t="s">
        <v>198</v>
      </c>
      <c r="K4673" s="14" t="s">
        <v>210</v>
      </c>
      <c r="L4673" s="14" t="s">
        <v>505</v>
      </c>
      <c r="M4673" s="14" t="s">
        <v>1049</v>
      </c>
      <c r="N4673" s="14" t="s">
        <v>1050</v>
      </c>
      <c r="O4673" s="14">
        <v>0.0</v>
      </c>
      <c r="P4673" s="21">
        <v>0.0</v>
      </c>
      <c r="Q4673" s="22" t="str">
        <f t="shared" ref="Q4673:R4673" si="2795">"+0"</f>
        <v>+0</v>
      </c>
      <c r="R4673" s="18" t="str">
        <f t="shared" si="2795"/>
        <v>+0</v>
      </c>
      <c r="S4673" s="14" t="s">
        <v>277</v>
      </c>
    </row>
    <row r="4674">
      <c r="A4674" s="13">
        <v>45901.0</v>
      </c>
      <c r="B4674" s="14" t="s">
        <v>47</v>
      </c>
      <c r="C4674" s="14" t="s">
        <v>48</v>
      </c>
      <c r="D4674" s="14" t="s">
        <v>125</v>
      </c>
      <c r="E4674" s="14" t="s">
        <v>126</v>
      </c>
      <c r="F4674" s="15" t="s">
        <v>51</v>
      </c>
      <c r="G4674" s="14" t="s">
        <v>127</v>
      </c>
      <c r="H4674" s="14" t="s">
        <v>125</v>
      </c>
      <c r="I4674" s="14" t="s">
        <v>59</v>
      </c>
      <c r="J4674" s="14" t="s">
        <v>200</v>
      </c>
      <c r="K4674" s="14" t="s">
        <v>204</v>
      </c>
      <c r="L4674" s="14" t="s">
        <v>253</v>
      </c>
      <c r="M4674" s="14" t="s">
        <v>490</v>
      </c>
      <c r="N4674" s="14" t="s">
        <v>491</v>
      </c>
      <c r="O4674" s="14">
        <v>0.0</v>
      </c>
      <c r="P4674" s="23">
        <v>0.0</v>
      </c>
      <c r="Q4674" s="22" t="str">
        <f t="shared" ref="Q4674:R4674" si="2796">"+0.00%"</f>
        <v>+0.00%</v>
      </c>
      <c r="R4674" s="18" t="str">
        <f t="shared" si="2796"/>
        <v>+0.00%</v>
      </c>
      <c r="S4674" s="14" t="s">
        <v>492</v>
      </c>
    </row>
    <row r="4675">
      <c r="A4675" s="13">
        <v>45901.0</v>
      </c>
      <c r="B4675" s="14" t="s">
        <v>47</v>
      </c>
      <c r="C4675" s="14" t="s">
        <v>48</v>
      </c>
      <c r="D4675" s="14" t="s">
        <v>174</v>
      </c>
      <c r="E4675" s="14" t="s">
        <v>175</v>
      </c>
      <c r="F4675" s="15" t="s">
        <v>51</v>
      </c>
      <c r="G4675" s="14" t="s">
        <v>176</v>
      </c>
      <c r="H4675" s="14" t="s">
        <v>174</v>
      </c>
      <c r="I4675" s="14" t="s">
        <v>59</v>
      </c>
      <c r="J4675" s="14" t="s">
        <v>198</v>
      </c>
      <c r="K4675" s="14" t="s">
        <v>210</v>
      </c>
      <c r="L4675" s="14" t="s">
        <v>264</v>
      </c>
      <c r="M4675" s="14" t="s">
        <v>470</v>
      </c>
      <c r="N4675" s="14" t="s">
        <v>471</v>
      </c>
      <c r="O4675" s="14">
        <v>100.0</v>
      </c>
      <c r="P4675" s="21">
        <v>0.0</v>
      </c>
      <c r="Q4675" s="22" t="str">
        <f t="shared" ref="Q4675:Q4677" si="2797">"+0"</f>
        <v>+0</v>
      </c>
      <c r="R4675" s="18" t="str">
        <f>"-5"</f>
        <v>-5</v>
      </c>
      <c r="S4675" s="14" t="s">
        <v>281</v>
      </c>
    </row>
    <row r="4676">
      <c r="A4676" s="13">
        <v>45901.0</v>
      </c>
      <c r="B4676" s="14" t="s">
        <v>47</v>
      </c>
      <c r="C4676" s="14" t="s">
        <v>48</v>
      </c>
      <c r="D4676" s="14" t="s">
        <v>103</v>
      </c>
      <c r="E4676" s="14" t="s">
        <v>104</v>
      </c>
      <c r="F4676" s="15" t="s">
        <v>51</v>
      </c>
      <c r="G4676" s="14" t="s">
        <v>105</v>
      </c>
      <c r="H4676" s="14" t="s">
        <v>106</v>
      </c>
      <c r="I4676" s="14" t="s">
        <v>59</v>
      </c>
      <c r="J4676" s="14" t="s">
        <v>200</v>
      </c>
      <c r="K4676" s="14" t="s">
        <v>232</v>
      </c>
      <c r="L4676" s="14" t="s">
        <v>363</v>
      </c>
      <c r="M4676" s="14" t="s">
        <v>379</v>
      </c>
      <c r="N4676" s="14" t="s">
        <v>380</v>
      </c>
      <c r="O4676" s="14">
        <v>0.0</v>
      </c>
      <c r="P4676" s="21">
        <v>0.0</v>
      </c>
      <c r="Q4676" s="22" t="str">
        <f t="shared" si="2797"/>
        <v>+0</v>
      </c>
      <c r="R4676" s="18" t="str">
        <f>"+0"</f>
        <v>+0</v>
      </c>
      <c r="S4676" s="14" t="s">
        <v>260</v>
      </c>
    </row>
    <row r="4677">
      <c r="A4677" s="13">
        <v>45901.0</v>
      </c>
      <c r="B4677" s="14" t="s">
        <v>47</v>
      </c>
      <c r="C4677" s="14" t="s">
        <v>48</v>
      </c>
      <c r="D4677" s="14" t="s">
        <v>158</v>
      </c>
      <c r="E4677" s="14" t="s">
        <v>159</v>
      </c>
      <c r="F4677" s="15" t="s">
        <v>51</v>
      </c>
      <c r="G4677" s="14" t="s">
        <v>160</v>
      </c>
      <c r="H4677" s="14" t="s">
        <v>158</v>
      </c>
      <c r="I4677" s="14" t="s">
        <v>54</v>
      </c>
      <c r="J4677" s="14" t="s">
        <v>198</v>
      </c>
      <c r="K4677" s="14" t="s">
        <v>207</v>
      </c>
      <c r="L4677" s="14" t="s">
        <v>318</v>
      </c>
      <c r="M4677" s="14" t="s">
        <v>319</v>
      </c>
      <c r="N4677" s="14" t="s">
        <v>320</v>
      </c>
      <c r="O4677" s="14">
        <v>0.0</v>
      </c>
      <c r="P4677" s="21">
        <v>0.0</v>
      </c>
      <c r="Q4677" s="22" t="str">
        <f t="shared" si="2797"/>
        <v>+0</v>
      </c>
      <c r="S4677" s="14" t="s">
        <v>281</v>
      </c>
    </row>
    <row r="4678">
      <c r="A4678" s="13">
        <v>45901.0</v>
      </c>
      <c r="B4678" s="14" t="s">
        <v>47</v>
      </c>
      <c r="C4678" s="14" t="s">
        <v>48</v>
      </c>
      <c r="D4678" s="14" t="s">
        <v>184</v>
      </c>
      <c r="E4678" s="14" t="s">
        <v>185</v>
      </c>
      <c r="F4678" s="15" t="s">
        <v>51</v>
      </c>
      <c r="G4678" s="14" t="s">
        <v>186</v>
      </c>
      <c r="H4678" s="14" t="s">
        <v>187</v>
      </c>
      <c r="I4678" s="14" t="s">
        <v>59</v>
      </c>
      <c r="J4678" s="14" t="s">
        <v>200</v>
      </c>
      <c r="K4678" s="14" t="s">
        <v>224</v>
      </c>
      <c r="L4678" s="14" t="s">
        <v>427</v>
      </c>
      <c r="M4678" s="14" t="s">
        <v>895</v>
      </c>
      <c r="N4678" s="14" t="s">
        <v>896</v>
      </c>
      <c r="O4678" s="14">
        <v>0.0</v>
      </c>
      <c r="P4678" s="17"/>
      <c r="Q4678" s="22"/>
      <c r="S4678" s="14" t="s">
        <v>897</v>
      </c>
    </row>
    <row r="4679">
      <c r="A4679" s="13">
        <v>45901.0</v>
      </c>
      <c r="B4679" s="14" t="s">
        <v>47</v>
      </c>
      <c r="C4679" s="14" t="s">
        <v>48</v>
      </c>
      <c r="D4679" s="14" t="s">
        <v>192</v>
      </c>
      <c r="E4679" s="14" t="s">
        <v>193</v>
      </c>
      <c r="F4679" s="15" t="s">
        <v>51</v>
      </c>
      <c r="G4679" s="14" t="s">
        <v>194</v>
      </c>
      <c r="H4679" s="14" t="s">
        <v>192</v>
      </c>
      <c r="I4679" s="14" t="s">
        <v>54</v>
      </c>
      <c r="J4679" s="14" t="s">
        <v>200</v>
      </c>
      <c r="K4679" s="14" t="s">
        <v>223</v>
      </c>
      <c r="L4679" s="14" t="s">
        <v>286</v>
      </c>
      <c r="M4679" s="14" t="s">
        <v>644</v>
      </c>
      <c r="N4679" s="14" t="s">
        <v>645</v>
      </c>
      <c r="O4679" s="14">
        <v>48.0</v>
      </c>
      <c r="P4679" s="23">
        <v>-0.0301</v>
      </c>
      <c r="Q4679" s="22" t="str">
        <f>"-5.15%"</f>
        <v>-5.15%</v>
      </c>
      <c r="R4679" s="18" t="str">
        <f>"-2.12%"</f>
        <v>-2.12%</v>
      </c>
      <c r="S4679" s="14" t="s">
        <v>2328</v>
      </c>
    </row>
    <row r="4680">
      <c r="A4680" s="13">
        <v>45901.0</v>
      </c>
      <c r="B4680" s="14" t="s">
        <v>47</v>
      </c>
      <c r="C4680" s="14" t="s">
        <v>48</v>
      </c>
      <c r="D4680" s="14" t="s">
        <v>66</v>
      </c>
      <c r="E4680" s="14" t="s">
        <v>67</v>
      </c>
      <c r="F4680" s="15" t="s">
        <v>51</v>
      </c>
      <c r="G4680" s="14" t="s">
        <v>68</v>
      </c>
      <c r="H4680" s="14" t="s">
        <v>66</v>
      </c>
      <c r="I4680" s="14" t="s">
        <v>59</v>
      </c>
      <c r="J4680" s="14" t="s">
        <v>199</v>
      </c>
      <c r="K4680" s="14" t="s">
        <v>206</v>
      </c>
      <c r="L4680" s="14" t="s">
        <v>515</v>
      </c>
      <c r="M4680" s="14" t="s">
        <v>515</v>
      </c>
      <c r="N4680" s="14" t="s">
        <v>516</v>
      </c>
      <c r="O4680" s="14">
        <v>0.0</v>
      </c>
      <c r="P4680" s="21">
        <v>0.0</v>
      </c>
      <c r="Q4680" s="22" t="str">
        <f t="shared" ref="Q4680:R4680" si="2798">"+0"</f>
        <v>+0</v>
      </c>
      <c r="R4680" s="18" t="str">
        <f t="shared" si="2798"/>
        <v>+0</v>
      </c>
      <c r="S4680" s="14" t="s">
        <v>383</v>
      </c>
    </row>
    <row r="4681">
      <c r="A4681" s="13">
        <v>45901.0</v>
      </c>
      <c r="B4681" s="14" t="s">
        <v>47</v>
      </c>
      <c r="C4681" s="14" t="s">
        <v>48</v>
      </c>
      <c r="D4681" s="14" t="s">
        <v>66</v>
      </c>
      <c r="E4681" s="14" t="s">
        <v>67</v>
      </c>
      <c r="F4681" s="15" t="s">
        <v>51</v>
      </c>
      <c r="G4681" s="14" t="s">
        <v>68</v>
      </c>
      <c r="H4681" s="14" t="s">
        <v>66</v>
      </c>
      <c r="I4681" s="14" t="s">
        <v>59</v>
      </c>
      <c r="J4681" s="14" t="s">
        <v>200</v>
      </c>
      <c r="K4681" s="14" t="s">
        <v>227</v>
      </c>
      <c r="L4681" s="14" t="s">
        <v>721</v>
      </c>
      <c r="M4681" s="14" t="s">
        <v>748</v>
      </c>
      <c r="N4681" s="14" t="s">
        <v>749</v>
      </c>
      <c r="O4681" s="14">
        <v>0.0</v>
      </c>
      <c r="P4681" s="23">
        <v>-1.0</v>
      </c>
      <c r="Q4681" s="22" t="str">
        <f t="shared" ref="Q4681:R4681" si="2799">"+0.00%"</f>
        <v>+0.00%</v>
      </c>
      <c r="R4681" s="18" t="str">
        <f t="shared" si="2799"/>
        <v>+0.00%</v>
      </c>
      <c r="S4681" s="14" t="s">
        <v>750</v>
      </c>
    </row>
    <row r="4682">
      <c r="A4682" s="13">
        <v>45901.0</v>
      </c>
      <c r="B4682" s="14" t="s">
        <v>47</v>
      </c>
      <c r="C4682" s="14" t="s">
        <v>48</v>
      </c>
      <c r="D4682" s="14" t="s">
        <v>82</v>
      </c>
      <c r="E4682" s="14" t="s">
        <v>83</v>
      </c>
      <c r="F4682" s="15" t="s">
        <v>51</v>
      </c>
      <c r="G4682" s="14" t="s">
        <v>84</v>
      </c>
      <c r="H4682" s="14" t="s">
        <v>82</v>
      </c>
      <c r="I4682" s="14" t="s">
        <v>59</v>
      </c>
      <c r="J4682" s="14" t="s">
        <v>200</v>
      </c>
      <c r="K4682" s="14" t="s">
        <v>227</v>
      </c>
      <c r="L4682" s="14" t="s">
        <v>253</v>
      </c>
      <c r="M4682" s="14" t="s">
        <v>254</v>
      </c>
      <c r="N4682" s="14" t="s">
        <v>255</v>
      </c>
      <c r="O4682" s="14">
        <v>0.0</v>
      </c>
      <c r="P4682" s="23">
        <v>0.0</v>
      </c>
      <c r="Q4682" s="22" t="str">
        <f t="shared" ref="Q4682:R4682" si="2800">"+0.00%"</f>
        <v>+0.00%</v>
      </c>
      <c r="R4682" s="18" t="str">
        <f t="shared" si="2800"/>
        <v>+0.00%</v>
      </c>
      <c r="S4682" s="14" t="s">
        <v>624</v>
      </c>
    </row>
    <row r="4683">
      <c r="A4683" s="13">
        <v>45901.0</v>
      </c>
      <c r="B4683" s="14" t="s">
        <v>47</v>
      </c>
      <c r="C4683" s="14" t="s">
        <v>48</v>
      </c>
      <c r="D4683" s="14" t="s">
        <v>192</v>
      </c>
      <c r="E4683" s="14" t="s">
        <v>193</v>
      </c>
      <c r="F4683" s="15" t="s">
        <v>51</v>
      </c>
      <c r="G4683" s="14" t="s">
        <v>194</v>
      </c>
      <c r="H4683" s="14" t="s">
        <v>192</v>
      </c>
      <c r="I4683" s="14" t="s">
        <v>54</v>
      </c>
      <c r="J4683" s="14" t="s">
        <v>200</v>
      </c>
      <c r="K4683" s="14" t="s">
        <v>223</v>
      </c>
      <c r="L4683" s="14" t="s">
        <v>363</v>
      </c>
      <c r="M4683" s="14" t="s">
        <v>1043</v>
      </c>
      <c r="N4683" s="14" t="s">
        <v>1044</v>
      </c>
      <c r="O4683" s="14">
        <v>100.0</v>
      </c>
      <c r="P4683" s="23">
        <v>0.4339</v>
      </c>
      <c r="Q4683" s="22" t="str">
        <f>"+1.39%"</f>
        <v>+1.39%</v>
      </c>
      <c r="R4683" s="18" t="str">
        <f>"+0.11%"</f>
        <v>+0.11%</v>
      </c>
      <c r="S4683" s="14" t="s">
        <v>285</v>
      </c>
    </row>
    <row r="4684">
      <c r="A4684" s="13">
        <v>45901.0</v>
      </c>
      <c r="B4684" s="14" t="s">
        <v>47</v>
      </c>
      <c r="C4684" s="14" t="s">
        <v>48</v>
      </c>
      <c r="D4684" s="14" t="s">
        <v>73</v>
      </c>
      <c r="E4684" s="14" t="s">
        <v>74</v>
      </c>
      <c r="F4684" s="15" t="s">
        <v>51</v>
      </c>
      <c r="G4684" s="14" t="s">
        <v>75</v>
      </c>
      <c r="H4684" s="14" t="s">
        <v>76</v>
      </c>
      <c r="I4684" s="14" t="s">
        <v>59</v>
      </c>
      <c r="J4684" s="14" t="s">
        <v>200</v>
      </c>
      <c r="K4684" s="14" t="s">
        <v>232</v>
      </c>
      <c r="L4684" s="14" t="s">
        <v>363</v>
      </c>
      <c r="M4684" s="14" t="s">
        <v>379</v>
      </c>
      <c r="N4684" s="14" t="s">
        <v>380</v>
      </c>
      <c r="O4684" s="14">
        <v>0.0</v>
      </c>
      <c r="P4684" s="21">
        <v>0.0</v>
      </c>
      <c r="Q4684" s="22" t="str">
        <f t="shared" ref="Q4684:R4684" si="2801">"+0"</f>
        <v>+0</v>
      </c>
      <c r="R4684" s="18" t="str">
        <f t="shared" si="2801"/>
        <v>+0</v>
      </c>
      <c r="S4684" s="14" t="s">
        <v>260</v>
      </c>
    </row>
    <row r="4685">
      <c r="A4685" s="13">
        <v>45901.0</v>
      </c>
      <c r="B4685" s="14" t="s">
        <v>47</v>
      </c>
      <c r="C4685" s="14" t="s">
        <v>48</v>
      </c>
      <c r="D4685" s="14" t="s">
        <v>73</v>
      </c>
      <c r="E4685" s="14" t="s">
        <v>74</v>
      </c>
      <c r="F4685" s="15" t="s">
        <v>51</v>
      </c>
      <c r="G4685" s="14" t="s">
        <v>75</v>
      </c>
      <c r="H4685" s="14" t="s">
        <v>76</v>
      </c>
      <c r="I4685" s="14" t="s">
        <v>59</v>
      </c>
      <c r="J4685" s="14" t="s">
        <v>199</v>
      </c>
      <c r="K4685" s="14" t="s">
        <v>206</v>
      </c>
      <c r="L4685" s="14" t="s">
        <v>295</v>
      </c>
      <c r="M4685" s="14" t="s">
        <v>461</v>
      </c>
      <c r="N4685" s="14" t="s">
        <v>462</v>
      </c>
      <c r="O4685" s="14">
        <v>0.0</v>
      </c>
      <c r="P4685" s="21">
        <v>0.0</v>
      </c>
      <c r="Q4685" s="22" t="str">
        <f t="shared" ref="Q4685:R4685" si="2802">"+0"</f>
        <v>+0</v>
      </c>
      <c r="R4685" s="18" t="str">
        <f t="shared" si="2802"/>
        <v>+0</v>
      </c>
      <c r="S4685" s="14" t="s">
        <v>260</v>
      </c>
    </row>
    <row r="4686">
      <c r="A4686" s="13">
        <v>45901.0</v>
      </c>
      <c r="B4686" s="14" t="s">
        <v>47</v>
      </c>
      <c r="C4686" s="14" t="s">
        <v>48</v>
      </c>
      <c r="D4686" s="14" t="s">
        <v>103</v>
      </c>
      <c r="E4686" s="14" t="s">
        <v>104</v>
      </c>
      <c r="F4686" s="15" t="s">
        <v>51</v>
      </c>
      <c r="G4686" s="14" t="s">
        <v>105</v>
      </c>
      <c r="H4686" s="14" t="s">
        <v>106</v>
      </c>
      <c r="I4686" s="14" t="s">
        <v>59</v>
      </c>
      <c r="J4686" s="14" t="s">
        <v>199</v>
      </c>
      <c r="K4686" s="14" t="s">
        <v>206</v>
      </c>
      <c r="L4686" s="14" t="s">
        <v>531</v>
      </c>
      <c r="M4686" s="14" t="s">
        <v>531</v>
      </c>
      <c r="N4686" s="14" t="s">
        <v>532</v>
      </c>
      <c r="O4686" s="14">
        <v>0.0</v>
      </c>
      <c r="P4686" s="21">
        <v>0.0</v>
      </c>
      <c r="Q4686" s="22" t="str">
        <f t="shared" ref="Q4686:R4686" si="2803">"+0"</f>
        <v>+0</v>
      </c>
      <c r="R4686" s="18" t="str">
        <f t="shared" si="2803"/>
        <v>+0</v>
      </c>
      <c r="S4686" s="14" t="s">
        <v>260</v>
      </c>
    </row>
    <row r="4687">
      <c r="A4687" s="13">
        <v>45901.0</v>
      </c>
      <c r="B4687" s="14" t="s">
        <v>47</v>
      </c>
      <c r="C4687" s="14" t="s">
        <v>48</v>
      </c>
      <c r="D4687" s="14" t="s">
        <v>149</v>
      </c>
      <c r="E4687" s="14" t="s">
        <v>150</v>
      </c>
      <c r="F4687" s="15" t="s">
        <v>51</v>
      </c>
      <c r="G4687" s="14" t="s">
        <v>151</v>
      </c>
      <c r="H4687" s="14" t="s">
        <v>152</v>
      </c>
      <c r="I4687" s="14" t="s">
        <v>54</v>
      </c>
      <c r="J4687" s="14" t="s">
        <v>198</v>
      </c>
      <c r="K4687" s="14" t="s">
        <v>205</v>
      </c>
      <c r="L4687" s="14" t="s">
        <v>274</v>
      </c>
      <c r="M4687" s="14" t="s">
        <v>425</v>
      </c>
      <c r="N4687" s="14" t="s">
        <v>426</v>
      </c>
      <c r="O4687" s="14">
        <v>0.0</v>
      </c>
      <c r="P4687" s="21">
        <v>0.0</v>
      </c>
      <c r="Q4687" s="22" t="str">
        <f t="shared" ref="Q4687:Q4690" si="2804">"+0"</f>
        <v>+0</v>
      </c>
      <c r="S4687" s="14" t="s">
        <v>281</v>
      </c>
    </row>
    <row r="4688">
      <c r="A4688" s="13">
        <v>45901.0</v>
      </c>
      <c r="B4688" s="14" t="s">
        <v>47</v>
      </c>
      <c r="C4688" s="14" t="s">
        <v>48</v>
      </c>
      <c r="D4688" s="14" t="s">
        <v>149</v>
      </c>
      <c r="E4688" s="14" t="s">
        <v>150</v>
      </c>
      <c r="F4688" s="15" t="s">
        <v>51</v>
      </c>
      <c r="G4688" s="14" t="s">
        <v>151</v>
      </c>
      <c r="H4688" s="14" t="s">
        <v>152</v>
      </c>
      <c r="I4688" s="14" t="s">
        <v>54</v>
      </c>
      <c r="J4688" s="14" t="s">
        <v>198</v>
      </c>
      <c r="K4688" s="14" t="s">
        <v>210</v>
      </c>
      <c r="L4688" s="14" t="s">
        <v>264</v>
      </c>
      <c r="M4688" s="14" t="s">
        <v>456</v>
      </c>
      <c r="N4688" s="14" t="s">
        <v>457</v>
      </c>
      <c r="O4688" s="14">
        <v>0.0</v>
      </c>
      <c r="P4688" s="21">
        <v>0.0</v>
      </c>
      <c r="Q4688" s="22" t="str">
        <f t="shared" si="2804"/>
        <v>+0</v>
      </c>
      <c r="R4688" s="18" t="str">
        <f>"+0"</f>
        <v>+0</v>
      </c>
      <c r="S4688" s="14" t="s">
        <v>277</v>
      </c>
    </row>
    <row r="4689">
      <c r="A4689" s="13">
        <v>45901.0</v>
      </c>
      <c r="B4689" s="14" t="s">
        <v>47</v>
      </c>
      <c r="C4689" s="14" t="s">
        <v>48</v>
      </c>
      <c r="D4689" s="14" t="s">
        <v>149</v>
      </c>
      <c r="E4689" s="14" t="s">
        <v>150</v>
      </c>
      <c r="F4689" s="15" t="s">
        <v>51</v>
      </c>
      <c r="G4689" s="14" t="s">
        <v>151</v>
      </c>
      <c r="H4689" s="14" t="s">
        <v>152</v>
      </c>
      <c r="I4689" s="14" t="s">
        <v>54</v>
      </c>
      <c r="J4689" s="14" t="s">
        <v>198</v>
      </c>
      <c r="K4689" s="14" t="s">
        <v>205</v>
      </c>
      <c r="L4689" s="14" t="s">
        <v>274</v>
      </c>
      <c r="M4689" s="14" t="s">
        <v>791</v>
      </c>
      <c r="N4689" s="14" t="s">
        <v>792</v>
      </c>
      <c r="O4689" s="14">
        <v>100.0</v>
      </c>
      <c r="P4689" s="21">
        <v>5.0</v>
      </c>
      <c r="Q4689" s="22" t="str">
        <f t="shared" si="2804"/>
        <v>+0</v>
      </c>
      <c r="S4689" s="14" t="s">
        <v>260</v>
      </c>
    </row>
    <row r="4690">
      <c r="A4690" s="13">
        <v>45901.0</v>
      </c>
      <c r="B4690" s="14" t="s">
        <v>47</v>
      </c>
      <c r="C4690" s="14" t="s">
        <v>48</v>
      </c>
      <c r="D4690" s="14" t="s">
        <v>149</v>
      </c>
      <c r="E4690" s="14" t="s">
        <v>150</v>
      </c>
      <c r="F4690" s="15" t="s">
        <v>51</v>
      </c>
      <c r="G4690" s="14" t="s">
        <v>151</v>
      </c>
      <c r="H4690" s="14" t="s">
        <v>152</v>
      </c>
      <c r="I4690" s="14" t="s">
        <v>54</v>
      </c>
      <c r="J4690" s="14" t="s">
        <v>198</v>
      </c>
      <c r="K4690" s="14" t="s">
        <v>210</v>
      </c>
      <c r="L4690" s="14" t="s">
        <v>264</v>
      </c>
      <c r="M4690" s="14" t="s">
        <v>1283</v>
      </c>
      <c r="N4690" s="14" t="s">
        <v>1284</v>
      </c>
      <c r="O4690" s="14">
        <v>0.0</v>
      </c>
      <c r="P4690" s="21">
        <v>0.0</v>
      </c>
      <c r="Q4690" s="22" t="str">
        <f t="shared" si="2804"/>
        <v>+0</v>
      </c>
      <c r="R4690" s="18" t="str">
        <f>"+0"</f>
        <v>+0</v>
      </c>
      <c r="S4690" s="14" t="s">
        <v>277</v>
      </c>
    </row>
    <row r="4691">
      <c r="A4691" s="13">
        <v>45901.0</v>
      </c>
      <c r="B4691" s="14" t="s">
        <v>47</v>
      </c>
      <c r="C4691" s="14" t="s">
        <v>48</v>
      </c>
      <c r="D4691" s="14" t="s">
        <v>108</v>
      </c>
      <c r="E4691" s="14" t="s">
        <v>109</v>
      </c>
      <c r="F4691" s="15" t="s">
        <v>51</v>
      </c>
      <c r="G4691" s="14" t="s">
        <v>110</v>
      </c>
      <c r="H4691" s="14" t="s">
        <v>108</v>
      </c>
      <c r="I4691" s="14" t="s">
        <v>59</v>
      </c>
      <c r="J4691" s="14" t="s">
        <v>200</v>
      </c>
      <c r="K4691" s="14" t="s">
        <v>227</v>
      </c>
      <c r="L4691" s="14" t="s">
        <v>270</v>
      </c>
      <c r="M4691" s="14" t="s">
        <v>417</v>
      </c>
      <c r="N4691" s="14" t="s">
        <v>418</v>
      </c>
      <c r="O4691" s="14">
        <v>40.0</v>
      </c>
      <c r="P4691" s="21">
        <v>2.0</v>
      </c>
      <c r="Q4691" s="22" t="str">
        <f t="shared" ref="Q4691:R4691" si="2805">"+1"</f>
        <v>+1</v>
      </c>
      <c r="R4691" s="18" t="str">
        <f t="shared" si="2805"/>
        <v>+1</v>
      </c>
      <c r="S4691" s="14" t="s">
        <v>260</v>
      </c>
    </row>
    <row r="4692">
      <c r="A4692" s="13">
        <v>45901.0</v>
      </c>
      <c r="B4692" s="14" t="s">
        <v>47</v>
      </c>
      <c r="C4692" s="14" t="s">
        <v>48</v>
      </c>
      <c r="D4692" s="14" t="s">
        <v>108</v>
      </c>
      <c r="E4692" s="14" t="s">
        <v>109</v>
      </c>
      <c r="F4692" s="14" t="s">
        <v>79</v>
      </c>
      <c r="G4692" s="14" t="s">
        <v>153</v>
      </c>
      <c r="H4692" s="14" t="s">
        <v>108</v>
      </c>
      <c r="I4692" s="14" t="s">
        <v>154</v>
      </c>
      <c r="J4692" s="14" t="s">
        <v>200</v>
      </c>
      <c r="K4692" s="14" t="s">
        <v>237</v>
      </c>
      <c r="L4692" s="14" t="s">
        <v>333</v>
      </c>
      <c r="M4692" s="14" t="s">
        <v>1315</v>
      </c>
      <c r="N4692" s="14" t="s">
        <v>1316</v>
      </c>
      <c r="O4692" s="14">
        <v>50.0</v>
      </c>
      <c r="P4692" s="23">
        <v>0.0</v>
      </c>
      <c r="Q4692" s="22" t="str">
        <f t="shared" ref="Q4692:Q4693" si="2806">"+0.00%"</f>
        <v>+0.00%</v>
      </c>
      <c r="S4692" s="14" t="s">
        <v>336</v>
      </c>
    </row>
    <row r="4693">
      <c r="A4693" s="13">
        <v>45901.0</v>
      </c>
      <c r="B4693" s="14" t="s">
        <v>47</v>
      </c>
      <c r="C4693" s="14" t="s">
        <v>48</v>
      </c>
      <c r="D4693" s="14" t="s">
        <v>108</v>
      </c>
      <c r="E4693" s="14" t="s">
        <v>109</v>
      </c>
      <c r="F4693" s="15" t="s">
        <v>51</v>
      </c>
      <c r="G4693" s="14" t="s">
        <v>110</v>
      </c>
      <c r="H4693" s="14" t="s">
        <v>108</v>
      </c>
      <c r="I4693" s="14" t="s">
        <v>59</v>
      </c>
      <c r="J4693" s="14" t="s">
        <v>200</v>
      </c>
      <c r="K4693" s="14" t="s">
        <v>227</v>
      </c>
      <c r="L4693" s="14" t="s">
        <v>253</v>
      </c>
      <c r="M4693" s="14" t="s">
        <v>396</v>
      </c>
      <c r="N4693" s="14" t="s">
        <v>397</v>
      </c>
      <c r="O4693" s="14">
        <v>100.0</v>
      </c>
      <c r="P4693" s="23">
        <v>1.0</v>
      </c>
      <c r="Q4693" s="22" t="str">
        <f t="shared" si="2806"/>
        <v>+0.00%</v>
      </c>
      <c r="R4693" s="18" t="str">
        <f>"+100.00%"</f>
        <v>+100.00%</v>
      </c>
      <c r="S4693" s="14" t="s">
        <v>398</v>
      </c>
    </row>
    <row r="4694">
      <c r="A4694" s="13">
        <v>45901.0</v>
      </c>
      <c r="B4694" s="14" t="s">
        <v>47</v>
      </c>
      <c r="C4694" s="14" t="s">
        <v>48</v>
      </c>
      <c r="D4694" s="14" t="s">
        <v>108</v>
      </c>
      <c r="E4694" s="14" t="s">
        <v>109</v>
      </c>
      <c r="F4694" s="14" t="s">
        <v>146</v>
      </c>
      <c r="G4694" s="14" t="s">
        <v>180</v>
      </c>
      <c r="H4694" s="14" t="s">
        <v>108</v>
      </c>
      <c r="I4694" s="14" t="s">
        <v>59</v>
      </c>
      <c r="J4694" s="14" t="s">
        <v>200</v>
      </c>
      <c r="K4694" s="14" t="s">
        <v>226</v>
      </c>
      <c r="L4694" s="14" t="s">
        <v>672</v>
      </c>
      <c r="M4694" s="14" t="s">
        <v>673</v>
      </c>
      <c r="N4694" s="14" t="s">
        <v>674</v>
      </c>
      <c r="O4694" s="14">
        <v>100.0</v>
      </c>
      <c r="P4694" s="23">
        <v>1.0</v>
      </c>
      <c r="Q4694" s="22" t="str">
        <f>"+50.00%"</f>
        <v>+50.00%</v>
      </c>
      <c r="S4694" s="14" t="s">
        <v>1949</v>
      </c>
    </row>
    <row r="4695">
      <c r="A4695" s="13">
        <v>45901.0</v>
      </c>
      <c r="B4695" s="14" t="s">
        <v>47</v>
      </c>
      <c r="C4695" s="14" t="s">
        <v>48</v>
      </c>
      <c r="D4695" s="14" t="s">
        <v>116</v>
      </c>
      <c r="E4695" s="14" t="s">
        <v>117</v>
      </c>
      <c r="F4695" s="14" t="s">
        <v>111</v>
      </c>
      <c r="G4695" s="14">
        <v>5298600.0</v>
      </c>
      <c r="H4695" s="14" t="s">
        <v>116</v>
      </c>
      <c r="I4695" s="14" t="s">
        <v>59</v>
      </c>
      <c r="J4695" s="14" t="s">
        <v>199</v>
      </c>
      <c r="K4695" s="14" t="s">
        <v>203</v>
      </c>
      <c r="L4695" s="14" t="s">
        <v>342</v>
      </c>
      <c r="M4695" s="14" t="s">
        <v>342</v>
      </c>
      <c r="N4695" s="14" t="s">
        <v>343</v>
      </c>
      <c r="O4695" s="14">
        <v>0.0</v>
      </c>
      <c r="P4695" s="21">
        <v>0.0</v>
      </c>
      <c r="Q4695" s="22" t="str">
        <f t="shared" ref="Q4695:R4695" si="2807">"+0"</f>
        <v>+0</v>
      </c>
      <c r="R4695" s="18" t="str">
        <f t="shared" si="2807"/>
        <v>+0</v>
      </c>
      <c r="S4695" s="14" t="s">
        <v>260</v>
      </c>
    </row>
    <row r="4696">
      <c r="A4696" s="13">
        <v>45901.0</v>
      </c>
      <c r="B4696" s="14" t="s">
        <v>47</v>
      </c>
      <c r="C4696" s="14" t="s">
        <v>48</v>
      </c>
      <c r="D4696" s="14" t="s">
        <v>158</v>
      </c>
      <c r="E4696" s="14" t="s">
        <v>159</v>
      </c>
      <c r="F4696" s="15" t="s">
        <v>51</v>
      </c>
      <c r="G4696" s="14" t="s">
        <v>160</v>
      </c>
      <c r="H4696" s="14" t="s">
        <v>158</v>
      </c>
      <c r="I4696" s="14" t="s">
        <v>54</v>
      </c>
      <c r="J4696" s="14" t="s">
        <v>200</v>
      </c>
      <c r="K4696" s="14" t="s">
        <v>224</v>
      </c>
      <c r="L4696" s="14" t="s">
        <v>253</v>
      </c>
      <c r="M4696" s="14" t="s">
        <v>952</v>
      </c>
      <c r="N4696" s="14" t="s">
        <v>953</v>
      </c>
      <c r="O4696" s="14">
        <v>50.0</v>
      </c>
      <c r="P4696" s="23">
        <v>0.5</v>
      </c>
      <c r="Q4696" s="22" t="str">
        <f t="shared" ref="Q4696:R4696" si="2808">"+0.00%"</f>
        <v>+0.00%</v>
      </c>
      <c r="R4696" s="18" t="str">
        <f t="shared" si="2808"/>
        <v>+0.00%</v>
      </c>
      <c r="S4696" s="14" t="s">
        <v>2329</v>
      </c>
    </row>
    <row r="4697">
      <c r="A4697" s="13">
        <v>45901.0</v>
      </c>
      <c r="B4697" s="14" t="s">
        <v>47</v>
      </c>
      <c r="C4697" s="14" t="s">
        <v>48</v>
      </c>
      <c r="D4697" s="14" t="s">
        <v>155</v>
      </c>
      <c r="E4697" s="14" t="s">
        <v>156</v>
      </c>
      <c r="F4697" s="15" t="s">
        <v>51</v>
      </c>
      <c r="G4697" s="14" t="s">
        <v>157</v>
      </c>
      <c r="H4697" s="14" t="s">
        <v>155</v>
      </c>
      <c r="I4697" s="14" t="s">
        <v>59</v>
      </c>
      <c r="J4697" s="14" t="s">
        <v>198</v>
      </c>
      <c r="K4697" s="14" t="s">
        <v>205</v>
      </c>
      <c r="L4697" s="14" t="s">
        <v>274</v>
      </c>
      <c r="M4697" s="14" t="s">
        <v>791</v>
      </c>
      <c r="N4697" s="14" t="s">
        <v>792</v>
      </c>
      <c r="O4697" s="14">
        <v>50.0</v>
      </c>
      <c r="P4697" s="21">
        <v>1.0</v>
      </c>
      <c r="Q4697" s="22" t="str">
        <f>"+0"</f>
        <v>+0</v>
      </c>
      <c r="S4697" s="14" t="s">
        <v>260</v>
      </c>
    </row>
    <row r="4698">
      <c r="A4698" s="13">
        <v>45901.0</v>
      </c>
      <c r="B4698" s="14" t="s">
        <v>47</v>
      </c>
      <c r="C4698" s="14" t="s">
        <v>48</v>
      </c>
      <c r="D4698" s="14" t="s">
        <v>121</v>
      </c>
      <c r="E4698" s="14" t="s">
        <v>122</v>
      </c>
      <c r="F4698" s="15" t="s">
        <v>51</v>
      </c>
      <c r="G4698" s="14" t="s">
        <v>123</v>
      </c>
      <c r="H4698" s="14" t="s">
        <v>124</v>
      </c>
      <c r="I4698" s="14" t="s">
        <v>59</v>
      </c>
      <c r="J4698" s="14" t="s">
        <v>200</v>
      </c>
      <c r="K4698" s="14" t="s">
        <v>232</v>
      </c>
      <c r="L4698" s="14" t="s">
        <v>304</v>
      </c>
      <c r="M4698" s="14" t="s">
        <v>877</v>
      </c>
      <c r="N4698" s="14" t="s">
        <v>878</v>
      </c>
      <c r="O4698" s="14">
        <v>0.0</v>
      </c>
      <c r="P4698" s="23">
        <v>0.0</v>
      </c>
      <c r="Q4698" s="22" t="str">
        <f t="shared" ref="Q4698:R4698" si="2809">"+0.00%"</f>
        <v>+0.00%</v>
      </c>
      <c r="R4698" s="18" t="str">
        <f t="shared" si="2809"/>
        <v>+0.00%</v>
      </c>
      <c r="S4698" s="14" t="s">
        <v>2330</v>
      </c>
    </row>
    <row r="4699">
      <c r="A4699" s="13">
        <v>45901.0</v>
      </c>
      <c r="B4699" s="14" t="s">
        <v>47</v>
      </c>
      <c r="C4699" s="14" t="s">
        <v>48</v>
      </c>
      <c r="D4699" s="14" t="s">
        <v>60</v>
      </c>
      <c r="E4699" s="14" t="s">
        <v>61</v>
      </c>
      <c r="F4699" s="15" t="s">
        <v>51</v>
      </c>
      <c r="G4699" s="14" t="s">
        <v>62</v>
      </c>
      <c r="H4699" s="14" t="s">
        <v>60</v>
      </c>
      <c r="I4699" s="14" t="s">
        <v>59</v>
      </c>
      <c r="J4699" s="14" t="s">
        <v>198</v>
      </c>
      <c r="K4699" s="14" t="s">
        <v>205</v>
      </c>
      <c r="L4699" s="14" t="s">
        <v>274</v>
      </c>
      <c r="M4699" s="14" t="s">
        <v>466</v>
      </c>
      <c r="N4699" s="14" t="s">
        <v>467</v>
      </c>
      <c r="O4699" s="14">
        <v>100.0</v>
      </c>
      <c r="P4699" s="21">
        <v>1.0</v>
      </c>
      <c r="Q4699" s="22" t="str">
        <f>"+0"</f>
        <v>+0</v>
      </c>
      <c r="S4699" s="14" t="s">
        <v>281</v>
      </c>
    </row>
    <row r="4700">
      <c r="A4700" s="13">
        <v>45901.0</v>
      </c>
      <c r="B4700" s="14" t="s">
        <v>47</v>
      </c>
      <c r="C4700" s="14" t="s">
        <v>48</v>
      </c>
      <c r="D4700" s="14" t="s">
        <v>181</v>
      </c>
      <c r="E4700" s="14" t="s">
        <v>182</v>
      </c>
      <c r="F4700" s="15" t="s">
        <v>51</v>
      </c>
      <c r="G4700" s="14" t="s">
        <v>183</v>
      </c>
      <c r="H4700" s="14" t="s">
        <v>181</v>
      </c>
      <c r="I4700" s="14" t="s">
        <v>59</v>
      </c>
      <c r="J4700" s="14" t="s">
        <v>200</v>
      </c>
      <c r="K4700" s="14" t="s">
        <v>209</v>
      </c>
      <c r="L4700" s="14" t="s">
        <v>253</v>
      </c>
      <c r="M4700" s="14" t="s">
        <v>817</v>
      </c>
      <c r="N4700" s="14" t="s">
        <v>818</v>
      </c>
      <c r="O4700" s="14">
        <v>1.0</v>
      </c>
      <c r="P4700" s="23">
        <v>0.0094</v>
      </c>
      <c r="Q4700" s="22" t="str">
        <f>"+0.02%"</f>
        <v>+0.02%</v>
      </c>
      <c r="R4700" s="18" t="str">
        <f>"+0.04%"</f>
        <v>+0.04%</v>
      </c>
      <c r="S4700" s="14" t="s">
        <v>2331</v>
      </c>
    </row>
    <row r="4701">
      <c r="A4701" s="13">
        <v>45901.0</v>
      </c>
      <c r="B4701" s="14" t="s">
        <v>47</v>
      </c>
      <c r="C4701" s="14" t="s">
        <v>48</v>
      </c>
      <c r="D4701" s="14" t="s">
        <v>49</v>
      </c>
      <c r="E4701" s="14" t="s">
        <v>50</v>
      </c>
      <c r="F4701" s="15" t="s">
        <v>51</v>
      </c>
      <c r="G4701" s="14" t="s">
        <v>52</v>
      </c>
      <c r="H4701" s="14" t="s">
        <v>53</v>
      </c>
      <c r="I4701" s="14" t="s">
        <v>54</v>
      </c>
      <c r="J4701" s="14" t="s">
        <v>198</v>
      </c>
      <c r="K4701" s="14" t="s">
        <v>210</v>
      </c>
      <c r="L4701" s="14" t="s">
        <v>264</v>
      </c>
      <c r="M4701" s="14" t="s">
        <v>527</v>
      </c>
      <c r="N4701" s="14" t="s">
        <v>528</v>
      </c>
      <c r="O4701" s="14">
        <v>0.0</v>
      </c>
      <c r="P4701" s="21">
        <v>0.0</v>
      </c>
      <c r="Q4701" s="22" t="str">
        <f t="shared" ref="Q4701:R4701" si="2810">"+0"</f>
        <v>+0</v>
      </c>
      <c r="R4701" s="18" t="str">
        <f t="shared" si="2810"/>
        <v>+0</v>
      </c>
      <c r="S4701" s="14" t="s">
        <v>277</v>
      </c>
    </row>
    <row r="4702">
      <c r="A4702" s="13">
        <v>45901.0</v>
      </c>
      <c r="B4702" s="14" t="s">
        <v>47</v>
      </c>
      <c r="C4702" s="14" t="s">
        <v>48</v>
      </c>
      <c r="D4702" s="14" t="s">
        <v>165</v>
      </c>
      <c r="E4702" s="14" t="s">
        <v>166</v>
      </c>
      <c r="F4702" s="15" t="s">
        <v>51</v>
      </c>
      <c r="G4702" s="14" t="s">
        <v>167</v>
      </c>
      <c r="H4702" s="14" t="s">
        <v>165</v>
      </c>
      <c r="I4702" s="14" t="s">
        <v>54</v>
      </c>
      <c r="J4702" s="14" t="s">
        <v>200</v>
      </c>
      <c r="K4702" s="14" t="s">
        <v>224</v>
      </c>
      <c r="L4702" s="14" t="s">
        <v>427</v>
      </c>
      <c r="M4702" s="14" t="s">
        <v>617</v>
      </c>
      <c r="N4702" s="14" t="s">
        <v>618</v>
      </c>
      <c r="O4702" s="14">
        <v>0.0</v>
      </c>
      <c r="P4702" s="23">
        <v>0.0</v>
      </c>
      <c r="Q4702" s="22" t="str">
        <f t="shared" ref="Q4702:R4702" si="2811">"+0.00%"</f>
        <v>+0.00%</v>
      </c>
      <c r="R4702" s="18" t="str">
        <f t="shared" si="2811"/>
        <v>+0.00%</v>
      </c>
      <c r="S4702" s="14" t="s">
        <v>619</v>
      </c>
    </row>
    <row r="4703">
      <c r="A4703" s="13">
        <v>45901.0</v>
      </c>
      <c r="B4703" s="14" t="s">
        <v>47</v>
      </c>
      <c r="C4703" s="14" t="s">
        <v>48</v>
      </c>
      <c r="D4703" s="14" t="s">
        <v>165</v>
      </c>
      <c r="E4703" s="14" t="s">
        <v>166</v>
      </c>
      <c r="F4703" s="15" t="s">
        <v>51</v>
      </c>
      <c r="G4703" s="14" t="s">
        <v>167</v>
      </c>
      <c r="H4703" s="14" t="s">
        <v>165</v>
      </c>
      <c r="I4703" s="14" t="s">
        <v>54</v>
      </c>
      <c r="J4703" s="14" t="s">
        <v>200</v>
      </c>
      <c r="K4703" s="14" t="s">
        <v>236</v>
      </c>
      <c r="L4703" s="14" t="s">
        <v>253</v>
      </c>
      <c r="M4703" s="14" t="s">
        <v>479</v>
      </c>
      <c r="N4703" s="14" t="s">
        <v>480</v>
      </c>
      <c r="O4703" s="14">
        <v>0.0</v>
      </c>
      <c r="P4703" s="23">
        <v>0.0</v>
      </c>
      <c r="Q4703" s="22" t="str">
        <f t="shared" ref="Q4703:R4703" si="2812">"+0.00%"</f>
        <v>+0.00%</v>
      </c>
      <c r="R4703" s="18" t="str">
        <f t="shared" si="2812"/>
        <v>+0.00%</v>
      </c>
      <c r="S4703" s="14" t="s">
        <v>2332</v>
      </c>
    </row>
    <row r="4704">
      <c r="A4704" s="13">
        <v>45901.0</v>
      </c>
      <c r="B4704" s="14" t="s">
        <v>47</v>
      </c>
      <c r="C4704" s="14" t="s">
        <v>48</v>
      </c>
      <c r="D4704" s="14" t="s">
        <v>118</v>
      </c>
      <c r="E4704" s="14" t="s">
        <v>119</v>
      </c>
      <c r="F4704" s="15" t="s">
        <v>51</v>
      </c>
      <c r="G4704" s="14" t="s">
        <v>120</v>
      </c>
      <c r="H4704" s="14" t="s">
        <v>118</v>
      </c>
      <c r="I4704" s="14" t="s">
        <v>59</v>
      </c>
      <c r="J4704" s="14" t="s">
        <v>200</v>
      </c>
      <c r="K4704" s="14" t="s">
        <v>227</v>
      </c>
      <c r="L4704" s="14" t="s">
        <v>253</v>
      </c>
      <c r="M4704" s="14" t="s">
        <v>254</v>
      </c>
      <c r="N4704" s="14" t="s">
        <v>255</v>
      </c>
      <c r="O4704" s="14">
        <v>0.0</v>
      </c>
      <c r="P4704" s="23">
        <v>0.0</v>
      </c>
      <c r="Q4704" s="22" t="str">
        <f>"+0.00%"</f>
        <v>+0.00%</v>
      </c>
      <c r="R4704" s="18" t="str">
        <f>"-0.87%"</f>
        <v>-0.87%</v>
      </c>
      <c r="S4704" s="14" t="s">
        <v>399</v>
      </c>
    </row>
    <row r="4705">
      <c r="A4705" s="13">
        <v>45901.0</v>
      </c>
      <c r="B4705" s="14" t="s">
        <v>47</v>
      </c>
      <c r="C4705" s="14" t="s">
        <v>48</v>
      </c>
      <c r="D4705" s="14" t="s">
        <v>99</v>
      </c>
      <c r="E4705" s="14" t="s">
        <v>100</v>
      </c>
      <c r="F4705" s="15" t="s">
        <v>51</v>
      </c>
      <c r="G4705" s="14" t="s">
        <v>101</v>
      </c>
      <c r="H4705" s="14" t="s">
        <v>102</v>
      </c>
      <c r="I4705" s="14" t="s">
        <v>54</v>
      </c>
      <c r="J4705" s="14" t="s">
        <v>198</v>
      </c>
      <c r="K4705" s="14" t="s">
        <v>210</v>
      </c>
      <c r="L4705" s="14" t="s">
        <v>264</v>
      </c>
      <c r="M4705" s="14" t="s">
        <v>456</v>
      </c>
      <c r="N4705" s="14" t="s">
        <v>457</v>
      </c>
      <c r="O4705" s="14">
        <v>0.0</v>
      </c>
      <c r="P4705" s="21">
        <v>0.0</v>
      </c>
      <c r="Q4705" s="22" t="str">
        <f t="shared" ref="Q4705:R4705" si="2813">"+0"</f>
        <v>+0</v>
      </c>
      <c r="R4705" s="18" t="str">
        <f t="shared" si="2813"/>
        <v>+0</v>
      </c>
      <c r="S4705" s="14" t="s">
        <v>277</v>
      </c>
    </row>
    <row r="4706">
      <c r="A4706" s="13">
        <v>45901.0</v>
      </c>
      <c r="B4706" s="14" t="s">
        <v>47</v>
      </c>
      <c r="C4706" s="14" t="s">
        <v>48</v>
      </c>
      <c r="D4706" s="14" t="s">
        <v>118</v>
      </c>
      <c r="E4706" s="14" t="s">
        <v>119</v>
      </c>
      <c r="F4706" s="15" t="s">
        <v>51</v>
      </c>
      <c r="G4706" s="14" t="s">
        <v>120</v>
      </c>
      <c r="H4706" s="14" t="s">
        <v>118</v>
      </c>
      <c r="I4706" s="14" t="s">
        <v>59</v>
      </c>
      <c r="J4706" s="14" t="s">
        <v>198</v>
      </c>
      <c r="K4706" s="14" t="s">
        <v>210</v>
      </c>
      <c r="L4706" s="14" t="s">
        <v>458</v>
      </c>
      <c r="M4706" s="14" t="s">
        <v>459</v>
      </c>
      <c r="N4706" s="14" t="s">
        <v>460</v>
      </c>
      <c r="O4706" s="14">
        <v>100.0</v>
      </c>
      <c r="P4706" s="21">
        <v>0.0</v>
      </c>
      <c r="Q4706" s="22" t="str">
        <f t="shared" ref="Q4706:R4706" si="2814">"+0"</f>
        <v>+0</v>
      </c>
      <c r="R4706" s="18" t="str">
        <f t="shared" si="2814"/>
        <v>+0</v>
      </c>
      <c r="S4706" s="14" t="s">
        <v>281</v>
      </c>
    </row>
    <row r="4707">
      <c r="A4707" s="13">
        <v>45901.0</v>
      </c>
      <c r="B4707" s="14" t="s">
        <v>47</v>
      </c>
      <c r="C4707" s="14" t="s">
        <v>48</v>
      </c>
      <c r="D4707" s="14" t="s">
        <v>118</v>
      </c>
      <c r="E4707" s="14" t="s">
        <v>119</v>
      </c>
      <c r="F4707" s="15" t="s">
        <v>51</v>
      </c>
      <c r="G4707" s="14" t="s">
        <v>120</v>
      </c>
      <c r="H4707" s="14" t="s">
        <v>118</v>
      </c>
      <c r="I4707" s="14" t="s">
        <v>59</v>
      </c>
      <c r="J4707" s="14" t="s">
        <v>200</v>
      </c>
      <c r="K4707" s="14" t="s">
        <v>213</v>
      </c>
      <c r="L4707" s="14" t="s">
        <v>307</v>
      </c>
      <c r="M4707" s="14" t="s">
        <v>308</v>
      </c>
      <c r="N4707" s="14" t="s">
        <v>309</v>
      </c>
      <c r="O4707" s="14">
        <v>0.0</v>
      </c>
      <c r="P4707" s="23">
        <v>0.0</v>
      </c>
      <c r="Q4707" s="22" t="str">
        <f t="shared" ref="Q4707:R4707" si="2815">"+0.00%"</f>
        <v>+0.00%</v>
      </c>
      <c r="R4707" s="18" t="str">
        <f t="shared" si="2815"/>
        <v>+0.00%</v>
      </c>
      <c r="S4707" s="14" t="s">
        <v>285</v>
      </c>
    </row>
    <row r="4708">
      <c r="A4708" s="13">
        <v>45901.0</v>
      </c>
      <c r="B4708" s="14" t="s">
        <v>47</v>
      </c>
      <c r="C4708" s="14" t="s">
        <v>48</v>
      </c>
      <c r="D4708" s="14" t="s">
        <v>63</v>
      </c>
      <c r="E4708" s="14" t="s">
        <v>64</v>
      </c>
      <c r="F4708" s="15" t="s">
        <v>51</v>
      </c>
      <c r="G4708" s="14" t="s">
        <v>65</v>
      </c>
      <c r="H4708" s="14" t="s">
        <v>63</v>
      </c>
      <c r="I4708" s="14" t="s">
        <v>54</v>
      </c>
      <c r="J4708" s="14" t="s">
        <v>198</v>
      </c>
      <c r="K4708" s="14" t="s">
        <v>210</v>
      </c>
      <c r="L4708" s="14" t="s">
        <v>458</v>
      </c>
      <c r="M4708" s="14" t="s">
        <v>1439</v>
      </c>
      <c r="N4708" s="14" t="s">
        <v>1440</v>
      </c>
      <c r="O4708" s="14">
        <v>0.0</v>
      </c>
      <c r="P4708" s="21">
        <v>0.0</v>
      </c>
      <c r="Q4708" s="22" t="str">
        <f t="shared" ref="Q4708:R4708" si="2816">"+0"</f>
        <v>+0</v>
      </c>
      <c r="R4708" s="18" t="str">
        <f t="shared" si="2816"/>
        <v>+0</v>
      </c>
      <c r="S4708" s="14" t="s">
        <v>277</v>
      </c>
    </row>
    <row r="4709">
      <c r="A4709" s="13">
        <v>45901.0</v>
      </c>
      <c r="B4709" s="14" t="s">
        <v>47</v>
      </c>
      <c r="C4709" s="14" t="s">
        <v>48</v>
      </c>
      <c r="D4709" s="14" t="s">
        <v>99</v>
      </c>
      <c r="E4709" s="14" t="s">
        <v>100</v>
      </c>
      <c r="F4709" s="15" t="s">
        <v>51</v>
      </c>
      <c r="G4709" s="14" t="s">
        <v>101</v>
      </c>
      <c r="H4709" s="14" t="s">
        <v>102</v>
      </c>
      <c r="I4709" s="14" t="s">
        <v>54</v>
      </c>
      <c r="J4709" s="14" t="s">
        <v>200</v>
      </c>
      <c r="K4709" s="14" t="s">
        <v>213</v>
      </c>
      <c r="L4709" s="14" t="s">
        <v>289</v>
      </c>
      <c r="M4709" s="14" t="s">
        <v>331</v>
      </c>
      <c r="N4709" s="14" t="s">
        <v>332</v>
      </c>
      <c r="O4709" s="14">
        <v>0.0</v>
      </c>
      <c r="P4709" s="23">
        <v>0.0</v>
      </c>
      <c r="Q4709" s="22" t="str">
        <f t="shared" ref="Q4709:R4709" si="2817">"+0.00%"</f>
        <v>+0.00%</v>
      </c>
      <c r="R4709" s="18" t="str">
        <f t="shared" si="2817"/>
        <v>+0.00%</v>
      </c>
      <c r="S4709" s="14" t="s">
        <v>285</v>
      </c>
    </row>
    <row r="4710">
      <c r="A4710" s="13">
        <v>45901.0</v>
      </c>
      <c r="B4710" s="14" t="s">
        <v>47</v>
      </c>
      <c r="C4710" s="14" t="s">
        <v>48</v>
      </c>
      <c r="D4710" s="14" t="s">
        <v>63</v>
      </c>
      <c r="E4710" s="14" t="s">
        <v>64</v>
      </c>
      <c r="F4710" s="15" t="s">
        <v>51</v>
      </c>
      <c r="G4710" s="14" t="s">
        <v>65</v>
      </c>
      <c r="H4710" s="14" t="s">
        <v>63</v>
      </c>
      <c r="I4710" s="14" t="s">
        <v>54</v>
      </c>
      <c r="J4710" s="14" t="s">
        <v>200</v>
      </c>
      <c r="K4710" s="14" t="s">
        <v>236</v>
      </c>
      <c r="L4710" s="14" t="s">
        <v>253</v>
      </c>
      <c r="M4710" s="14" t="s">
        <v>2333</v>
      </c>
      <c r="N4710" s="14" t="s">
        <v>2334</v>
      </c>
      <c r="O4710" s="14">
        <v>22.0</v>
      </c>
      <c r="P4710" s="23">
        <v>0.2297</v>
      </c>
      <c r="Q4710" s="22" t="str">
        <f>"+3.24%"</f>
        <v>+3.24%</v>
      </c>
      <c r="R4710" s="18" t="str">
        <f>"+8.92%"</f>
        <v>+8.92%</v>
      </c>
      <c r="S4710" s="14" t="s">
        <v>481</v>
      </c>
    </row>
    <row r="4711">
      <c r="A4711" s="13">
        <v>45901.0</v>
      </c>
      <c r="B4711" s="14" t="s">
        <v>47</v>
      </c>
      <c r="C4711" s="14" t="s">
        <v>48</v>
      </c>
      <c r="D4711" s="14" t="s">
        <v>112</v>
      </c>
      <c r="E4711" s="14" t="s">
        <v>113</v>
      </c>
      <c r="F4711" s="15" t="s">
        <v>51</v>
      </c>
      <c r="G4711" s="14" t="s">
        <v>114</v>
      </c>
      <c r="H4711" s="14" t="s">
        <v>112</v>
      </c>
      <c r="I4711" s="14" t="s">
        <v>59</v>
      </c>
      <c r="J4711" s="14" t="s">
        <v>200</v>
      </c>
      <c r="K4711" s="14" t="s">
        <v>204</v>
      </c>
      <c r="L4711" s="14" t="s">
        <v>253</v>
      </c>
      <c r="M4711" s="14" t="s">
        <v>793</v>
      </c>
      <c r="N4711" s="14" t="s">
        <v>794</v>
      </c>
      <c r="O4711" s="14">
        <v>1.0</v>
      </c>
      <c r="P4711" s="23">
        <v>0.0026</v>
      </c>
      <c r="Q4711" s="22"/>
      <c r="S4711" s="14" t="s">
        <v>2335</v>
      </c>
    </row>
    <row r="4712">
      <c r="A4712" s="13">
        <v>45901.0</v>
      </c>
      <c r="B4712" s="14" t="s">
        <v>47</v>
      </c>
      <c r="C4712" s="14" t="s">
        <v>48</v>
      </c>
      <c r="D4712" s="14" t="s">
        <v>82</v>
      </c>
      <c r="E4712" s="14" t="s">
        <v>83</v>
      </c>
      <c r="F4712" s="15" t="s">
        <v>51</v>
      </c>
      <c r="G4712" s="14" t="s">
        <v>84</v>
      </c>
      <c r="H4712" s="14" t="s">
        <v>82</v>
      </c>
      <c r="I4712" s="14" t="s">
        <v>59</v>
      </c>
      <c r="J4712" s="14" t="s">
        <v>200</v>
      </c>
      <c r="K4712" s="14" t="s">
        <v>213</v>
      </c>
      <c r="L4712" s="14" t="s">
        <v>257</v>
      </c>
      <c r="M4712" s="14" t="s">
        <v>517</v>
      </c>
      <c r="N4712" s="14" t="s">
        <v>518</v>
      </c>
      <c r="O4712" s="14">
        <v>100.0</v>
      </c>
      <c r="P4712" s="21">
        <v>17.0</v>
      </c>
      <c r="Q4712" s="22" t="str">
        <f t="shared" ref="Q4712:R4712" si="2818">"+0"</f>
        <v>+0</v>
      </c>
      <c r="R4712" s="18" t="str">
        <f t="shared" si="2818"/>
        <v>+0</v>
      </c>
      <c r="S4712" s="14" t="s">
        <v>260</v>
      </c>
    </row>
    <row r="4713">
      <c r="A4713" s="13">
        <v>45901.0</v>
      </c>
      <c r="B4713" s="14" t="s">
        <v>47</v>
      </c>
      <c r="C4713" s="14" t="s">
        <v>48</v>
      </c>
      <c r="D4713" s="14" t="s">
        <v>192</v>
      </c>
      <c r="E4713" s="14" t="s">
        <v>193</v>
      </c>
      <c r="F4713" s="15" t="s">
        <v>51</v>
      </c>
      <c r="G4713" s="14" t="s">
        <v>194</v>
      </c>
      <c r="H4713" s="14" t="s">
        <v>192</v>
      </c>
      <c r="I4713" s="14" t="s">
        <v>54</v>
      </c>
      <c r="J4713" s="14" t="s">
        <v>198</v>
      </c>
      <c r="K4713" s="14" t="s">
        <v>210</v>
      </c>
      <c r="L4713" s="14" t="s">
        <v>505</v>
      </c>
      <c r="M4713" s="14" t="s">
        <v>1020</v>
      </c>
      <c r="N4713" s="14" t="s">
        <v>1021</v>
      </c>
      <c r="O4713" s="14">
        <v>0.0</v>
      </c>
      <c r="P4713" s="21">
        <v>0.0</v>
      </c>
      <c r="Q4713" s="22" t="str">
        <f t="shared" ref="Q4713:R4713" si="2819">"+0"</f>
        <v>+0</v>
      </c>
      <c r="R4713" s="18" t="str">
        <f t="shared" si="2819"/>
        <v>+0</v>
      </c>
      <c r="S4713" s="14" t="s">
        <v>277</v>
      </c>
    </row>
    <row r="4714">
      <c r="A4714" s="13">
        <v>45901.0</v>
      </c>
      <c r="B4714" s="14" t="s">
        <v>47</v>
      </c>
      <c r="C4714" s="14" t="s">
        <v>48</v>
      </c>
      <c r="D4714" s="14" t="s">
        <v>66</v>
      </c>
      <c r="E4714" s="14" t="s">
        <v>67</v>
      </c>
      <c r="F4714" s="15" t="s">
        <v>51</v>
      </c>
      <c r="G4714" s="14" t="s">
        <v>68</v>
      </c>
      <c r="H4714" s="14" t="s">
        <v>66</v>
      </c>
      <c r="I4714" s="14" t="s">
        <v>59</v>
      </c>
      <c r="J4714" s="14" t="s">
        <v>198</v>
      </c>
      <c r="K4714" s="14" t="s">
        <v>205</v>
      </c>
      <c r="L4714" s="14" t="s">
        <v>274</v>
      </c>
      <c r="M4714" s="14" t="s">
        <v>636</v>
      </c>
      <c r="N4714" s="14" t="s">
        <v>637</v>
      </c>
      <c r="O4714" s="14">
        <v>0.0</v>
      </c>
      <c r="P4714" s="21">
        <v>0.0</v>
      </c>
      <c r="Q4714" s="22" t="str">
        <f>"+0"</f>
        <v>+0</v>
      </c>
      <c r="S4714" s="14" t="s">
        <v>281</v>
      </c>
    </row>
    <row r="4715">
      <c r="A4715" s="13">
        <v>45901.0</v>
      </c>
      <c r="B4715" s="14" t="s">
        <v>47</v>
      </c>
      <c r="C4715" s="14" t="s">
        <v>48</v>
      </c>
      <c r="D4715" s="14" t="s">
        <v>66</v>
      </c>
      <c r="E4715" s="14" t="s">
        <v>67</v>
      </c>
      <c r="F4715" s="15" t="s">
        <v>51</v>
      </c>
      <c r="G4715" s="14" t="s">
        <v>68</v>
      </c>
      <c r="H4715" s="14" t="s">
        <v>66</v>
      </c>
      <c r="I4715" s="14" t="s">
        <v>59</v>
      </c>
      <c r="J4715" s="14" t="s">
        <v>200</v>
      </c>
      <c r="K4715" s="14" t="s">
        <v>223</v>
      </c>
      <c r="L4715" s="14" t="s">
        <v>571</v>
      </c>
      <c r="M4715" s="14" t="s">
        <v>578</v>
      </c>
      <c r="N4715" s="14" t="s">
        <v>579</v>
      </c>
      <c r="O4715" s="14">
        <v>0.0</v>
      </c>
      <c r="P4715" s="23">
        <v>0.0</v>
      </c>
      <c r="Q4715" s="22" t="str">
        <f t="shared" ref="Q4715:R4715" si="2820">"+0.00%"</f>
        <v>+0.00%</v>
      </c>
      <c r="R4715" s="18" t="str">
        <f t="shared" si="2820"/>
        <v>+0.00%</v>
      </c>
      <c r="S4715" s="14" t="s">
        <v>285</v>
      </c>
    </row>
    <row r="4716">
      <c r="A4716" s="13">
        <v>45901.0</v>
      </c>
      <c r="B4716" s="14" t="s">
        <v>47</v>
      </c>
      <c r="C4716" s="14" t="s">
        <v>48</v>
      </c>
      <c r="D4716" s="14" t="s">
        <v>66</v>
      </c>
      <c r="E4716" s="14" t="s">
        <v>67</v>
      </c>
      <c r="F4716" s="15" t="s">
        <v>51</v>
      </c>
      <c r="G4716" s="14" t="s">
        <v>68</v>
      </c>
      <c r="H4716" s="14" t="s">
        <v>66</v>
      </c>
      <c r="I4716" s="14" t="s">
        <v>59</v>
      </c>
      <c r="J4716" s="14" t="s">
        <v>200</v>
      </c>
      <c r="K4716" s="14" t="s">
        <v>223</v>
      </c>
      <c r="L4716" s="14" t="s">
        <v>710</v>
      </c>
      <c r="M4716" s="14" t="s">
        <v>806</v>
      </c>
      <c r="N4716" s="14" t="s">
        <v>807</v>
      </c>
      <c r="O4716" s="14">
        <v>0.0</v>
      </c>
      <c r="P4716" s="23">
        <v>0.0</v>
      </c>
      <c r="Q4716" s="22" t="str">
        <f t="shared" ref="Q4716:R4716" si="2821">"+0.00%"</f>
        <v>+0.00%</v>
      </c>
      <c r="R4716" s="18" t="str">
        <f t="shared" si="2821"/>
        <v>+0.00%</v>
      </c>
      <c r="S4716" s="14" t="s">
        <v>285</v>
      </c>
    </row>
    <row r="4717">
      <c r="A4717" s="13">
        <v>45901.0</v>
      </c>
      <c r="B4717" s="14" t="s">
        <v>47</v>
      </c>
      <c r="C4717" s="14" t="s">
        <v>48</v>
      </c>
      <c r="D4717" s="14" t="s">
        <v>192</v>
      </c>
      <c r="E4717" s="14" t="s">
        <v>193</v>
      </c>
      <c r="F4717" s="15" t="s">
        <v>51</v>
      </c>
      <c r="G4717" s="14" t="s">
        <v>194</v>
      </c>
      <c r="H4717" s="14" t="s">
        <v>192</v>
      </c>
      <c r="I4717" s="14" t="s">
        <v>54</v>
      </c>
      <c r="J4717" s="14" t="s">
        <v>198</v>
      </c>
      <c r="K4717" s="14" t="s">
        <v>210</v>
      </c>
      <c r="L4717" s="14" t="s">
        <v>264</v>
      </c>
      <c r="M4717" s="14" t="s">
        <v>1802</v>
      </c>
      <c r="N4717" s="14" t="s">
        <v>1803</v>
      </c>
      <c r="O4717" s="14">
        <v>0.0</v>
      </c>
      <c r="P4717" s="21">
        <v>0.0</v>
      </c>
      <c r="Q4717" s="22" t="str">
        <f t="shared" ref="Q4717:R4717" si="2822">"+0"</f>
        <v>+0</v>
      </c>
      <c r="R4717" s="18" t="str">
        <f t="shared" si="2822"/>
        <v>+0</v>
      </c>
      <c r="S4717" s="14" t="s">
        <v>277</v>
      </c>
    </row>
    <row r="4718">
      <c r="A4718" s="13">
        <v>45901.0</v>
      </c>
      <c r="B4718" s="14" t="s">
        <v>47</v>
      </c>
      <c r="C4718" s="14" t="s">
        <v>48</v>
      </c>
      <c r="D4718" s="14" t="s">
        <v>103</v>
      </c>
      <c r="E4718" s="14" t="s">
        <v>104</v>
      </c>
      <c r="F4718" s="15" t="s">
        <v>51</v>
      </c>
      <c r="G4718" s="14" t="s">
        <v>105</v>
      </c>
      <c r="H4718" s="14" t="s">
        <v>106</v>
      </c>
      <c r="I4718" s="14" t="s">
        <v>59</v>
      </c>
      <c r="J4718" s="14" t="s">
        <v>200</v>
      </c>
      <c r="K4718" s="14" t="s">
        <v>232</v>
      </c>
      <c r="L4718" s="14" t="s">
        <v>261</v>
      </c>
      <c r="M4718" s="14" t="s">
        <v>808</v>
      </c>
      <c r="N4718" s="14" t="s">
        <v>809</v>
      </c>
      <c r="O4718" s="14">
        <v>9.0</v>
      </c>
      <c r="P4718" s="23">
        <v>0.0909</v>
      </c>
      <c r="Q4718" s="22" t="str">
        <f>"-33.77%"</f>
        <v>-33.77%</v>
      </c>
      <c r="R4718" s="18" t="str">
        <f>"-3.41%"</f>
        <v>-3.41%</v>
      </c>
      <c r="S4718" s="14" t="s">
        <v>2336</v>
      </c>
    </row>
    <row r="4719">
      <c r="A4719" s="13">
        <v>45901.0</v>
      </c>
      <c r="B4719" s="14" t="s">
        <v>47</v>
      </c>
      <c r="C4719" s="14" t="s">
        <v>48</v>
      </c>
      <c r="D4719" s="14" t="s">
        <v>132</v>
      </c>
      <c r="E4719" s="14" t="s">
        <v>133</v>
      </c>
      <c r="F4719" s="15" t="s">
        <v>51</v>
      </c>
      <c r="G4719" s="14" t="s">
        <v>134</v>
      </c>
      <c r="H4719" s="14" t="s">
        <v>135</v>
      </c>
      <c r="I4719" s="14" t="s">
        <v>59</v>
      </c>
      <c r="J4719" s="14" t="s">
        <v>200</v>
      </c>
      <c r="K4719" s="14" t="s">
        <v>222</v>
      </c>
      <c r="L4719" s="14" t="s">
        <v>253</v>
      </c>
      <c r="M4719" s="14" t="s">
        <v>732</v>
      </c>
      <c r="N4719" s="14" t="s">
        <v>733</v>
      </c>
      <c r="O4719" s="14">
        <v>50.0</v>
      </c>
      <c r="P4719" s="21">
        <v>1.0</v>
      </c>
      <c r="Q4719" s="22" t="str">
        <f t="shared" ref="Q4719:R4719" si="2823">"+0"</f>
        <v>+0</v>
      </c>
      <c r="R4719" s="18" t="str">
        <f t="shared" si="2823"/>
        <v>+0</v>
      </c>
      <c r="S4719" s="14" t="s">
        <v>450</v>
      </c>
    </row>
    <row r="4720">
      <c r="A4720" s="13">
        <v>45901.0</v>
      </c>
      <c r="B4720" s="14" t="s">
        <v>47</v>
      </c>
      <c r="C4720" s="14" t="s">
        <v>48</v>
      </c>
      <c r="D4720" s="14" t="s">
        <v>143</v>
      </c>
      <c r="E4720" s="14" t="s">
        <v>144</v>
      </c>
      <c r="F4720" s="15" t="s">
        <v>51</v>
      </c>
      <c r="G4720" s="14" t="s">
        <v>145</v>
      </c>
      <c r="H4720" s="14" t="s">
        <v>143</v>
      </c>
      <c r="I4720" s="14" t="s">
        <v>59</v>
      </c>
      <c r="J4720" s="14" t="s">
        <v>200</v>
      </c>
      <c r="K4720" s="14" t="s">
        <v>232</v>
      </c>
      <c r="L4720" s="14" t="s">
        <v>261</v>
      </c>
      <c r="M4720" s="14" t="s">
        <v>262</v>
      </c>
      <c r="N4720" s="14" t="s">
        <v>263</v>
      </c>
      <c r="O4720" s="14">
        <v>0.0</v>
      </c>
      <c r="P4720" s="21">
        <v>0.0</v>
      </c>
      <c r="Q4720" s="22" t="str">
        <f t="shared" ref="Q4720:R4720" si="2824">"+0"</f>
        <v>+0</v>
      </c>
      <c r="R4720" s="18" t="str">
        <f t="shared" si="2824"/>
        <v>+0</v>
      </c>
      <c r="S4720" s="14" t="s">
        <v>260</v>
      </c>
    </row>
    <row r="4721">
      <c r="A4721" s="13">
        <v>45901.0</v>
      </c>
      <c r="B4721" s="14" t="s">
        <v>47</v>
      </c>
      <c r="C4721" s="14" t="s">
        <v>48</v>
      </c>
      <c r="D4721" s="14" t="s">
        <v>132</v>
      </c>
      <c r="E4721" s="14" t="s">
        <v>133</v>
      </c>
      <c r="F4721" s="15" t="s">
        <v>51</v>
      </c>
      <c r="G4721" s="14" t="s">
        <v>134</v>
      </c>
      <c r="H4721" s="14" t="s">
        <v>135</v>
      </c>
      <c r="I4721" s="14" t="s">
        <v>59</v>
      </c>
      <c r="J4721" s="14" t="s">
        <v>200</v>
      </c>
      <c r="K4721" s="14" t="s">
        <v>204</v>
      </c>
      <c r="L4721" s="14" t="s">
        <v>253</v>
      </c>
      <c r="M4721" s="14" t="s">
        <v>490</v>
      </c>
      <c r="N4721" s="14" t="s">
        <v>491</v>
      </c>
      <c r="O4721" s="14">
        <v>0.0</v>
      </c>
      <c r="P4721" s="23">
        <v>0.0</v>
      </c>
      <c r="Q4721" s="22" t="str">
        <f t="shared" ref="Q4721:R4721" si="2825">"+0.00%"</f>
        <v>+0.00%</v>
      </c>
      <c r="R4721" s="18" t="str">
        <f t="shared" si="2825"/>
        <v>+0.00%</v>
      </c>
      <c r="S4721" s="14" t="s">
        <v>492</v>
      </c>
    </row>
    <row r="4722">
      <c r="A4722" s="13">
        <v>45901.0</v>
      </c>
      <c r="B4722" s="14" t="s">
        <v>47</v>
      </c>
      <c r="C4722" s="14" t="s">
        <v>48</v>
      </c>
      <c r="D4722" s="14" t="s">
        <v>132</v>
      </c>
      <c r="E4722" s="14" t="s">
        <v>133</v>
      </c>
      <c r="F4722" s="15" t="s">
        <v>51</v>
      </c>
      <c r="G4722" s="14" t="s">
        <v>134</v>
      </c>
      <c r="H4722" s="14" t="s">
        <v>135</v>
      </c>
      <c r="I4722" s="14" t="s">
        <v>59</v>
      </c>
      <c r="J4722" s="14" t="s">
        <v>198</v>
      </c>
      <c r="K4722" s="14" t="s">
        <v>205</v>
      </c>
      <c r="L4722" s="14" t="s">
        <v>274</v>
      </c>
      <c r="M4722" s="14" t="s">
        <v>696</v>
      </c>
      <c r="N4722" s="14" t="s">
        <v>697</v>
      </c>
      <c r="O4722" s="14">
        <v>100.0</v>
      </c>
      <c r="P4722" s="21">
        <v>1.0</v>
      </c>
      <c r="Q4722" s="22" t="str">
        <f t="shared" ref="Q4722:Q4723" si="2826">"+0"</f>
        <v>+0</v>
      </c>
      <c r="S4722" s="14" t="s">
        <v>281</v>
      </c>
    </row>
    <row r="4723">
      <c r="A4723" s="13">
        <v>45901.0</v>
      </c>
      <c r="B4723" s="14" t="s">
        <v>47</v>
      </c>
      <c r="C4723" s="14" t="s">
        <v>48</v>
      </c>
      <c r="D4723" s="14" t="s">
        <v>87</v>
      </c>
      <c r="E4723" s="14" t="s">
        <v>88</v>
      </c>
      <c r="F4723" s="14" t="s">
        <v>71</v>
      </c>
      <c r="G4723" s="14">
        <v>5.46000941E8</v>
      </c>
      <c r="H4723" s="14" t="s">
        <v>90</v>
      </c>
      <c r="I4723" s="14" t="s">
        <v>107</v>
      </c>
      <c r="J4723" s="14" t="s">
        <v>199</v>
      </c>
      <c r="K4723" s="14" t="s">
        <v>206</v>
      </c>
      <c r="L4723" s="14" t="s">
        <v>531</v>
      </c>
      <c r="M4723" s="14" t="s">
        <v>531</v>
      </c>
      <c r="N4723" s="14" t="s">
        <v>532</v>
      </c>
      <c r="O4723" s="14">
        <v>0.0</v>
      </c>
      <c r="P4723" s="21">
        <v>0.0</v>
      </c>
      <c r="Q4723" s="22" t="str">
        <f t="shared" si="2826"/>
        <v>+0</v>
      </c>
      <c r="R4723" s="18" t="str">
        <f>"+0"</f>
        <v>+0</v>
      </c>
      <c r="S4723" s="14" t="s">
        <v>260</v>
      </c>
    </row>
    <row r="4724">
      <c r="A4724" s="13">
        <v>45901.0</v>
      </c>
      <c r="B4724" s="14" t="s">
        <v>47</v>
      </c>
      <c r="C4724" s="14" t="s">
        <v>48</v>
      </c>
      <c r="D4724" s="14" t="s">
        <v>149</v>
      </c>
      <c r="E4724" s="14" t="s">
        <v>150</v>
      </c>
      <c r="F4724" s="15" t="s">
        <v>51</v>
      </c>
      <c r="G4724" s="14" t="s">
        <v>151</v>
      </c>
      <c r="H4724" s="14" t="s">
        <v>152</v>
      </c>
      <c r="I4724" s="14" t="s">
        <v>54</v>
      </c>
      <c r="J4724" s="14" t="s">
        <v>200</v>
      </c>
      <c r="K4724" s="14" t="s">
        <v>223</v>
      </c>
      <c r="L4724" s="14" t="s">
        <v>607</v>
      </c>
      <c r="M4724" s="14" t="s">
        <v>692</v>
      </c>
      <c r="N4724" s="14" t="s">
        <v>693</v>
      </c>
      <c r="O4724" s="14">
        <v>0.0</v>
      </c>
      <c r="P4724" s="23">
        <v>0.0</v>
      </c>
      <c r="Q4724" s="22" t="str">
        <f t="shared" ref="Q4724:R4724" si="2827">"+0.00%"</f>
        <v>+0.00%</v>
      </c>
      <c r="R4724" s="18" t="str">
        <f t="shared" si="2827"/>
        <v>+0.00%</v>
      </c>
      <c r="S4724" s="14" t="s">
        <v>285</v>
      </c>
    </row>
    <row r="4725">
      <c r="A4725" s="13">
        <v>45901.0</v>
      </c>
      <c r="B4725" s="14" t="s">
        <v>47</v>
      </c>
      <c r="C4725" s="14" t="s">
        <v>48</v>
      </c>
      <c r="D4725" s="14" t="s">
        <v>87</v>
      </c>
      <c r="E4725" s="14" t="s">
        <v>88</v>
      </c>
      <c r="F4725" s="15" t="s">
        <v>51</v>
      </c>
      <c r="G4725" s="14" t="s">
        <v>89</v>
      </c>
      <c r="H4725" s="14" t="s">
        <v>90</v>
      </c>
      <c r="I4725" s="14" t="s">
        <v>59</v>
      </c>
      <c r="J4725" s="14" t="s">
        <v>200</v>
      </c>
      <c r="K4725" s="14" t="s">
        <v>223</v>
      </c>
      <c r="L4725" s="14" t="s">
        <v>710</v>
      </c>
      <c r="M4725" s="14" t="s">
        <v>1302</v>
      </c>
      <c r="N4725" s="14" t="s">
        <v>1303</v>
      </c>
      <c r="O4725" s="14">
        <v>13.0</v>
      </c>
      <c r="P4725" s="23">
        <v>0.1319</v>
      </c>
      <c r="Q4725" s="22" t="str">
        <f>"-1.41%"</f>
        <v>-1.41%</v>
      </c>
      <c r="R4725" s="18" t="str">
        <f>"+1.49%"</f>
        <v>+1.49%</v>
      </c>
      <c r="S4725" s="14" t="s">
        <v>2337</v>
      </c>
    </row>
    <row r="4726">
      <c r="A4726" s="13">
        <v>45901.0</v>
      </c>
      <c r="B4726" s="14" t="s">
        <v>47</v>
      </c>
      <c r="C4726" s="14" t="s">
        <v>48</v>
      </c>
      <c r="D4726" s="14" t="s">
        <v>149</v>
      </c>
      <c r="E4726" s="14" t="s">
        <v>150</v>
      </c>
      <c r="F4726" s="15" t="s">
        <v>51</v>
      </c>
      <c r="G4726" s="14" t="s">
        <v>151</v>
      </c>
      <c r="H4726" s="14" t="s">
        <v>152</v>
      </c>
      <c r="I4726" s="14" t="s">
        <v>54</v>
      </c>
      <c r="J4726" s="14" t="s">
        <v>200</v>
      </c>
      <c r="K4726" s="14" t="s">
        <v>211</v>
      </c>
      <c r="L4726" s="14" t="s">
        <v>253</v>
      </c>
      <c r="M4726" s="14" t="s">
        <v>1085</v>
      </c>
      <c r="N4726" s="14" t="s">
        <v>1086</v>
      </c>
      <c r="O4726" s="14">
        <v>0.0</v>
      </c>
      <c r="P4726" s="23">
        <v>0.0</v>
      </c>
      <c r="Q4726" s="22" t="str">
        <f t="shared" ref="Q4726:R4726" si="2828">"+0.00%"</f>
        <v>+0.00%</v>
      </c>
      <c r="R4726" s="18" t="str">
        <f t="shared" si="2828"/>
        <v>+0.00%</v>
      </c>
      <c r="S4726" s="14" t="s">
        <v>1929</v>
      </c>
    </row>
    <row r="4727">
      <c r="A4727" s="13">
        <v>45901.0</v>
      </c>
      <c r="B4727" s="14" t="s">
        <v>47</v>
      </c>
      <c r="C4727" s="14" t="s">
        <v>48</v>
      </c>
      <c r="D4727" s="14" t="s">
        <v>87</v>
      </c>
      <c r="E4727" s="14" t="s">
        <v>88</v>
      </c>
      <c r="F4727" s="15" t="s">
        <v>51</v>
      </c>
      <c r="G4727" s="14" t="s">
        <v>89</v>
      </c>
      <c r="H4727" s="14" t="s">
        <v>90</v>
      </c>
      <c r="I4727" s="14" t="s">
        <v>59</v>
      </c>
      <c r="J4727" s="14" t="s">
        <v>198</v>
      </c>
      <c r="K4727" s="14" t="s">
        <v>210</v>
      </c>
      <c r="L4727" s="14" t="s">
        <v>264</v>
      </c>
      <c r="M4727" s="14" t="s">
        <v>470</v>
      </c>
      <c r="N4727" s="14" t="s">
        <v>471</v>
      </c>
      <c r="O4727" s="14">
        <v>100.0</v>
      </c>
      <c r="P4727" s="21">
        <v>0.0</v>
      </c>
      <c r="Q4727" s="22" t="str">
        <f t="shared" ref="Q4727:R4727" si="2829">"+0"</f>
        <v>+0</v>
      </c>
      <c r="R4727" s="18" t="str">
        <f t="shared" si="2829"/>
        <v>+0</v>
      </c>
      <c r="S4727" s="14" t="s">
        <v>281</v>
      </c>
    </row>
    <row r="4728">
      <c r="A4728" s="13">
        <v>45901.0</v>
      </c>
      <c r="B4728" s="14" t="s">
        <v>47</v>
      </c>
      <c r="C4728" s="14" t="s">
        <v>48</v>
      </c>
      <c r="D4728" s="14" t="s">
        <v>87</v>
      </c>
      <c r="E4728" s="14" t="s">
        <v>88</v>
      </c>
      <c r="F4728" s="15" t="s">
        <v>51</v>
      </c>
      <c r="G4728" s="14" t="s">
        <v>89</v>
      </c>
      <c r="H4728" s="14" t="s">
        <v>90</v>
      </c>
      <c r="I4728" s="14" t="s">
        <v>59</v>
      </c>
      <c r="J4728" s="14" t="s">
        <v>200</v>
      </c>
      <c r="K4728" s="14" t="s">
        <v>223</v>
      </c>
      <c r="L4728" s="14" t="s">
        <v>487</v>
      </c>
      <c r="M4728" s="14" t="s">
        <v>788</v>
      </c>
      <c r="N4728" s="14" t="s">
        <v>789</v>
      </c>
      <c r="O4728" s="14">
        <v>100.0</v>
      </c>
      <c r="P4728" s="23">
        <v>0.456</v>
      </c>
      <c r="Q4728" s="22" t="str">
        <f>"+2.90%"</f>
        <v>+2.90%</v>
      </c>
      <c r="R4728" s="18" t="str">
        <f>"+0.58%"</f>
        <v>+0.58%</v>
      </c>
      <c r="S4728" s="14" t="s">
        <v>285</v>
      </c>
    </row>
    <row r="4729">
      <c r="A4729" s="13">
        <v>45901.0</v>
      </c>
      <c r="B4729" s="14" t="s">
        <v>47</v>
      </c>
      <c r="C4729" s="14" t="s">
        <v>48</v>
      </c>
      <c r="D4729" s="14" t="s">
        <v>125</v>
      </c>
      <c r="E4729" s="14" t="s">
        <v>126</v>
      </c>
      <c r="F4729" s="15" t="s">
        <v>51</v>
      </c>
      <c r="G4729" s="14" t="s">
        <v>127</v>
      </c>
      <c r="H4729" s="14" t="s">
        <v>125</v>
      </c>
      <c r="I4729" s="14" t="s">
        <v>59</v>
      </c>
      <c r="J4729" s="14" t="s">
        <v>200</v>
      </c>
      <c r="K4729" s="14" t="s">
        <v>232</v>
      </c>
      <c r="L4729" s="14" t="s">
        <v>607</v>
      </c>
      <c r="M4729" s="14" t="s">
        <v>869</v>
      </c>
      <c r="N4729" s="14" t="s">
        <v>870</v>
      </c>
      <c r="O4729" s="14">
        <v>0.0</v>
      </c>
      <c r="P4729" s="23">
        <v>-1.0</v>
      </c>
      <c r="Q4729" s="22" t="str">
        <f t="shared" ref="Q4729:R4729" si="2830">"+0.00%"</f>
        <v>+0.00%</v>
      </c>
      <c r="R4729" s="18" t="str">
        <f t="shared" si="2830"/>
        <v>+0.00%</v>
      </c>
      <c r="S4729" s="14" t="s">
        <v>2338</v>
      </c>
    </row>
    <row r="4730">
      <c r="A4730" s="13">
        <v>45901.0</v>
      </c>
      <c r="B4730" s="14" t="s">
        <v>47</v>
      </c>
      <c r="C4730" s="14" t="s">
        <v>48</v>
      </c>
      <c r="D4730" s="14" t="s">
        <v>96</v>
      </c>
      <c r="E4730" s="14" t="s">
        <v>97</v>
      </c>
      <c r="F4730" s="15" t="s">
        <v>51</v>
      </c>
      <c r="G4730" s="14" t="s">
        <v>98</v>
      </c>
      <c r="H4730" s="14" t="s">
        <v>96</v>
      </c>
      <c r="I4730" s="14" t="s">
        <v>59</v>
      </c>
      <c r="J4730" s="14" t="s">
        <v>200</v>
      </c>
      <c r="K4730" s="14" t="s">
        <v>219</v>
      </c>
      <c r="L4730" s="14" t="s">
        <v>253</v>
      </c>
      <c r="M4730" s="14" t="s">
        <v>899</v>
      </c>
      <c r="N4730" s="14" t="s">
        <v>900</v>
      </c>
      <c r="O4730" s="14">
        <v>100.0</v>
      </c>
      <c r="P4730" s="23">
        <v>1.0E-4</v>
      </c>
      <c r="Q4730" s="22" t="str">
        <f t="shared" ref="Q4730:R4730" si="2831">"+0.00%"</f>
        <v>+0.00%</v>
      </c>
      <c r="R4730" s="18" t="str">
        <f t="shared" si="2831"/>
        <v>+0.00%</v>
      </c>
      <c r="S4730" s="14" t="s">
        <v>285</v>
      </c>
    </row>
    <row r="4731">
      <c r="A4731" s="13">
        <v>45901.0</v>
      </c>
      <c r="B4731" s="14" t="s">
        <v>47</v>
      </c>
      <c r="C4731" s="14" t="s">
        <v>48</v>
      </c>
      <c r="D4731" s="14" t="s">
        <v>85</v>
      </c>
      <c r="E4731" s="14" t="s">
        <v>86</v>
      </c>
      <c r="F4731" s="15" t="s">
        <v>51</v>
      </c>
      <c r="G4731" s="14" t="s">
        <v>148</v>
      </c>
      <c r="H4731" s="14" t="s">
        <v>85</v>
      </c>
      <c r="I4731" s="14" t="s">
        <v>59</v>
      </c>
      <c r="J4731" s="14" t="s">
        <v>200</v>
      </c>
      <c r="K4731" s="14" t="s">
        <v>213</v>
      </c>
      <c r="L4731" s="14" t="s">
        <v>257</v>
      </c>
      <c r="M4731" s="14" t="s">
        <v>622</v>
      </c>
      <c r="N4731" s="14" t="s">
        <v>623</v>
      </c>
      <c r="O4731" s="14">
        <v>52.0</v>
      </c>
      <c r="P4731" s="23">
        <v>0.058</v>
      </c>
      <c r="Q4731" s="22" t="str">
        <f>"+48.40%"</f>
        <v>+48.40%</v>
      </c>
      <c r="R4731" s="18" t="str">
        <f>"-94.20%"</f>
        <v>-94.20%</v>
      </c>
      <c r="S4731" s="14" t="s">
        <v>2339</v>
      </c>
    </row>
    <row r="4732">
      <c r="A4732" s="13">
        <v>45901.0</v>
      </c>
      <c r="B4732" s="14" t="s">
        <v>47</v>
      </c>
      <c r="C4732" s="14" t="s">
        <v>48</v>
      </c>
      <c r="D4732" s="14" t="s">
        <v>85</v>
      </c>
      <c r="E4732" s="14" t="s">
        <v>86</v>
      </c>
      <c r="F4732" s="14" t="s">
        <v>71</v>
      </c>
      <c r="G4732" s="14">
        <v>88285.0</v>
      </c>
      <c r="H4732" s="14" t="s">
        <v>85</v>
      </c>
      <c r="I4732" s="14" t="s">
        <v>59</v>
      </c>
      <c r="J4732" s="14" t="s">
        <v>199</v>
      </c>
      <c r="K4732" s="14" t="s">
        <v>208</v>
      </c>
      <c r="L4732" s="14" t="s">
        <v>412</v>
      </c>
      <c r="M4732" s="14" t="s">
        <v>412</v>
      </c>
      <c r="N4732" s="14" t="s">
        <v>413</v>
      </c>
      <c r="O4732" s="14">
        <v>0.0</v>
      </c>
      <c r="P4732" s="21">
        <v>0.0</v>
      </c>
      <c r="Q4732" s="22" t="str">
        <f t="shared" ref="Q4732:R4732" si="2832">"+0"</f>
        <v>+0</v>
      </c>
      <c r="R4732" s="18" t="str">
        <f t="shared" si="2832"/>
        <v>+0</v>
      </c>
      <c r="S4732" s="14" t="s">
        <v>260</v>
      </c>
    </row>
    <row r="4733">
      <c r="A4733" s="13">
        <v>45901.0</v>
      </c>
      <c r="B4733" s="14" t="s">
        <v>47</v>
      </c>
      <c r="C4733" s="14" t="s">
        <v>48</v>
      </c>
      <c r="D4733" s="14" t="s">
        <v>96</v>
      </c>
      <c r="E4733" s="14" t="s">
        <v>97</v>
      </c>
      <c r="F4733" s="15" t="s">
        <v>51</v>
      </c>
      <c r="G4733" s="14" t="s">
        <v>98</v>
      </c>
      <c r="H4733" s="14" t="s">
        <v>96</v>
      </c>
      <c r="I4733" s="14" t="s">
        <v>59</v>
      </c>
      <c r="J4733" s="14" t="s">
        <v>200</v>
      </c>
      <c r="K4733" s="14" t="s">
        <v>223</v>
      </c>
      <c r="L4733" s="14" t="s">
        <v>289</v>
      </c>
      <c r="M4733" s="14" t="s">
        <v>331</v>
      </c>
      <c r="N4733" s="14" t="s">
        <v>332</v>
      </c>
      <c r="O4733" s="14">
        <v>0.0</v>
      </c>
      <c r="P4733" s="23">
        <v>0.0</v>
      </c>
      <c r="Q4733" s="22" t="str">
        <f t="shared" ref="Q4733:R4733" si="2833">"+0.00%"</f>
        <v>+0.00%</v>
      </c>
      <c r="R4733" s="18" t="str">
        <f t="shared" si="2833"/>
        <v>+0.00%</v>
      </c>
      <c r="S4733" s="14" t="s">
        <v>285</v>
      </c>
    </row>
    <row r="4734">
      <c r="A4734" s="13">
        <v>45901.0</v>
      </c>
      <c r="B4734" s="14" t="s">
        <v>47</v>
      </c>
      <c r="C4734" s="14" t="s">
        <v>48</v>
      </c>
      <c r="D4734" s="14" t="s">
        <v>174</v>
      </c>
      <c r="E4734" s="14" t="s">
        <v>175</v>
      </c>
      <c r="F4734" s="15" t="s">
        <v>51</v>
      </c>
      <c r="G4734" s="14" t="s">
        <v>176</v>
      </c>
      <c r="H4734" s="14" t="s">
        <v>174</v>
      </c>
      <c r="I4734" s="14" t="s">
        <v>59</v>
      </c>
      <c r="J4734" s="14" t="s">
        <v>199</v>
      </c>
      <c r="K4734" s="14" t="s">
        <v>203</v>
      </c>
      <c r="L4734" s="14" t="s">
        <v>340</v>
      </c>
      <c r="M4734" s="14" t="s">
        <v>340</v>
      </c>
      <c r="N4734" s="14" t="s">
        <v>341</v>
      </c>
      <c r="O4734" s="14">
        <v>0.0</v>
      </c>
      <c r="P4734" s="21">
        <v>0.0</v>
      </c>
      <c r="Q4734" s="22" t="str">
        <f t="shared" ref="Q4734:R4734" si="2834">"+0"</f>
        <v>+0</v>
      </c>
      <c r="R4734" s="18" t="str">
        <f t="shared" si="2834"/>
        <v>+0</v>
      </c>
      <c r="S4734" s="14" t="s">
        <v>260</v>
      </c>
    </row>
    <row r="4735">
      <c r="A4735" s="13">
        <v>45901.0</v>
      </c>
      <c r="B4735" s="14" t="s">
        <v>47</v>
      </c>
      <c r="C4735" s="14" t="s">
        <v>48</v>
      </c>
      <c r="D4735" s="14" t="s">
        <v>116</v>
      </c>
      <c r="E4735" s="14" t="s">
        <v>117</v>
      </c>
      <c r="F4735" s="15" t="s">
        <v>51</v>
      </c>
      <c r="G4735" s="14" t="s">
        <v>161</v>
      </c>
      <c r="H4735" s="14" t="s">
        <v>116</v>
      </c>
      <c r="I4735" s="14" t="s">
        <v>54</v>
      </c>
      <c r="J4735" s="14" t="s">
        <v>200</v>
      </c>
      <c r="K4735" s="14" t="s">
        <v>211</v>
      </c>
      <c r="L4735" s="14" t="s">
        <v>889</v>
      </c>
      <c r="M4735" s="14" t="s">
        <v>890</v>
      </c>
      <c r="N4735" s="14" t="s">
        <v>891</v>
      </c>
      <c r="O4735" s="14">
        <v>50.0</v>
      </c>
      <c r="P4735" s="23">
        <v>0.0</v>
      </c>
      <c r="Q4735" s="22" t="str">
        <f t="shared" ref="Q4735:R4735" si="2835">"+100.00%"</f>
        <v>+100.00%</v>
      </c>
      <c r="R4735" s="18" t="str">
        <f t="shared" si="2835"/>
        <v>+100.00%</v>
      </c>
      <c r="S4735" s="14" t="s">
        <v>2340</v>
      </c>
    </row>
    <row r="4736">
      <c r="A4736" s="13">
        <v>45901.0</v>
      </c>
      <c r="B4736" s="14" t="s">
        <v>47</v>
      </c>
      <c r="C4736" s="14" t="s">
        <v>48</v>
      </c>
      <c r="D4736" s="14" t="s">
        <v>112</v>
      </c>
      <c r="E4736" s="14" t="s">
        <v>113</v>
      </c>
      <c r="F4736" s="15" t="s">
        <v>51</v>
      </c>
      <c r="G4736" s="14" t="s">
        <v>114</v>
      </c>
      <c r="H4736" s="14" t="s">
        <v>112</v>
      </c>
      <c r="I4736" s="14" t="s">
        <v>59</v>
      </c>
      <c r="J4736" s="14" t="s">
        <v>200</v>
      </c>
      <c r="K4736" s="14" t="s">
        <v>222</v>
      </c>
      <c r="L4736" s="14" t="s">
        <v>301</v>
      </c>
      <c r="M4736" s="14" t="s">
        <v>302</v>
      </c>
      <c r="N4736" s="14" t="s">
        <v>303</v>
      </c>
      <c r="O4736" s="14">
        <v>0.0</v>
      </c>
      <c r="P4736" s="21">
        <v>0.0</v>
      </c>
      <c r="Q4736" s="22" t="str">
        <f t="shared" ref="Q4736:R4736" si="2836">"+0"</f>
        <v>+0</v>
      </c>
      <c r="R4736" s="18" t="str">
        <f t="shared" si="2836"/>
        <v>+0</v>
      </c>
      <c r="S4736" s="14" t="s">
        <v>260</v>
      </c>
    </row>
    <row r="4737">
      <c r="A4737" s="13">
        <v>45901.0</v>
      </c>
      <c r="B4737" s="14" t="s">
        <v>47</v>
      </c>
      <c r="C4737" s="14" t="s">
        <v>48</v>
      </c>
      <c r="D4737" s="14" t="s">
        <v>140</v>
      </c>
      <c r="E4737" s="14" t="s">
        <v>141</v>
      </c>
      <c r="F4737" s="15" t="s">
        <v>51</v>
      </c>
      <c r="G4737" s="14" t="s">
        <v>142</v>
      </c>
      <c r="H4737" s="14" t="s">
        <v>140</v>
      </c>
      <c r="I4737" s="14" t="s">
        <v>59</v>
      </c>
      <c r="J4737" s="14" t="s">
        <v>200</v>
      </c>
      <c r="K4737" s="14" t="s">
        <v>213</v>
      </c>
      <c r="L4737" s="14" t="s">
        <v>676</v>
      </c>
      <c r="M4737" s="14" t="s">
        <v>836</v>
      </c>
      <c r="N4737" s="14" t="s">
        <v>837</v>
      </c>
      <c r="O4737" s="14">
        <v>0.0</v>
      </c>
      <c r="P4737" s="23">
        <v>0.0</v>
      </c>
      <c r="Q4737" s="22" t="str">
        <f t="shared" ref="Q4737:R4737" si="2837">"+0.00%"</f>
        <v>+0.00%</v>
      </c>
      <c r="R4737" s="18" t="str">
        <f t="shared" si="2837"/>
        <v>+0.00%</v>
      </c>
      <c r="S4737" s="14" t="s">
        <v>2341</v>
      </c>
    </row>
    <row r="4738">
      <c r="A4738" s="13">
        <v>45901.0</v>
      </c>
      <c r="B4738" s="14" t="s">
        <v>47</v>
      </c>
      <c r="C4738" s="14" t="s">
        <v>48</v>
      </c>
      <c r="D4738" s="14" t="s">
        <v>56</v>
      </c>
      <c r="E4738" s="14" t="s">
        <v>57</v>
      </c>
      <c r="F4738" s="15" t="s">
        <v>51</v>
      </c>
      <c r="G4738" s="14" t="s">
        <v>58</v>
      </c>
      <c r="H4738" s="14" t="s">
        <v>56</v>
      </c>
      <c r="I4738" s="14" t="s">
        <v>59</v>
      </c>
      <c r="J4738" s="14" t="s">
        <v>198</v>
      </c>
      <c r="K4738" s="14" t="s">
        <v>210</v>
      </c>
      <c r="L4738" s="14" t="s">
        <v>458</v>
      </c>
      <c r="M4738" s="14" t="s">
        <v>459</v>
      </c>
      <c r="N4738" s="14" t="s">
        <v>460</v>
      </c>
      <c r="O4738" s="14">
        <v>100.0</v>
      </c>
      <c r="P4738" s="21">
        <v>0.0</v>
      </c>
      <c r="Q4738" s="22" t="str">
        <f t="shared" ref="Q4738:R4738" si="2838">"+0"</f>
        <v>+0</v>
      </c>
      <c r="R4738" s="18" t="str">
        <f t="shared" si="2838"/>
        <v>+0</v>
      </c>
      <c r="S4738" s="14" t="s">
        <v>281</v>
      </c>
    </row>
    <row r="4739">
      <c r="A4739" s="13">
        <v>45901.0</v>
      </c>
      <c r="B4739" s="14" t="s">
        <v>47</v>
      </c>
      <c r="C4739" s="14" t="s">
        <v>48</v>
      </c>
      <c r="D4739" s="14" t="s">
        <v>60</v>
      </c>
      <c r="E4739" s="14" t="s">
        <v>61</v>
      </c>
      <c r="F4739" s="15" t="s">
        <v>51</v>
      </c>
      <c r="G4739" s="14" t="s">
        <v>62</v>
      </c>
      <c r="H4739" s="14" t="s">
        <v>60</v>
      </c>
      <c r="I4739" s="14" t="s">
        <v>59</v>
      </c>
      <c r="J4739" s="14" t="s">
        <v>198</v>
      </c>
      <c r="K4739" s="14" t="s">
        <v>210</v>
      </c>
      <c r="L4739" s="14" t="s">
        <v>264</v>
      </c>
      <c r="M4739" s="14" t="s">
        <v>265</v>
      </c>
      <c r="N4739" s="14" t="s">
        <v>266</v>
      </c>
      <c r="O4739" s="14">
        <v>65.0</v>
      </c>
      <c r="P4739" s="21">
        <v>89.0</v>
      </c>
      <c r="Q4739" s="22" t="str">
        <f>"+11"</f>
        <v>+11</v>
      </c>
      <c r="R4739" s="18" t="str">
        <f>"-2,145"</f>
        <v>-2,145</v>
      </c>
      <c r="S4739" s="14" t="s">
        <v>2342</v>
      </c>
    </row>
    <row r="4740">
      <c r="A4740" s="13">
        <v>45901.0</v>
      </c>
      <c r="B4740" s="14" t="s">
        <v>47</v>
      </c>
      <c r="C4740" s="14" t="s">
        <v>48</v>
      </c>
      <c r="D4740" s="14" t="s">
        <v>165</v>
      </c>
      <c r="E4740" s="14" t="s">
        <v>166</v>
      </c>
      <c r="F4740" s="15" t="s">
        <v>51</v>
      </c>
      <c r="G4740" s="14" t="s">
        <v>167</v>
      </c>
      <c r="H4740" s="14" t="s">
        <v>165</v>
      </c>
      <c r="I4740" s="14" t="s">
        <v>54</v>
      </c>
      <c r="J4740" s="14" t="s">
        <v>198</v>
      </c>
      <c r="K4740" s="14" t="s">
        <v>210</v>
      </c>
      <c r="L4740" s="14" t="s">
        <v>264</v>
      </c>
      <c r="M4740" s="14" t="s">
        <v>524</v>
      </c>
      <c r="N4740" s="14" t="s">
        <v>525</v>
      </c>
      <c r="O4740" s="14">
        <v>0.0</v>
      </c>
      <c r="P4740" s="21">
        <v>880.0</v>
      </c>
      <c r="Q4740" s="22" t="str">
        <f>"+760"</f>
        <v>+760</v>
      </c>
      <c r="R4740" s="18" t="str">
        <f>"+838"</f>
        <v>+838</v>
      </c>
      <c r="S4740" s="14" t="s">
        <v>2343</v>
      </c>
    </row>
    <row r="4741">
      <c r="A4741" s="13">
        <v>45901.0</v>
      </c>
      <c r="B4741" s="14" t="s">
        <v>47</v>
      </c>
      <c r="C4741" s="14" t="s">
        <v>48</v>
      </c>
      <c r="D4741" s="14" t="s">
        <v>165</v>
      </c>
      <c r="E4741" s="14" t="s">
        <v>166</v>
      </c>
      <c r="F4741" s="15" t="s">
        <v>51</v>
      </c>
      <c r="G4741" s="14" t="s">
        <v>167</v>
      </c>
      <c r="H4741" s="14" t="s">
        <v>165</v>
      </c>
      <c r="I4741" s="14" t="s">
        <v>54</v>
      </c>
      <c r="J4741" s="14" t="s">
        <v>198</v>
      </c>
      <c r="K4741" s="14" t="s">
        <v>210</v>
      </c>
      <c r="L4741" s="14" t="s">
        <v>264</v>
      </c>
      <c r="M4741" s="14" t="s">
        <v>1064</v>
      </c>
      <c r="N4741" s="14" t="s">
        <v>1065</v>
      </c>
      <c r="O4741" s="14">
        <v>100.0</v>
      </c>
      <c r="P4741" s="21">
        <v>2.0</v>
      </c>
      <c r="Q4741" s="22" t="str">
        <f t="shared" ref="Q4741:R4741" si="2839">"+2"</f>
        <v>+2</v>
      </c>
      <c r="R4741" s="18" t="str">
        <f t="shared" si="2839"/>
        <v>+2</v>
      </c>
      <c r="S4741" s="14" t="s">
        <v>277</v>
      </c>
    </row>
    <row r="4742">
      <c r="A4742" s="13">
        <v>45901.0</v>
      </c>
      <c r="B4742" s="14" t="s">
        <v>47</v>
      </c>
      <c r="C4742" s="14" t="s">
        <v>48</v>
      </c>
      <c r="D4742" s="14" t="s">
        <v>63</v>
      </c>
      <c r="E4742" s="14" t="s">
        <v>64</v>
      </c>
      <c r="F4742" s="15" t="s">
        <v>51</v>
      </c>
      <c r="G4742" s="14" t="s">
        <v>65</v>
      </c>
      <c r="H4742" s="14" t="s">
        <v>63</v>
      </c>
      <c r="I4742" s="14" t="s">
        <v>54</v>
      </c>
      <c r="J4742" s="14" t="s">
        <v>200</v>
      </c>
      <c r="K4742" s="14" t="s">
        <v>215</v>
      </c>
      <c r="L4742" s="14" t="s">
        <v>1361</v>
      </c>
      <c r="M4742" s="14" t="s">
        <v>1830</v>
      </c>
      <c r="N4742" s="14" t="s">
        <v>1831</v>
      </c>
      <c r="O4742" s="14">
        <v>0.0</v>
      </c>
      <c r="P4742" s="23">
        <v>-1.0</v>
      </c>
      <c r="Q4742" s="22" t="str">
        <f t="shared" ref="Q4742:R4742" si="2840">"+0.00%"</f>
        <v>+0.00%</v>
      </c>
      <c r="R4742" s="18" t="str">
        <f t="shared" si="2840"/>
        <v>+0.00%</v>
      </c>
      <c r="S4742" s="14" t="s">
        <v>497</v>
      </c>
    </row>
    <row r="4743">
      <c r="A4743" s="13">
        <v>45901.0</v>
      </c>
      <c r="B4743" s="14" t="s">
        <v>47</v>
      </c>
      <c r="C4743" s="14" t="s">
        <v>48</v>
      </c>
      <c r="D4743" s="14" t="s">
        <v>91</v>
      </c>
      <c r="E4743" s="14" t="s">
        <v>92</v>
      </c>
      <c r="F4743" s="15" t="s">
        <v>51</v>
      </c>
      <c r="G4743" s="14" t="s">
        <v>163</v>
      </c>
      <c r="H4743" s="14" t="s">
        <v>91</v>
      </c>
      <c r="I4743" s="14" t="s">
        <v>59</v>
      </c>
      <c r="J4743" s="14" t="s">
        <v>200</v>
      </c>
      <c r="K4743" s="14" t="s">
        <v>227</v>
      </c>
      <c r="L4743" s="14" t="s">
        <v>253</v>
      </c>
      <c r="M4743" s="14" t="s">
        <v>254</v>
      </c>
      <c r="N4743" s="14" t="s">
        <v>255</v>
      </c>
      <c r="O4743" s="14">
        <v>23.0</v>
      </c>
      <c r="P4743" s="23">
        <v>0.23</v>
      </c>
      <c r="Q4743" s="22" t="str">
        <f t="shared" ref="Q4743:R4743" si="2841">"+0.00%"</f>
        <v>+0.00%</v>
      </c>
      <c r="R4743" s="18" t="str">
        <f t="shared" si="2841"/>
        <v>+0.00%</v>
      </c>
      <c r="S4743" s="14" t="s">
        <v>256</v>
      </c>
    </row>
    <row r="4744">
      <c r="A4744" s="13">
        <v>45901.0</v>
      </c>
      <c r="B4744" s="14" t="s">
        <v>47</v>
      </c>
      <c r="C4744" s="14" t="s">
        <v>48</v>
      </c>
      <c r="D4744" s="14" t="s">
        <v>91</v>
      </c>
      <c r="E4744" s="14" t="s">
        <v>92</v>
      </c>
      <c r="F4744" s="15" t="s">
        <v>51</v>
      </c>
      <c r="G4744" s="14" t="s">
        <v>163</v>
      </c>
      <c r="H4744" s="14" t="s">
        <v>91</v>
      </c>
      <c r="I4744" s="14" t="s">
        <v>59</v>
      </c>
      <c r="J4744" s="14" t="s">
        <v>200</v>
      </c>
      <c r="K4744" s="14" t="s">
        <v>222</v>
      </c>
      <c r="L4744" s="14" t="s">
        <v>253</v>
      </c>
      <c r="M4744" s="14" t="s">
        <v>732</v>
      </c>
      <c r="N4744" s="14" t="s">
        <v>733</v>
      </c>
      <c r="O4744" s="14">
        <v>50.0</v>
      </c>
      <c r="P4744" s="21">
        <v>1.0</v>
      </c>
      <c r="Q4744" s="22" t="str">
        <f t="shared" ref="Q4744:R4744" si="2842">"+0"</f>
        <v>+0</v>
      </c>
      <c r="R4744" s="18" t="str">
        <f t="shared" si="2842"/>
        <v>+0</v>
      </c>
      <c r="S4744" s="14" t="s">
        <v>450</v>
      </c>
    </row>
    <row r="4745">
      <c r="A4745" s="13">
        <v>45901.0</v>
      </c>
      <c r="B4745" s="14" t="s">
        <v>47</v>
      </c>
      <c r="C4745" s="14" t="s">
        <v>48</v>
      </c>
      <c r="D4745" s="14" t="s">
        <v>63</v>
      </c>
      <c r="E4745" s="14" t="s">
        <v>64</v>
      </c>
      <c r="F4745" s="15" t="s">
        <v>51</v>
      </c>
      <c r="G4745" s="14" t="s">
        <v>65</v>
      </c>
      <c r="H4745" s="14" t="s">
        <v>63</v>
      </c>
      <c r="I4745" s="14" t="s">
        <v>54</v>
      </c>
      <c r="J4745" s="14" t="s">
        <v>200</v>
      </c>
      <c r="K4745" s="14" t="s">
        <v>215</v>
      </c>
      <c r="L4745" s="14" t="s">
        <v>548</v>
      </c>
      <c r="M4745" s="14" t="s">
        <v>1674</v>
      </c>
      <c r="N4745" s="14" t="s">
        <v>1675</v>
      </c>
      <c r="O4745" s="14">
        <v>5.0</v>
      </c>
      <c r="P4745" s="23">
        <v>-0.8943</v>
      </c>
      <c r="Q4745" s="22" t="str">
        <f>"-89.43%"</f>
        <v>-89.43%</v>
      </c>
      <c r="R4745" s="18" t="str">
        <f>"+10.57%"</f>
        <v>+10.57%</v>
      </c>
      <c r="S4745" s="14" t="s">
        <v>336</v>
      </c>
    </row>
    <row r="4746">
      <c r="A4746" s="13">
        <v>45901.0</v>
      </c>
      <c r="B4746" s="14" t="s">
        <v>47</v>
      </c>
      <c r="C4746" s="14" t="s">
        <v>48</v>
      </c>
      <c r="D4746" s="14" t="s">
        <v>91</v>
      </c>
      <c r="E4746" s="14" t="s">
        <v>92</v>
      </c>
      <c r="F4746" s="15" t="s">
        <v>51</v>
      </c>
      <c r="G4746" s="14" t="s">
        <v>163</v>
      </c>
      <c r="H4746" s="14" t="s">
        <v>91</v>
      </c>
      <c r="I4746" s="14" t="s">
        <v>59</v>
      </c>
      <c r="J4746" s="14" t="s">
        <v>200</v>
      </c>
      <c r="K4746" s="14" t="s">
        <v>223</v>
      </c>
      <c r="L4746" s="14" t="s">
        <v>257</v>
      </c>
      <c r="M4746" s="14" t="s">
        <v>298</v>
      </c>
      <c r="N4746" s="14" t="s">
        <v>299</v>
      </c>
      <c r="O4746" s="14">
        <v>0.0</v>
      </c>
      <c r="P4746" s="23">
        <v>0.0</v>
      </c>
      <c r="Q4746" s="22" t="str">
        <f t="shared" ref="Q4746:R4746" si="2843">"+0.00%"</f>
        <v>+0.00%</v>
      </c>
      <c r="R4746" s="18" t="str">
        <f t="shared" si="2843"/>
        <v>+0.00%</v>
      </c>
      <c r="S4746" s="14" t="s">
        <v>2344</v>
      </c>
    </row>
    <row r="4747">
      <c r="A4747" s="13">
        <v>45901.0</v>
      </c>
      <c r="B4747" s="14" t="s">
        <v>47</v>
      </c>
      <c r="C4747" s="14" t="s">
        <v>48</v>
      </c>
      <c r="D4747" s="14" t="s">
        <v>91</v>
      </c>
      <c r="E4747" s="14" t="s">
        <v>92</v>
      </c>
      <c r="F4747" s="14" t="s">
        <v>71</v>
      </c>
      <c r="G4747" s="14">
        <v>5.10011769E8</v>
      </c>
      <c r="H4747" s="14" t="s">
        <v>91</v>
      </c>
      <c r="I4747" s="14" t="s">
        <v>59</v>
      </c>
      <c r="J4747" s="14" t="s">
        <v>199</v>
      </c>
      <c r="K4747" s="14" t="s">
        <v>206</v>
      </c>
      <c r="L4747" s="14" t="s">
        <v>433</v>
      </c>
      <c r="M4747" s="14" t="s">
        <v>433</v>
      </c>
      <c r="N4747" s="14" t="s">
        <v>434</v>
      </c>
      <c r="O4747" s="14">
        <v>100.0</v>
      </c>
      <c r="P4747" s="21">
        <v>101.0</v>
      </c>
      <c r="Q4747" s="22" t="str">
        <f>"-32"</f>
        <v>-32</v>
      </c>
      <c r="R4747" s="18" t="str">
        <f>"+57"</f>
        <v>+57</v>
      </c>
      <c r="S4747" s="14" t="s">
        <v>383</v>
      </c>
    </row>
    <row r="4748">
      <c r="A4748" s="13">
        <v>45901.0</v>
      </c>
      <c r="B4748" s="14" t="s">
        <v>47</v>
      </c>
      <c r="C4748" s="14" t="s">
        <v>48</v>
      </c>
      <c r="D4748" s="14" t="s">
        <v>91</v>
      </c>
      <c r="E4748" s="14" t="s">
        <v>92</v>
      </c>
      <c r="F4748" s="15" t="s">
        <v>51</v>
      </c>
      <c r="G4748" s="14" t="s">
        <v>163</v>
      </c>
      <c r="H4748" s="14" t="s">
        <v>91</v>
      </c>
      <c r="I4748" s="14" t="s">
        <v>59</v>
      </c>
      <c r="J4748" s="14" t="s">
        <v>200</v>
      </c>
      <c r="K4748" s="14" t="s">
        <v>223</v>
      </c>
      <c r="L4748" s="14" t="s">
        <v>705</v>
      </c>
      <c r="M4748" s="14" t="s">
        <v>706</v>
      </c>
      <c r="N4748" s="14" t="s">
        <v>707</v>
      </c>
      <c r="O4748" s="14">
        <v>0.0</v>
      </c>
      <c r="P4748" s="21">
        <v>0.0</v>
      </c>
      <c r="Q4748" s="22" t="str">
        <f t="shared" ref="Q4748:R4748" si="2844">"+0"</f>
        <v>+0</v>
      </c>
      <c r="R4748" s="18" t="str">
        <f t="shared" si="2844"/>
        <v>+0</v>
      </c>
      <c r="S4748" s="14" t="s">
        <v>260</v>
      </c>
    </row>
    <row r="4749">
      <c r="A4749" s="13">
        <v>45901.0</v>
      </c>
      <c r="B4749" s="14" t="s">
        <v>47</v>
      </c>
      <c r="C4749" s="14" t="s">
        <v>48</v>
      </c>
      <c r="D4749" s="14" t="s">
        <v>192</v>
      </c>
      <c r="E4749" s="14" t="s">
        <v>193</v>
      </c>
      <c r="F4749" s="15" t="s">
        <v>51</v>
      </c>
      <c r="G4749" s="14" t="s">
        <v>194</v>
      </c>
      <c r="H4749" s="14" t="s">
        <v>192</v>
      </c>
      <c r="I4749" s="14" t="s">
        <v>54</v>
      </c>
      <c r="J4749" s="14" t="s">
        <v>200</v>
      </c>
      <c r="K4749" s="14" t="s">
        <v>227</v>
      </c>
      <c r="L4749" s="14" t="s">
        <v>721</v>
      </c>
      <c r="M4749" s="14" t="s">
        <v>722</v>
      </c>
      <c r="N4749" s="14" t="s">
        <v>723</v>
      </c>
      <c r="O4749" s="14">
        <v>48.0</v>
      </c>
      <c r="P4749" s="23">
        <v>-0.0291</v>
      </c>
      <c r="Q4749" s="22" t="str">
        <f>"+4.68%"</f>
        <v>+4.68%</v>
      </c>
      <c r="R4749" s="18" t="str">
        <f>"-6.12%"</f>
        <v>-6.12%</v>
      </c>
      <c r="S4749" s="14" t="s">
        <v>724</v>
      </c>
    </row>
    <row r="4750">
      <c r="A4750" s="13">
        <v>45901.0</v>
      </c>
      <c r="B4750" s="14" t="s">
        <v>47</v>
      </c>
      <c r="C4750" s="14" t="s">
        <v>48</v>
      </c>
      <c r="D4750" s="14" t="s">
        <v>73</v>
      </c>
      <c r="E4750" s="14" t="s">
        <v>74</v>
      </c>
      <c r="F4750" s="15" t="s">
        <v>51</v>
      </c>
      <c r="G4750" s="14" t="s">
        <v>75</v>
      </c>
      <c r="H4750" s="14" t="s">
        <v>76</v>
      </c>
      <c r="I4750" s="14" t="s">
        <v>59</v>
      </c>
      <c r="J4750" s="14" t="s">
        <v>200</v>
      </c>
      <c r="K4750" s="14" t="s">
        <v>227</v>
      </c>
      <c r="L4750" s="14" t="s">
        <v>253</v>
      </c>
      <c r="M4750" s="14" t="s">
        <v>396</v>
      </c>
      <c r="N4750" s="14" t="s">
        <v>397</v>
      </c>
      <c r="O4750" s="14">
        <v>100.0</v>
      </c>
      <c r="P4750" s="23">
        <v>1.0</v>
      </c>
      <c r="Q4750" s="22" t="str">
        <f t="shared" ref="Q4750:R4750" si="2845">"+0.00%"</f>
        <v>+0.00%</v>
      </c>
      <c r="R4750" s="18" t="str">
        <f t="shared" si="2845"/>
        <v>+0.00%</v>
      </c>
      <c r="S4750" s="14" t="s">
        <v>916</v>
      </c>
    </row>
    <row r="4751">
      <c r="A4751" s="13">
        <v>45901.0</v>
      </c>
      <c r="B4751" s="14" t="s">
        <v>47</v>
      </c>
      <c r="C4751" s="14" t="s">
        <v>48</v>
      </c>
      <c r="D4751" s="14" t="s">
        <v>149</v>
      </c>
      <c r="E4751" s="14" t="s">
        <v>150</v>
      </c>
      <c r="F4751" s="15" t="s">
        <v>51</v>
      </c>
      <c r="G4751" s="14" t="s">
        <v>151</v>
      </c>
      <c r="H4751" s="14" t="s">
        <v>152</v>
      </c>
      <c r="I4751" s="14" t="s">
        <v>54</v>
      </c>
      <c r="J4751" s="14" t="s">
        <v>200</v>
      </c>
      <c r="K4751" s="14" t="s">
        <v>223</v>
      </c>
      <c r="L4751" s="14" t="s">
        <v>607</v>
      </c>
      <c r="M4751" s="14" t="s">
        <v>886</v>
      </c>
      <c r="N4751" s="14" t="s">
        <v>887</v>
      </c>
      <c r="O4751" s="14">
        <v>0.0</v>
      </c>
      <c r="P4751" s="23">
        <v>0.0</v>
      </c>
      <c r="Q4751" s="22" t="str">
        <f>"-0.01%"</f>
        <v>-0.01%</v>
      </c>
      <c r="R4751" s="18" t="str">
        <f>"+0.00%"</f>
        <v>+0.00%</v>
      </c>
      <c r="S4751" s="14" t="s">
        <v>371</v>
      </c>
    </row>
    <row r="4752">
      <c r="A4752" s="13">
        <v>45901.0</v>
      </c>
      <c r="B4752" s="14" t="s">
        <v>47</v>
      </c>
      <c r="C4752" s="14" t="s">
        <v>48</v>
      </c>
      <c r="D4752" s="14" t="s">
        <v>136</v>
      </c>
      <c r="E4752" s="14" t="s">
        <v>137</v>
      </c>
      <c r="F4752" s="15" t="s">
        <v>51</v>
      </c>
      <c r="G4752" s="14" t="s">
        <v>138</v>
      </c>
      <c r="H4752" s="14" t="s">
        <v>139</v>
      </c>
      <c r="I4752" s="14" t="s">
        <v>59</v>
      </c>
      <c r="J4752" s="14" t="s">
        <v>200</v>
      </c>
      <c r="K4752" s="14" t="s">
        <v>213</v>
      </c>
      <c r="L4752" s="14" t="s">
        <v>676</v>
      </c>
      <c r="M4752" s="14" t="s">
        <v>858</v>
      </c>
      <c r="N4752" s="14" t="s">
        <v>859</v>
      </c>
      <c r="O4752" s="14">
        <v>0.0</v>
      </c>
      <c r="P4752" s="23">
        <v>-1.0</v>
      </c>
      <c r="Q4752" s="22" t="str">
        <f t="shared" ref="Q4752:R4752" si="2846">"+0.00%"</f>
        <v>+0.00%</v>
      </c>
      <c r="R4752" s="18" t="str">
        <f t="shared" si="2846"/>
        <v>+0.00%</v>
      </c>
      <c r="S4752" s="14" t="s">
        <v>2345</v>
      </c>
    </row>
    <row r="4753">
      <c r="A4753" s="13">
        <v>45901.0</v>
      </c>
      <c r="B4753" s="14" t="s">
        <v>47</v>
      </c>
      <c r="C4753" s="14" t="s">
        <v>48</v>
      </c>
      <c r="D4753" s="14" t="s">
        <v>87</v>
      </c>
      <c r="E4753" s="14" t="s">
        <v>88</v>
      </c>
      <c r="F4753" s="15" t="s">
        <v>51</v>
      </c>
      <c r="G4753" s="14" t="s">
        <v>89</v>
      </c>
      <c r="H4753" s="14" t="s">
        <v>90</v>
      </c>
      <c r="I4753" s="14" t="s">
        <v>59</v>
      </c>
      <c r="J4753" s="14" t="s">
        <v>200</v>
      </c>
      <c r="K4753" s="14" t="s">
        <v>246</v>
      </c>
      <c r="L4753" s="14" t="s">
        <v>220</v>
      </c>
      <c r="M4753" s="14" t="s">
        <v>2346</v>
      </c>
      <c r="N4753" s="14" t="s">
        <v>2347</v>
      </c>
      <c r="O4753" s="14">
        <v>0.0</v>
      </c>
      <c r="P4753" s="23">
        <v>-1.0</v>
      </c>
      <c r="Q4753" s="22" t="str">
        <f t="shared" ref="Q4753:R4753" si="2847">"+0.00%"</f>
        <v>+0.00%</v>
      </c>
      <c r="R4753" s="18" t="str">
        <f t="shared" si="2847"/>
        <v>+0.00%</v>
      </c>
      <c r="S4753" s="14" t="s">
        <v>2348</v>
      </c>
    </row>
    <row r="4754">
      <c r="A4754" s="13">
        <v>45901.0</v>
      </c>
      <c r="B4754" s="14" t="s">
        <v>47</v>
      </c>
      <c r="C4754" s="14" t="s">
        <v>48</v>
      </c>
      <c r="D4754" s="14" t="s">
        <v>149</v>
      </c>
      <c r="E4754" s="14" t="s">
        <v>150</v>
      </c>
      <c r="F4754" s="15" t="s">
        <v>51</v>
      </c>
      <c r="G4754" s="14" t="s">
        <v>151</v>
      </c>
      <c r="H4754" s="14" t="s">
        <v>152</v>
      </c>
      <c r="I4754" s="14" t="s">
        <v>54</v>
      </c>
      <c r="J4754" s="14" t="s">
        <v>200</v>
      </c>
      <c r="K4754" s="14" t="s">
        <v>223</v>
      </c>
      <c r="L4754" s="14" t="s">
        <v>286</v>
      </c>
      <c r="M4754" s="14" t="s">
        <v>656</v>
      </c>
      <c r="N4754" s="14" t="s">
        <v>657</v>
      </c>
      <c r="O4754" s="14">
        <v>100.0</v>
      </c>
      <c r="P4754" s="23">
        <v>0.0054</v>
      </c>
      <c r="Q4754" s="22" t="str">
        <f>"-0.14%"</f>
        <v>-0.14%</v>
      </c>
      <c r="R4754" s="18" t="str">
        <f>"-0.37%"</f>
        <v>-0.37%</v>
      </c>
      <c r="S4754" s="14" t="s">
        <v>285</v>
      </c>
    </row>
    <row r="4755">
      <c r="A4755" s="13">
        <v>45901.0</v>
      </c>
      <c r="B4755" s="14" t="s">
        <v>47</v>
      </c>
      <c r="C4755" s="14" t="s">
        <v>48</v>
      </c>
      <c r="D4755" s="14" t="s">
        <v>87</v>
      </c>
      <c r="E4755" s="14" t="s">
        <v>88</v>
      </c>
      <c r="F4755" s="15" t="s">
        <v>51</v>
      </c>
      <c r="G4755" s="14" t="s">
        <v>89</v>
      </c>
      <c r="H4755" s="14" t="s">
        <v>90</v>
      </c>
      <c r="I4755" s="14" t="s">
        <v>59</v>
      </c>
      <c r="J4755" s="14" t="s">
        <v>200</v>
      </c>
      <c r="K4755" s="14" t="s">
        <v>223</v>
      </c>
      <c r="L4755" s="14" t="s">
        <v>363</v>
      </c>
      <c r="M4755" s="14" t="s">
        <v>379</v>
      </c>
      <c r="N4755" s="14" t="s">
        <v>380</v>
      </c>
      <c r="O4755" s="14">
        <v>0.0</v>
      </c>
      <c r="P4755" s="21">
        <v>0.0</v>
      </c>
      <c r="Q4755" s="22" t="str">
        <f t="shared" ref="Q4755:R4755" si="2848">"+0"</f>
        <v>+0</v>
      </c>
      <c r="R4755" s="18" t="str">
        <f t="shared" si="2848"/>
        <v>+0</v>
      </c>
      <c r="S4755" s="14" t="s">
        <v>260</v>
      </c>
    </row>
    <row r="4756">
      <c r="A4756" s="13">
        <v>45901.0</v>
      </c>
      <c r="B4756" s="14" t="s">
        <v>47</v>
      </c>
      <c r="C4756" s="14" t="s">
        <v>48</v>
      </c>
      <c r="D4756" s="14" t="s">
        <v>149</v>
      </c>
      <c r="E4756" s="14" t="s">
        <v>150</v>
      </c>
      <c r="F4756" s="15" t="s">
        <v>51</v>
      </c>
      <c r="G4756" s="14" t="s">
        <v>151</v>
      </c>
      <c r="H4756" s="14" t="s">
        <v>152</v>
      </c>
      <c r="I4756" s="14" t="s">
        <v>54</v>
      </c>
      <c r="J4756" s="14" t="s">
        <v>200</v>
      </c>
      <c r="K4756" s="14" t="s">
        <v>223</v>
      </c>
      <c r="L4756" s="14" t="s">
        <v>607</v>
      </c>
      <c r="M4756" s="14" t="s">
        <v>1027</v>
      </c>
      <c r="N4756" s="14" t="s">
        <v>1028</v>
      </c>
      <c r="O4756" s="14">
        <v>0.0</v>
      </c>
      <c r="P4756" s="23">
        <v>-1.0</v>
      </c>
      <c r="Q4756" s="22" t="str">
        <f t="shared" ref="Q4756:R4756" si="2849">"+0.00%"</f>
        <v>+0.00%</v>
      </c>
      <c r="R4756" s="18" t="str">
        <f t="shared" si="2849"/>
        <v>+0.00%</v>
      </c>
      <c r="S4756" s="14" t="s">
        <v>2349</v>
      </c>
    </row>
    <row r="4757">
      <c r="A4757" s="13">
        <v>45901.0</v>
      </c>
      <c r="B4757" s="14" t="s">
        <v>47</v>
      </c>
      <c r="C4757" s="14" t="s">
        <v>48</v>
      </c>
      <c r="D4757" s="14" t="s">
        <v>85</v>
      </c>
      <c r="E4757" s="14" t="s">
        <v>86</v>
      </c>
      <c r="F4757" s="15" t="s">
        <v>51</v>
      </c>
      <c r="G4757" s="14" t="s">
        <v>148</v>
      </c>
      <c r="H4757" s="14" t="s">
        <v>85</v>
      </c>
      <c r="I4757" s="14" t="s">
        <v>59</v>
      </c>
      <c r="J4757" s="14" t="s">
        <v>198</v>
      </c>
      <c r="K4757" s="14" t="s">
        <v>207</v>
      </c>
      <c r="L4757" s="14" t="s">
        <v>318</v>
      </c>
      <c r="M4757" s="14" t="s">
        <v>508</v>
      </c>
      <c r="N4757" s="14" t="s">
        <v>509</v>
      </c>
      <c r="O4757" s="14">
        <v>0.0</v>
      </c>
      <c r="P4757" s="21">
        <v>0.0</v>
      </c>
      <c r="Q4757" s="22" t="str">
        <f>"+0"</f>
        <v>+0</v>
      </c>
      <c r="S4757" s="14" t="s">
        <v>281</v>
      </c>
    </row>
    <row r="4758">
      <c r="A4758" s="13">
        <v>45901.0</v>
      </c>
      <c r="B4758" s="14" t="s">
        <v>47</v>
      </c>
      <c r="C4758" s="14" t="s">
        <v>48</v>
      </c>
      <c r="D4758" s="14" t="s">
        <v>69</v>
      </c>
      <c r="E4758" s="14" t="s">
        <v>70</v>
      </c>
      <c r="F4758" s="15" t="s">
        <v>51</v>
      </c>
      <c r="G4758" s="14" t="s">
        <v>115</v>
      </c>
      <c r="H4758" s="14" t="s">
        <v>72</v>
      </c>
      <c r="I4758" s="14" t="s">
        <v>54</v>
      </c>
      <c r="J4758" s="14" t="s">
        <v>198</v>
      </c>
      <c r="K4758" s="14" t="s">
        <v>212</v>
      </c>
      <c r="L4758" s="14" t="s">
        <v>249</v>
      </c>
      <c r="M4758" s="14" t="s">
        <v>598</v>
      </c>
      <c r="N4758" s="14" t="s">
        <v>599</v>
      </c>
      <c r="O4758" s="14">
        <v>89.0</v>
      </c>
      <c r="P4758" s="21">
        <v>8411.0</v>
      </c>
      <c r="Q4758" s="22" t="str">
        <f>"-300"</f>
        <v>-300</v>
      </c>
      <c r="R4758" s="18" t="str">
        <f>"-49"</f>
        <v>-49</v>
      </c>
      <c r="S4758" s="14" t="s">
        <v>2350</v>
      </c>
    </row>
    <row r="4759">
      <c r="A4759" s="13">
        <v>45901.0</v>
      </c>
      <c r="B4759" s="14" t="s">
        <v>47</v>
      </c>
      <c r="C4759" s="14" t="s">
        <v>48</v>
      </c>
      <c r="D4759" s="14" t="s">
        <v>77</v>
      </c>
      <c r="E4759" s="14" t="s">
        <v>78</v>
      </c>
      <c r="F4759" s="15" t="s">
        <v>51</v>
      </c>
      <c r="G4759" s="14" t="s">
        <v>128</v>
      </c>
      <c r="H4759" s="14" t="s">
        <v>81</v>
      </c>
      <c r="I4759" s="14" t="s">
        <v>59</v>
      </c>
      <c r="J4759" s="14" t="s">
        <v>199</v>
      </c>
      <c r="K4759" s="14" t="s">
        <v>206</v>
      </c>
      <c r="L4759" s="14" t="s">
        <v>295</v>
      </c>
      <c r="M4759" s="14" t="s">
        <v>986</v>
      </c>
      <c r="N4759" s="14" t="s">
        <v>987</v>
      </c>
      <c r="O4759" s="14">
        <v>0.0</v>
      </c>
      <c r="P4759" s="21">
        <v>0.0</v>
      </c>
      <c r="Q4759" s="22" t="str">
        <f t="shared" ref="Q4759:R4759" si="2850">"+0"</f>
        <v>+0</v>
      </c>
      <c r="R4759" s="18" t="str">
        <f t="shared" si="2850"/>
        <v>+0</v>
      </c>
      <c r="S4759" s="14" t="s">
        <v>260</v>
      </c>
    </row>
    <row r="4760">
      <c r="A4760" s="13">
        <v>45901.0</v>
      </c>
      <c r="B4760" s="14" t="s">
        <v>47</v>
      </c>
      <c r="C4760" s="14" t="s">
        <v>48</v>
      </c>
      <c r="D4760" s="14" t="s">
        <v>116</v>
      </c>
      <c r="E4760" s="14" t="s">
        <v>117</v>
      </c>
      <c r="F4760" s="15" t="s">
        <v>51</v>
      </c>
      <c r="G4760" s="14" t="s">
        <v>161</v>
      </c>
      <c r="H4760" s="14" t="s">
        <v>116</v>
      </c>
      <c r="I4760" s="14" t="s">
        <v>54</v>
      </c>
      <c r="J4760" s="14" t="s">
        <v>198</v>
      </c>
      <c r="K4760" s="14" t="s">
        <v>210</v>
      </c>
      <c r="L4760" s="14" t="s">
        <v>278</v>
      </c>
      <c r="M4760" s="14" t="s">
        <v>443</v>
      </c>
      <c r="N4760" s="14" t="s">
        <v>444</v>
      </c>
      <c r="O4760" s="14">
        <v>0.0</v>
      </c>
      <c r="P4760" s="21">
        <v>297.0</v>
      </c>
      <c r="Q4760" s="22" t="str">
        <f>"-4"</f>
        <v>-4</v>
      </c>
      <c r="R4760" s="18" t="str">
        <f>"+8"</f>
        <v>+8</v>
      </c>
      <c r="S4760" s="14" t="s">
        <v>961</v>
      </c>
    </row>
    <row r="4761">
      <c r="A4761" s="13">
        <v>45901.0</v>
      </c>
      <c r="B4761" s="14" t="s">
        <v>47</v>
      </c>
      <c r="C4761" s="14" t="s">
        <v>48</v>
      </c>
      <c r="D4761" s="14" t="s">
        <v>77</v>
      </c>
      <c r="E4761" s="14" t="s">
        <v>78</v>
      </c>
      <c r="F4761" s="14" t="s">
        <v>79</v>
      </c>
      <c r="G4761" s="14" t="s">
        <v>80</v>
      </c>
      <c r="H4761" s="14" t="s">
        <v>81</v>
      </c>
      <c r="J4761" s="14" t="s">
        <v>200</v>
      </c>
      <c r="K4761" s="14" t="s">
        <v>237</v>
      </c>
      <c r="L4761" s="14" t="s">
        <v>333</v>
      </c>
      <c r="M4761" s="14" t="s">
        <v>2351</v>
      </c>
      <c r="N4761" s="14" t="s">
        <v>2352</v>
      </c>
      <c r="O4761" s="14">
        <v>0.0</v>
      </c>
      <c r="P4761" s="23">
        <v>-1.0</v>
      </c>
      <c r="Q4761" s="22" t="str">
        <f t="shared" ref="Q4761:R4761" si="2851">"+0.00%"</f>
        <v>+0.00%</v>
      </c>
      <c r="R4761" s="18" t="str">
        <f t="shared" si="2851"/>
        <v>+0.00%</v>
      </c>
      <c r="S4761" s="14" t="s">
        <v>336</v>
      </c>
    </row>
    <row r="4762">
      <c r="A4762" s="13">
        <v>45901.0</v>
      </c>
      <c r="B4762" s="14" t="s">
        <v>47</v>
      </c>
      <c r="C4762" s="14" t="s">
        <v>48</v>
      </c>
      <c r="D4762" s="14" t="s">
        <v>77</v>
      </c>
      <c r="E4762" s="14" t="s">
        <v>78</v>
      </c>
      <c r="F4762" s="14" t="s">
        <v>71</v>
      </c>
      <c r="G4762" s="14">
        <v>5.36009043E8</v>
      </c>
      <c r="H4762" s="14" t="s">
        <v>81</v>
      </c>
      <c r="J4762" s="14" t="s">
        <v>199</v>
      </c>
      <c r="K4762" s="14" t="s">
        <v>206</v>
      </c>
      <c r="L4762" s="14" t="s">
        <v>569</v>
      </c>
      <c r="M4762" s="14" t="s">
        <v>569</v>
      </c>
      <c r="N4762" s="14" t="s">
        <v>570</v>
      </c>
      <c r="O4762" s="14">
        <v>0.0</v>
      </c>
      <c r="P4762" s="21">
        <v>0.0</v>
      </c>
      <c r="Q4762" s="22" t="str">
        <f t="shared" ref="Q4762:Q4765" si="2852">"+0"</f>
        <v>+0</v>
      </c>
      <c r="S4762" s="14" t="s">
        <v>383</v>
      </c>
    </row>
    <row r="4763">
      <c r="A4763" s="13">
        <v>45901.0</v>
      </c>
      <c r="B4763" s="14" t="s">
        <v>47</v>
      </c>
      <c r="C4763" s="14" t="s">
        <v>48</v>
      </c>
      <c r="D4763" s="14" t="s">
        <v>116</v>
      </c>
      <c r="E4763" s="14" t="s">
        <v>117</v>
      </c>
      <c r="F4763" s="15" t="s">
        <v>51</v>
      </c>
      <c r="G4763" s="14" t="s">
        <v>161</v>
      </c>
      <c r="H4763" s="14" t="s">
        <v>116</v>
      </c>
      <c r="I4763" s="14" t="s">
        <v>54</v>
      </c>
      <c r="J4763" s="14" t="s">
        <v>200</v>
      </c>
      <c r="K4763" s="14" t="s">
        <v>222</v>
      </c>
      <c r="L4763" s="14" t="s">
        <v>253</v>
      </c>
      <c r="M4763" s="14" t="s">
        <v>732</v>
      </c>
      <c r="N4763" s="14" t="s">
        <v>733</v>
      </c>
      <c r="O4763" s="14">
        <v>100.0</v>
      </c>
      <c r="P4763" s="21">
        <v>2.0</v>
      </c>
      <c r="Q4763" s="22" t="str">
        <f t="shared" si="2852"/>
        <v>+0</v>
      </c>
      <c r="R4763" s="18" t="str">
        <f>"+1"</f>
        <v>+1</v>
      </c>
      <c r="S4763" s="14" t="s">
        <v>450</v>
      </c>
    </row>
    <row r="4764">
      <c r="A4764" s="13">
        <v>45901.0</v>
      </c>
      <c r="B4764" s="14" t="s">
        <v>47</v>
      </c>
      <c r="C4764" s="14" t="s">
        <v>48</v>
      </c>
      <c r="D4764" s="14" t="s">
        <v>116</v>
      </c>
      <c r="E4764" s="14" t="s">
        <v>117</v>
      </c>
      <c r="F4764" s="15" t="s">
        <v>51</v>
      </c>
      <c r="G4764" s="14" t="s">
        <v>161</v>
      </c>
      <c r="H4764" s="14" t="s">
        <v>116</v>
      </c>
      <c r="I4764" s="14" t="s">
        <v>54</v>
      </c>
      <c r="J4764" s="14" t="s">
        <v>200</v>
      </c>
      <c r="K4764" s="14" t="s">
        <v>213</v>
      </c>
      <c r="L4764" s="14" t="s">
        <v>257</v>
      </c>
      <c r="M4764" s="14" t="s">
        <v>258</v>
      </c>
      <c r="N4764" s="14" t="s">
        <v>259</v>
      </c>
      <c r="O4764" s="14">
        <v>100.0</v>
      </c>
      <c r="P4764" s="21">
        <v>42.0</v>
      </c>
      <c r="Q4764" s="22" t="str">
        <f t="shared" si="2852"/>
        <v>+0</v>
      </c>
      <c r="R4764" s="18" t="str">
        <f t="shared" ref="R4764:R4765" si="2853">"+0"</f>
        <v>+0</v>
      </c>
      <c r="S4764" s="14" t="s">
        <v>260</v>
      </c>
    </row>
    <row r="4765">
      <c r="A4765" s="13">
        <v>45901.0</v>
      </c>
      <c r="B4765" s="14" t="s">
        <v>47</v>
      </c>
      <c r="C4765" s="14" t="s">
        <v>48</v>
      </c>
      <c r="D4765" s="14" t="s">
        <v>77</v>
      </c>
      <c r="E4765" s="14" t="s">
        <v>78</v>
      </c>
      <c r="F4765" s="15" t="s">
        <v>51</v>
      </c>
      <c r="G4765" s="14" t="s">
        <v>128</v>
      </c>
      <c r="H4765" s="14" t="s">
        <v>81</v>
      </c>
      <c r="I4765" s="14" t="s">
        <v>59</v>
      </c>
      <c r="J4765" s="14" t="s">
        <v>200</v>
      </c>
      <c r="K4765" s="14" t="s">
        <v>223</v>
      </c>
      <c r="L4765" s="14" t="s">
        <v>359</v>
      </c>
      <c r="M4765" s="14" t="s">
        <v>519</v>
      </c>
      <c r="N4765" s="14" t="s">
        <v>520</v>
      </c>
      <c r="O4765" s="14">
        <v>0.0</v>
      </c>
      <c r="P4765" s="21">
        <v>0.0</v>
      </c>
      <c r="Q4765" s="22" t="str">
        <f t="shared" si="2852"/>
        <v>+0</v>
      </c>
      <c r="R4765" s="18" t="str">
        <f t="shared" si="2853"/>
        <v>+0</v>
      </c>
      <c r="S4765" s="14" t="s">
        <v>260</v>
      </c>
    </row>
    <row r="4766">
      <c r="A4766" s="13">
        <v>45901.0</v>
      </c>
      <c r="B4766" s="14" t="s">
        <v>47</v>
      </c>
      <c r="C4766" s="14" t="s">
        <v>48</v>
      </c>
      <c r="D4766" s="14" t="s">
        <v>56</v>
      </c>
      <c r="E4766" s="14" t="s">
        <v>57</v>
      </c>
      <c r="F4766" s="15" t="s">
        <v>51</v>
      </c>
      <c r="G4766" s="14" t="s">
        <v>58</v>
      </c>
      <c r="H4766" s="14" t="s">
        <v>56</v>
      </c>
      <c r="I4766" s="14" t="s">
        <v>59</v>
      </c>
      <c r="J4766" s="14" t="s">
        <v>200</v>
      </c>
      <c r="K4766" s="14" t="s">
        <v>209</v>
      </c>
      <c r="L4766" s="14" t="s">
        <v>253</v>
      </c>
      <c r="M4766" s="14" t="s">
        <v>817</v>
      </c>
      <c r="N4766" s="14" t="s">
        <v>818</v>
      </c>
      <c r="O4766" s="14">
        <v>1.0</v>
      </c>
      <c r="P4766" s="23">
        <v>0.0028</v>
      </c>
      <c r="Q4766" s="22" t="str">
        <f>"+0.07%"</f>
        <v>+0.07%</v>
      </c>
      <c r="R4766" s="18" t="str">
        <f>"+0.09%"</f>
        <v>+0.09%</v>
      </c>
      <c r="S4766" s="14" t="s">
        <v>2353</v>
      </c>
    </row>
    <row r="4767">
      <c r="A4767" s="13">
        <v>45901.0</v>
      </c>
      <c r="B4767" s="14" t="s">
        <v>47</v>
      </c>
      <c r="C4767" s="14" t="s">
        <v>48</v>
      </c>
      <c r="D4767" s="14" t="s">
        <v>56</v>
      </c>
      <c r="E4767" s="14" t="s">
        <v>57</v>
      </c>
      <c r="F4767" s="15" t="s">
        <v>51</v>
      </c>
      <c r="G4767" s="14" t="s">
        <v>58</v>
      </c>
      <c r="H4767" s="14" t="s">
        <v>56</v>
      </c>
      <c r="I4767" s="14" t="s">
        <v>59</v>
      </c>
      <c r="J4767" s="14" t="s">
        <v>200</v>
      </c>
      <c r="K4767" s="14" t="s">
        <v>223</v>
      </c>
      <c r="L4767" s="14" t="s">
        <v>307</v>
      </c>
      <c r="M4767" s="14" t="s">
        <v>561</v>
      </c>
      <c r="N4767" s="14" t="s">
        <v>562</v>
      </c>
      <c r="O4767" s="14">
        <v>0.0</v>
      </c>
      <c r="P4767" s="23">
        <v>0.0</v>
      </c>
      <c r="Q4767" s="22" t="str">
        <f t="shared" ref="Q4767:R4767" si="2854">"+0.00%"</f>
        <v>+0.00%</v>
      </c>
      <c r="R4767" s="18" t="str">
        <f t="shared" si="2854"/>
        <v>+0.00%</v>
      </c>
      <c r="S4767" s="14" t="s">
        <v>285</v>
      </c>
    </row>
    <row r="4768">
      <c r="A4768" s="13">
        <v>45901.0</v>
      </c>
      <c r="B4768" s="14" t="s">
        <v>47</v>
      </c>
      <c r="C4768" s="14" t="s">
        <v>48</v>
      </c>
      <c r="D4768" s="14" t="s">
        <v>49</v>
      </c>
      <c r="E4768" s="14" t="s">
        <v>50</v>
      </c>
      <c r="F4768" s="15" t="s">
        <v>51</v>
      </c>
      <c r="G4768" s="14" t="s">
        <v>52</v>
      </c>
      <c r="H4768" s="14" t="s">
        <v>53</v>
      </c>
      <c r="I4768" s="14" t="s">
        <v>54</v>
      </c>
      <c r="J4768" s="14" t="s">
        <v>200</v>
      </c>
      <c r="K4768" s="14" t="s">
        <v>213</v>
      </c>
      <c r="L4768" s="14" t="s">
        <v>253</v>
      </c>
      <c r="M4768" s="14" t="s">
        <v>552</v>
      </c>
      <c r="N4768" s="14" t="s">
        <v>553</v>
      </c>
      <c r="O4768" s="14">
        <v>50.0</v>
      </c>
      <c r="P4768" s="23">
        <v>0.5008</v>
      </c>
      <c r="Q4768" s="22" t="str">
        <f>"+7.54%"</f>
        <v>+7.54%</v>
      </c>
      <c r="R4768" s="18" t="str">
        <f>"+1.45%"</f>
        <v>+1.45%</v>
      </c>
      <c r="S4768" s="14" t="s">
        <v>1819</v>
      </c>
    </row>
    <row r="4769">
      <c r="A4769" s="13">
        <v>45901.0</v>
      </c>
      <c r="B4769" s="14" t="s">
        <v>47</v>
      </c>
      <c r="C4769" s="14" t="s">
        <v>48</v>
      </c>
      <c r="D4769" s="14" t="s">
        <v>49</v>
      </c>
      <c r="E4769" s="14" t="s">
        <v>50</v>
      </c>
      <c r="F4769" s="15" t="s">
        <v>51</v>
      </c>
      <c r="G4769" s="14" t="s">
        <v>52</v>
      </c>
      <c r="H4769" s="14" t="s">
        <v>53</v>
      </c>
      <c r="I4769" s="14" t="s">
        <v>54</v>
      </c>
      <c r="J4769" s="14" t="s">
        <v>199</v>
      </c>
      <c r="K4769" s="14" t="s">
        <v>206</v>
      </c>
      <c r="L4769" s="14" t="s">
        <v>531</v>
      </c>
      <c r="M4769" s="14" t="s">
        <v>531</v>
      </c>
      <c r="N4769" s="14" t="s">
        <v>532</v>
      </c>
      <c r="O4769" s="14">
        <v>100.0</v>
      </c>
      <c r="P4769" s="21">
        <v>7.0</v>
      </c>
      <c r="Q4769" s="22" t="str">
        <f t="shared" ref="Q4769:R4769" si="2855">"+0"</f>
        <v>+0</v>
      </c>
      <c r="R4769" s="18" t="str">
        <f t="shared" si="2855"/>
        <v>+0</v>
      </c>
      <c r="S4769" s="14" t="s">
        <v>260</v>
      </c>
    </row>
    <row r="4770">
      <c r="A4770" s="13">
        <v>45901.0</v>
      </c>
      <c r="B4770" s="14" t="s">
        <v>47</v>
      </c>
      <c r="C4770" s="14" t="s">
        <v>48</v>
      </c>
      <c r="D4770" s="14" t="s">
        <v>118</v>
      </c>
      <c r="E4770" s="14" t="s">
        <v>119</v>
      </c>
      <c r="F4770" s="15" t="s">
        <v>51</v>
      </c>
      <c r="G4770" s="14" t="s">
        <v>120</v>
      </c>
      <c r="H4770" s="14" t="s">
        <v>118</v>
      </c>
      <c r="I4770" s="14" t="s">
        <v>59</v>
      </c>
      <c r="J4770" s="14" t="s">
        <v>198</v>
      </c>
      <c r="K4770" s="14" t="s">
        <v>212</v>
      </c>
      <c r="L4770" s="14" t="s">
        <v>249</v>
      </c>
      <c r="M4770" s="14" t="s">
        <v>250</v>
      </c>
      <c r="N4770" s="14" t="s">
        <v>251</v>
      </c>
      <c r="O4770" s="14">
        <v>0.0</v>
      </c>
      <c r="P4770" s="21">
        <v>258189.0</v>
      </c>
      <c r="Q4770" s="22" t="str">
        <f>"-4,070"</f>
        <v>-4,070</v>
      </c>
      <c r="R4770" s="18" t="str">
        <f>"-254,191"</f>
        <v>-254,191</v>
      </c>
      <c r="S4770" s="14" t="s">
        <v>2354</v>
      </c>
    </row>
    <row r="4771">
      <c r="A4771" s="13">
        <v>45901.0</v>
      </c>
      <c r="B4771" s="14" t="s">
        <v>47</v>
      </c>
      <c r="C4771" s="14" t="s">
        <v>48</v>
      </c>
      <c r="D4771" s="14" t="s">
        <v>91</v>
      </c>
      <c r="E4771" s="14" t="s">
        <v>92</v>
      </c>
      <c r="F4771" s="14" t="s">
        <v>71</v>
      </c>
      <c r="G4771" s="14">
        <v>5.10000484E8</v>
      </c>
      <c r="H4771" s="14" t="s">
        <v>91</v>
      </c>
      <c r="I4771" s="14" t="s">
        <v>54</v>
      </c>
      <c r="J4771" s="14" t="s">
        <v>199</v>
      </c>
      <c r="K4771" s="14" t="s">
        <v>203</v>
      </c>
      <c r="L4771" s="14" t="s">
        <v>536</v>
      </c>
      <c r="M4771" s="14" t="s">
        <v>536</v>
      </c>
      <c r="N4771" s="14" t="s">
        <v>537</v>
      </c>
      <c r="O4771" s="14">
        <v>0.0</v>
      </c>
      <c r="P4771" s="21">
        <v>0.0</v>
      </c>
      <c r="Q4771" s="22" t="str">
        <f t="shared" ref="Q4771:R4771" si="2856">"+0"</f>
        <v>+0</v>
      </c>
      <c r="R4771" s="18" t="str">
        <f t="shared" si="2856"/>
        <v>+0</v>
      </c>
      <c r="S4771" s="14" t="s">
        <v>260</v>
      </c>
    </row>
    <row r="4772">
      <c r="A4772" s="13">
        <v>45901.0</v>
      </c>
      <c r="B4772" s="14" t="s">
        <v>47</v>
      </c>
      <c r="C4772" s="14" t="s">
        <v>48</v>
      </c>
      <c r="D4772" s="14" t="s">
        <v>91</v>
      </c>
      <c r="E4772" s="14" t="s">
        <v>92</v>
      </c>
      <c r="F4772" s="14" t="s">
        <v>79</v>
      </c>
      <c r="G4772" s="14" t="s">
        <v>164</v>
      </c>
      <c r="H4772" s="14" t="s">
        <v>91</v>
      </c>
      <c r="I4772" s="14" t="s">
        <v>154</v>
      </c>
      <c r="J4772" s="14" t="s">
        <v>198</v>
      </c>
      <c r="K4772" s="14" t="s">
        <v>212</v>
      </c>
      <c r="L4772" s="14" t="s">
        <v>249</v>
      </c>
      <c r="M4772" s="14" t="s">
        <v>1188</v>
      </c>
      <c r="N4772" s="14" t="s">
        <v>1189</v>
      </c>
      <c r="O4772" s="14">
        <v>100.0</v>
      </c>
      <c r="P4772" s="21">
        <v>0.0</v>
      </c>
      <c r="Q4772" s="22" t="str">
        <f t="shared" ref="Q4772:Q4774" si="2857">"+0"</f>
        <v>+0</v>
      </c>
      <c r="S4772" s="14" t="s">
        <v>281</v>
      </c>
    </row>
    <row r="4773">
      <c r="A4773" s="13">
        <v>45901.0</v>
      </c>
      <c r="B4773" s="14" t="s">
        <v>47</v>
      </c>
      <c r="C4773" s="14" t="s">
        <v>48</v>
      </c>
      <c r="D4773" s="14" t="s">
        <v>91</v>
      </c>
      <c r="E4773" s="14" t="s">
        <v>92</v>
      </c>
      <c r="F4773" s="14" t="s">
        <v>71</v>
      </c>
      <c r="G4773" s="14">
        <v>1.00004432E8</v>
      </c>
      <c r="H4773" s="14" t="s">
        <v>91</v>
      </c>
      <c r="I4773" s="14" t="s">
        <v>59</v>
      </c>
      <c r="J4773" s="14" t="s">
        <v>199</v>
      </c>
      <c r="K4773" s="14" t="s">
        <v>206</v>
      </c>
      <c r="L4773" s="14" t="s">
        <v>515</v>
      </c>
      <c r="M4773" s="14" t="s">
        <v>515</v>
      </c>
      <c r="N4773" s="14" t="s">
        <v>516</v>
      </c>
      <c r="O4773" s="14">
        <v>25.0</v>
      </c>
      <c r="P4773" s="21">
        <v>1.0</v>
      </c>
      <c r="Q4773" s="22" t="str">
        <f t="shared" si="2857"/>
        <v>+0</v>
      </c>
      <c r="R4773" s="18" t="str">
        <f t="shared" ref="R4773:R4774" si="2858">"+0"</f>
        <v>+0</v>
      </c>
      <c r="S4773" s="14" t="s">
        <v>383</v>
      </c>
    </row>
    <row r="4774">
      <c r="A4774" s="13">
        <v>45901.0</v>
      </c>
      <c r="B4774" s="14" t="s">
        <v>47</v>
      </c>
      <c r="C4774" s="14" t="s">
        <v>48</v>
      </c>
      <c r="D4774" s="14" t="s">
        <v>66</v>
      </c>
      <c r="E4774" s="14" t="s">
        <v>67</v>
      </c>
      <c r="F4774" s="15" t="s">
        <v>51</v>
      </c>
      <c r="G4774" s="14" t="s">
        <v>68</v>
      </c>
      <c r="H4774" s="14" t="s">
        <v>66</v>
      </c>
      <c r="I4774" s="14" t="s">
        <v>59</v>
      </c>
      <c r="J4774" s="14" t="s">
        <v>200</v>
      </c>
      <c r="K4774" s="14" t="s">
        <v>231</v>
      </c>
      <c r="L4774" s="14" t="s">
        <v>512</v>
      </c>
      <c r="M4774" s="14" t="s">
        <v>982</v>
      </c>
      <c r="N4774" s="14" t="s">
        <v>983</v>
      </c>
      <c r="O4774" s="14">
        <v>0.0</v>
      </c>
      <c r="P4774" s="21">
        <v>0.0</v>
      </c>
      <c r="Q4774" s="22" t="str">
        <f t="shared" si="2857"/>
        <v>+0</v>
      </c>
      <c r="R4774" s="18" t="str">
        <f t="shared" si="2858"/>
        <v>+0</v>
      </c>
      <c r="S4774" s="14" t="s">
        <v>260</v>
      </c>
    </row>
    <row r="4775">
      <c r="A4775" s="13">
        <v>45901.0</v>
      </c>
      <c r="B4775" s="14" t="s">
        <v>47</v>
      </c>
      <c r="C4775" s="14" t="s">
        <v>48</v>
      </c>
      <c r="D4775" s="14" t="s">
        <v>184</v>
      </c>
      <c r="E4775" s="14" t="s">
        <v>185</v>
      </c>
      <c r="F4775" s="15" t="s">
        <v>51</v>
      </c>
      <c r="G4775" s="14" t="s">
        <v>186</v>
      </c>
      <c r="H4775" s="14" t="s">
        <v>187</v>
      </c>
      <c r="I4775" s="14" t="s">
        <v>59</v>
      </c>
      <c r="J4775" s="14" t="s">
        <v>200</v>
      </c>
      <c r="K4775" s="14" t="s">
        <v>224</v>
      </c>
      <c r="L4775" s="14" t="s">
        <v>453</v>
      </c>
      <c r="M4775" s="14" t="s">
        <v>949</v>
      </c>
      <c r="N4775" s="14" t="s">
        <v>950</v>
      </c>
      <c r="O4775" s="14">
        <v>0.0</v>
      </c>
      <c r="P4775" s="17"/>
      <c r="Q4775" s="22"/>
      <c r="S4775" s="14" t="s">
        <v>951</v>
      </c>
    </row>
    <row r="4776">
      <c r="A4776" s="13">
        <v>45901.0</v>
      </c>
      <c r="B4776" s="14" t="s">
        <v>47</v>
      </c>
      <c r="C4776" s="14" t="s">
        <v>48</v>
      </c>
      <c r="D4776" s="14" t="s">
        <v>192</v>
      </c>
      <c r="E4776" s="14" t="s">
        <v>193</v>
      </c>
      <c r="F4776" s="15" t="s">
        <v>51</v>
      </c>
      <c r="G4776" s="14" t="s">
        <v>194</v>
      </c>
      <c r="H4776" s="14" t="s">
        <v>192</v>
      </c>
      <c r="I4776" s="14" t="s">
        <v>54</v>
      </c>
      <c r="J4776" s="14" t="s">
        <v>198</v>
      </c>
      <c r="K4776" s="14" t="s">
        <v>210</v>
      </c>
      <c r="L4776" s="14" t="s">
        <v>278</v>
      </c>
      <c r="M4776" s="14" t="s">
        <v>443</v>
      </c>
      <c r="N4776" s="14" t="s">
        <v>444</v>
      </c>
      <c r="O4776" s="14">
        <v>5.0</v>
      </c>
      <c r="P4776" s="21">
        <v>237.0</v>
      </c>
      <c r="Q4776" s="22" t="str">
        <f>"+23"</f>
        <v>+23</v>
      </c>
      <c r="R4776" s="18" t="str">
        <f>"+17"</f>
        <v>+17</v>
      </c>
      <c r="S4776" s="14" t="s">
        <v>1433</v>
      </c>
    </row>
    <row r="4777">
      <c r="A4777" s="13">
        <v>45901.0</v>
      </c>
      <c r="B4777" s="14" t="s">
        <v>47</v>
      </c>
      <c r="C4777" s="14" t="s">
        <v>48</v>
      </c>
      <c r="D4777" s="14" t="s">
        <v>103</v>
      </c>
      <c r="E4777" s="14" t="s">
        <v>104</v>
      </c>
      <c r="F4777" s="15" t="s">
        <v>51</v>
      </c>
      <c r="G4777" s="14" t="s">
        <v>105</v>
      </c>
      <c r="H4777" s="14" t="s">
        <v>106</v>
      </c>
      <c r="I4777" s="14" t="s">
        <v>59</v>
      </c>
      <c r="J4777" s="14" t="s">
        <v>200</v>
      </c>
      <c r="K4777" s="14" t="s">
        <v>204</v>
      </c>
      <c r="L4777" s="14" t="s">
        <v>253</v>
      </c>
      <c r="M4777" s="14" t="s">
        <v>490</v>
      </c>
      <c r="N4777" s="14" t="s">
        <v>491</v>
      </c>
      <c r="O4777" s="14">
        <v>0.0</v>
      </c>
      <c r="P4777" s="23">
        <v>0.0</v>
      </c>
      <c r="Q4777" s="22" t="str">
        <f t="shared" ref="Q4777:R4777" si="2859">"+0.00%"</f>
        <v>+0.00%</v>
      </c>
      <c r="R4777" s="18" t="str">
        <f t="shared" si="2859"/>
        <v>+0.00%</v>
      </c>
      <c r="S4777" s="14" t="s">
        <v>492</v>
      </c>
    </row>
    <row r="4778">
      <c r="A4778" s="13">
        <v>45901.0</v>
      </c>
      <c r="B4778" s="14" t="s">
        <v>47</v>
      </c>
      <c r="C4778" s="14" t="s">
        <v>48</v>
      </c>
      <c r="D4778" s="14" t="s">
        <v>73</v>
      </c>
      <c r="E4778" s="14" t="s">
        <v>74</v>
      </c>
      <c r="F4778" s="15" t="s">
        <v>51</v>
      </c>
      <c r="G4778" s="14" t="s">
        <v>75</v>
      </c>
      <c r="H4778" s="14" t="s">
        <v>76</v>
      </c>
      <c r="I4778" s="14" t="s">
        <v>59</v>
      </c>
      <c r="J4778" s="14" t="s">
        <v>200</v>
      </c>
      <c r="K4778" s="14" t="s">
        <v>232</v>
      </c>
      <c r="L4778" s="14" t="s">
        <v>286</v>
      </c>
      <c r="M4778" s="14" t="s">
        <v>588</v>
      </c>
      <c r="N4778" s="14" t="s">
        <v>589</v>
      </c>
      <c r="O4778" s="14">
        <v>0.0</v>
      </c>
      <c r="P4778" s="23">
        <v>0.0</v>
      </c>
      <c r="Q4778" s="22" t="str">
        <f t="shared" ref="Q4778:R4778" si="2860">"+0.00%"</f>
        <v>+0.00%</v>
      </c>
      <c r="R4778" s="18" t="str">
        <f t="shared" si="2860"/>
        <v>+0.00%</v>
      </c>
      <c r="S4778" s="14" t="s">
        <v>285</v>
      </c>
    </row>
    <row r="4779">
      <c r="A4779" s="13">
        <v>45901.0</v>
      </c>
      <c r="B4779" s="14" t="s">
        <v>47</v>
      </c>
      <c r="C4779" s="14" t="s">
        <v>48</v>
      </c>
      <c r="D4779" s="14" t="s">
        <v>132</v>
      </c>
      <c r="E4779" s="14" t="s">
        <v>133</v>
      </c>
      <c r="F4779" s="15" t="s">
        <v>51</v>
      </c>
      <c r="G4779" s="14" t="s">
        <v>134</v>
      </c>
      <c r="H4779" s="14" t="s">
        <v>135</v>
      </c>
      <c r="I4779" s="14" t="s">
        <v>59</v>
      </c>
      <c r="J4779" s="14" t="s">
        <v>199</v>
      </c>
      <c r="K4779" s="14" t="s">
        <v>206</v>
      </c>
      <c r="L4779" s="14" t="s">
        <v>295</v>
      </c>
      <c r="M4779" s="14" t="s">
        <v>296</v>
      </c>
      <c r="N4779" s="14" t="s">
        <v>297</v>
      </c>
      <c r="O4779" s="14">
        <v>0.0</v>
      </c>
      <c r="P4779" s="21">
        <v>0.0</v>
      </c>
      <c r="Q4779" s="22" t="str">
        <f t="shared" ref="Q4779:R4779" si="2861">"+0"</f>
        <v>+0</v>
      </c>
      <c r="R4779" s="18" t="str">
        <f t="shared" si="2861"/>
        <v>+0</v>
      </c>
      <c r="S4779" s="14" t="s">
        <v>260</v>
      </c>
    </row>
    <row r="4780">
      <c r="A4780" s="13">
        <v>45901.0</v>
      </c>
      <c r="B4780" s="14" t="s">
        <v>47</v>
      </c>
      <c r="C4780" s="14" t="s">
        <v>48</v>
      </c>
      <c r="D4780" s="14" t="s">
        <v>73</v>
      </c>
      <c r="E4780" s="14" t="s">
        <v>74</v>
      </c>
      <c r="F4780" s="15" t="s">
        <v>51</v>
      </c>
      <c r="G4780" s="14" t="s">
        <v>75</v>
      </c>
      <c r="H4780" s="14" t="s">
        <v>76</v>
      </c>
      <c r="I4780" s="14" t="s">
        <v>59</v>
      </c>
      <c r="J4780" s="14" t="s">
        <v>200</v>
      </c>
      <c r="K4780" s="14" t="s">
        <v>232</v>
      </c>
      <c r="L4780" s="14" t="s">
        <v>375</v>
      </c>
      <c r="M4780" s="14" t="s">
        <v>902</v>
      </c>
      <c r="N4780" s="14" t="s">
        <v>903</v>
      </c>
      <c r="O4780" s="14">
        <v>0.0</v>
      </c>
      <c r="P4780" s="23">
        <v>0.0</v>
      </c>
      <c r="Q4780" s="22" t="str">
        <f t="shared" ref="Q4780:R4780" si="2862">"+0.00%"</f>
        <v>+0.00%</v>
      </c>
      <c r="R4780" s="18" t="str">
        <f t="shared" si="2862"/>
        <v>+0.00%</v>
      </c>
      <c r="S4780" s="14" t="s">
        <v>285</v>
      </c>
    </row>
    <row r="4781">
      <c r="A4781" s="13">
        <v>45901.0</v>
      </c>
      <c r="B4781" s="14" t="s">
        <v>47</v>
      </c>
      <c r="C4781" s="14" t="s">
        <v>48</v>
      </c>
      <c r="D4781" s="14" t="s">
        <v>87</v>
      </c>
      <c r="E4781" s="14" t="s">
        <v>88</v>
      </c>
      <c r="F4781" s="15" t="s">
        <v>51</v>
      </c>
      <c r="G4781" s="14" t="s">
        <v>89</v>
      </c>
      <c r="H4781" s="14" t="s">
        <v>90</v>
      </c>
      <c r="I4781" s="14" t="s">
        <v>59</v>
      </c>
      <c r="J4781" s="14" t="s">
        <v>200</v>
      </c>
      <c r="K4781" s="14" t="s">
        <v>223</v>
      </c>
      <c r="L4781" s="14" t="s">
        <v>375</v>
      </c>
      <c r="M4781" s="14" t="s">
        <v>902</v>
      </c>
      <c r="N4781" s="14" t="s">
        <v>903</v>
      </c>
      <c r="O4781" s="14">
        <v>0.0</v>
      </c>
      <c r="P4781" s="23">
        <v>0.0</v>
      </c>
      <c r="Q4781" s="22" t="str">
        <f t="shared" ref="Q4781:R4781" si="2863">"+0.00%"</f>
        <v>+0.00%</v>
      </c>
      <c r="R4781" s="18" t="str">
        <f t="shared" si="2863"/>
        <v>+0.00%</v>
      </c>
      <c r="S4781" s="14" t="s">
        <v>285</v>
      </c>
    </row>
    <row r="4782">
      <c r="A4782" s="13">
        <v>45901.0</v>
      </c>
      <c r="B4782" s="14" t="s">
        <v>47</v>
      </c>
      <c r="C4782" s="14" t="s">
        <v>48</v>
      </c>
      <c r="D4782" s="14" t="s">
        <v>129</v>
      </c>
      <c r="E4782" s="14" t="s">
        <v>130</v>
      </c>
      <c r="F4782" s="15" t="s">
        <v>51</v>
      </c>
      <c r="G4782" s="14" t="s">
        <v>131</v>
      </c>
      <c r="H4782" s="14" t="s">
        <v>129</v>
      </c>
      <c r="I4782" s="14" t="s">
        <v>59</v>
      </c>
      <c r="J4782" s="14" t="s">
        <v>200</v>
      </c>
      <c r="K4782" s="14" t="s">
        <v>213</v>
      </c>
      <c r="L4782" s="14" t="s">
        <v>257</v>
      </c>
      <c r="M4782" s="14" t="s">
        <v>517</v>
      </c>
      <c r="N4782" s="14" t="s">
        <v>518</v>
      </c>
      <c r="O4782" s="14">
        <v>100.0</v>
      </c>
      <c r="P4782" s="21">
        <v>41.0</v>
      </c>
      <c r="Q4782" s="22" t="str">
        <f t="shared" ref="Q4782:R4782" si="2864">"+0"</f>
        <v>+0</v>
      </c>
      <c r="R4782" s="18" t="str">
        <f t="shared" si="2864"/>
        <v>+0</v>
      </c>
      <c r="S4782" s="14" t="s">
        <v>260</v>
      </c>
    </row>
    <row r="4783">
      <c r="A4783" s="13">
        <v>45901.0</v>
      </c>
      <c r="B4783" s="14" t="s">
        <v>47</v>
      </c>
      <c r="C4783" s="14" t="s">
        <v>48</v>
      </c>
      <c r="D4783" s="14" t="s">
        <v>69</v>
      </c>
      <c r="E4783" s="14" t="s">
        <v>70</v>
      </c>
      <c r="F4783" s="15" t="s">
        <v>51</v>
      </c>
      <c r="G4783" s="14" t="s">
        <v>115</v>
      </c>
      <c r="H4783" s="14" t="s">
        <v>72</v>
      </c>
      <c r="I4783" s="14" t="s">
        <v>54</v>
      </c>
      <c r="J4783" s="14" t="s">
        <v>198</v>
      </c>
      <c r="K4783" s="14" t="s">
        <v>210</v>
      </c>
      <c r="L4783" s="14" t="s">
        <v>458</v>
      </c>
      <c r="M4783" s="14" t="s">
        <v>1401</v>
      </c>
      <c r="N4783" s="14" t="s">
        <v>1402</v>
      </c>
      <c r="O4783" s="14">
        <v>0.0</v>
      </c>
      <c r="P4783" s="21">
        <v>0.0</v>
      </c>
      <c r="Q4783" s="22" t="str">
        <f t="shared" ref="Q4783:R4783" si="2865">"+0"</f>
        <v>+0</v>
      </c>
      <c r="R4783" s="18" t="str">
        <f t="shared" si="2865"/>
        <v>+0</v>
      </c>
      <c r="S4783" s="14" t="s">
        <v>277</v>
      </c>
    </row>
    <row r="4784">
      <c r="A4784" s="13">
        <v>45901.0</v>
      </c>
      <c r="B4784" s="14" t="s">
        <v>47</v>
      </c>
      <c r="C4784" s="14" t="s">
        <v>48</v>
      </c>
      <c r="D4784" s="14" t="s">
        <v>96</v>
      </c>
      <c r="E4784" s="14" t="s">
        <v>97</v>
      </c>
      <c r="F4784" s="15" t="s">
        <v>51</v>
      </c>
      <c r="G4784" s="14" t="s">
        <v>98</v>
      </c>
      <c r="H4784" s="14" t="s">
        <v>96</v>
      </c>
      <c r="I4784" s="14" t="s">
        <v>59</v>
      </c>
      <c r="J4784" s="14" t="s">
        <v>200</v>
      </c>
      <c r="K4784" s="14" t="s">
        <v>223</v>
      </c>
      <c r="L4784" s="14" t="s">
        <v>422</v>
      </c>
      <c r="M4784" s="14" t="s">
        <v>423</v>
      </c>
      <c r="N4784" s="14" t="s">
        <v>424</v>
      </c>
      <c r="O4784" s="14">
        <v>100.0</v>
      </c>
      <c r="P4784" s="21">
        <v>5.0</v>
      </c>
      <c r="Q4784" s="22" t="str">
        <f t="shared" ref="Q4784:R4784" si="2866">"+0"</f>
        <v>+0</v>
      </c>
      <c r="R4784" s="18" t="str">
        <f t="shared" si="2866"/>
        <v>+0</v>
      </c>
      <c r="S4784" s="14" t="s">
        <v>260</v>
      </c>
    </row>
    <row r="4785">
      <c r="A4785" s="13">
        <v>45901.0</v>
      </c>
      <c r="B4785" s="14" t="s">
        <v>47</v>
      </c>
      <c r="C4785" s="14" t="s">
        <v>48</v>
      </c>
      <c r="D4785" s="14" t="s">
        <v>85</v>
      </c>
      <c r="E4785" s="14" t="s">
        <v>86</v>
      </c>
      <c r="F4785" s="15" t="s">
        <v>51</v>
      </c>
      <c r="G4785" s="14" t="s">
        <v>148</v>
      </c>
      <c r="H4785" s="14" t="s">
        <v>85</v>
      </c>
      <c r="I4785" s="14" t="s">
        <v>59</v>
      </c>
      <c r="J4785" s="14" t="s">
        <v>199</v>
      </c>
      <c r="K4785" s="14" t="s">
        <v>206</v>
      </c>
      <c r="L4785" s="14" t="s">
        <v>295</v>
      </c>
      <c r="M4785" s="14" t="s">
        <v>986</v>
      </c>
      <c r="N4785" s="14" t="s">
        <v>987</v>
      </c>
      <c r="O4785" s="14">
        <v>0.0</v>
      </c>
      <c r="P4785" s="21">
        <v>0.0</v>
      </c>
      <c r="Q4785" s="22" t="str">
        <f t="shared" ref="Q4785:R4785" si="2867">"-2"</f>
        <v>-2</v>
      </c>
      <c r="R4785" s="18" t="str">
        <f t="shared" si="2867"/>
        <v>-2</v>
      </c>
      <c r="S4785" s="14" t="s">
        <v>260</v>
      </c>
    </row>
    <row r="4786">
      <c r="A4786" s="13">
        <v>45901.0</v>
      </c>
      <c r="B4786" s="14" t="s">
        <v>47</v>
      </c>
      <c r="C4786" s="14" t="s">
        <v>48</v>
      </c>
      <c r="D4786" s="14" t="s">
        <v>85</v>
      </c>
      <c r="E4786" s="14" t="s">
        <v>86</v>
      </c>
      <c r="F4786" s="15" t="s">
        <v>51</v>
      </c>
      <c r="G4786" s="14" t="s">
        <v>148</v>
      </c>
      <c r="H4786" s="14" t="s">
        <v>85</v>
      </c>
      <c r="I4786" s="14" t="s">
        <v>59</v>
      </c>
      <c r="J4786" s="14" t="s">
        <v>199</v>
      </c>
      <c r="K4786" s="14" t="s">
        <v>206</v>
      </c>
      <c r="L4786" s="14" t="s">
        <v>295</v>
      </c>
      <c r="M4786" s="14" t="s">
        <v>461</v>
      </c>
      <c r="N4786" s="14" t="s">
        <v>462</v>
      </c>
      <c r="O4786" s="14">
        <v>0.0</v>
      </c>
      <c r="P4786" s="21">
        <v>0.0</v>
      </c>
      <c r="Q4786" s="22" t="str">
        <f t="shared" ref="Q4786:R4786" si="2868">"+0"</f>
        <v>+0</v>
      </c>
      <c r="R4786" s="18" t="str">
        <f t="shared" si="2868"/>
        <v>+0</v>
      </c>
      <c r="S4786" s="14" t="s">
        <v>260</v>
      </c>
    </row>
    <row r="4787">
      <c r="A4787" s="13">
        <v>45901.0</v>
      </c>
      <c r="B4787" s="14" t="s">
        <v>47</v>
      </c>
      <c r="C4787" s="14" t="s">
        <v>48</v>
      </c>
      <c r="D4787" s="14" t="s">
        <v>69</v>
      </c>
      <c r="E4787" s="14" t="s">
        <v>70</v>
      </c>
      <c r="F4787" s="15" t="s">
        <v>51</v>
      </c>
      <c r="G4787" s="14" t="s">
        <v>115</v>
      </c>
      <c r="H4787" s="14" t="s">
        <v>72</v>
      </c>
      <c r="I4787" s="14" t="s">
        <v>54</v>
      </c>
      <c r="J4787" s="14" t="s">
        <v>198</v>
      </c>
      <c r="K4787" s="14" t="s">
        <v>207</v>
      </c>
      <c r="L4787" s="14" t="s">
        <v>648</v>
      </c>
      <c r="M4787" s="14" t="s">
        <v>2355</v>
      </c>
      <c r="N4787" s="14" t="s">
        <v>2356</v>
      </c>
      <c r="O4787" s="14">
        <v>100.0</v>
      </c>
      <c r="P4787" s="21">
        <v>1.0</v>
      </c>
      <c r="Q4787" s="22" t="str">
        <f>"+0"</f>
        <v>+0</v>
      </c>
      <c r="S4787" s="14" t="s">
        <v>281</v>
      </c>
    </row>
    <row r="4788">
      <c r="A4788" s="13">
        <v>45901.0</v>
      </c>
      <c r="B4788" s="14" t="s">
        <v>47</v>
      </c>
      <c r="C4788" s="14" t="s">
        <v>48</v>
      </c>
      <c r="D4788" s="14" t="s">
        <v>125</v>
      </c>
      <c r="E4788" s="14" t="s">
        <v>126</v>
      </c>
      <c r="F4788" s="15" t="s">
        <v>51</v>
      </c>
      <c r="G4788" s="14" t="s">
        <v>127</v>
      </c>
      <c r="H4788" s="14" t="s">
        <v>125</v>
      </c>
      <c r="I4788" s="14" t="s">
        <v>59</v>
      </c>
      <c r="J4788" s="14" t="s">
        <v>200</v>
      </c>
      <c r="K4788" s="14" t="s">
        <v>232</v>
      </c>
      <c r="L4788" s="14" t="s">
        <v>286</v>
      </c>
      <c r="M4788" s="14" t="s">
        <v>1199</v>
      </c>
      <c r="N4788" s="14" t="s">
        <v>1200</v>
      </c>
      <c r="O4788" s="14">
        <v>0.0</v>
      </c>
      <c r="P4788" s="23">
        <v>0.0</v>
      </c>
      <c r="Q4788" s="22" t="str">
        <f t="shared" ref="Q4788:R4788" si="2869">"+0.00%"</f>
        <v>+0.00%</v>
      </c>
      <c r="R4788" s="18" t="str">
        <f t="shared" si="2869"/>
        <v>+0.00%</v>
      </c>
      <c r="S4788" s="14" t="s">
        <v>285</v>
      </c>
    </row>
    <row r="4789">
      <c r="A4789" s="13">
        <v>45901.0</v>
      </c>
      <c r="B4789" s="14" t="s">
        <v>47</v>
      </c>
      <c r="C4789" s="14" t="s">
        <v>48</v>
      </c>
      <c r="D4789" s="14" t="s">
        <v>69</v>
      </c>
      <c r="E4789" s="14" t="s">
        <v>70</v>
      </c>
      <c r="F4789" s="14" t="s">
        <v>71</v>
      </c>
      <c r="G4789" s="14">
        <v>1.00002092E8</v>
      </c>
      <c r="H4789" s="14" t="s">
        <v>72</v>
      </c>
      <c r="I4789" s="14" t="s">
        <v>54</v>
      </c>
      <c r="J4789" s="14" t="s">
        <v>200</v>
      </c>
      <c r="K4789" s="14" t="s">
        <v>230</v>
      </c>
      <c r="L4789" s="14" t="s">
        <v>253</v>
      </c>
      <c r="M4789" s="14" t="s">
        <v>541</v>
      </c>
      <c r="N4789" s="14" t="s">
        <v>542</v>
      </c>
      <c r="O4789" s="14">
        <v>28.0</v>
      </c>
      <c r="P4789" s="23">
        <v>0.2859</v>
      </c>
      <c r="Q4789" s="22" t="str">
        <f>"+1.10%"</f>
        <v>+1.10%</v>
      </c>
      <c r="R4789" s="18" t="str">
        <f>"+18.76%"</f>
        <v>+18.76%</v>
      </c>
      <c r="S4789" s="14" t="s">
        <v>2116</v>
      </c>
    </row>
    <row r="4790">
      <c r="A4790" s="13">
        <v>45901.0</v>
      </c>
      <c r="B4790" s="14" t="s">
        <v>47</v>
      </c>
      <c r="C4790" s="14" t="s">
        <v>48</v>
      </c>
      <c r="D4790" s="14" t="s">
        <v>125</v>
      </c>
      <c r="E4790" s="14" t="s">
        <v>126</v>
      </c>
      <c r="F4790" s="15" t="s">
        <v>51</v>
      </c>
      <c r="G4790" s="14" t="s">
        <v>127</v>
      </c>
      <c r="H4790" s="14" t="s">
        <v>125</v>
      </c>
      <c r="I4790" s="14" t="s">
        <v>59</v>
      </c>
      <c r="J4790" s="14" t="s">
        <v>198</v>
      </c>
      <c r="K4790" s="14" t="s">
        <v>212</v>
      </c>
      <c r="L4790" s="14" t="s">
        <v>249</v>
      </c>
      <c r="M4790" s="14" t="s">
        <v>598</v>
      </c>
      <c r="N4790" s="14" t="s">
        <v>599</v>
      </c>
      <c r="O4790" s="14">
        <v>0.0</v>
      </c>
      <c r="P4790" s="21">
        <v>1230.0</v>
      </c>
      <c r="Q4790" s="22" t="str">
        <f>"-41"</f>
        <v>-41</v>
      </c>
      <c r="R4790" s="18" t="str">
        <f>"+0"</f>
        <v>+0</v>
      </c>
      <c r="S4790" s="14" t="s">
        <v>2357</v>
      </c>
    </row>
    <row r="4791">
      <c r="A4791" s="13">
        <v>45901.0</v>
      </c>
      <c r="B4791" s="14" t="s">
        <v>47</v>
      </c>
      <c r="C4791" s="14" t="s">
        <v>48</v>
      </c>
      <c r="D4791" s="14" t="s">
        <v>69</v>
      </c>
      <c r="E4791" s="14" t="s">
        <v>70</v>
      </c>
      <c r="F4791" s="15" t="s">
        <v>51</v>
      </c>
      <c r="G4791" s="14" t="s">
        <v>115</v>
      </c>
      <c r="H4791" s="14" t="s">
        <v>72</v>
      </c>
      <c r="I4791" s="14" t="s">
        <v>54</v>
      </c>
      <c r="J4791" s="14" t="s">
        <v>198</v>
      </c>
      <c r="K4791" s="14" t="s">
        <v>210</v>
      </c>
      <c r="L4791" s="14" t="s">
        <v>264</v>
      </c>
      <c r="M4791" s="14" t="s">
        <v>1068</v>
      </c>
      <c r="N4791" s="14" t="s">
        <v>1069</v>
      </c>
      <c r="O4791" s="14">
        <v>0.0</v>
      </c>
      <c r="P4791" s="21">
        <v>0.0</v>
      </c>
      <c r="Q4791" s="22" t="str">
        <f t="shared" ref="Q4791:R4791" si="2870">"+0"</f>
        <v>+0</v>
      </c>
      <c r="R4791" s="18" t="str">
        <f t="shared" si="2870"/>
        <v>+0</v>
      </c>
      <c r="S4791" s="14" t="s">
        <v>277</v>
      </c>
    </row>
    <row r="4792">
      <c r="A4792" s="13">
        <v>45901.0</v>
      </c>
      <c r="B4792" s="14" t="s">
        <v>47</v>
      </c>
      <c r="C4792" s="14" t="s">
        <v>48</v>
      </c>
      <c r="D4792" s="14" t="s">
        <v>158</v>
      </c>
      <c r="E4792" s="14" t="s">
        <v>159</v>
      </c>
      <c r="F4792" s="15" t="s">
        <v>51</v>
      </c>
      <c r="G4792" s="14" t="s">
        <v>160</v>
      </c>
      <c r="H4792" s="14" t="s">
        <v>158</v>
      </c>
      <c r="I4792" s="14" t="s">
        <v>54</v>
      </c>
      <c r="J4792" s="14" t="s">
        <v>199</v>
      </c>
      <c r="K4792" s="14" t="s">
        <v>203</v>
      </c>
      <c r="L4792" s="14" t="s">
        <v>536</v>
      </c>
      <c r="M4792" s="14" t="s">
        <v>536</v>
      </c>
      <c r="N4792" s="14" t="s">
        <v>537</v>
      </c>
      <c r="O4792" s="14">
        <v>0.0</v>
      </c>
      <c r="P4792" s="21">
        <v>0.0</v>
      </c>
      <c r="Q4792" s="22" t="str">
        <f t="shared" ref="Q4792:R4792" si="2871">"+0"</f>
        <v>+0</v>
      </c>
      <c r="R4792" s="18" t="str">
        <f t="shared" si="2871"/>
        <v>+0</v>
      </c>
      <c r="S4792" s="14" t="s">
        <v>260</v>
      </c>
    </row>
    <row r="4793">
      <c r="A4793" s="13">
        <v>45901.0</v>
      </c>
      <c r="B4793" s="14" t="s">
        <v>47</v>
      </c>
      <c r="C4793" s="14" t="s">
        <v>48</v>
      </c>
      <c r="D4793" s="14" t="s">
        <v>77</v>
      </c>
      <c r="E4793" s="14" t="s">
        <v>78</v>
      </c>
      <c r="F4793" s="15" t="s">
        <v>51</v>
      </c>
      <c r="G4793" s="14" t="s">
        <v>128</v>
      </c>
      <c r="H4793" s="14" t="s">
        <v>81</v>
      </c>
      <c r="I4793" s="14" t="s">
        <v>59</v>
      </c>
      <c r="J4793" s="14" t="s">
        <v>200</v>
      </c>
      <c r="K4793" s="14" t="s">
        <v>227</v>
      </c>
      <c r="L4793" s="14" t="s">
        <v>253</v>
      </c>
      <c r="M4793" s="14" t="s">
        <v>254</v>
      </c>
      <c r="N4793" s="14" t="s">
        <v>255</v>
      </c>
      <c r="O4793" s="14">
        <v>15.0</v>
      </c>
      <c r="P4793" s="23">
        <v>0.15</v>
      </c>
      <c r="Q4793" s="22" t="str">
        <f t="shared" ref="Q4793:R4793" si="2872">"+0.00%"</f>
        <v>+0.00%</v>
      </c>
      <c r="R4793" s="18" t="str">
        <f t="shared" si="2872"/>
        <v>+0.00%</v>
      </c>
      <c r="S4793" s="14" t="s">
        <v>2358</v>
      </c>
    </row>
    <row r="4794">
      <c r="A4794" s="13">
        <v>45901.0</v>
      </c>
      <c r="B4794" s="14" t="s">
        <v>47</v>
      </c>
      <c r="C4794" s="14" t="s">
        <v>48</v>
      </c>
      <c r="D4794" s="14" t="s">
        <v>77</v>
      </c>
      <c r="E4794" s="14" t="s">
        <v>78</v>
      </c>
      <c r="F4794" s="14" t="s">
        <v>71</v>
      </c>
      <c r="G4794" s="14">
        <v>5.36009043E8</v>
      </c>
      <c r="H4794" s="14" t="s">
        <v>81</v>
      </c>
      <c r="J4794" s="14" t="s">
        <v>200</v>
      </c>
      <c r="K4794" s="14" t="s">
        <v>218</v>
      </c>
      <c r="L4794" s="14" t="s">
        <v>253</v>
      </c>
      <c r="M4794" s="14" t="s">
        <v>463</v>
      </c>
      <c r="N4794" s="14" t="s">
        <v>464</v>
      </c>
      <c r="O4794" s="14">
        <v>0.0</v>
      </c>
      <c r="P4794" s="23">
        <v>0.0</v>
      </c>
      <c r="Q4794" s="22" t="str">
        <f>"+0.00%"</f>
        <v>+0.00%</v>
      </c>
      <c r="S4794" s="14" t="s">
        <v>2285</v>
      </c>
    </row>
    <row r="4795">
      <c r="A4795" s="13">
        <v>45901.0</v>
      </c>
      <c r="B4795" s="14" t="s">
        <v>47</v>
      </c>
      <c r="C4795" s="14" t="s">
        <v>48</v>
      </c>
      <c r="D4795" s="14" t="s">
        <v>116</v>
      </c>
      <c r="E4795" s="14" t="s">
        <v>117</v>
      </c>
      <c r="F4795" s="15" t="s">
        <v>51</v>
      </c>
      <c r="G4795" s="14" t="s">
        <v>161</v>
      </c>
      <c r="H4795" s="14" t="s">
        <v>116</v>
      </c>
      <c r="I4795" s="14" t="s">
        <v>54</v>
      </c>
      <c r="J4795" s="14" t="s">
        <v>198</v>
      </c>
      <c r="K4795" s="14" t="s">
        <v>205</v>
      </c>
      <c r="L4795" s="14" t="s">
        <v>274</v>
      </c>
      <c r="M4795" s="14" t="s">
        <v>466</v>
      </c>
      <c r="N4795" s="14" t="s">
        <v>467</v>
      </c>
      <c r="O4795" s="14">
        <v>100.0</v>
      </c>
      <c r="P4795" s="21">
        <v>1.0</v>
      </c>
      <c r="Q4795" s="22" t="str">
        <f>"+0"</f>
        <v>+0</v>
      </c>
      <c r="S4795" s="14" t="s">
        <v>281</v>
      </c>
    </row>
    <row r="4796">
      <c r="A4796" s="13">
        <v>45901.0</v>
      </c>
      <c r="B4796" s="14" t="s">
        <v>47</v>
      </c>
      <c r="C4796" s="14" t="s">
        <v>48</v>
      </c>
      <c r="D4796" s="14" t="s">
        <v>77</v>
      </c>
      <c r="E4796" s="14" t="s">
        <v>78</v>
      </c>
      <c r="F4796" s="15" t="s">
        <v>51</v>
      </c>
      <c r="G4796" s="14" t="s">
        <v>128</v>
      </c>
      <c r="H4796" s="14" t="s">
        <v>81</v>
      </c>
      <c r="I4796" s="14" t="s">
        <v>59</v>
      </c>
      <c r="J4796" s="14" t="s">
        <v>200</v>
      </c>
      <c r="K4796" s="14" t="s">
        <v>214</v>
      </c>
      <c r="L4796" s="14" t="s">
        <v>253</v>
      </c>
      <c r="M4796" s="14" t="s">
        <v>366</v>
      </c>
      <c r="N4796" s="14" t="s">
        <v>367</v>
      </c>
      <c r="O4796" s="14">
        <v>0.0</v>
      </c>
      <c r="P4796" s="23">
        <v>0.0</v>
      </c>
      <c r="Q4796" s="22" t="str">
        <f t="shared" ref="Q4796:R4796" si="2873">"+0.00%"</f>
        <v>+0.00%</v>
      </c>
      <c r="R4796" s="18" t="str">
        <f t="shared" si="2873"/>
        <v>+0.00%</v>
      </c>
      <c r="S4796" s="14" t="s">
        <v>2359</v>
      </c>
    </row>
    <row r="4797">
      <c r="A4797" s="13">
        <v>45901.0</v>
      </c>
      <c r="B4797" s="14" t="s">
        <v>47</v>
      </c>
      <c r="C4797" s="14" t="s">
        <v>48</v>
      </c>
      <c r="D4797" s="14" t="s">
        <v>60</v>
      </c>
      <c r="E4797" s="14" t="s">
        <v>61</v>
      </c>
      <c r="F4797" s="15" t="s">
        <v>51</v>
      </c>
      <c r="G4797" s="14" t="s">
        <v>62</v>
      </c>
      <c r="H4797" s="14" t="s">
        <v>60</v>
      </c>
      <c r="I4797" s="14" t="s">
        <v>59</v>
      </c>
      <c r="J4797" s="14" t="s">
        <v>198</v>
      </c>
      <c r="K4797" s="14" t="s">
        <v>207</v>
      </c>
      <c r="L4797" s="14" t="s">
        <v>318</v>
      </c>
      <c r="M4797" s="14" t="s">
        <v>508</v>
      </c>
      <c r="N4797" s="14" t="s">
        <v>509</v>
      </c>
      <c r="O4797" s="14">
        <v>0.0</v>
      </c>
      <c r="P4797" s="21">
        <v>0.0</v>
      </c>
      <c r="Q4797" s="22" t="str">
        <f t="shared" ref="Q4797:Q4799" si="2874">"+0"</f>
        <v>+0</v>
      </c>
      <c r="S4797" s="14" t="s">
        <v>281</v>
      </c>
    </row>
    <row r="4798">
      <c r="A4798" s="13">
        <v>45901.0</v>
      </c>
      <c r="B4798" s="14" t="s">
        <v>47</v>
      </c>
      <c r="C4798" s="14" t="s">
        <v>48</v>
      </c>
      <c r="D4798" s="14" t="s">
        <v>56</v>
      </c>
      <c r="E4798" s="14" t="s">
        <v>57</v>
      </c>
      <c r="F4798" s="15" t="s">
        <v>51</v>
      </c>
      <c r="G4798" s="14" t="s">
        <v>58</v>
      </c>
      <c r="H4798" s="14" t="s">
        <v>56</v>
      </c>
      <c r="I4798" s="14" t="s">
        <v>59</v>
      </c>
      <c r="J4798" s="14" t="s">
        <v>200</v>
      </c>
      <c r="K4798" s="14" t="s">
        <v>223</v>
      </c>
      <c r="L4798" s="14" t="s">
        <v>487</v>
      </c>
      <c r="M4798" s="14" t="s">
        <v>488</v>
      </c>
      <c r="N4798" s="14" t="s">
        <v>489</v>
      </c>
      <c r="O4798" s="14">
        <v>0.0</v>
      </c>
      <c r="P4798" s="21">
        <v>0.0</v>
      </c>
      <c r="Q4798" s="22" t="str">
        <f t="shared" si="2874"/>
        <v>+0</v>
      </c>
      <c r="R4798" s="18" t="str">
        <f>"+0"</f>
        <v>+0</v>
      </c>
      <c r="S4798" s="14" t="s">
        <v>260</v>
      </c>
    </row>
    <row r="4799">
      <c r="A4799" s="13">
        <v>45901.0</v>
      </c>
      <c r="B4799" s="14" t="s">
        <v>47</v>
      </c>
      <c r="C4799" s="14" t="s">
        <v>48</v>
      </c>
      <c r="D4799" s="14" t="s">
        <v>49</v>
      </c>
      <c r="E4799" s="14" t="s">
        <v>50</v>
      </c>
      <c r="F4799" s="15" t="s">
        <v>51</v>
      </c>
      <c r="G4799" s="14" t="s">
        <v>52</v>
      </c>
      <c r="H4799" s="14" t="s">
        <v>53</v>
      </c>
      <c r="I4799" s="14" t="s">
        <v>54</v>
      </c>
      <c r="J4799" s="14" t="s">
        <v>198</v>
      </c>
      <c r="K4799" s="14" t="s">
        <v>205</v>
      </c>
      <c r="L4799" s="14" t="s">
        <v>274</v>
      </c>
      <c r="M4799" s="14" t="s">
        <v>575</v>
      </c>
      <c r="N4799" s="14" t="s">
        <v>576</v>
      </c>
      <c r="O4799" s="14">
        <v>100.0</v>
      </c>
      <c r="P4799" s="21">
        <v>90.0</v>
      </c>
      <c r="Q4799" s="22" t="str">
        <f t="shared" si="2874"/>
        <v>+0</v>
      </c>
      <c r="S4799" s="14" t="s">
        <v>577</v>
      </c>
    </row>
    <row r="4800">
      <c r="A4800" s="13">
        <v>45901.0</v>
      </c>
      <c r="B4800" s="14" t="s">
        <v>47</v>
      </c>
      <c r="C4800" s="14" t="s">
        <v>48</v>
      </c>
      <c r="D4800" s="14" t="s">
        <v>165</v>
      </c>
      <c r="E4800" s="14" t="s">
        <v>166</v>
      </c>
      <c r="F4800" s="15" t="s">
        <v>51</v>
      </c>
      <c r="G4800" s="14" t="s">
        <v>167</v>
      </c>
      <c r="H4800" s="14" t="s">
        <v>165</v>
      </c>
      <c r="I4800" s="14" t="s">
        <v>54</v>
      </c>
      <c r="J4800" s="14" t="s">
        <v>200</v>
      </c>
      <c r="K4800" s="14" t="s">
        <v>222</v>
      </c>
      <c r="L4800" s="14" t="s">
        <v>337</v>
      </c>
      <c r="M4800" s="14" t="s">
        <v>734</v>
      </c>
      <c r="N4800" s="14" t="s">
        <v>735</v>
      </c>
      <c r="O4800" s="14">
        <v>100.0</v>
      </c>
      <c r="P4800" s="21">
        <v>1892.0</v>
      </c>
      <c r="Q4800" s="22" t="str">
        <f>"+103"</f>
        <v>+103</v>
      </c>
      <c r="R4800" s="18" t="str">
        <f>"-36"</f>
        <v>-36</v>
      </c>
      <c r="S4800" s="14" t="s">
        <v>260</v>
      </c>
    </row>
    <row r="4801">
      <c r="A4801" s="13">
        <v>45901.0</v>
      </c>
      <c r="B4801" s="14" t="s">
        <v>47</v>
      </c>
      <c r="C4801" s="14" t="s">
        <v>48</v>
      </c>
      <c r="D4801" s="14" t="s">
        <v>91</v>
      </c>
      <c r="E4801" s="14" t="s">
        <v>92</v>
      </c>
      <c r="F4801" s="14" t="s">
        <v>79</v>
      </c>
      <c r="G4801" s="14" t="s">
        <v>164</v>
      </c>
      <c r="H4801" s="14" t="s">
        <v>91</v>
      </c>
      <c r="I4801" s="14" t="s">
        <v>154</v>
      </c>
      <c r="J4801" s="14" t="s">
        <v>198</v>
      </c>
      <c r="K4801" s="14" t="s">
        <v>212</v>
      </c>
      <c r="L4801" s="14" t="s">
        <v>249</v>
      </c>
      <c r="M4801" s="14" t="s">
        <v>1444</v>
      </c>
      <c r="N4801" s="14" t="s">
        <v>1445</v>
      </c>
      <c r="O4801" s="14">
        <v>100.0</v>
      </c>
      <c r="P4801" s="21">
        <v>0.0</v>
      </c>
      <c r="Q4801" s="22" t="str">
        <f>"+0"</f>
        <v>+0</v>
      </c>
      <c r="S4801" s="14" t="s">
        <v>277</v>
      </c>
    </row>
    <row r="4802">
      <c r="A4802" s="13">
        <v>45901.0</v>
      </c>
      <c r="B4802" s="14" t="s">
        <v>47</v>
      </c>
      <c r="C4802" s="14" t="s">
        <v>48</v>
      </c>
      <c r="D4802" s="14" t="s">
        <v>118</v>
      </c>
      <c r="E4802" s="14" t="s">
        <v>119</v>
      </c>
      <c r="F4802" s="15" t="s">
        <v>51</v>
      </c>
      <c r="G4802" s="14" t="s">
        <v>120</v>
      </c>
      <c r="H4802" s="14" t="s">
        <v>118</v>
      </c>
      <c r="I4802" s="14" t="s">
        <v>59</v>
      </c>
      <c r="J4802" s="14" t="s">
        <v>200</v>
      </c>
      <c r="K4802" s="14" t="s">
        <v>227</v>
      </c>
      <c r="L4802" s="14" t="s">
        <v>270</v>
      </c>
      <c r="M4802" s="14" t="s">
        <v>321</v>
      </c>
      <c r="N4802" s="14" t="s">
        <v>322</v>
      </c>
      <c r="O4802" s="14">
        <v>36.0</v>
      </c>
      <c r="P4802" s="23">
        <v>-0.2653</v>
      </c>
      <c r="Q4802" s="22" t="str">
        <f>"+1.47%"</f>
        <v>+1.47%</v>
      </c>
      <c r="R4802" s="18" t="str">
        <f>"-39.74%"</f>
        <v>-39.74%</v>
      </c>
      <c r="S4802" s="14" t="s">
        <v>323</v>
      </c>
    </row>
    <row r="4803">
      <c r="A4803" s="13">
        <v>45901.0</v>
      </c>
      <c r="B4803" s="14" t="s">
        <v>47</v>
      </c>
      <c r="C4803" s="14" t="s">
        <v>48</v>
      </c>
      <c r="D4803" s="14" t="s">
        <v>63</v>
      </c>
      <c r="E4803" s="14" t="s">
        <v>64</v>
      </c>
      <c r="F4803" s="15" t="s">
        <v>51</v>
      </c>
      <c r="G4803" s="14" t="s">
        <v>65</v>
      </c>
      <c r="H4803" s="14" t="s">
        <v>63</v>
      </c>
      <c r="I4803" s="14" t="s">
        <v>54</v>
      </c>
      <c r="J4803" s="14" t="s">
        <v>200</v>
      </c>
      <c r="K4803" s="14" t="s">
        <v>213</v>
      </c>
      <c r="L4803" s="14" t="s">
        <v>253</v>
      </c>
      <c r="M4803" s="14" t="s">
        <v>389</v>
      </c>
      <c r="N4803" s="14" t="s">
        <v>390</v>
      </c>
      <c r="O4803" s="14">
        <v>100.0</v>
      </c>
      <c r="P4803" s="23">
        <v>1.0</v>
      </c>
      <c r="Q4803" s="22" t="str">
        <f>"+1.19%"</f>
        <v>+1.19%</v>
      </c>
      <c r="R4803" s="18" t="str">
        <f>"+0.00%"</f>
        <v>+0.00%</v>
      </c>
      <c r="S4803" s="14" t="s">
        <v>2125</v>
      </c>
    </row>
    <row r="4804">
      <c r="A4804" s="13">
        <v>45901.0</v>
      </c>
      <c r="B4804" s="14" t="s">
        <v>47</v>
      </c>
      <c r="C4804" s="14" t="s">
        <v>48</v>
      </c>
      <c r="D4804" s="14" t="s">
        <v>99</v>
      </c>
      <c r="E4804" s="14" t="s">
        <v>100</v>
      </c>
      <c r="F4804" s="15" t="s">
        <v>51</v>
      </c>
      <c r="G4804" s="14" t="s">
        <v>101</v>
      </c>
      <c r="H4804" s="14" t="s">
        <v>102</v>
      </c>
      <c r="I4804" s="14" t="s">
        <v>54</v>
      </c>
      <c r="J4804" s="14" t="s">
        <v>198</v>
      </c>
      <c r="K4804" s="14" t="s">
        <v>210</v>
      </c>
      <c r="L4804" s="14" t="s">
        <v>264</v>
      </c>
      <c r="M4804" s="14" t="s">
        <v>918</v>
      </c>
      <c r="N4804" s="14" t="s">
        <v>919</v>
      </c>
      <c r="O4804" s="14">
        <v>0.0</v>
      </c>
      <c r="P4804" s="21">
        <v>0.0</v>
      </c>
      <c r="Q4804" s="22" t="str">
        <f t="shared" ref="Q4804:R4804" si="2875">"+0"</f>
        <v>+0</v>
      </c>
      <c r="R4804" s="18" t="str">
        <f t="shared" si="2875"/>
        <v>+0</v>
      </c>
      <c r="S4804" s="14" t="s">
        <v>277</v>
      </c>
    </row>
    <row r="4805">
      <c r="A4805" s="13">
        <v>45901.0</v>
      </c>
      <c r="B4805" s="14" t="s">
        <v>47</v>
      </c>
      <c r="C4805" s="14" t="s">
        <v>48</v>
      </c>
      <c r="D4805" s="14" t="s">
        <v>63</v>
      </c>
      <c r="E4805" s="14" t="s">
        <v>64</v>
      </c>
      <c r="F4805" s="15" t="s">
        <v>51</v>
      </c>
      <c r="G4805" s="14" t="s">
        <v>65</v>
      </c>
      <c r="H4805" s="14" t="s">
        <v>63</v>
      </c>
      <c r="I4805" s="14" t="s">
        <v>54</v>
      </c>
      <c r="J4805" s="14" t="s">
        <v>198</v>
      </c>
      <c r="K4805" s="14" t="s">
        <v>212</v>
      </c>
      <c r="L4805" s="14" t="s">
        <v>249</v>
      </c>
      <c r="M4805" s="14" t="s">
        <v>604</v>
      </c>
      <c r="N4805" s="14" t="s">
        <v>605</v>
      </c>
      <c r="O4805" s="14">
        <v>0.0</v>
      </c>
      <c r="P4805" s="21">
        <v>0.0</v>
      </c>
      <c r="Q4805" s="22" t="str">
        <f t="shared" ref="Q4805:R4805" si="2876">"+0"</f>
        <v>+0</v>
      </c>
      <c r="R4805" s="18" t="str">
        <f t="shared" si="2876"/>
        <v>+0</v>
      </c>
      <c r="S4805" s="14" t="s">
        <v>277</v>
      </c>
    </row>
    <row r="4806">
      <c r="A4806" s="13">
        <v>45901.0</v>
      </c>
      <c r="B4806" s="14" t="s">
        <v>47</v>
      </c>
      <c r="C4806" s="14" t="s">
        <v>48</v>
      </c>
      <c r="D4806" s="14" t="s">
        <v>118</v>
      </c>
      <c r="E4806" s="14" t="s">
        <v>119</v>
      </c>
      <c r="F4806" s="15" t="s">
        <v>51</v>
      </c>
      <c r="G4806" s="14" t="s">
        <v>120</v>
      </c>
      <c r="H4806" s="14" t="s">
        <v>118</v>
      </c>
      <c r="I4806" s="14" t="s">
        <v>59</v>
      </c>
      <c r="J4806" s="14" t="s">
        <v>200</v>
      </c>
      <c r="K4806" s="14" t="s">
        <v>227</v>
      </c>
      <c r="L4806" s="14" t="s">
        <v>721</v>
      </c>
      <c r="M4806" s="14" t="s">
        <v>1060</v>
      </c>
      <c r="N4806" s="14" t="s">
        <v>1061</v>
      </c>
      <c r="O4806" s="14">
        <v>45.0</v>
      </c>
      <c r="P4806" s="23">
        <v>-0.0963</v>
      </c>
      <c r="Q4806" s="22" t="str">
        <f>"+21.56%"</f>
        <v>+21.56%</v>
      </c>
      <c r="R4806" s="18" t="str">
        <f>"+6.18%"</f>
        <v>+6.18%</v>
      </c>
      <c r="S4806" s="14" t="s">
        <v>1062</v>
      </c>
    </row>
    <row r="4807">
      <c r="A4807" s="13">
        <v>45901.0</v>
      </c>
      <c r="B4807" s="14" t="s">
        <v>47</v>
      </c>
      <c r="C4807" s="14" t="s">
        <v>48</v>
      </c>
      <c r="D4807" s="14" t="s">
        <v>192</v>
      </c>
      <c r="E4807" s="14" t="s">
        <v>193</v>
      </c>
      <c r="F4807" s="15" t="s">
        <v>51</v>
      </c>
      <c r="G4807" s="14" t="s">
        <v>194</v>
      </c>
      <c r="H4807" s="14" t="s">
        <v>192</v>
      </c>
      <c r="I4807" s="14" t="s">
        <v>54</v>
      </c>
      <c r="J4807" s="14" t="s">
        <v>200</v>
      </c>
      <c r="K4807" s="14" t="s">
        <v>231</v>
      </c>
      <c r="L4807" s="14" t="s">
        <v>512</v>
      </c>
      <c r="M4807" s="14" t="s">
        <v>1823</v>
      </c>
      <c r="N4807" s="14" t="s">
        <v>1824</v>
      </c>
      <c r="O4807" s="14">
        <v>100.0</v>
      </c>
      <c r="P4807" s="21">
        <v>560342.0</v>
      </c>
      <c r="Q4807" s="22" t="str">
        <f t="shared" ref="Q4807:R4807" si="2877">"+560,342"</f>
        <v>+560,342</v>
      </c>
      <c r="R4807" s="18" t="str">
        <f t="shared" si="2877"/>
        <v>+560,342</v>
      </c>
      <c r="S4807" s="14" t="s">
        <v>260</v>
      </c>
    </row>
    <row r="4808">
      <c r="A4808" s="13">
        <v>45901.0</v>
      </c>
      <c r="B4808" s="14" t="s">
        <v>47</v>
      </c>
      <c r="C4808" s="14" t="s">
        <v>48</v>
      </c>
      <c r="D4808" s="14" t="s">
        <v>66</v>
      </c>
      <c r="E4808" s="14" t="s">
        <v>67</v>
      </c>
      <c r="F4808" s="15" t="s">
        <v>51</v>
      </c>
      <c r="G4808" s="14" t="s">
        <v>68</v>
      </c>
      <c r="H4808" s="14" t="s">
        <v>66</v>
      </c>
      <c r="I4808" s="14" t="s">
        <v>59</v>
      </c>
      <c r="J4808" s="14" t="s">
        <v>200</v>
      </c>
      <c r="K4808" s="14" t="s">
        <v>231</v>
      </c>
      <c r="L4808" s="14" t="s">
        <v>512</v>
      </c>
      <c r="M4808" s="14" t="s">
        <v>1897</v>
      </c>
      <c r="N4808" s="14" t="s">
        <v>1898</v>
      </c>
      <c r="O4808" s="14">
        <v>0.0</v>
      </c>
      <c r="P4808" s="23">
        <v>-1.0</v>
      </c>
      <c r="Q4808" s="22" t="str">
        <f t="shared" ref="Q4808:R4808" si="2878">"+0.00%"</f>
        <v>+0.00%</v>
      </c>
      <c r="R4808" s="18" t="str">
        <f t="shared" si="2878"/>
        <v>+0.00%</v>
      </c>
      <c r="S4808" s="14" t="s">
        <v>2360</v>
      </c>
    </row>
    <row r="4809">
      <c r="A4809" s="13">
        <v>45901.0</v>
      </c>
      <c r="B4809" s="14" t="s">
        <v>47</v>
      </c>
      <c r="C4809" s="14" t="s">
        <v>48</v>
      </c>
      <c r="D4809" s="14" t="s">
        <v>132</v>
      </c>
      <c r="E4809" s="14" t="s">
        <v>133</v>
      </c>
      <c r="F4809" s="15" t="s">
        <v>51</v>
      </c>
      <c r="G4809" s="14" t="s">
        <v>134</v>
      </c>
      <c r="H4809" s="14" t="s">
        <v>135</v>
      </c>
      <c r="I4809" s="14" t="s">
        <v>59</v>
      </c>
      <c r="J4809" s="14" t="s">
        <v>200</v>
      </c>
      <c r="K4809" s="14" t="s">
        <v>213</v>
      </c>
      <c r="L4809" s="14" t="s">
        <v>257</v>
      </c>
      <c r="M4809" s="14" t="s">
        <v>493</v>
      </c>
      <c r="N4809" s="14" t="s">
        <v>494</v>
      </c>
      <c r="O4809" s="14">
        <v>7.0</v>
      </c>
      <c r="P4809" s="23">
        <v>-0.8581</v>
      </c>
      <c r="Q4809" s="22" t="str">
        <f>"+5.51%"</f>
        <v>+5.51%</v>
      </c>
      <c r="R4809" s="18" t="str">
        <f>"-1.98%"</f>
        <v>-1.98%</v>
      </c>
      <c r="S4809" s="14" t="s">
        <v>2361</v>
      </c>
    </row>
    <row r="4810">
      <c r="A4810" s="13">
        <v>45901.0</v>
      </c>
      <c r="B4810" s="14" t="s">
        <v>47</v>
      </c>
      <c r="C4810" s="14" t="s">
        <v>48</v>
      </c>
      <c r="D4810" s="14" t="s">
        <v>132</v>
      </c>
      <c r="E4810" s="14" t="s">
        <v>133</v>
      </c>
      <c r="F4810" s="15" t="s">
        <v>51</v>
      </c>
      <c r="G4810" s="14" t="s">
        <v>134</v>
      </c>
      <c r="H4810" s="14" t="s">
        <v>135</v>
      </c>
      <c r="I4810" s="14" t="s">
        <v>59</v>
      </c>
      <c r="J4810" s="14" t="s">
        <v>200</v>
      </c>
      <c r="K4810" s="14" t="s">
        <v>213</v>
      </c>
      <c r="L4810" s="14" t="s">
        <v>257</v>
      </c>
      <c r="M4810" s="14" t="s">
        <v>258</v>
      </c>
      <c r="N4810" s="14" t="s">
        <v>259</v>
      </c>
      <c r="O4810" s="14">
        <v>100.0</v>
      </c>
      <c r="P4810" s="21">
        <v>50.0</v>
      </c>
      <c r="Q4810" s="22" t="str">
        <f t="shared" ref="Q4810:R4810" si="2879">"+0"</f>
        <v>+0</v>
      </c>
      <c r="R4810" s="18" t="str">
        <f t="shared" si="2879"/>
        <v>+0</v>
      </c>
      <c r="S4810" s="14" t="s">
        <v>260</v>
      </c>
    </row>
    <row r="4811">
      <c r="A4811" s="13">
        <v>45901.0</v>
      </c>
      <c r="B4811" s="14" t="s">
        <v>47</v>
      </c>
      <c r="C4811" s="14" t="s">
        <v>48</v>
      </c>
      <c r="D4811" s="14" t="s">
        <v>143</v>
      </c>
      <c r="E4811" s="14" t="s">
        <v>144</v>
      </c>
      <c r="F4811" s="15" t="s">
        <v>51</v>
      </c>
      <c r="G4811" s="14" t="s">
        <v>145</v>
      </c>
      <c r="H4811" s="14" t="s">
        <v>143</v>
      </c>
      <c r="I4811" s="14" t="s">
        <v>59</v>
      </c>
      <c r="J4811" s="14" t="s">
        <v>199</v>
      </c>
      <c r="K4811" s="14" t="s">
        <v>203</v>
      </c>
      <c r="L4811" s="14" t="s">
        <v>431</v>
      </c>
      <c r="M4811" s="14" t="s">
        <v>431</v>
      </c>
      <c r="N4811" s="14" t="s">
        <v>432</v>
      </c>
      <c r="O4811" s="14">
        <v>0.0</v>
      </c>
      <c r="P4811" s="21">
        <v>0.0</v>
      </c>
      <c r="Q4811" s="22" t="str">
        <f t="shared" ref="Q4811:R4811" si="2880">"+0"</f>
        <v>+0</v>
      </c>
      <c r="R4811" s="18" t="str">
        <f t="shared" si="2880"/>
        <v>+0</v>
      </c>
      <c r="S4811" s="14" t="s">
        <v>260</v>
      </c>
    </row>
    <row r="4812">
      <c r="A4812" s="13">
        <v>45901.0</v>
      </c>
      <c r="B4812" s="14" t="s">
        <v>47</v>
      </c>
      <c r="C4812" s="14" t="s">
        <v>48</v>
      </c>
      <c r="D4812" s="14" t="s">
        <v>149</v>
      </c>
      <c r="E4812" s="14" t="s">
        <v>150</v>
      </c>
      <c r="F4812" s="15" t="s">
        <v>51</v>
      </c>
      <c r="G4812" s="14" t="s">
        <v>151</v>
      </c>
      <c r="H4812" s="14" t="s">
        <v>152</v>
      </c>
      <c r="I4812" s="14" t="s">
        <v>54</v>
      </c>
      <c r="J4812" s="14" t="s">
        <v>200</v>
      </c>
      <c r="K4812" s="14" t="s">
        <v>222</v>
      </c>
      <c r="L4812" s="14" t="s">
        <v>301</v>
      </c>
      <c r="M4812" s="14" t="s">
        <v>302</v>
      </c>
      <c r="N4812" s="14" t="s">
        <v>303</v>
      </c>
      <c r="O4812" s="14">
        <v>100.0</v>
      </c>
      <c r="P4812" s="21">
        <v>35.0</v>
      </c>
      <c r="Q4812" s="22" t="str">
        <f>"+3"</f>
        <v>+3</v>
      </c>
      <c r="R4812" s="18" t="str">
        <f>"+5"</f>
        <v>+5</v>
      </c>
      <c r="S4812" s="14" t="s">
        <v>260</v>
      </c>
    </row>
    <row r="4813">
      <c r="A4813" s="13">
        <v>45901.0</v>
      </c>
      <c r="B4813" s="14" t="s">
        <v>47</v>
      </c>
      <c r="C4813" s="14" t="s">
        <v>48</v>
      </c>
      <c r="D4813" s="14" t="s">
        <v>149</v>
      </c>
      <c r="E4813" s="14" t="s">
        <v>150</v>
      </c>
      <c r="F4813" s="15" t="s">
        <v>51</v>
      </c>
      <c r="G4813" s="14" t="s">
        <v>151</v>
      </c>
      <c r="H4813" s="14" t="s">
        <v>152</v>
      </c>
      <c r="I4813" s="14" t="s">
        <v>54</v>
      </c>
      <c r="J4813" s="14" t="s">
        <v>198</v>
      </c>
      <c r="K4813" s="14" t="s">
        <v>210</v>
      </c>
      <c r="L4813" s="14" t="s">
        <v>264</v>
      </c>
      <c r="M4813" s="14" t="s">
        <v>959</v>
      </c>
      <c r="N4813" s="14" t="s">
        <v>960</v>
      </c>
      <c r="O4813" s="14">
        <v>0.0</v>
      </c>
      <c r="P4813" s="21">
        <v>0.0</v>
      </c>
      <c r="Q4813" s="22" t="str">
        <f t="shared" ref="Q4813:R4813" si="2881">"+0"</f>
        <v>+0</v>
      </c>
      <c r="R4813" s="18" t="str">
        <f t="shared" si="2881"/>
        <v>+0</v>
      </c>
      <c r="S4813" s="14" t="s">
        <v>277</v>
      </c>
    </row>
    <row r="4814">
      <c r="A4814" s="13">
        <v>45901.0</v>
      </c>
      <c r="B4814" s="14" t="s">
        <v>47</v>
      </c>
      <c r="C4814" s="14" t="s">
        <v>48</v>
      </c>
      <c r="D4814" s="14" t="s">
        <v>125</v>
      </c>
      <c r="E4814" s="14" t="s">
        <v>126</v>
      </c>
      <c r="F4814" s="15" t="s">
        <v>51</v>
      </c>
      <c r="G4814" s="14" t="s">
        <v>127</v>
      </c>
      <c r="H4814" s="14" t="s">
        <v>125</v>
      </c>
      <c r="I4814" s="14" t="s">
        <v>59</v>
      </c>
      <c r="J4814" s="14" t="s">
        <v>200</v>
      </c>
      <c r="K4814" s="14" t="s">
        <v>224</v>
      </c>
      <c r="L4814" s="14" t="s">
        <v>427</v>
      </c>
      <c r="M4814" s="14" t="s">
        <v>925</v>
      </c>
      <c r="N4814" s="14" t="s">
        <v>926</v>
      </c>
      <c r="O4814" s="14">
        <v>0.0</v>
      </c>
      <c r="P4814" s="17"/>
      <c r="Q4814" s="22"/>
      <c r="S4814" s="14" t="s">
        <v>927</v>
      </c>
    </row>
    <row r="4815">
      <c r="A4815" s="13">
        <v>45901.0</v>
      </c>
      <c r="B4815" s="14" t="s">
        <v>47</v>
      </c>
      <c r="C4815" s="14" t="s">
        <v>48</v>
      </c>
      <c r="D4815" s="14" t="s">
        <v>125</v>
      </c>
      <c r="E4815" s="14" t="s">
        <v>126</v>
      </c>
      <c r="F4815" s="15" t="s">
        <v>51</v>
      </c>
      <c r="G4815" s="14" t="s">
        <v>127</v>
      </c>
      <c r="H4815" s="14" t="s">
        <v>125</v>
      </c>
      <c r="I4815" s="14" t="s">
        <v>59</v>
      </c>
      <c r="J4815" s="14" t="s">
        <v>200</v>
      </c>
      <c r="K4815" s="14" t="s">
        <v>232</v>
      </c>
      <c r="L4815" s="14" t="s">
        <v>607</v>
      </c>
      <c r="M4815" s="14" t="s">
        <v>886</v>
      </c>
      <c r="N4815" s="14" t="s">
        <v>887</v>
      </c>
      <c r="O4815" s="14">
        <v>0.0</v>
      </c>
      <c r="P4815" s="23">
        <v>0.0</v>
      </c>
      <c r="Q4815" s="22" t="str">
        <f t="shared" ref="Q4815:R4815" si="2882">"+0.00%"</f>
        <v>+0.00%</v>
      </c>
      <c r="R4815" s="18" t="str">
        <f t="shared" si="2882"/>
        <v>+0.00%</v>
      </c>
      <c r="S4815" s="14" t="s">
        <v>2362</v>
      </c>
    </row>
    <row r="4816">
      <c r="A4816" s="13">
        <v>45901.0</v>
      </c>
      <c r="B4816" s="14" t="s">
        <v>47</v>
      </c>
      <c r="C4816" s="14" t="s">
        <v>48</v>
      </c>
      <c r="D4816" s="14" t="s">
        <v>96</v>
      </c>
      <c r="E4816" s="14" t="s">
        <v>97</v>
      </c>
      <c r="F4816" s="15" t="s">
        <v>51</v>
      </c>
      <c r="G4816" s="14" t="s">
        <v>98</v>
      </c>
      <c r="H4816" s="14" t="s">
        <v>96</v>
      </c>
      <c r="I4816" s="14" t="s">
        <v>59</v>
      </c>
      <c r="J4816" s="14" t="s">
        <v>200</v>
      </c>
      <c r="K4816" s="14" t="s">
        <v>223</v>
      </c>
      <c r="L4816" s="14" t="s">
        <v>607</v>
      </c>
      <c r="M4816" s="14" t="s">
        <v>1204</v>
      </c>
      <c r="N4816" s="14" t="s">
        <v>1205</v>
      </c>
      <c r="O4816" s="14">
        <v>0.0</v>
      </c>
      <c r="P4816" s="21">
        <v>0.0</v>
      </c>
      <c r="Q4816" s="22" t="str">
        <f t="shared" ref="Q4816:R4816" si="2883">"+0"</f>
        <v>+0</v>
      </c>
      <c r="R4816" s="18" t="str">
        <f t="shared" si="2883"/>
        <v>+0</v>
      </c>
      <c r="S4816" s="14" t="s">
        <v>260</v>
      </c>
    </row>
    <row r="4817">
      <c r="A4817" s="13">
        <v>45901.0</v>
      </c>
      <c r="B4817" s="14" t="s">
        <v>47</v>
      </c>
      <c r="C4817" s="14" t="s">
        <v>48</v>
      </c>
      <c r="D4817" s="14" t="s">
        <v>174</v>
      </c>
      <c r="E4817" s="14" t="s">
        <v>175</v>
      </c>
      <c r="F4817" s="15" t="s">
        <v>51</v>
      </c>
      <c r="G4817" s="14" t="s">
        <v>176</v>
      </c>
      <c r="H4817" s="14" t="s">
        <v>174</v>
      </c>
      <c r="I4817" s="14" t="s">
        <v>59</v>
      </c>
      <c r="J4817" s="14" t="s">
        <v>198</v>
      </c>
      <c r="K4817" s="14" t="s">
        <v>207</v>
      </c>
      <c r="L4817" s="14" t="s">
        <v>318</v>
      </c>
      <c r="M4817" s="14" t="s">
        <v>319</v>
      </c>
      <c r="N4817" s="14" t="s">
        <v>320</v>
      </c>
      <c r="O4817" s="14">
        <v>100.0</v>
      </c>
      <c r="P4817" s="21">
        <v>1.0</v>
      </c>
      <c r="Q4817" s="22" t="str">
        <f t="shared" ref="Q4817:Q4821" si="2884">"+0"</f>
        <v>+0</v>
      </c>
      <c r="S4817" s="14" t="s">
        <v>281</v>
      </c>
    </row>
    <row r="4818">
      <c r="A4818" s="13">
        <v>45901.0</v>
      </c>
      <c r="B4818" s="14" t="s">
        <v>47</v>
      </c>
      <c r="C4818" s="14" t="s">
        <v>48</v>
      </c>
      <c r="D4818" s="14" t="s">
        <v>158</v>
      </c>
      <c r="E4818" s="14" t="s">
        <v>159</v>
      </c>
      <c r="F4818" s="15" t="s">
        <v>51</v>
      </c>
      <c r="G4818" s="14" t="s">
        <v>160</v>
      </c>
      <c r="H4818" s="14" t="s">
        <v>158</v>
      </c>
      <c r="I4818" s="14" t="s">
        <v>54</v>
      </c>
      <c r="J4818" s="14" t="s">
        <v>200</v>
      </c>
      <c r="K4818" s="14" t="s">
        <v>222</v>
      </c>
      <c r="L4818" s="14" t="s">
        <v>1161</v>
      </c>
      <c r="M4818" s="14" t="s">
        <v>1162</v>
      </c>
      <c r="N4818" s="14" t="s">
        <v>1163</v>
      </c>
      <c r="O4818" s="14">
        <v>0.0</v>
      </c>
      <c r="P4818" s="21">
        <v>0.0</v>
      </c>
      <c r="Q4818" s="22" t="str">
        <f t="shared" si="2884"/>
        <v>+0</v>
      </c>
      <c r="R4818" s="18" t="str">
        <f t="shared" ref="R4818:R4821" si="2885">"+0"</f>
        <v>+0</v>
      </c>
      <c r="S4818" s="14" t="s">
        <v>260</v>
      </c>
    </row>
    <row r="4819">
      <c r="A4819" s="13">
        <v>45901.0</v>
      </c>
      <c r="B4819" s="14" t="s">
        <v>47</v>
      </c>
      <c r="C4819" s="14" t="s">
        <v>48</v>
      </c>
      <c r="D4819" s="14" t="s">
        <v>77</v>
      </c>
      <c r="E4819" s="14" t="s">
        <v>78</v>
      </c>
      <c r="F4819" s="14" t="s">
        <v>79</v>
      </c>
      <c r="G4819" s="14" t="s">
        <v>80</v>
      </c>
      <c r="H4819" s="14" t="s">
        <v>81</v>
      </c>
      <c r="J4819" s="14" t="s">
        <v>199</v>
      </c>
      <c r="K4819" s="14" t="s">
        <v>206</v>
      </c>
      <c r="L4819" s="14" t="s">
        <v>295</v>
      </c>
      <c r="M4819" s="14" t="s">
        <v>296</v>
      </c>
      <c r="N4819" s="14" t="s">
        <v>297</v>
      </c>
      <c r="O4819" s="14">
        <v>0.0</v>
      </c>
      <c r="P4819" s="21">
        <v>0.0</v>
      </c>
      <c r="Q4819" s="22" t="str">
        <f t="shared" si="2884"/>
        <v>+0</v>
      </c>
      <c r="R4819" s="18" t="str">
        <f t="shared" si="2885"/>
        <v>+0</v>
      </c>
      <c r="S4819" s="14" t="s">
        <v>260</v>
      </c>
    </row>
    <row r="4820">
      <c r="A4820" s="13">
        <v>45901.0</v>
      </c>
      <c r="B4820" s="14" t="s">
        <v>47</v>
      </c>
      <c r="C4820" s="14" t="s">
        <v>48</v>
      </c>
      <c r="D4820" s="14" t="s">
        <v>108</v>
      </c>
      <c r="E4820" s="14" t="s">
        <v>109</v>
      </c>
      <c r="F4820" s="15" t="s">
        <v>51</v>
      </c>
      <c r="G4820" s="14" t="s">
        <v>110</v>
      </c>
      <c r="H4820" s="14" t="s">
        <v>108</v>
      </c>
      <c r="I4820" s="14" t="s">
        <v>59</v>
      </c>
      <c r="J4820" s="14" t="s">
        <v>199</v>
      </c>
      <c r="K4820" s="14" t="s">
        <v>206</v>
      </c>
      <c r="L4820" s="14" t="s">
        <v>381</v>
      </c>
      <c r="M4820" s="14" t="s">
        <v>381</v>
      </c>
      <c r="N4820" s="14" t="s">
        <v>382</v>
      </c>
      <c r="O4820" s="14">
        <v>0.0</v>
      </c>
      <c r="P4820" s="21">
        <v>0.0</v>
      </c>
      <c r="Q4820" s="22" t="str">
        <f t="shared" si="2884"/>
        <v>+0</v>
      </c>
      <c r="R4820" s="18" t="str">
        <f t="shared" si="2885"/>
        <v>+0</v>
      </c>
      <c r="S4820" s="14" t="s">
        <v>383</v>
      </c>
    </row>
    <row r="4821">
      <c r="A4821" s="13">
        <v>45901.0</v>
      </c>
      <c r="B4821" s="14" t="s">
        <v>47</v>
      </c>
      <c r="C4821" s="14" t="s">
        <v>48</v>
      </c>
      <c r="D4821" s="14" t="s">
        <v>155</v>
      </c>
      <c r="E4821" s="14" t="s">
        <v>156</v>
      </c>
      <c r="F4821" s="15" t="s">
        <v>51</v>
      </c>
      <c r="G4821" s="14" t="s">
        <v>157</v>
      </c>
      <c r="H4821" s="14" t="s">
        <v>155</v>
      </c>
      <c r="I4821" s="14" t="s">
        <v>59</v>
      </c>
      <c r="J4821" s="14" t="s">
        <v>200</v>
      </c>
      <c r="K4821" s="14" t="s">
        <v>223</v>
      </c>
      <c r="L4821" s="14" t="s">
        <v>261</v>
      </c>
      <c r="M4821" s="14" t="s">
        <v>262</v>
      </c>
      <c r="N4821" s="14" t="s">
        <v>263</v>
      </c>
      <c r="O4821" s="14">
        <v>0.0</v>
      </c>
      <c r="P4821" s="21">
        <v>0.0</v>
      </c>
      <c r="Q4821" s="22" t="str">
        <f t="shared" si="2884"/>
        <v>+0</v>
      </c>
      <c r="R4821" s="18" t="str">
        <f t="shared" si="2885"/>
        <v>+0</v>
      </c>
      <c r="S4821" s="14" t="s">
        <v>260</v>
      </c>
    </row>
    <row r="4822">
      <c r="A4822" s="13">
        <v>45901.0</v>
      </c>
      <c r="B4822" s="14" t="s">
        <v>47</v>
      </c>
      <c r="C4822" s="14" t="s">
        <v>48</v>
      </c>
      <c r="D4822" s="14" t="s">
        <v>168</v>
      </c>
      <c r="E4822" s="14" t="s">
        <v>169</v>
      </c>
      <c r="F4822" s="15" t="s">
        <v>51</v>
      </c>
      <c r="G4822" s="14" t="s">
        <v>170</v>
      </c>
      <c r="H4822" s="14" t="s">
        <v>168</v>
      </c>
      <c r="I4822" s="14" t="s">
        <v>59</v>
      </c>
      <c r="J4822" s="14" t="s">
        <v>200</v>
      </c>
      <c r="K4822" s="14" t="s">
        <v>227</v>
      </c>
      <c r="L4822" s="14" t="s">
        <v>253</v>
      </c>
      <c r="M4822" s="14" t="s">
        <v>811</v>
      </c>
      <c r="N4822" s="14" t="s">
        <v>812</v>
      </c>
      <c r="O4822" s="14">
        <v>0.0</v>
      </c>
      <c r="P4822" s="23">
        <v>0.0</v>
      </c>
      <c r="Q4822" s="22" t="str">
        <f t="shared" ref="Q4822:R4822" si="2886">"+0.00%"</f>
        <v>+0.00%</v>
      </c>
      <c r="R4822" s="18" t="str">
        <f t="shared" si="2886"/>
        <v>+0.00%</v>
      </c>
      <c r="S4822" s="14" t="s">
        <v>813</v>
      </c>
    </row>
    <row r="4823">
      <c r="A4823" s="13">
        <v>45901.0</v>
      </c>
      <c r="B4823" s="14" t="s">
        <v>47</v>
      </c>
      <c r="C4823" s="14" t="s">
        <v>48</v>
      </c>
      <c r="D4823" s="14" t="s">
        <v>155</v>
      </c>
      <c r="E4823" s="14" t="s">
        <v>156</v>
      </c>
      <c r="F4823" s="15" t="s">
        <v>51</v>
      </c>
      <c r="G4823" s="14" t="s">
        <v>157</v>
      </c>
      <c r="H4823" s="14" t="s">
        <v>155</v>
      </c>
      <c r="I4823" s="14" t="s">
        <v>59</v>
      </c>
      <c r="J4823" s="14" t="s">
        <v>198</v>
      </c>
      <c r="K4823" s="14" t="s">
        <v>205</v>
      </c>
      <c r="L4823" s="14" t="s">
        <v>274</v>
      </c>
      <c r="M4823" s="14" t="s">
        <v>636</v>
      </c>
      <c r="N4823" s="14" t="s">
        <v>637</v>
      </c>
      <c r="O4823" s="14">
        <v>0.0</v>
      </c>
      <c r="P4823" s="21">
        <v>0.0</v>
      </c>
      <c r="Q4823" s="22" t="str">
        <f>"+0"</f>
        <v>+0</v>
      </c>
      <c r="S4823" s="14" t="s">
        <v>281</v>
      </c>
    </row>
    <row r="4824">
      <c r="A4824" s="13">
        <v>45901.0</v>
      </c>
      <c r="B4824" s="14" t="s">
        <v>47</v>
      </c>
      <c r="C4824" s="14" t="s">
        <v>48</v>
      </c>
      <c r="D4824" s="14" t="s">
        <v>121</v>
      </c>
      <c r="E4824" s="14" t="s">
        <v>122</v>
      </c>
      <c r="F4824" s="15" t="s">
        <v>51</v>
      </c>
      <c r="G4824" s="14" t="s">
        <v>123</v>
      </c>
      <c r="H4824" s="14" t="s">
        <v>124</v>
      </c>
      <c r="I4824" s="14" t="s">
        <v>59</v>
      </c>
      <c r="J4824" s="14" t="s">
        <v>200</v>
      </c>
      <c r="K4824" s="14" t="s">
        <v>232</v>
      </c>
      <c r="L4824" s="14" t="s">
        <v>710</v>
      </c>
      <c r="M4824" s="14" t="s">
        <v>711</v>
      </c>
      <c r="N4824" s="14" t="s">
        <v>712</v>
      </c>
      <c r="O4824" s="14">
        <v>0.0</v>
      </c>
      <c r="P4824" s="23">
        <v>0.0</v>
      </c>
      <c r="Q4824" s="22" t="str">
        <f t="shared" ref="Q4824:R4824" si="2887">"+0.00%"</f>
        <v>+0.00%</v>
      </c>
      <c r="R4824" s="18" t="str">
        <f t="shared" si="2887"/>
        <v>+0.00%</v>
      </c>
      <c r="S4824" s="14" t="s">
        <v>285</v>
      </c>
    </row>
    <row r="4825">
      <c r="A4825" s="13">
        <v>45901.0</v>
      </c>
      <c r="B4825" s="14" t="s">
        <v>47</v>
      </c>
      <c r="C4825" s="14" t="s">
        <v>48</v>
      </c>
      <c r="D4825" s="14" t="s">
        <v>181</v>
      </c>
      <c r="E4825" s="14" t="s">
        <v>182</v>
      </c>
      <c r="F4825" s="15" t="s">
        <v>51</v>
      </c>
      <c r="G4825" s="14" t="s">
        <v>183</v>
      </c>
      <c r="H4825" s="14" t="s">
        <v>181</v>
      </c>
      <c r="I4825" s="14" t="s">
        <v>59</v>
      </c>
      <c r="J4825" s="14" t="s">
        <v>200</v>
      </c>
      <c r="K4825" s="14" t="s">
        <v>232</v>
      </c>
      <c r="L4825" s="14" t="s">
        <v>286</v>
      </c>
      <c r="M4825" s="14" t="s">
        <v>979</v>
      </c>
      <c r="N4825" s="14" t="s">
        <v>980</v>
      </c>
      <c r="O4825" s="14">
        <v>0.0</v>
      </c>
      <c r="P4825" s="23">
        <v>0.0</v>
      </c>
      <c r="Q4825" s="22" t="str">
        <f t="shared" ref="Q4825:R4825" si="2888">"+0.00%"</f>
        <v>+0.00%</v>
      </c>
      <c r="R4825" s="18" t="str">
        <f t="shared" si="2888"/>
        <v>+0.00%</v>
      </c>
      <c r="S4825" s="14" t="s">
        <v>2363</v>
      </c>
    </row>
    <row r="4826">
      <c r="A4826" s="13">
        <v>45901.0</v>
      </c>
      <c r="B4826" s="14" t="s">
        <v>47</v>
      </c>
      <c r="C4826" s="14" t="s">
        <v>48</v>
      </c>
      <c r="D4826" s="14" t="s">
        <v>155</v>
      </c>
      <c r="E4826" s="14" t="s">
        <v>156</v>
      </c>
      <c r="F4826" s="15" t="s">
        <v>51</v>
      </c>
      <c r="G4826" s="14" t="s">
        <v>157</v>
      </c>
      <c r="H4826" s="14" t="s">
        <v>155</v>
      </c>
      <c r="I4826" s="14" t="s">
        <v>59</v>
      </c>
      <c r="J4826" s="14" t="s">
        <v>200</v>
      </c>
      <c r="K4826" s="14" t="s">
        <v>223</v>
      </c>
      <c r="L4826" s="14" t="s">
        <v>607</v>
      </c>
      <c r="M4826" s="14" t="s">
        <v>886</v>
      </c>
      <c r="N4826" s="14" t="s">
        <v>887</v>
      </c>
      <c r="O4826" s="14">
        <v>0.0</v>
      </c>
      <c r="P4826" s="17"/>
      <c r="Q4826" s="22"/>
      <c r="S4826" s="14" t="s">
        <v>371</v>
      </c>
    </row>
    <row r="4827">
      <c r="A4827" s="13">
        <v>45901.0</v>
      </c>
      <c r="B4827" s="14" t="s">
        <v>47</v>
      </c>
      <c r="C4827" s="14" t="s">
        <v>48</v>
      </c>
      <c r="D4827" s="14" t="s">
        <v>165</v>
      </c>
      <c r="E4827" s="14" t="s">
        <v>166</v>
      </c>
      <c r="F4827" s="15" t="s">
        <v>51</v>
      </c>
      <c r="G4827" s="14" t="s">
        <v>167</v>
      </c>
      <c r="H4827" s="14" t="s">
        <v>165</v>
      </c>
      <c r="I4827" s="14" t="s">
        <v>54</v>
      </c>
      <c r="J4827" s="14" t="s">
        <v>200</v>
      </c>
      <c r="K4827" s="14" t="s">
        <v>236</v>
      </c>
      <c r="L4827" s="14" t="s">
        <v>253</v>
      </c>
      <c r="M4827" s="14" t="s">
        <v>2333</v>
      </c>
      <c r="N4827" s="14" t="s">
        <v>2334</v>
      </c>
      <c r="O4827" s="14">
        <v>0.0</v>
      </c>
      <c r="P4827" s="23">
        <v>0.0</v>
      </c>
      <c r="Q4827" s="22" t="str">
        <f t="shared" ref="Q4827:R4827" si="2889">"+0.00%"</f>
        <v>+0.00%</v>
      </c>
      <c r="R4827" s="18" t="str">
        <f t="shared" si="2889"/>
        <v>+0.00%</v>
      </c>
      <c r="S4827" s="14" t="s">
        <v>2332</v>
      </c>
    </row>
    <row r="4828">
      <c r="A4828" s="13">
        <v>45901.0</v>
      </c>
      <c r="B4828" s="14" t="s">
        <v>47</v>
      </c>
      <c r="C4828" s="14" t="s">
        <v>48</v>
      </c>
      <c r="D4828" s="14" t="s">
        <v>165</v>
      </c>
      <c r="E4828" s="14" t="s">
        <v>166</v>
      </c>
      <c r="F4828" s="15" t="s">
        <v>51</v>
      </c>
      <c r="G4828" s="14" t="s">
        <v>167</v>
      </c>
      <c r="H4828" s="14" t="s">
        <v>165</v>
      </c>
      <c r="I4828" s="14" t="s">
        <v>54</v>
      </c>
      <c r="J4828" s="14" t="s">
        <v>200</v>
      </c>
      <c r="K4828" s="14" t="s">
        <v>224</v>
      </c>
      <c r="L4828" s="14" t="s">
        <v>427</v>
      </c>
      <c r="M4828" s="14" t="s">
        <v>921</v>
      </c>
      <c r="N4828" s="14" t="s">
        <v>922</v>
      </c>
      <c r="O4828" s="14">
        <v>0.0</v>
      </c>
      <c r="P4828" s="23">
        <v>0.0</v>
      </c>
      <c r="Q4828" s="22" t="str">
        <f t="shared" ref="Q4828:R4828" si="2890">"+0.00%"</f>
        <v>+0.00%</v>
      </c>
      <c r="R4828" s="18" t="str">
        <f t="shared" si="2890"/>
        <v>+0.00%</v>
      </c>
      <c r="S4828" s="14" t="s">
        <v>923</v>
      </c>
    </row>
    <row r="4829">
      <c r="A4829" s="13">
        <v>45901.0</v>
      </c>
      <c r="B4829" s="14" t="s">
        <v>47</v>
      </c>
      <c r="C4829" s="14" t="s">
        <v>48</v>
      </c>
      <c r="D4829" s="14" t="s">
        <v>91</v>
      </c>
      <c r="E4829" s="14" t="s">
        <v>92</v>
      </c>
      <c r="F4829" s="14" t="s">
        <v>146</v>
      </c>
      <c r="G4829" s="14" t="s">
        <v>147</v>
      </c>
      <c r="H4829" s="14" t="s">
        <v>91</v>
      </c>
      <c r="I4829" s="14" t="s">
        <v>107</v>
      </c>
      <c r="J4829" s="14" t="s">
        <v>200</v>
      </c>
      <c r="K4829" s="14" t="s">
        <v>226</v>
      </c>
      <c r="L4829" s="14" t="s">
        <v>253</v>
      </c>
      <c r="M4829" s="14" t="s">
        <v>1130</v>
      </c>
      <c r="N4829" s="14" t="s">
        <v>1473</v>
      </c>
      <c r="O4829" s="14">
        <v>100.0</v>
      </c>
      <c r="P4829" s="23">
        <v>1.0</v>
      </c>
      <c r="Q4829" s="22" t="str">
        <f t="shared" ref="Q4829:R4829" si="2891">"+0.00%"</f>
        <v>+0.00%</v>
      </c>
      <c r="R4829" s="18" t="str">
        <f t="shared" si="2891"/>
        <v>+0.00%</v>
      </c>
      <c r="S4829" s="14" t="s">
        <v>1474</v>
      </c>
    </row>
    <row r="4830">
      <c r="A4830" s="13">
        <v>45901.0</v>
      </c>
      <c r="B4830" s="14" t="s">
        <v>47</v>
      </c>
      <c r="C4830" s="14" t="s">
        <v>48</v>
      </c>
      <c r="D4830" s="14" t="s">
        <v>91</v>
      </c>
      <c r="E4830" s="14" t="s">
        <v>92</v>
      </c>
      <c r="F4830" s="14" t="s">
        <v>71</v>
      </c>
      <c r="G4830" s="14">
        <v>1.00004432E8</v>
      </c>
      <c r="H4830" s="14" t="s">
        <v>91</v>
      </c>
      <c r="I4830" s="14" t="s">
        <v>59</v>
      </c>
      <c r="J4830" s="14" t="s">
        <v>199</v>
      </c>
      <c r="K4830" s="14" t="s">
        <v>206</v>
      </c>
      <c r="L4830" s="14" t="s">
        <v>295</v>
      </c>
      <c r="M4830" s="14" t="s">
        <v>461</v>
      </c>
      <c r="N4830" s="14" t="s">
        <v>462</v>
      </c>
      <c r="O4830" s="14">
        <v>0.0</v>
      </c>
      <c r="P4830" s="21">
        <v>0.0</v>
      </c>
      <c r="Q4830" s="22" t="str">
        <f t="shared" ref="Q4830:R4830" si="2892">"+0"</f>
        <v>+0</v>
      </c>
      <c r="R4830" s="18" t="str">
        <f t="shared" si="2892"/>
        <v>+0</v>
      </c>
      <c r="S4830" s="14" t="s">
        <v>260</v>
      </c>
    </row>
    <row r="4831">
      <c r="A4831" s="13">
        <v>45901.0</v>
      </c>
      <c r="B4831" s="14" t="s">
        <v>47</v>
      </c>
      <c r="C4831" s="14" t="s">
        <v>48</v>
      </c>
      <c r="D4831" s="14" t="s">
        <v>99</v>
      </c>
      <c r="E4831" s="14" t="s">
        <v>100</v>
      </c>
      <c r="F4831" s="15" t="s">
        <v>51</v>
      </c>
      <c r="G4831" s="14" t="s">
        <v>101</v>
      </c>
      <c r="H4831" s="14" t="s">
        <v>102</v>
      </c>
      <c r="I4831" s="14" t="s">
        <v>54</v>
      </c>
      <c r="J4831" s="14" t="s">
        <v>198</v>
      </c>
      <c r="K4831" s="14" t="s">
        <v>210</v>
      </c>
      <c r="L4831" s="14" t="s">
        <v>458</v>
      </c>
      <c r="M4831" s="14" t="s">
        <v>1439</v>
      </c>
      <c r="N4831" s="14" t="s">
        <v>1440</v>
      </c>
      <c r="O4831" s="14">
        <v>0.0</v>
      </c>
      <c r="P4831" s="21">
        <v>0.0</v>
      </c>
      <c r="Q4831" s="22" t="str">
        <f t="shared" ref="Q4831:R4831" si="2893">"+0"</f>
        <v>+0</v>
      </c>
      <c r="R4831" s="18" t="str">
        <f t="shared" si="2893"/>
        <v>+0</v>
      </c>
      <c r="S4831" s="14" t="s">
        <v>277</v>
      </c>
    </row>
    <row r="4832">
      <c r="A4832" s="13">
        <v>45901.0</v>
      </c>
      <c r="B4832" s="14" t="s">
        <v>47</v>
      </c>
      <c r="C4832" s="14" t="s">
        <v>48</v>
      </c>
      <c r="D4832" s="14" t="s">
        <v>99</v>
      </c>
      <c r="E4832" s="14" t="s">
        <v>100</v>
      </c>
      <c r="F4832" s="15" t="s">
        <v>51</v>
      </c>
      <c r="G4832" s="14" t="s">
        <v>101</v>
      </c>
      <c r="H4832" s="14" t="s">
        <v>102</v>
      </c>
      <c r="I4832" s="14" t="s">
        <v>54</v>
      </c>
      <c r="J4832" s="14" t="s">
        <v>198</v>
      </c>
      <c r="K4832" s="14" t="s">
        <v>210</v>
      </c>
      <c r="L4832" s="14" t="s">
        <v>264</v>
      </c>
      <c r="M4832" s="14" t="s">
        <v>470</v>
      </c>
      <c r="N4832" s="14" t="s">
        <v>471</v>
      </c>
      <c r="O4832" s="14">
        <v>0.0</v>
      </c>
      <c r="P4832" s="21">
        <v>262.0</v>
      </c>
      <c r="Q4832" s="22" t="str">
        <f>"+182"</f>
        <v>+182</v>
      </c>
      <c r="R4832" s="18" t="str">
        <f>"+76"</f>
        <v>+76</v>
      </c>
      <c r="S4832" s="14" t="s">
        <v>2364</v>
      </c>
    </row>
    <row r="4833">
      <c r="A4833" s="13">
        <v>45901.0</v>
      </c>
      <c r="B4833" s="14" t="s">
        <v>47</v>
      </c>
      <c r="C4833" s="14" t="s">
        <v>48</v>
      </c>
      <c r="D4833" s="14" t="s">
        <v>63</v>
      </c>
      <c r="E4833" s="14" t="s">
        <v>64</v>
      </c>
      <c r="F4833" s="14" t="s">
        <v>111</v>
      </c>
      <c r="G4833" s="14">
        <v>4916210.0</v>
      </c>
      <c r="H4833" s="14" t="s">
        <v>63</v>
      </c>
      <c r="I4833" s="14" t="s">
        <v>59</v>
      </c>
      <c r="J4833" s="14" t="s">
        <v>199</v>
      </c>
      <c r="K4833" s="14" t="s">
        <v>206</v>
      </c>
      <c r="L4833" s="14" t="s">
        <v>268</v>
      </c>
      <c r="M4833" s="14" t="s">
        <v>268</v>
      </c>
      <c r="N4833" s="14" t="s">
        <v>269</v>
      </c>
      <c r="O4833" s="14">
        <v>100.0</v>
      </c>
      <c r="P4833" s="21">
        <v>6.0</v>
      </c>
      <c r="Q4833" s="22" t="str">
        <f t="shared" ref="Q4833:R4833" si="2894">"+3"</f>
        <v>+3</v>
      </c>
      <c r="R4833" s="18" t="str">
        <f t="shared" si="2894"/>
        <v>+3</v>
      </c>
      <c r="S4833" s="14" t="s">
        <v>260</v>
      </c>
    </row>
    <row r="4834">
      <c r="A4834" s="13">
        <v>45901.0</v>
      </c>
      <c r="B4834" s="14" t="s">
        <v>47</v>
      </c>
      <c r="C4834" s="14" t="s">
        <v>48</v>
      </c>
      <c r="D4834" s="14" t="s">
        <v>91</v>
      </c>
      <c r="E4834" s="14" t="s">
        <v>92</v>
      </c>
      <c r="F4834" s="15" t="s">
        <v>51</v>
      </c>
      <c r="G4834" s="14" t="s">
        <v>163</v>
      </c>
      <c r="H4834" s="14" t="s">
        <v>91</v>
      </c>
      <c r="I4834" s="14" t="s">
        <v>59</v>
      </c>
      <c r="J4834" s="14" t="s">
        <v>200</v>
      </c>
      <c r="K4834" s="14" t="s">
        <v>223</v>
      </c>
      <c r="L4834" s="14" t="s">
        <v>359</v>
      </c>
      <c r="M4834" s="14" t="s">
        <v>628</v>
      </c>
      <c r="N4834" s="14" t="s">
        <v>629</v>
      </c>
      <c r="O4834" s="14">
        <v>100.0</v>
      </c>
      <c r="P4834" s="21">
        <v>111.0</v>
      </c>
      <c r="Q4834" s="22" t="str">
        <f t="shared" ref="Q4834:R4834" si="2895">"+0"</f>
        <v>+0</v>
      </c>
      <c r="R4834" s="18" t="str">
        <f t="shared" si="2895"/>
        <v>+0</v>
      </c>
      <c r="S4834" s="14" t="s">
        <v>260</v>
      </c>
    </row>
    <row r="4835">
      <c r="A4835" s="13">
        <v>45901.0</v>
      </c>
      <c r="B4835" s="14" t="s">
        <v>47</v>
      </c>
      <c r="C4835" s="14" t="s">
        <v>48</v>
      </c>
      <c r="D4835" s="14" t="s">
        <v>118</v>
      </c>
      <c r="E4835" s="14" t="s">
        <v>119</v>
      </c>
      <c r="F4835" s="15" t="s">
        <v>51</v>
      </c>
      <c r="G4835" s="14" t="s">
        <v>120</v>
      </c>
      <c r="H4835" s="14" t="s">
        <v>118</v>
      </c>
      <c r="I4835" s="14" t="s">
        <v>59</v>
      </c>
      <c r="J4835" s="14" t="s">
        <v>199</v>
      </c>
      <c r="K4835" s="14" t="s">
        <v>206</v>
      </c>
      <c r="L4835" s="14" t="s">
        <v>381</v>
      </c>
      <c r="M4835" s="14" t="s">
        <v>381</v>
      </c>
      <c r="N4835" s="14" t="s">
        <v>382</v>
      </c>
      <c r="O4835" s="14">
        <v>0.0</v>
      </c>
      <c r="P4835" s="21">
        <v>0.0</v>
      </c>
      <c r="Q4835" s="22" t="str">
        <f t="shared" ref="Q4835:R4835" si="2896">"+0"</f>
        <v>+0</v>
      </c>
      <c r="R4835" s="18" t="str">
        <f t="shared" si="2896"/>
        <v>+0</v>
      </c>
      <c r="S4835" s="14" t="s">
        <v>383</v>
      </c>
    </row>
    <row r="4836">
      <c r="A4836" s="13">
        <v>45901.0</v>
      </c>
      <c r="B4836" s="14" t="s">
        <v>47</v>
      </c>
      <c r="C4836" s="14" t="s">
        <v>48</v>
      </c>
      <c r="D4836" s="14" t="s">
        <v>66</v>
      </c>
      <c r="E4836" s="14" t="s">
        <v>67</v>
      </c>
      <c r="F4836" s="15" t="s">
        <v>51</v>
      </c>
      <c r="G4836" s="14" t="s">
        <v>68</v>
      </c>
      <c r="H4836" s="14" t="s">
        <v>66</v>
      </c>
      <c r="I4836" s="14" t="s">
        <v>59</v>
      </c>
      <c r="J4836" s="14" t="s">
        <v>200</v>
      </c>
      <c r="K4836" s="14" t="s">
        <v>223</v>
      </c>
      <c r="L4836" s="14" t="s">
        <v>363</v>
      </c>
      <c r="M4836" s="14" t="s">
        <v>1634</v>
      </c>
      <c r="N4836" s="14" t="s">
        <v>1635</v>
      </c>
      <c r="O4836" s="14">
        <v>0.0</v>
      </c>
      <c r="P4836" s="23">
        <v>0.0</v>
      </c>
      <c r="Q4836" s="22" t="str">
        <f t="shared" ref="Q4836:R4836" si="2897">"+0.00%"</f>
        <v>+0.00%</v>
      </c>
      <c r="R4836" s="18" t="str">
        <f t="shared" si="2897"/>
        <v>+0.00%</v>
      </c>
      <c r="S4836" s="14" t="s">
        <v>285</v>
      </c>
    </row>
    <row r="4837">
      <c r="A4837" s="13">
        <v>45901.0</v>
      </c>
      <c r="B4837" s="14" t="s">
        <v>47</v>
      </c>
      <c r="C4837" s="14" t="s">
        <v>48</v>
      </c>
      <c r="D4837" s="14" t="s">
        <v>93</v>
      </c>
      <c r="E4837" s="14" t="s">
        <v>94</v>
      </c>
      <c r="F4837" s="15" t="s">
        <v>51</v>
      </c>
      <c r="G4837" s="14" t="s">
        <v>191</v>
      </c>
      <c r="H4837" s="14" t="s">
        <v>95</v>
      </c>
      <c r="I4837" s="14" t="s">
        <v>59</v>
      </c>
      <c r="J4837" s="14" t="s">
        <v>200</v>
      </c>
      <c r="K4837" s="14" t="s">
        <v>204</v>
      </c>
      <c r="L4837" s="14" t="s">
        <v>253</v>
      </c>
      <c r="M4837" s="14" t="s">
        <v>844</v>
      </c>
      <c r="N4837" s="14" t="s">
        <v>845</v>
      </c>
      <c r="O4837" s="14">
        <v>5.0</v>
      </c>
      <c r="P4837" s="23">
        <v>0.0556</v>
      </c>
      <c r="Q4837" s="22" t="str">
        <f t="shared" ref="Q4837:R4837" si="2898">"+5.56%"</f>
        <v>+5.56%</v>
      </c>
      <c r="R4837" s="18" t="str">
        <f t="shared" si="2898"/>
        <v>+5.56%</v>
      </c>
      <c r="S4837" s="14" t="s">
        <v>846</v>
      </c>
    </row>
    <row r="4838">
      <c r="A4838" s="13">
        <v>45901.0</v>
      </c>
      <c r="B4838" s="14" t="s">
        <v>47</v>
      </c>
      <c r="C4838" s="14" t="s">
        <v>48</v>
      </c>
      <c r="D4838" s="14" t="s">
        <v>66</v>
      </c>
      <c r="E4838" s="14" t="s">
        <v>67</v>
      </c>
      <c r="F4838" s="15" t="s">
        <v>51</v>
      </c>
      <c r="G4838" s="14" t="s">
        <v>68</v>
      </c>
      <c r="H4838" s="14" t="s">
        <v>66</v>
      </c>
      <c r="I4838" s="14" t="s">
        <v>59</v>
      </c>
      <c r="J4838" s="14" t="s">
        <v>200</v>
      </c>
      <c r="K4838" s="14" t="s">
        <v>223</v>
      </c>
      <c r="L4838" s="14" t="s">
        <v>607</v>
      </c>
      <c r="M4838" s="14" t="s">
        <v>932</v>
      </c>
      <c r="N4838" s="14" t="s">
        <v>933</v>
      </c>
      <c r="O4838" s="14">
        <v>0.0</v>
      </c>
      <c r="P4838" s="23">
        <v>0.0</v>
      </c>
      <c r="Q4838" s="22" t="str">
        <f t="shared" ref="Q4838:R4838" si="2899">"+0.00%"</f>
        <v>+0.00%</v>
      </c>
      <c r="R4838" s="18" t="str">
        <f t="shared" si="2899"/>
        <v>+0.00%</v>
      </c>
      <c r="S4838" s="14" t="s">
        <v>285</v>
      </c>
    </row>
    <row r="4839">
      <c r="A4839" s="13">
        <v>45901.0</v>
      </c>
      <c r="B4839" s="14" t="s">
        <v>47</v>
      </c>
      <c r="C4839" s="14" t="s">
        <v>48</v>
      </c>
      <c r="D4839" s="14" t="s">
        <v>143</v>
      </c>
      <c r="E4839" s="14" t="s">
        <v>144</v>
      </c>
      <c r="F4839" s="15" t="s">
        <v>51</v>
      </c>
      <c r="G4839" s="14" t="s">
        <v>145</v>
      </c>
      <c r="H4839" s="14" t="s">
        <v>143</v>
      </c>
      <c r="I4839" s="14" t="s">
        <v>59</v>
      </c>
      <c r="J4839" s="14" t="s">
        <v>198</v>
      </c>
      <c r="K4839" s="14" t="s">
        <v>210</v>
      </c>
      <c r="L4839" s="14" t="s">
        <v>264</v>
      </c>
      <c r="M4839" s="14" t="s">
        <v>265</v>
      </c>
      <c r="N4839" s="14" t="s">
        <v>266</v>
      </c>
      <c r="O4839" s="14">
        <v>44.0</v>
      </c>
      <c r="P4839" s="21">
        <v>166.0</v>
      </c>
      <c r="Q4839" s="22" t="str">
        <f>"-22"</f>
        <v>-22</v>
      </c>
      <c r="R4839" s="18" t="str">
        <f>"-417"</f>
        <v>-417</v>
      </c>
      <c r="S4839" s="14" t="s">
        <v>2230</v>
      </c>
    </row>
    <row r="4840">
      <c r="A4840" s="13">
        <v>45901.0</v>
      </c>
      <c r="B4840" s="14" t="s">
        <v>47</v>
      </c>
      <c r="C4840" s="14" t="s">
        <v>48</v>
      </c>
      <c r="D4840" s="14" t="s">
        <v>132</v>
      </c>
      <c r="E4840" s="14" t="s">
        <v>133</v>
      </c>
      <c r="F4840" s="15" t="s">
        <v>51</v>
      </c>
      <c r="G4840" s="14" t="s">
        <v>134</v>
      </c>
      <c r="H4840" s="14" t="s">
        <v>135</v>
      </c>
      <c r="I4840" s="14" t="s">
        <v>59</v>
      </c>
      <c r="J4840" s="14" t="s">
        <v>200</v>
      </c>
      <c r="K4840" s="14" t="s">
        <v>204</v>
      </c>
      <c r="L4840" s="14" t="s">
        <v>253</v>
      </c>
      <c r="M4840" s="14" t="s">
        <v>844</v>
      </c>
      <c r="N4840" s="14" t="s">
        <v>845</v>
      </c>
      <c r="O4840" s="14">
        <v>0.0</v>
      </c>
      <c r="P4840" s="17"/>
      <c r="Q4840" s="22"/>
      <c r="S4840" s="14" t="s">
        <v>846</v>
      </c>
    </row>
    <row r="4841">
      <c r="A4841" s="13">
        <v>45901.0</v>
      </c>
      <c r="B4841" s="14" t="s">
        <v>47</v>
      </c>
      <c r="C4841" s="14" t="s">
        <v>48</v>
      </c>
      <c r="D4841" s="14" t="s">
        <v>103</v>
      </c>
      <c r="E4841" s="14" t="s">
        <v>104</v>
      </c>
      <c r="F4841" s="15" t="s">
        <v>51</v>
      </c>
      <c r="G4841" s="14" t="s">
        <v>105</v>
      </c>
      <c r="H4841" s="14" t="s">
        <v>106</v>
      </c>
      <c r="I4841" s="14" t="s">
        <v>59</v>
      </c>
      <c r="J4841" s="14" t="s">
        <v>200</v>
      </c>
      <c r="K4841" s="14" t="s">
        <v>232</v>
      </c>
      <c r="L4841" s="14" t="s">
        <v>261</v>
      </c>
      <c r="M4841" s="14" t="s">
        <v>906</v>
      </c>
      <c r="N4841" s="14" t="s">
        <v>907</v>
      </c>
      <c r="O4841" s="14">
        <v>0.0</v>
      </c>
      <c r="P4841" s="23">
        <v>0.0</v>
      </c>
      <c r="Q4841" s="22" t="str">
        <f t="shared" ref="Q4841:R4841" si="2900">"+0.00%"</f>
        <v>+0.00%</v>
      </c>
      <c r="R4841" s="18" t="str">
        <f t="shared" si="2900"/>
        <v>+0.00%</v>
      </c>
      <c r="S4841" s="14" t="s">
        <v>2365</v>
      </c>
    </row>
    <row r="4842">
      <c r="A4842" s="13">
        <v>45901.0</v>
      </c>
      <c r="B4842" s="14" t="s">
        <v>47</v>
      </c>
      <c r="C4842" s="14" t="s">
        <v>48</v>
      </c>
      <c r="D4842" s="14" t="s">
        <v>143</v>
      </c>
      <c r="E4842" s="14" t="s">
        <v>144</v>
      </c>
      <c r="F4842" s="15" t="s">
        <v>51</v>
      </c>
      <c r="G4842" s="14" t="s">
        <v>145</v>
      </c>
      <c r="H4842" s="14" t="s">
        <v>143</v>
      </c>
      <c r="I4842" s="14" t="s">
        <v>59</v>
      </c>
      <c r="J4842" s="14" t="s">
        <v>200</v>
      </c>
      <c r="K4842" s="14" t="s">
        <v>224</v>
      </c>
      <c r="L4842" s="14" t="s">
        <v>392</v>
      </c>
      <c r="M4842" s="14" t="s">
        <v>1638</v>
      </c>
      <c r="N4842" s="14" t="s">
        <v>1639</v>
      </c>
      <c r="O4842" s="14">
        <v>0.0</v>
      </c>
      <c r="P4842" s="23">
        <v>0.0</v>
      </c>
      <c r="Q4842" s="22" t="str">
        <f>"+0.00%"</f>
        <v>+0.00%</v>
      </c>
      <c r="S4842" s="14" t="s">
        <v>2366</v>
      </c>
    </row>
    <row r="4843">
      <c r="A4843" s="13">
        <v>45901.0</v>
      </c>
      <c r="B4843" s="14" t="s">
        <v>47</v>
      </c>
      <c r="C4843" s="14" t="s">
        <v>48</v>
      </c>
      <c r="D4843" s="14" t="s">
        <v>129</v>
      </c>
      <c r="E4843" s="14" t="s">
        <v>130</v>
      </c>
      <c r="F4843" s="15" t="s">
        <v>51</v>
      </c>
      <c r="G4843" s="14" t="s">
        <v>131</v>
      </c>
      <c r="H4843" s="14" t="s">
        <v>129</v>
      </c>
      <c r="I4843" s="14" t="s">
        <v>59</v>
      </c>
      <c r="J4843" s="14" t="s">
        <v>199</v>
      </c>
      <c r="K4843" s="14" t="s">
        <v>206</v>
      </c>
      <c r="L4843" s="14" t="s">
        <v>295</v>
      </c>
      <c r="M4843" s="14" t="s">
        <v>986</v>
      </c>
      <c r="N4843" s="14" t="s">
        <v>987</v>
      </c>
      <c r="O4843" s="14">
        <v>0.0</v>
      </c>
      <c r="P4843" s="21">
        <v>0.0</v>
      </c>
      <c r="Q4843" s="22" t="str">
        <f t="shared" ref="Q4843:R4843" si="2901">"+0"</f>
        <v>+0</v>
      </c>
      <c r="R4843" s="18" t="str">
        <f t="shared" si="2901"/>
        <v>+0</v>
      </c>
      <c r="S4843" s="14" t="s">
        <v>260</v>
      </c>
    </row>
    <row r="4844">
      <c r="A4844" s="13">
        <v>45901.0</v>
      </c>
      <c r="B4844" s="14" t="s">
        <v>47</v>
      </c>
      <c r="C4844" s="14" t="s">
        <v>48</v>
      </c>
      <c r="D4844" s="14" t="s">
        <v>136</v>
      </c>
      <c r="E4844" s="14" t="s">
        <v>137</v>
      </c>
      <c r="F4844" s="15" t="s">
        <v>51</v>
      </c>
      <c r="G4844" s="14" t="s">
        <v>138</v>
      </c>
      <c r="H4844" s="14" t="s">
        <v>139</v>
      </c>
      <c r="I4844" s="14" t="s">
        <v>59</v>
      </c>
      <c r="J4844" s="14" t="s">
        <v>198</v>
      </c>
      <c r="K4844" s="14" t="s">
        <v>207</v>
      </c>
      <c r="L4844" s="14" t="s">
        <v>318</v>
      </c>
      <c r="M4844" s="14" t="s">
        <v>508</v>
      </c>
      <c r="N4844" s="14" t="s">
        <v>509</v>
      </c>
      <c r="O4844" s="14">
        <v>0.0</v>
      </c>
      <c r="P4844" s="21">
        <v>0.0</v>
      </c>
      <c r="Q4844" s="22" t="str">
        <f>"+0"</f>
        <v>+0</v>
      </c>
      <c r="S4844" s="14" t="s">
        <v>281</v>
      </c>
    </row>
    <row r="4845">
      <c r="A4845" s="13">
        <v>45901.0</v>
      </c>
      <c r="B4845" s="14" t="s">
        <v>47</v>
      </c>
      <c r="C4845" s="14" t="s">
        <v>48</v>
      </c>
      <c r="D4845" s="14" t="s">
        <v>149</v>
      </c>
      <c r="E4845" s="14" t="s">
        <v>150</v>
      </c>
      <c r="F4845" s="15" t="s">
        <v>51</v>
      </c>
      <c r="G4845" s="14" t="s">
        <v>151</v>
      </c>
      <c r="H4845" s="14" t="s">
        <v>152</v>
      </c>
      <c r="I4845" s="14" t="s">
        <v>54</v>
      </c>
      <c r="J4845" s="14" t="s">
        <v>200</v>
      </c>
      <c r="K4845" s="14" t="s">
        <v>223</v>
      </c>
      <c r="L4845" s="14" t="s">
        <v>253</v>
      </c>
      <c r="M4845" s="14" t="s">
        <v>389</v>
      </c>
      <c r="N4845" s="14" t="s">
        <v>390</v>
      </c>
      <c r="O4845" s="14">
        <v>96.0</v>
      </c>
      <c r="P4845" s="23">
        <v>0.9602</v>
      </c>
      <c r="Q4845" s="22" t="str">
        <f>"-2.00%"</f>
        <v>-2.00%</v>
      </c>
      <c r="R4845" s="18" t="str">
        <f>"-3.43%"</f>
        <v>-3.43%</v>
      </c>
      <c r="S4845" s="14" t="s">
        <v>2367</v>
      </c>
    </row>
    <row r="4846">
      <c r="A4846" s="13">
        <v>45901.0</v>
      </c>
      <c r="B4846" s="14" t="s">
        <v>47</v>
      </c>
      <c r="C4846" s="14" t="s">
        <v>48</v>
      </c>
      <c r="D4846" s="14" t="s">
        <v>69</v>
      </c>
      <c r="E4846" s="14" t="s">
        <v>70</v>
      </c>
      <c r="F4846" s="15" t="s">
        <v>51</v>
      </c>
      <c r="G4846" s="14" t="s">
        <v>115</v>
      </c>
      <c r="H4846" s="14" t="s">
        <v>72</v>
      </c>
      <c r="I4846" s="14" t="s">
        <v>54</v>
      </c>
      <c r="J4846" s="14" t="s">
        <v>200</v>
      </c>
      <c r="K4846" s="14" t="s">
        <v>201</v>
      </c>
      <c r="L4846" s="14" t="s">
        <v>253</v>
      </c>
      <c r="M4846" s="14" t="s">
        <v>409</v>
      </c>
      <c r="N4846" s="14" t="s">
        <v>410</v>
      </c>
      <c r="O4846" s="14">
        <v>100.0</v>
      </c>
      <c r="P4846" s="23">
        <v>1.0</v>
      </c>
      <c r="Q4846" s="22" t="str">
        <f t="shared" ref="Q4846:R4846" si="2902">"+0.00%"</f>
        <v>+0.00%</v>
      </c>
      <c r="R4846" s="18" t="str">
        <f t="shared" si="2902"/>
        <v>+0.00%</v>
      </c>
      <c r="S4846" s="14" t="s">
        <v>898</v>
      </c>
    </row>
    <row r="4847">
      <c r="A4847" s="13">
        <v>45901.0</v>
      </c>
      <c r="B4847" s="14" t="s">
        <v>47</v>
      </c>
      <c r="C4847" s="14" t="s">
        <v>48</v>
      </c>
      <c r="D4847" s="14" t="s">
        <v>188</v>
      </c>
      <c r="E4847" s="14" t="s">
        <v>189</v>
      </c>
      <c r="F4847" s="15" t="s">
        <v>51</v>
      </c>
      <c r="G4847" s="14" t="s">
        <v>190</v>
      </c>
      <c r="H4847" s="14" t="s">
        <v>188</v>
      </c>
      <c r="J4847" s="14" t="s">
        <v>200</v>
      </c>
      <c r="K4847" s="14" t="s">
        <v>204</v>
      </c>
      <c r="L4847" s="14" t="s">
        <v>253</v>
      </c>
      <c r="M4847" s="14" t="s">
        <v>490</v>
      </c>
      <c r="N4847" s="14" t="s">
        <v>491</v>
      </c>
      <c r="O4847" s="14">
        <v>0.0</v>
      </c>
      <c r="P4847" s="23">
        <v>0.0</v>
      </c>
      <c r="Q4847" s="22" t="str">
        <f t="shared" ref="Q4847:R4847" si="2903">"+0.00%"</f>
        <v>+0.00%</v>
      </c>
      <c r="R4847" s="18" t="str">
        <f t="shared" si="2903"/>
        <v>+0.00%</v>
      </c>
      <c r="S4847" s="14" t="s">
        <v>1862</v>
      </c>
    </row>
    <row r="4848">
      <c r="A4848" s="13">
        <v>45901.0</v>
      </c>
      <c r="B4848" s="14" t="s">
        <v>47</v>
      </c>
      <c r="C4848" s="14" t="s">
        <v>48</v>
      </c>
      <c r="D4848" s="14" t="s">
        <v>77</v>
      </c>
      <c r="E4848" s="14" t="s">
        <v>78</v>
      </c>
      <c r="F4848" s="15" t="s">
        <v>51</v>
      </c>
      <c r="G4848" s="14" t="s">
        <v>128</v>
      </c>
      <c r="H4848" s="14" t="s">
        <v>81</v>
      </c>
      <c r="I4848" s="14" t="s">
        <v>59</v>
      </c>
      <c r="J4848" s="14" t="s">
        <v>200</v>
      </c>
      <c r="K4848" s="14" t="s">
        <v>223</v>
      </c>
      <c r="L4848" s="14" t="s">
        <v>289</v>
      </c>
      <c r="M4848" s="14" t="s">
        <v>684</v>
      </c>
      <c r="N4848" s="14" t="s">
        <v>685</v>
      </c>
      <c r="O4848" s="14">
        <v>0.0</v>
      </c>
      <c r="P4848" s="23">
        <v>0.0</v>
      </c>
      <c r="Q4848" s="22" t="str">
        <f t="shared" ref="Q4848:R4848" si="2904">"+0.00%"</f>
        <v>+0.00%</v>
      </c>
      <c r="R4848" s="18" t="str">
        <f t="shared" si="2904"/>
        <v>+0.00%</v>
      </c>
      <c r="S4848" s="14" t="s">
        <v>285</v>
      </c>
    </row>
    <row r="4849">
      <c r="A4849" s="13">
        <v>45901.0</v>
      </c>
      <c r="B4849" s="14" t="s">
        <v>47</v>
      </c>
      <c r="C4849" s="14" t="s">
        <v>48</v>
      </c>
      <c r="D4849" s="14" t="s">
        <v>158</v>
      </c>
      <c r="E4849" s="14" t="s">
        <v>159</v>
      </c>
      <c r="F4849" s="15" t="s">
        <v>51</v>
      </c>
      <c r="G4849" s="14" t="s">
        <v>160</v>
      </c>
      <c r="H4849" s="14" t="s">
        <v>158</v>
      </c>
      <c r="I4849" s="14" t="s">
        <v>54</v>
      </c>
      <c r="J4849" s="14" t="s">
        <v>200</v>
      </c>
      <c r="K4849" s="14" t="s">
        <v>227</v>
      </c>
      <c r="L4849" s="14" t="s">
        <v>721</v>
      </c>
      <c r="M4849" s="14" t="s">
        <v>722</v>
      </c>
      <c r="N4849" s="14" t="s">
        <v>723</v>
      </c>
      <c r="O4849" s="14">
        <v>53.0</v>
      </c>
      <c r="P4849" s="23">
        <v>0.0677</v>
      </c>
      <c r="Q4849" s="22" t="str">
        <f>"+19.25%"</f>
        <v>+19.25%</v>
      </c>
      <c r="R4849" s="18" t="str">
        <f>"+3.72%"</f>
        <v>+3.72%</v>
      </c>
      <c r="S4849" s="14" t="s">
        <v>724</v>
      </c>
    </row>
    <row r="4850">
      <c r="A4850" s="13">
        <v>45901.0</v>
      </c>
      <c r="B4850" s="14" t="s">
        <v>47</v>
      </c>
      <c r="C4850" s="14" t="s">
        <v>48</v>
      </c>
      <c r="D4850" s="14" t="s">
        <v>174</v>
      </c>
      <c r="E4850" s="14" t="s">
        <v>175</v>
      </c>
      <c r="F4850" s="15" t="s">
        <v>51</v>
      </c>
      <c r="G4850" s="14" t="s">
        <v>176</v>
      </c>
      <c r="H4850" s="14" t="s">
        <v>174</v>
      </c>
      <c r="I4850" s="14" t="s">
        <v>59</v>
      </c>
      <c r="J4850" s="14" t="s">
        <v>200</v>
      </c>
      <c r="K4850" s="14" t="s">
        <v>209</v>
      </c>
      <c r="L4850" s="14" t="s">
        <v>253</v>
      </c>
      <c r="M4850" s="14" t="s">
        <v>402</v>
      </c>
      <c r="N4850" s="14" t="s">
        <v>403</v>
      </c>
      <c r="O4850" s="14">
        <v>10.0</v>
      </c>
      <c r="P4850" s="23">
        <v>0.1034</v>
      </c>
      <c r="Q4850" s="22" t="str">
        <f>"+0.32%"</f>
        <v>+0.32%</v>
      </c>
      <c r="R4850" s="18" t="str">
        <f>"+0.88%"</f>
        <v>+0.88%</v>
      </c>
      <c r="S4850" s="14" t="s">
        <v>2368</v>
      </c>
    </row>
    <row r="4851">
      <c r="A4851" s="13">
        <v>45901.0</v>
      </c>
      <c r="B4851" s="14" t="s">
        <v>47</v>
      </c>
      <c r="C4851" s="14" t="s">
        <v>48</v>
      </c>
      <c r="D4851" s="14" t="s">
        <v>158</v>
      </c>
      <c r="E4851" s="14" t="s">
        <v>159</v>
      </c>
      <c r="F4851" s="15" t="s">
        <v>51</v>
      </c>
      <c r="G4851" s="14" t="s">
        <v>160</v>
      </c>
      <c r="H4851" s="14" t="s">
        <v>158</v>
      </c>
      <c r="I4851" s="14" t="s">
        <v>54</v>
      </c>
      <c r="J4851" s="14" t="s">
        <v>198</v>
      </c>
      <c r="K4851" s="14" t="s">
        <v>210</v>
      </c>
      <c r="L4851" s="14" t="s">
        <v>264</v>
      </c>
      <c r="M4851" s="14" t="s">
        <v>1068</v>
      </c>
      <c r="N4851" s="14" t="s">
        <v>1069</v>
      </c>
      <c r="O4851" s="14">
        <v>0.0</v>
      </c>
      <c r="P4851" s="21">
        <v>0.0</v>
      </c>
      <c r="Q4851" s="22" t="str">
        <f t="shared" ref="Q4851:R4851" si="2905">"+0"</f>
        <v>+0</v>
      </c>
      <c r="R4851" s="18" t="str">
        <f t="shared" si="2905"/>
        <v>+0</v>
      </c>
      <c r="S4851" s="14" t="s">
        <v>277</v>
      </c>
    </row>
    <row r="4852">
      <c r="A4852" s="13">
        <v>45901.0</v>
      </c>
      <c r="B4852" s="14" t="s">
        <v>47</v>
      </c>
      <c r="C4852" s="14" t="s">
        <v>48</v>
      </c>
      <c r="D4852" s="14" t="s">
        <v>158</v>
      </c>
      <c r="E4852" s="14" t="s">
        <v>159</v>
      </c>
      <c r="F4852" s="15" t="s">
        <v>51</v>
      </c>
      <c r="G4852" s="14" t="s">
        <v>160</v>
      </c>
      <c r="H4852" s="14" t="s">
        <v>158</v>
      </c>
      <c r="I4852" s="14" t="s">
        <v>54</v>
      </c>
      <c r="J4852" s="14" t="s">
        <v>199</v>
      </c>
      <c r="K4852" s="14" t="s">
        <v>206</v>
      </c>
      <c r="L4852" s="14" t="s">
        <v>531</v>
      </c>
      <c r="M4852" s="14" t="s">
        <v>531</v>
      </c>
      <c r="N4852" s="14" t="s">
        <v>532</v>
      </c>
      <c r="O4852" s="14">
        <v>0.0</v>
      </c>
      <c r="P4852" s="21">
        <v>0.0</v>
      </c>
      <c r="Q4852" s="22" t="str">
        <f t="shared" ref="Q4852:R4852" si="2906">"+0"</f>
        <v>+0</v>
      </c>
      <c r="R4852" s="18" t="str">
        <f t="shared" si="2906"/>
        <v>+0</v>
      </c>
      <c r="S4852" s="14" t="s">
        <v>260</v>
      </c>
    </row>
    <row r="4853">
      <c r="A4853" s="13">
        <v>45901.0</v>
      </c>
      <c r="B4853" s="14" t="s">
        <v>47</v>
      </c>
      <c r="C4853" s="14" t="s">
        <v>48</v>
      </c>
      <c r="D4853" s="14" t="s">
        <v>158</v>
      </c>
      <c r="E4853" s="14" t="s">
        <v>159</v>
      </c>
      <c r="F4853" s="15" t="s">
        <v>51</v>
      </c>
      <c r="G4853" s="14" t="s">
        <v>160</v>
      </c>
      <c r="H4853" s="14" t="s">
        <v>158</v>
      </c>
      <c r="I4853" s="14" t="s">
        <v>54</v>
      </c>
      <c r="J4853" s="14" t="s">
        <v>198</v>
      </c>
      <c r="K4853" s="14" t="s">
        <v>205</v>
      </c>
      <c r="L4853" s="14" t="s">
        <v>274</v>
      </c>
      <c r="M4853" s="14" t="s">
        <v>451</v>
      </c>
      <c r="N4853" s="14" t="s">
        <v>452</v>
      </c>
      <c r="O4853" s="14">
        <v>0.0</v>
      </c>
      <c r="P4853" s="21">
        <v>0.0</v>
      </c>
      <c r="Q4853" s="22" t="str">
        <f t="shared" ref="Q4853:Q4854" si="2907">"+0"</f>
        <v>+0</v>
      </c>
      <c r="S4853" s="14" t="s">
        <v>281</v>
      </c>
    </row>
    <row r="4854">
      <c r="A4854" s="13">
        <v>45901.0</v>
      </c>
      <c r="B4854" s="14" t="s">
        <v>47</v>
      </c>
      <c r="C4854" s="14" t="s">
        <v>48</v>
      </c>
      <c r="D4854" s="14" t="s">
        <v>158</v>
      </c>
      <c r="E4854" s="14" t="s">
        <v>159</v>
      </c>
      <c r="F4854" s="15" t="s">
        <v>51</v>
      </c>
      <c r="G4854" s="14" t="s">
        <v>160</v>
      </c>
      <c r="H4854" s="14" t="s">
        <v>158</v>
      </c>
      <c r="I4854" s="14" t="s">
        <v>54</v>
      </c>
      <c r="J4854" s="14" t="s">
        <v>199</v>
      </c>
      <c r="K4854" s="14" t="s">
        <v>203</v>
      </c>
      <c r="L4854" s="14" t="s">
        <v>1095</v>
      </c>
      <c r="M4854" s="14" t="s">
        <v>1095</v>
      </c>
      <c r="N4854" s="14" t="s">
        <v>1096</v>
      </c>
      <c r="O4854" s="14">
        <v>100.0</v>
      </c>
      <c r="P4854" s="21">
        <v>1.0</v>
      </c>
      <c r="Q4854" s="22" t="str">
        <f t="shared" si="2907"/>
        <v>+0</v>
      </c>
      <c r="R4854" s="18" t="str">
        <f>"+0"</f>
        <v>+0</v>
      </c>
      <c r="S4854" s="14" t="s">
        <v>260</v>
      </c>
    </row>
    <row r="4855">
      <c r="A4855" s="13">
        <v>45901.0</v>
      </c>
      <c r="B4855" s="14" t="s">
        <v>47</v>
      </c>
      <c r="C4855" s="14" t="s">
        <v>48</v>
      </c>
      <c r="D4855" s="14" t="s">
        <v>168</v>
      </c>
      <c r="E4855" s="14" t="s">
        <v>169</v>
      </c>
      <c r="F4855" s="15" t="s">
        <v>51</v>
      </c>
      <c r="G4855" s="14" t="s">
        <v>170</v>
      </c>
      <c r="H4855" s="14" t="s">
        <v>168</v>
      </c>
      <c r="I4855" s="14" t="s">
        <v>59</v>
      </c>
      <c r="J4855" s="14" t="s">
        <v>200</v>
      </c>
      <c r="K4855" s="14" t="s">
        <v>201</v>
      </c>
      <c r="L4855" s="14" t="s">
        <v>253</v>
      </c>
      <c r="M4855" s="14" t="s">
        <v>538</v>
      </c>
      <c r="N4855" s="14" t="s">
        <v>539</v>
      </c>
      <c r="O4855" s="14">
        <v>1.0</v>
      </c>
      <c r="P4855" s="23">
        <v>5.0E-4</v>
      </c>
      <c r="Q4855" s="22" t="str">
        <f>"-0.01%"</f>
        <v>-0.01%</v>
      </c>
      <c r="R4855" s="18" t="str">
        <f>"-0.05%"</f>
        <v>-0.05%</v>
      </c>
      <c r="S4855" s="14" t="s">
        <v>540</v>
      </c>
    </row>
    <row r="4856">
      <c r="A4856" s="13">
        <v>45901.0</v>
      </c>
      <c r="B4856" s="14" t="s">
        <v>47</v>
      </c>
      <c r="C4856" s="14" t="s">
        <v>48</v>
      </c>
      <c r="D4856" s="14" t="s">
        <v>121</v>
      </c>
      <c r="E4856" s="14" t="s">
        <v>122</v>
      </c>
      <c r="F4856" s="15" t="s">
        <v>51</v>
      </c>
      <c r="G4856" s="14" t="s">
        <v>123</v>
      </c>
      <c r="H4856" s="14" t="s">
        <v>124</v>
      </c>
      <c r="I4856" s="14" t="s">
        <v>59</v>
      </c>
      <c r="J4856" s="14" t="s">
        <v>200</v>
      </c>
      <c r="K4856" s="14" t="s">
        <v>232</v>
      </c>
      <c r="L4856" s="14" t="s">
        <v>253</v>
      </c>
      <c r="M4856" s="14" t="s">
        <v>552</v>
      </c>
      <c r="N4856" s="14" t="s">
        <v>553</v>
      </c>
      <c r="O4856" s="14">
        <v>37.0</v>
      </c>
      <c r="P4856" s="23">
        <v>0.3718</v>
      </c>
      <c r="Q4856" s="22" t="str">
        <f>"-0.81%"</f>
        <v>-0.81%</v>
      </c>
      <c r="R4856" s="18" t="str">
        <f>"-4.64%"</f>
        <v>-4.64%</v>
      </c>
      <c r="S4856" s="14" t="s">
        <v>2369</v>
      </c>
    </row>
    <row r="4857">
      <c r="A4857" s="13">
        <v>45901.0</v>
      </c>
      <c r="B4857" s="14" t="s">
        <v>47</v>
      </c>
      <c r="C4857" s="14" t="s">
        <v>48</v>
      </c>
      <c r="D4857" s="14" t="s">
        <v>56</v>
      </c>
      <c r="E4857" s="14" t="s">
        <v>57</v>
      </c>
      <c r="F4857" s="15" t="s">
        <v>51</v>
      </c>
      <c r="G4857" s="14" t="s">
        <v>58</v>
      </c>
      <c r="H4857" s="14" t="s">
        <v>56</v>
      </c>
      <c r="I4857" s="14" t="s">
        <v>59</v>
      </c>
      <c r="J4857" s="14" t="s">
        <v>200</v>
      </c>
      <c r="K4857" s="14" t="s">
        <v>223</v>
      </c>
      <c r="L4857" s="14" t="s">
        <v>607</v>
      </c>
      <c r="M4857" s="14" t="s">
        <v>758</v>
      </c>
      <c r="N4857" s="14" t="s">
        <v>759</v>
      </c>
      <c r="O4857" s="14">
        <v>23.0</v>
      </c>
      <c r="P4857" s="23">
        <v>-0.5205</v>
      </c>
      <c r="Q4857" s="22" t="str">
        <f>"+7.07%"</f>
        <v>+7.07%</v>
      </c>
      <c r="R4857" s="18" t="str">
        <f>"-38.09%"</f>
        <v>-38.09%</v>
      </c>
      <c r="S4857" s="14" t="s">
        <v>2370</v>
      </c>
    </row>
    <row r="4858">
      <c r="A4858" s="13">
        <v>45901.0</v>
      </c>
      <c r="B4858" s="14" t="s">
        <v>47</v>
      </c>
      <c r="C4858" s="14" t="s">
        <v>48</v>
      </c>
      <c r="D4858" s="14" t="s">
        <v>56</v>
      </c>
      <c r="E4858" s="14" t="s">
        <v>57</v>
      </c>
      <c r="F4858" s="15" t="s">
        <v>51</v>
      </c>
      <c r="G4858" s="14" t="s">
        <v>58</v>
      </c>
      <c r="H4858" s="14" t="s">
        <v>56</v>
      </c>
      <c r="I4858" s="14" t="s">
        <v>59</v>
      </c>
      <c r="J4858" s="14" t="s">
        <v>199</v>
      </c>
      <c r="K4858" s="14" t="s">
        <v>203</v>
      </c>
      <c r="L4858" s="14" t="s">
        <v>340</v>
      </c>
      <c r="M4858" s="14" t="s">
        <v>340</v>
      </c>
      <c r="N4858" s="14" t="s">
        <v>341</v>
      </c>
      <c r="O4858" s="14">
        <v>0.0</v>
      </c>
      <c r="P4858" s="21">
        <v>0.0</v>
      </c>
      <c r="Q4858" s="22" t="str">
        <f t="shared" ref="Q4858:R4858" si="2908">"+0"</f>
        <v>+0</v>
      </c>
      <c r="R4858" s="18" t="str">
        <f t="shared" si="2908"/>
        <v>+0</v>
      </c>
      <c r="S4858" s="14" t="s">
        <v>260</v>
      </c>
    </row>
    <row r="4859">
      <c r="A4859" s="13">
        <v>45901.0</v>
      </c>
      <c r="B4859" s="14" t="s">
        <v>47</v>
      </c>
      <c r="C4859" s="14" t="s">
        <v>48</v>
      </c>
      <c r="D4859" s="14" t="s">
        <v>165</v>
      </c>
      <c r="E4859" s="14" t="s">
        <v>166</v>
      </c>
      <c r="F4859" s="15" t="s">
        <v>51</v>
      </c>
      <c r="G4859" s="14" t="s">
        <v>167</v>
      </c>
      <c r="H4859" s="14" t="s">
        <v>165</v>
      </c>
      <c r="I4859" s="14" t="s">
        <v>54</v>
      </c>
      <c r="J4859" s="14" t="s">
        <v>200</v>
      </c>
      <c r="K4859" s="14" t="s">
        <v>224</v>
      </c>
      <c r="L4859" s="14" t="s">
        <v>253</v>
      </c>
      <c r="M4859" s="14" t="s">
        <v>952</v>
      </c>
      <c r="N4859" s="14" t="s">
        <v>953</v>
      </c>
      <c r="O4859" s="14">
        <v>70.0</v>
      </c>
      <c r="P4859" s="23">
        <v>0.7</v>
      </c>
      <c r="Q4859" s="22" t="str">
        <f>"+3.33%"</f>
        <v>+3.33%</v>
      </c>
      <c r="R4859" s="18" t="str">
        <f>"+1.67%"</f>
        <v>+1.67%</v>
      </c>
      <c r="S4859" s="14" t="s">
        <v>2371</v>
      </c>
    </row>
    <row r="4860">
      <c r="A4860" s="13">
        <v>45901.0</v>
      </c>
      <c r="B4860" s="14" t="s">
        <v>47</v>
      </c>
      <c r="C4860" s="14" t="s">
        <v>48</v>
      </c>
      <c r="D4860" s="14" t="s">
        <v>165</v>
      </c>
      <c r="E4860" s="14" t="s">
        <v>166</v>
      </c>
      <c r="F4860" s="15" t="s">
        <v>51</v>
      </c>
      <c r="G4860" s="14" t="s">
        <v>167</v>
      </c>
      <c r="H4860" s="14" t="s">
        <v>165</v>
      </c>
      <c r="I4860" s="14" t="s">
        <v>54</v>
      </c>
      <c r="J4860" s="14" t="s">
        <v>200</v>
      </c>
      <c r="K4860" s="14" t="s">
        <v>213</v>
      </c>
      <c r="L4860" s="14" t="s">
        <v>307</v>
      </c>
      <c r="M4860" s="14" t="s">
        <v>561</v>
      </c>
      <c r="N4860" s="14" t="s">
        <v>562</v>
      </c>
      <c r="O4860" s="14">
        <v>100.0</v>
      </c>
      <c r="P4860" s="23">
        <v>7.0E-4</v>
      </c>
      <c r="Q4860" s="22" t="str">
        <f>"-0.02%"</f>
        <v>-0.02%</v>
      </c>
      <c r="R4860" s="18" t="str">
        <f>"+0.00%"</f>
        <v>+0.00%</v>
      </c>
      <c r="S4860" s="14" t="s">
        <v>285</v>
      </c>
    </row>
    <row r="4861">
      <c r="A4861" s="13">
        <v>45901.0</v>
      </c>
      <c r="B4861" s="14" t="s">
        <v>47</v>
      </c>
      <c r="C4861" s="14" t="s">
        <v>48</v>
      </c>
      <c r="D4861" s="14" t="s">
        <v>165</v>
      </c>
      <c r="E4861" s="14" t="s">
        <v>166</v>
      </c>
      <c r="F4861" s="15" t="s">
        <v>51</v>
      </c>
      <c r="G4861" s="14" t="s">
        <v>167</v>
      </c>
      <c r="H4861" s="14" t="s">
        <v>165</v>
      </c>
      <c r="I4861" s="14" t="s">
        <v>54</v>
      </c>
      <c r="J4861" s="14" t="s">
        <v>200</v>
      </c>
      <c r="K4861" s="14" t="s">
        <v>213</v>
      </c>
      <c r="L4861" s="14" t="s">
        <v>289</v>
      </c>
      <c r="M4861" s="14" t="s">
        <v>331</v>
      </c>
      <c r="N4861" s="14" t="s">
        <v>332</v>
      </c>
      <c r="O4861" s="14">
        <v>0.0</v>
      </c>
      <c r="P4861" s="23">
        <v>0.0</v>
      </c>
      <c r="Q4861" s="22" t="str">
        <f t="shared" ref="Q4861:R4861" si="2909">"+0.00%"</f>
        <v>+0.00%</v>
      </c>
      <c r="R4861" s="18" t="str">
        <f t="shared" si="2909"/>
        <v>+0.00%</v>
      </c>
      <c r="S4861" s="14" t="s">
        <v>285</v>
      </c>
    </row>
    <row r="4862">
      <c r="A4862" s="13">
        <v>45901.0</v>
      </c>
      <c r="B4862" s="14" t="s">
        <v>47</v>
      </c>
      <c r="C4862" s="14" t="s">
        <v>48</v>
      </c>
      <c r="D4862" s="14" t="s">
        <v>165</v>
      </c>
      <c r="E4862" s="14" t="s">
        <v>166</v>
      </c>
      <c r="F4862" s="15" t="s">
        <v>51</v>
      </c>
      <c r="G4862" s="14" t="s">
        <v>167</v>
      </c>
      <c r="H4862" s="14" t="s">
        <v>165</v>
      </c>
      <c r="I4862" s="14" t="s">
        <v>54</v>
      </c>
      <c r="J4862" s="14" t="s">
        <v>199</v>
      </c>
      <c r="K4862" s="14" t="s">
        <v>206</v>
      </c>
      <c r="L4862" s="14" t="s">
        <v>569</v>
      </c>
      <c r="M4862" s="14" t="s">
        <v>569</v>
      </c>
      <c r="N4862" s="14" t="s">
        <v>570</v>
      </c>
      <c r="O4862" s="14">
        <v>100.0</v>
      </c>
      <c r="P4862" s="21">
        <v>39.0</v>
      </c>
      <c r="Q4862" s="22" t="str">
        <f>"+11"</f>
        <v>+11</v>
      </c>
      <c r="R4862" s="18" t="str">
        <f>"-12"</f>
        <v>-12</v>
      </c>
      <c r="S4862" s="14" t="s">
        <v>383</v>
      </c>
    </row>
    <row r="4863">
      <c r="A4863" s="13">
        <v>45901.0</v>
      </c>
      <c r="B4863" s="14" t="s">
        <v>47</v>
      </c>
      <c r="C4863" s="14" t="s">
        <v>48</v>
      </c>
      <c r="D4863" s="14" t="s">
        <v>49</v>
      </c>
      <c r="E4863" s="14" t="s">
        <v>50</v>
      </c>
      <c r="F4863" s="15" t="s">
        <v>51</v>
      </c>
      <c r="G4863" s="14" t="s">
        <v>52</v>
      </c>
      <c r="H4863" s="14" t="s">
        <v>53</v>
      </c>
      <c r="I4863" s="14" t="s">
        <v>54</v>
      </c>
      <c r="J4863" s="14" t="s">
        <v>199</v>
      </c>
      <c r="K4863" s="14" t="s">
        <v>203</v>
      </c>
      <c r="L4863" s="14" t="s">
        <v>601</v>
      </c>
      <c r="M4863" s="14" t="s">
        <v>601</v>
      </c>
      <c r="N4863" s="14" t="s">
        <v>602</v>
      </c>
      <c r="O4863" s="14">
        <v>0.0</v>
      </c>
      <c r="P4863" s="21">
        <v>0.0</v>
      </c>
      <c r="Q4863" s="22" t="str">
        <f t="shared" ref="Q4863:R4863" si="2910">"+0"</f>
        <v>+0</v>
      </c>
      <c r="R4863" s="18" t="str">
        <f t="shared" si="2910"/>
        <v>+0</v>
      </c>
      <c r="S4863" s="14" t="s">
        <v>260</v>
      </c>
    </row>
    <row r="4864">
      <c r="A4864" s="13">
        <v>45901.0</v>
      </c>
      <c r="B4864" s="14" t="s">
        <v>47</v>
      </c>
      <c r="C4864" s="14" t="s">
        <v>48</v>
      </c>
      <c r="D4864" s="14" t="s">
        <v>49</v>
      </c>
      <c r="E4864" s="14" t="s">
        <v>50</v>
      </c>
      <c r="F4864" s="15" t="s">
        <v>51</v>
      </c>
      <c r="G4864" s="14" t="s">
        <v>52</v>
      </c>
      <c r="H4864" s="14" t="s">
        <v>53</v>
      </c>
      <c r="I4864" s="14" t="s">
        <v>54</v>
      </c>
      <c r="J4864" s="14" t="s">
        <v>198</v>
      </c>
      <c r="K4864" s="14" t="s">
        <v>210</v>
      </c>
      <c r="L4864" s="14" t="s">
        <v>458</v>
      </c>
      <c r="M4864" s="14" t="s">
        <v>829</v>
      </c>
      <c r="N4864" s="14" t="s">
        <v>830</v>
      </c>
      <c r="O4864" s="14">
        <v>0.0</v>
      </c>
      <c r="P4864" s="21">
        <v>0.0</v>
      </c>
      <c r="Q4864" s="22" t="str">
        <f t="shared" ref="Q4864:R4864" si="2911">"+0"</f>
        <v>+0</v>
      </c>
      <c r="R4864" s="18" t="str">
        <f t="shared" si="2911"/>
        <v>+0</v>
      </c>
      <c r="S4864" s="14" t="s">
        <v>277</v>
      </c>
    </row>
    <row r="4865">
      <c r="A4865" s="13">
        <v>45901.0</v>
      </c>
      <c r="B4865" s="14" t="s">
        <v>47</v>
      </c>
      <c r="C4865" s="14" t="s">
        <v>48</v>
      </c>
      <c r="D4865" s="14" t="s">
        <v>63</v>
      </c>
      <c r="E4865" s="14" t="s">
        <v>64</v>
      </c>
      <c r="F4865" s="15" t="s">
        <v>51</v>
      </c>
      <c r="G4865" s="14" t="s">
        <v>65</v>
      </c>
      <c r="H4865" s="14" t="s">
        <v>63</v>
      </c>
      <c r="I4865" s="14" t="s">
        <v>54</v>
      </c>
      <c r="J4865" s="14" t="s">
        <v>199</v>
      </c>
      <c r="K4865" s="14" t="s">
        <v>208</v>
      </c>
      <c r="L4865" s="14" t="s">
        <v>352</v>
      </c>
      <c r="M4865" s="14" t="s">
        <v>352</v>
      </c>
      <c r="N4865" s="14" t="s">
        <v>353</v>
      </c>
      <c r="O4865" s="14">
        <v>100.0</v>
      </c>
      <c r="P4865" s="21">
        <v>66.0</v>
      </c>
      <c r="Q4865" s="22" t="str">
        <f>"+1"</f>
        <v>+1</v>
      </c>
      <c r="R4865" s="18" t="str">
        <f>"+3"</f>
        <v>+3</v>
      </c>
      <c r="S4865" s="14" t="s">
        <v>260</v>
      </c>
    </row>
    <row r="4866">
      <c r="A4866" s="13">
        <v>45901.0</v>
      </c>
      <c r="B4866" s="14" t="s">
        <v>47</v>
      </c>
      <c r="C4866" s="14" t="s">
        <v>48</v>
      </c>
      <c r="D4866" s="14" t="s">
        <v>63</v>
      </c>
      <c r="E4866" s="14" t="s">
        <v>64</v>
      </c>
      <c r="F4866" s="15" t="s">
        <v>51</v>
      </c>
      <c r="G4866" s="14" t="s">
        <v>65</v>
      </c>
      <c r="H4866" s="14" t="s">
        <v>63</v>
      </c>
      <c r="I4866" s="14" t="s">
        <v>54</v>
      </c>
      <c r="J4866" s="14" t="s">
        <v>200</v>
      </c>
      <c r="K4866" s="14" t="s">
        <v>224</v>
      </c>
      <c r="L4866" s="14" t="s">
        <v>392</v>
      </c>
      <c r="M4866" s="14" t="s">
        <v>826</v>
      </c>
      <c r="N4866" s="14" t="s">
        <v>827</v>
      </c>
      <c r="O4866" s="14">
        <v>0.0</v>
      </c>
      <c r="P4866" s="23">
        <v>0.0</v>
      </c>
      <c r="Q4866" s="22" t="str">
        <f t="shared" ref="Q4866:R4866" si="2912">"+0.00%"</f>
        <v>+0.00%</v>
      </c>
      <c r="R4866" s="18" t="str">
        <f t="shared" si="2912"/>
        <v>+0.00%</v>
      </c>
      <c r="S4866" s="14" t="s">
        <v>2372</v>
      </c>
    </row>
    <row r="4867">
      <c r="A4867" s="13">
        <v>45901.0</v>
      </c>
      <c r="B4867" s="14" t="s">
        <v>47</v>
      </c>
      <c r="C4867" s="14" t="s">
        <v>48</v>
      </c>
      <c r="D4867" s="14" t="s">
        <v>63</v>
      </c>
      <c r="E4867" s="14" t="s">
        <v>64</v>
      </c>
      <c r="F4867" s="15" t="s">
        <v>51</v>
      </c>
      <c r="G4867" s="14" t="s">
        <v>65</v>
      </c>
      <c r="H4867" s="14" t="s">
        <v>63</v>
      </c>
      <c r="I4867" s="14" t="s">
        <v>54</v>
      </c>
      <c r="J4867" s="14" t="s">
        <v>200</v>
      </c>
      <c r="K4867" s="14" t="s">
        <v>213</v>
      </c>
      <c r="L4867" s="14" t="s">
        <v>307</v>
      </c>
      <c r="M4867" s="14" t="s">
        <v>533</v>
      </c>
      <c r="N4867" s="14" t="s">
        <v>534</v>
      </c>
      <c r="O4867" s="14">
        <v>14.0</v>
      </c>
      <c r="P4867" s="23">
        <v>0.1479</v>
      </c>
      <c r="Q4867" s="22" t="str">
        <f>"-14.70%"</f>
        <v>-14.70%</v>
      </c>
      <c r="R4867" s="18" t="str">
        <f>"-15.58%"</f>
        <v>-15.58%</v>
      </c>
      <c r="S4867" s="14" t="s">
        <v>1666</v>
      </c>
    </row>
    <row r="4868">
      <c r="A4868" s="13">
        <v>45901.0</v>
      </c>
      <c r="B4868" s="14" t="s">
        <v>47</v>
      </c>
      <c r="C4868" s="14" t="s">
        <v>48</v>
      </c>
      <c r="D4868" s="14" t="s">
        <v>99</v>
      </c>
      <c r="E4868" s="14" t="s">
        <v>100</v>
      </c>
      <c r="F4868" s="15" t="s">
        <v>51</v>
      </c>
      <c r="G4868" s="14" t="s">
        <v>101</v>
      </c>
      <c r="H4868" s="14" t="s">
        <v>102</v>
      </c>
      <c r="I4868" s="14" t="s">
        <v>54</v>
      </c>
      <c r="J4868" s="14" t="s">
        <v>200</v>
      </c>
      <c r="K4868" s="14" t="s">
        <v>213</v>
      </c>
      <c r="L4868" s="14" t="s">
        <v>257</v>
      </c>
      <c r="M4868" s="14" t="s">
        <v>493</v>
      </c>
      <c r="N4868" s="14" t="s">
        <v>494</v>
      </c>
      <c r="O4868" s="14">
        <v>0.0</v>
      </c>
      <c r="P4868" s="23">
        <v>-1.0</v>
      </c>
      <c r="Q4868" s="22" t="str">
        <f t="shared" ref="Q4868:R4868" si="2913">"+0.00%"</f>
        <v>+0.00%</v>
      </c>
      <c r="R4868" s="18" t="str">
        <f t="shared" si="2913"/>
        <v>+0.00%</v>
      </c>
      <c r="S4868" s="14" t="s">
        <v>2373</v>
      </c>
    </row>
    <row r="4869">
      <c r="A4869" s="13">
        <v>45901.0</v>
      </c>
      <c r="B4869" s="14" t="s">
        <v>47</v>
      </c>
      <c r="C4869" s="14" t="s">
        <v>48</v>
      </c>
      <c r="D4869" s="14" t="s">
        <v>63</v>
      </c>
      <c r="E4869" s="14" t="s">
        <v>64</v>
      </c>
      <c r="F4869" s="15" t="s">
        <v>51</v>
      </c>
      <c r="G4869" s="14" t="s">
        <v>65</v>
      </c>
      <c r="H4869" s="14" t="s">
        <v>63</v>
      </c>
      <c r="I4869" s="14" t="s">
        <v>54</v>
      </c>
      <c r="J4869" s="14" t="s">
        <v>200</v>
      </c>
      <c r="K4869" s="14" t="s">
        <v>222</v>
      </c>
      <c r="L4869" s="14" t="s">
        <v>337</v>
      </c>
      <c r="M4869" s="14" t="s">
        <v>338</v>
      </c>
      <c r="N4869" s="14" t="s">
        <v>339</v>
      </c>
      <c r="O4869" s="14">
        <v>100.0</v>
      </c>
      <c r="P4869" s="21">
        <v>5061.0</v>
      </c>
      <c r="Q4869" s="22" t="str">
        <f>"+2,552"</f>
        <v>+2,552</v>
      </c>
      <c r="R4869" s="18" t="str">
        <f>"+2,433"</f>
        <v>+2,433</v>
      </c>
      <c r="S4869" s="14" t="s">
        <v>260</v>
      </c>
    </row>
    <row r="4870">
      <c r="A4870" s="13">
        <v>45901.0</v>
      </c>
      <c r="B4870" s="14" t="s">
        <v>47</v>
      </c>
      <c r="C4870" s="14" t="s">
        <v>48</v>
      </c>
      <c r="D4870" s="14" t="s">
        <v>99</v>
      </c>
      <c r="E4870" s="14" t="s">
        <v>100</v>
      </c>
      <c r="F4870" s="15" t="s">
        <v>51</v>
      </c>
      <c r="G4870" s="14" t="s">
        <v>101</v>
      </c>
      <c r="H4870" s="14" t="s">
        <v>102</v>
      </c>
      <c r="I4870" s="14" t="s">
        <v>54</v>
      </c>
      <c r="J4870" s="14" t="s">
        <v>198</v>
      </c>
      <c r="K4870" s="14" t="s">
        <v>210</v>
      </c>
      <c r="L4870" s="14" t="s">
        <v>264</v>
      </c>
      <c r="M4870" s="14" t="s">
        <v>943</v>
      </c>
      <c r="N4870" s="14" t="s">
        <v>944</v>
      </c>
      <c r="O4870" s="14">
        <v>0.0</v>
      </c>
      <c r="P4870" s="21">
        <v>0.0</v>
      </c>
      <c r="Q4870" s="22" t="str">
        <f t="shared" ref="Q4870:R4870" si="2914">"+0"</f>
        <v>+0</v>
      </c>
      <c r="R4870" s="18" t="str">
        <f t="shared" si="2914"/>
        <v>+0</v>
      </c>
      <c r="S4870" s="14" t="s">
        <v>277</v>
      </c>
    </row>
    <row r="4871">
      <c r="A4871" s="13">
        <v>45901.0</v>
      </c>
      <c r="B4871" s="14" t="s">
        <v>47</v>
      </c>
      <c r="C4871" s="14" t="s">
        <v>48</v>
      </c>
      <c r="D4871" s="14" t="s">
        <v>63</v>
      </c>
      <c r="E4871" s="14" t="s">
        <v>64</v>
      </c>
      <c r="F4871" s="15" t="s">
        <v>51</v>
      </c>
      <c r="G4871" s="14" t="s">
        <v>65</v>
      </c>
      <c r="H4871" s="14" t="s">
        <v>63</v>
      </c>
      <c r="I4871" s="14" t="s">
        <v>54</v>
      </c>
      <c r="J4871" s="14" t="s">
        <v>200</v>
      </c>
      <c r="K4871" s="14" t="s">
        <v>224</v>
      </c>
      <c r="L4871" s="14" t="s">
        <v>392</v>
      </c>
      <c r="M4871" s="14" t="s">
        <v>1638</v>
      </c>
      <c r="N4871" s="14" t="s">
        <v>1639</v>
      </c>
      <c r="O4871" s="14">
        <v>3.0</v>
      </c>
      <c r="P4871" s="23">
        <v>0.0357</v>
      </c>
      <c r="Q4871" s="22" t="str">
        <f>"-1.19%"</f>
        <v>-1.19%</v>
      </c>
      <c r="R4871" s="18" t="str">
        <f>"-0.97%"</f>
        <v>-0.97%</v>
      </c>
      <c r="S4871" s="14" t="s">
        <v>1562</v>
      </c>
    </row>
    <row r="4872">
      <c r="A4872" s="13">
        <v>45901.0</v>
      </c>
      <c r="B4872" s="14" t="s">
        <v>47</v>
      </c>
      <c r="C4872" s="14" t="s">
        <v>48</v>
      </c>
      <c r="D4872" s="14" t="s">
        <v>99</v>
      </c>
      <c r="E4872" s="14" t="s">
        <v>100</v>
      </c>
      <c r="F4872" s="15" t="s">
        <v>51</v>
      </c>
      <c r="G4872" s="14" t="s">
        <v>101</v>
      </c>
      <c r="H4872" s="14" t="s">
        <v>102</v>
      </c>
      <c r="I4872" s="14" t="s">
        <v>54</v>
      </c>
      <c r="J4872" s="14" t="s">
        <v>198</v>
      </c>
      <c r="K4872" s="14" t="s">
        <v>210</v>
      </c>
      <c r="L4872" s="14" t="s">
        <v>278</v>
      </c>
      <c r="M4872" s="14" t="s">
        <v>443</v>
      </c>
      <c r="N4872" s="14" t="s">
        <v>444</v>
      </c>
      <c r="O4872" s="14">
        <v>18.0</v>
      </c>
      <c r="P4872" s="21">
        <v>198.0</v>
      </c>
      <c r="Q4872" s="22" t="str">
        <f>"+11"</f>
        <v>+11</v>
      </c>
      <c r="R4872" s="18" t="str">
        <f>"+34"</f>
        <v>+34</v>
      </c>
      <c r="S4872" s="14" t="s">
        <v>1257</v>
      </c>
    </row>
    <row r="4873">
      <c r="A4873" s="13">
        <v>45901.0</v>
      </c>
      <c r="B4873" s="14" t="s">
        <v>47</v>
      </c>
      <c r="C4873" s="14" t="s">
        <v>48</v>
      </c>
      <c r="D4873" s="14" t="s">
        <v>192</v>
      </c>
      <c r="E4873" s="14" t="s">
        <v>193</v>
      </c>
      <c r="F4873" s="15" t="s">
        <v>51</v>
      </c>
      <c r="G4873" s="14" t="s">
        <v>194</v>
      </c>
      <c r="H4873" s="14" t="s">
        <v>192</v>
      </c>
      <c r="I4873" s="14" t="s">
        <v>54</v>
      </c>
      <c r="J4873" s="14" t="s">
        <v>198</v>
      </c>
      <c r="K4873" s="14" t="s">
        <v>210</v>
      </c>
      <c r="L4873" s="14" t="s">
        <v>264</v>
      </c>
      <c r="M4873" s="14" t="s">
        <v>1283</v>
      </c>
      <c r="N4873" s="14" t="s">
        <v>1284</v>
      </c>
      <c r="O4873" s="14">
        <v>0.0</v>
      </c>
      <c r="P4873" s="21">
        <v>0.0</v>
      </c>
      <c r="Q4873" s="22" t="str">
        <f t="shared" ref="Q4873:R4873" si="2915">"+0"</f>
        <v>+0</v>
      </c>
      <c r="R4873" s="18" t="str">
        <f t="shared" si="2915"/>
        <v>+0</v>
      </c>
      <c r="S4873" s="14" t="s">
        <v>277</v>
      </c>
    </row>
    <row r="4874">
      <c r="A4874" s="13">
        <v>45901.0</v>
      </c>
      <c r="B4874" s="14" t="s">
        <v>47</v>
      </c>
      <c r="C4874" s="14" t="s">
        <v>48</v>
      </c>
      <c r="D4874" s="14" t="s">
        <v>82</v>
      </c>
      <c r="E4874" s="14" t="s">
        <v>83</v>
      </c>
      <c r="F4874" s="15" t="s">
        <v>51</v>
      </c>
      <c r="G4874" s="14" t="s">
        <v>84</v>
      </c>
      <c r="H4874" s="14" t="s">
        <v>82</v>
      </c>
      <c r="I4874" s="14" t="s">
        <v>59</v>
      </c>
      <c r="J4874" s="14" t="s">
        <v>198</v>
      </c>
      <c r="K4874" s="14" t="s">
        <v>210</v>
      </c>
      <c r="L4874" s="14" t="s">
        <v>264</v>
      </c>
      <c r="M4874" s="14" t="s">
        <v>357</v>
      </c>
      <c r="N4874" s="14" t="s">
        <v>358</v>
      </c>
      <c r="O4874" s="14">
        <v>100.0</v>
      </c>
      <c r="P4874" s="21">
        <v>0.0</v>
      </c>
      <c r="Q4874" s="22" t="str">
        <f t="shared" ref="Q4874:R4874" si="2916">"+0"</f>
        <v>+0</v>
      </c>
      <c r="R4874" s="18" t="str">
        <f t="shared" si="2916"/>
        <v>+0</v>
      </c>
      <c r="S4874" s="14" t="s">
        <v>281</v>
      </c>
    </row>
    <row r="4875">
      <c r="A4875" s="13">
        <v>45901.0</v>
      </c>
      <c r="B4875" s="14" t="s">
        <v>47</v>
      </c>
      <c r="C4875" s="14" t="s">
        <v>48</v>
      </c>
      <c r="D4875" s="14" t="s">
        <v>143</v>
      </c>
      <c r="E4875" s="14" t="s">
        <v>144</v>
      </c>
      <c r="F4875" s="15" t="s">
        <v>51</v>
      </c>
      <c r="G4875" s="14" t="s">
        <v>145</v>
      </c>
      <c r="H4875" s="14" t="s">
        <v>143</v>
      </c>
      <c r="I4875" s="14" t="s">
        <v>59</v>
      </c>
      <c r="J4875" s="14" t="s">
        <v>200</v>
      </c>
      <c r="K4875" s="14" t="s">
        <v>222</v>
      </c>
      <c r="L4875" s="14" t="s">
        <v>337</v>
      </c>
      <c r="M4875" s="14" t="s">
        <v>734</v>
      </c>
      <c r="N4875" s="14" t="s">
        <v>735</v>
      </c>
      <c r="O4875" s="14">
        <v>0.0</v>
      </c>
      <c r="P4875" s="21">
        <v>0.0</v>
      </c>
      <c r="Q4875" s="22" t="str">
        <f t="shared" ref="Q4875:R4875" si="2917">"+0"</f>
        <v>+0</v>
      </c>
      <c r="R4875" s="18" t="str">
        <f t="shared" si="2917"/>
        <v>+0</v>
      </c>
      <c r="S4875" s="14" t="s">
        <v>260</v>
      </c>
    </row>
    <row r="4876">
      <c r="A4876" s="13">
        <v>45901.0</v>
      </c>
      <c r="B4876" s="14" t="s">
        <v>47</v>
      </c>
      <c r="C4876" s="14" t="s">
        <v>48</v>
      </c>
      <c r="D4876" s="14" t="s">
        <v>73</v>
      </c>
      <c r="E4876" s="14" t="s">
        <v>74</v>
      </c>
      <c r="F4876" s="15" t="s">
        <v>51</v>
      </c>
      <c r="G4876" s="14" t="s">
        <v>75</v>
      </c>
      <c r="H4876" s="14" t="s">
        <v>76</v>
      </c>
      <c r="I4876" s="14" t="s">
        <v>59</v>
      </c>
      <c r="J4876" s="14" t="s">
        <v>199</v>
      </c>
      <c r="K4876" s="14" t="s">
        <v>206</v>
      </c>
      <c r="L4876" s="14" t="s">
        <v>515</v>
      </c>
      <c r="M4876" s="14" t="s">
        <v>515</v>
      </c>
      <c r="N4876" s="14" t="s">
        <v>516</v>
      </c>
      <c r="O4876" s="14">
        <v>0.0</v>
      </c>
      <c r="P4876" s="21">
        <v>0.0</v>
      </c>
      <c r="Q4876" s="22" t="str">
        <f t="shared" ref="Q4876:R4876" si="2918">"+0"</f>
        <v>+0</v>
      </c>
      <c r="R4876" s="18" t="str">
        <f t="shared" si="2918"/>
        <v>+0</v>
      </c>
      <c r="S4876" s="14" t="s">
        <v>383</v>
      </c>
    </row>
    <row r="4877">
      <c r="A4877" s="13">
        <v>45901.0</v>
      </c>
      <c r="B4877" s="14" t="s">
        <v>47</v>
      </c>
      <c r="C4877" s="14" t="s">
        <v>48</v>
      </c>
      <c r="D4877" s="14" t="s">
        <v>143</v>
      </c>
      <c r="E4877" s="14" t="s">
        <v>144</v>
      </c>
      <c r="F4877" s="15" t="s">
        <v>51</v>
      </c>
      <c r="G4877" s="14" t="s">
        <v>145</v>
      </c>
      <c r="H4877" s="14" t="s">
        <v>143</v>
      </c>
      <c r="I4877" s="14" t="s">
        <v>59</v>
      </c>
      <c r="J4877" s="14" t="s">
        <v>200</v>
      </c>
      <c r="K4877" s="14" t="s">
        <v>232</v>
      </c>
      <c r="L4877" s="14" t="s">
        <v>261</v>
      </c>
      <c r="M4877" s="14" t="s">
        <v>1338</v>
      </c>
      <c r="N4877" s="14" t="s">
        <v>1339</v>
      </c>
      <c r="O4877" s="14">
        <v>0.0</v>
      </c>
      <c r="P4877" s="23">
        <v>0.0</v>
      </c>
      <c r="Q4877" s="22" t="str">
        <f t="shared" ref="Q4877:R4877" si="2919">"+0.00%"</f>
        <v>+0.00%</v>
      </c>
      <c r="R4877" s="18" t="str">
        <f t="shared" si="2919"/>
        <v>+0.00%</v>
      </c>
      <c r="S4877" s="14" t="s">
        <v>285</v>
      </c>
    </row>
    <row r="4878">
      <c r="A4878" s="13">
        <v>45901.0</v>
      </c>
      <c r="B4878" s="14" t="s">
        <v>47</v>
      </c>
      <c r="C4878" s="14" t="s">
        <v>48</v>
      </c>
      <c r="D4878" s="14" t="s">
        <v>149</v>
      </c>
      <c r="E4878" s="14" t="s">
        <v>150</v>
      </c>
      <c r="F4878" s="15" t="s">
        <v>51</v>
      </c>
      <c r="G4878" s="14" t="s">
        <v>151</v>
      </c>
      <c r="H4878" s="14" t="s">
        <v>152</v>
      </c>
      <c r="I4878" s="14" t="s">
        <v>54</v>
      </c>
      <c r="J4878" s="14" t="s">
        <v>200</v>
      </c>
      <c r="K4878" s="14" t="s">
        <v>201</v>
      </c>
      <c r="L4878" s="14" t="s">
        <v>253</v>
      </c>
      <c r="M4878" s="14" t="s">
        <v>538</v>
      </c>
      <c r="N4878" s="14" t="s">
        <v>539</v>
      </c>
      <c r="O4878" s="14">
        <v>12.0</v>
      </c>
      <c r="P4878" s="23">
        <v>0.1269</v>
      </c>
      <c r="Q4878" s="22" t="str">
        <f>"+0.04%"</f>
        <v>+0.04%</v>
      </c>
      <c r="R4878" s="18" t="str">
        <f>"+0.17%"</f>
        <v>+0.17%</v>
      </c>
      <c r="S4878" s="14" t="s">
        <v>540</v>
      </c>
    </row>
    <row r="4879">
      <c r="A4879" s="13">
        <v>45901.0</v>
      </c>
      <c r="B4879" s="14" t="s">
        <v>47</v>
      </c>
      <c r="C4879" s="14" t="s">
        <v>48</v>
      </c>
      <c r="D4879" s="14" t="s">
        <v>96</v>
      </c>
      <c r="E4879" s="14" t="s">
        <v>97</v>
      </c>
      <c r="F4879" s="15" t="s">
        <v>51</v>
      </c>
      <c r="G4879" s="14" t="s">
        <v>98</v>
      </c>
      <c r="H4879" s="14" t="s">
        <v>96</v>
      </c>
      <c r="I4879" s="14" t="s">
        <v>59</v>
      </c>
      <c r="J4879" s="14" t="s">
        <v>198</v>
      </c>
      <c r="K4879" s="14" t="s">
        <v>205</v>
      </c>
      <c r="L4879" s="14" t="s">
        <v>274</v>
      </c>
      <c r="M4879" s="14" t="s">
        <v>466</v>
      </c>
      <c r="N4879" s="14" t="s">
        <v>467</v>
      </c>
      <c r="O4879" s="14">
        <v>0.0</v>
      </c>
      <c r="P4879" s="21">
        <v>0.0</v>
      </c>
      <c r="Q4879" s="22" t="str">
        <f>"+0"</f>
        <v>+0</v>
      </c>
      <c r="S4879" s="14" t="s">
        <v>281</v>
      </c>
    </row>
    <row r="4880">
      <c r="A4880" s="13">
        <v>45901.0</v>
      </c>
      <c r="B4880" s="14" t="s">
        <v>47</v>
      </c>
      <c r="C4880" s="14" t="s">
        <v>48</v>
      </c>
      <c r="D4880" s="14" t="s">
        <v>69</v>
      </c>
      <c r="E4880" s="14" t="s">
        <v>70</v>
      </c>
      <c r="F4880" s="15" t="s">
        <v>51</v>
      </c>
      <c r="G4880" s="14" t="s">
        <v>115</v>
      </c>
      <c r="H4880" s="14" t="s">
        <v>72</v>
      </c>
      <c r="I4880" s="14" t="s">
        <v>54</v>
      </c>
      <c r="J4880" s="14" t="s">
        <v>198</v>
      </c>
      <c r="K4880" s="14" t="s">
        <v>210</v>
      </c>
      <c r="L4880" s="14" t="s">
        <v>264</v>
      </c>
      <c r="M4880" s="14" t="s">
        <v>407</v>
      </c>
      <c r="N4880" s="14" t="s">
        <v>408</v>
      </c>
      <c r="O4880" s="14">
        <v>34.0</v>
      </c>
      <c r="P4880" s="21">
        <v>52894.0</v>
      </c>
      <c r="Q4880" s="22" t="str">
        <f>"+5,437"</f>
        <v>+5,437</v>
      </c>
      <c r="R4880" s="18" t="str">
        <f>"-46,243"</f>
        <v>-46,243</v>
      </c>
      <c r="S4880" s="14" t="s">
        <v>2374</v>
      </c>
    </row>
    <row r="4881">
      <c r="A4881" s="13">
        <v>45901.0</v>
      </c>
      <c r="B4881" s="14" t="s">
        <v>47</v>
      </c>
      <c r="C4881" s="14" t="s">
        <v>48</v>
      </c>
      <c r="D4881" s="14" t="s">
        <v>85</v>
      </c>
      <c r="E4881" s="14" t="s">
        <v>86</v>
      </c>
      <c r="F4881" s="14" t="s">
        <v>71</v>
      </c>
      <c r="G4881" s="14">
        <v>88285.0</v>
      </c>
      <c r="H4881" s="14" t="s">
        <v>85</v>
      </c>
      <c r="I4881" s="14" t="s">
        <v>59</v>
      </c>
      <c r="J4881" s="14" t="s">
        <v>200</v>
      </c>
      <c r="K4881" s="14" t="s">
        <v>218</v>
      </c>
      <c r="L4881" s="14" t="s">
        <v>253</v>
      </c>
      <c r="M4881" s="14" t="s">
        <v>1388</v>
      </c>
      <c r="N4881" s="14" t="s">
        <v>1389</v>
      </c>
      <c r="O4881" s="14">
        <v>0.0</v>
      </c>
      <c r="P4881" s="23">
        <v>0.0</v>
      </c>
      <c r="Q4881" s="22" t="str">
        <f t="shared" ref="Q4881:R4881" si="2920">"+0.00%"</f>
        <v>+0.00%</v>
      </c>
      <c r="R4881" s="18" t="str">
        <f t="shared" si="2920"/>
        <v>+0.00%</v>
      </c>
      <c r="S4881" s="14" t="s">
        <v>909</v>
      </c>
    </row>
    <row r="4882">
      <c r="A4882" s="13">
        <v>45901.0</v>
      </c>
      <c r="B4882" s="14" t="s">
        <v>47</v>
      </c>
      <c r="C4882" s="14" t="s">
        <v>48</v>
      </c>
      <c r="D4882" s="14" t="s">
        <v>125</v>
      </c>
      <c r="E4882" s="14" t="s">
        <v>126</v>
      </c>
      <c r="F4882" s="15" t="s">
        <v>51</v>
      </c>
      <c r="G4882" s="14" t="s">
        <v>127</v>
      </c>
      <c r="H4882" s="14" t="s">
        <v>125</v>
      </c>
      <c r="I4882" s="14" t="s">
        <v>59</v>
      </c>
      <c r="J4882" s="14" t="s">
        <v>200</v>
      </c>
      <c r="K4882" s="14" t="s">
        <v>224</v>
      </c>
      <c r="L4882" s="14" t="s">
        <v>964</v>
      </c>
      <c r="M4882" s="14" t="s">
        <v>1288</v>
      </c>
      <c r="N4882" s="14" t="s">
        <v>1289</v>
      </c>
      <c r="O4882" s="14">
        <v>0.0</v>
      </c>
      <c r="P4882" s="17"/>
      <c r="Q4882" s="22"/>
      <c r="S4882" s="14" t="s">
        <v>2375</v>
      </c>
    </row>
    <row r="4883">
      <c r="A4883" s="13">
        <v>45901.0</v>
      </c>
      <c r="B4883" s="14" t="s">
        <v>47</v>
      </c>
      <c r="C4883" s="14" t="s">
        <v>48</v>
      </c>
      <c r="D4883" s="14" t="s">
        <v>116</v>
      </c>
      <c r="E4883" s="14" t="s">
        <v>117</v>
      </c>
      <c r="F4883" s="15" t="s">
        <v>51</v>
      </c>
      <c r="G4883" s="14" t="s">
        <v>161</v>
      </c>
      <c r="H4883" s="14" t="s">
        <v>116</v>
      </c>
      <c r="I4883" s="14" t="s">
        <v>54</v>
      </c>
      <c r="J4883" s="14" t="s">
        <v>200</v>
      </c>
      <c r="K4883" s="14" t="s">
        <v>202</v>
      </c>
      <c r="L4883" s="14" t="s">
        <v>253</v>
      </c>
      <c r="M4883" s="14" t="s">
        <v>874</v>
      </c>
      <c r="N4883" s="14" t="s">
        <v>875</v>
      </c>
      <c r="O4883" s="14">
        <v>97.0</v>
      </c>
      <c r="P4883" s="23">
        <v>0.9725</v>
      </c>
      <c r="Q4883" s="22" t="str">
        <f>"+0.50%"</f>
        <v>+0.50%</v>
      </c>
      <c r="R4883" s="18" t="str">
        <f>"-0.89%"</f>
        <v>-0.89%</v>
      </c>
      <c r="S4883" s="14" t="s">
        <v>2376</v>
      </c>
    </row>
    <row r="4884">
      <c r="A4884" s="13">
        <v>45901.0</v>
      </c>
      <c r="B4884" s="14" t="s">
        <v>47</v>
      </c>
      <c r="C4884" s="14" t="s">
        <v>48</v>
      </c>
      <c r="D4884" s="14" t="s">
        <v>116</v>
      </c>
      <c r="E4884" s="14" t="s">
        <v>117</v>
      </c>
      <c r="F4884" s="15" t="s">
        <v>51</v>
      </c>
      <c r="G4884" s="14" t="s">
        <v>161</v>
      </c>
      <c r="H4884" s="14" t="s">
        <v>116</v>
      </c>
      <c r="I4884" s="14" t="s">
        <v>54</v>
      </c>
      <c r="J4884" s="14" t="s">
        <v>198</v>
      </c>
      <c r="K4884" s="14" t="s">
        <v>207</v>
      </c>
      <c r="L4884" s="14" t="s">
        <v>318</v>
      </c>
      <c r="M4884" s="14" t="s">
        <v>319</v>
      </c>
      <c r="N4884" s="14" t="s">
        <v>320</v>
      </c>
      <c r="O4884" s="14">
        <v>0.0</v>
      </c>
      <c r="P4884" s="21">
        <v>0.0</v>
      </c>
      <c r="Q4884" s="22" t="str">
        <f t="shared" ref="Q4884:Q4885" si="2921">"+0"</f>
        <v>+0</v>
      </c>
      <c r="S4884" s="14" t="s">
        <v>281</v>
      </c>
    </row>
    <row r="4885">
      <c r="A4885" s="13">
        <v>45901.0</v>
      </c>
      <c r="B4885" s="14" t="s">
        <v>47</v>
      </c>
      <c r="C4885" s="14" t="s">
        <v>48</v>
      </c>
      <c r="D4885" s="14" t="s">
        <v>158</v>
      </c>
      <c r="E4885" s="14" t="s">
        <v>159</v>
      </c>
      <c r="F4885" s="15" t="s">
        <v>51</v>
      </c>
      <c r="G4885" s="14" t="s">
        <v>160</v>
      </c>
      <c r="H4885" s="14" t="s">
        <v>158</v>
      </c>
      <c r="I4885" s="14" t="s">
        <v>54</v>
      </c>
      <c r="J4885" s="14" t="s">
        <v>198</v>
      </c>
      <c r="K4885" s="14" t="s">
        <v>210</v>
      </c>
      <c r="L4885" s="14" t="s">
        <v>458</v>
      </c>
      <c r="M4885" s="14" t="s">
        <v>1489</v>
      </c>
      <c r="N4885" s="14" t="s">
        <v>1490</v>
      </c>
      <c r="O4885" s="14">
        <v>0.0</v>
      </c>
      <c r="P4885" s="21">
        <v>0.0</v>
      </c>
      <c r="Q4885" s="22" t="str">
        <f t="shared" si="2921"/>
        <v>+0</v>
      </c>
      <c r="R4885" s="18" t="str">
        <f>"+0"</f>
        <v>+0</v>
      </c>
      <c r="S4885" s="14" t="s">
        <v>277</v>
      </c>
    </row>
    <row r="4886">
      <c r="A4886" s="13">
        <v>45901.0</v>
      </c>
      <c r="B4886" s="14" t="s">
        <v>47</v>
      </c>
      <c r="C4886" s="14" t="s">
        <v>48</v>
      </c>
      <c r="D4886" s="14" t="s">
        <v>174</v>
      </c>
      <c r="E4886" s="14" t="s">
        <v>175</v>
      </c>
      <c r="F4886" s="15" t="s">
        <v>51</v>
      </c>
      <c r="G4886" s="14" t="s">
        <v>176</v>
      </c>
      <c r="H4886" s="14" t="s">
        <v>174</v>
      </c>
      <c r="I4886" s="14" t="s">
        <v>59</v>
      </c>
      <c r="J4886" s="14" t="s">
        <v>200</v>
      </c>
      <c r="K4886" s="14" t="s">
        <v>213</v>
      </c>
      <c r="L4886" s="14" t="s">
        <v>571</v>
      </c>
      <c r="M4886" s="14" t="s">
        <v>578</v>
      </c>
      <c r="N4886" s="14" t="s">
        <v>579</v>
      </c>
      <c r="O4886" s="14">
        <v>0.0</v>
      </c>
      <c r="P4886" s="23">
        <v>0.0</v>
      </c>
      <c r="Q4886" s="22" t="str">
        <f t="shared" ref="Q4886:R4886" si="2922">"+0.00%"</f>
        <v>+0.00%</v>
      </c>
      <c r="R4886" s="18" t="str">
        <f t="shared" si="2922"/>
        <v>+0.00%</v>
      </c>
      <c r="S4886" s="14" t="s">
        <v>285</v>
      </c>
    </row>
    <row r="4887">
      <c r="A4887" s="13">
        <v>45901.0</v>
      </c>
      <c r="B4887" s="14" t="s">
        <v>47</v>
      </c>
      <c r="C4887" s="14" t="s">
        <v>48</v>
      </c>
      <c r="D4887" s="14" t="s">
        <v>108</v>
      </c>
      <c r="E4887" s="14" t="s">
        <v>109</v>
      </c>
      <c r="F4887" s="15" t="s">
        <v>51</v>
      </c>
      <c r="G4887" s="14" t="s">
        <v>110</v>
      </c>
      <c r="H4887" s="14" t="s">
        <v>108</v>
      </c>
      <c r="I4887" s="14" t="s">
        <v>59</v>
      </c>
      <c r="J4887" s="14" t="s">
        <v>200</v>
      </c>
      <c r="K4887" s="14" t="s">
        <v>213</v>
      </c>
      <c r="L4887" s="14" t="s">
        <v>257</v>
      </c>
      <c r="M4887" s="14" t="s">
        <v>298</v>
      </c>
      <c r="N4887" s="14" t="s">
        <v>299</v>
      </c>
      <c r="O4887" s="14">
        <v>0.0</v>
      </c>
      <c r="P4887" s="23">
        <v>0.0</v>
      </c>
      <c r="Q4887" s="22" t="str">
        <f>"+0.00%"</f>
        <v>+0.00%</v>
      </c>
      <c r="S4887" s="14" t="s">
        <v>2377</v>
      </c>
    </row>
    <row r="4888">
      <c r="A4888" s="13">
        <v>45901.0</v>
      </c>
      <c r="B4888" s="14" t="s">
        <v>47</v>
      </c>
      <c r="C4888" s="14" t="s">
        <v>48</v>
      </c>
      <c r="D4888" s="14" t="s">
        <v>49</v>
      </c>
      <c r="E4888" s="14" t="s">
        <v>50</v>
      </c>
      <c r="F4888" s="15" t="s">
        <v>51</v>
      </c>
      <c r="G4888" s="14" t="s">
        <v>52</v>
      </c>
      <c r="H4888" s="14" t="s">
        <v>53</v>
      </c>
      <c r="I4888" s="14" t="s">
        <v>54</v>
      </c>
      <c r="J4888" s="14" t="s">
        <v>198</v>
      </c>
      <c r="K4888" s="14" t="s">
        <v>205</v>
      </c>
      <c r="L4888" s="14" t="s">
        <v>274</v>
      </c>
      <c r="M4888" s="14" t="s">
        <v>354</v>
      </c>
      <c r="N4888" s="14" t="s">
        <v>355</v>
      </c>
      <c r="O4888" s="14">
        <v>100.0</v>
      </c>
      <c r="P4888" s="21">
        <v>3.0</v>
      </c>
      <c r="Q4888" s="22" t="str">
        <f t="shared" ref="Q4888:Q4889" si="2923">"+0"</f>
        <v>+0</v>
      </c>
      <c r="S4888" s="14" t="s">
        <v>356</v>
      </c>
    </row>
    <row r="4889">
      <c r="A4889" s="13">
        <v>45901.0</v>
      </c>
      <c r="B4889" s="14" t="s">
        <v>47</v>
      </c>
      <c r="C4889" s="14" t="s">
        <v>48</v>
      </c>
      <c r="D4889" s="14" t="s">
        <v>165</v>
      </c>
      <c r="E4889" s="14" t="s">
        <v>166</v>
      </c>
      <c r="F4889" s="15" t="s">
        <v>51</v>
      </c>
      <c r="G4889" s="14" t="s">
        <v>167</v>
      </c>
      <c r="H4889" s="14" t="s">
        <v>165</v>
      </c>
      <c r="I4889" s="14" t="s">
        <v>54</v>
      </c>
      <c r="J4889" s="14" t="s">
        <v>198</v>
      </c>
      <c r="K4889" s="14" t="s">
        <v>205</v>
      </c>
      <c r="L4889" s="14" t="s">
        <v>274</v>
      </c>
      <c r="M4889" s="14" t="s">
        <v>387</v>
      </c>
      <c r="N4889" s="14" t="s">
        <v>388</v>
      </c>
      <c r="O4889" s="14">
        <v>0.0</v>
      </c>
      <c r="P4889" s="21">
        <v>0.0</v>
      </c>
      <c r="Q4889" s="22" t="str">
        <f t="shared" si="2923"/>
        <v>+0</v>
      </c>
      <c r="S4889" s="14" t="s">
        <v>281</v>
      </c>
    </row>
    <row r="4890">
      <c r="A4890" s="13">
        <v>45901.0</v>
      </c>
      <c r="B4890" s="14" t="s">
        <v>47</v>
      </c>
      <c r="C4890" s="14" t="s">
        <v>48</v>
      </c>
      <c r="D4890" s="14" t="s">
        <v>165</v>
      </c>
      <c r="E4890" s="14" t="s">
        <v>166</v>
      </c>
      <c r="F4890" s="15" t="s">
        <v>51</v>
      </c>
      <c r="G4890" s="14" t="s">
        <v>167</v>
      </c>
      <c r="H4890" s="14" t="s">
        <v>165</v>
      </c>
      <c r="I4890" s="14" t="s">
        <v>54</v>
      </c>
      <c r="J4890" s="14" t="s">
        <v>200</v>
      </c>
      <c r="K4890" s="14" t="s">
        <v>201</v>
      </c>
      <c r="L4890" s="14" t="s">
        <v>253</v>
      </c>
      <c r="M4890" s="14" t="s">
        <v>409</v>
      </c>
      <c r="N4890" s="14" t="s">
        <v>410</v>
      </c>
      <c r="O4890" s="14">
        <v>1.0</v>
      </c>
      <c r="P4890" s="23">
        <v>0.0085</v>
      </c>
      <c r="Q4890" s="22" t="str">
        <f>"-0.18%"</f>
        <v>-0.18%</v>
      </c>
      <c r="R4890" s="18" t="str">
        <f>"-0.71%"</f>
        <v>-0.71%</v>
      </c>
      <c r="S4890" s="14" t="s">
        <v>898</v>
      </c>
    </row>
    <row r="4891">
      <c r="A4891" s="13">
        <v>45901.0</v>
      </c>
      <c r="B4891" s="14" t="s">
        <v>47</v>
      </c>
      <c r="C4891" s="14" t="s">
        <v>48</v>
      </c>
      <c r="D4891" s="14" t="s">
        <v>165</v>
      </c>
      <c r="E4891" s="14" t="s">
        <v>166</v>
      </c>
      <c r="F4891" s="15" t="s">
        <v>51</v>
      </c>
      <c r="G4891" s="14" t="s">
        <v>167</v>
      </c>
      <c r="H4891" s="14" t="s">
        <v>165</v>
      </c>
      <c r="I4891" s="14" t="s">
        <v>54</v>
      </c>
      <c r="J4891" s="14" t="s">
        <v>200</v>
      </c>
      <c r="K4891" s="14" t="s">
        <v>224</v>
      </c>
      <c r="L4891" s="14" t="s">
        <v>392</v>
      </c>
      <c r="M4891" s="14" t="s">
        <v>1424</v>
      </c>
      <c r="N4891" s="14" t="s">
        <v>1425</v>
      </c>
      <c r="O4891" s="14">
        <v>4.0</v>
      </c>
      <c r="P4891" s="23">
        <v>0.0455</v>
      </c>
      <c r="Q4891" s="22" t="str">
        <f>"-1.70%"</f>
        <v>-1.70%</v>
      </c>
      <c r="R4891" s="18" t="str">
        <f>"-0.72%"</f>
        <v>-0.72%</v>
      </c>
      <c r="S4891" s="14" t="s">
        <v>2378</v>
      </c>
    </row>
    <row r="4892">
      <c r="A4892" s="13">
        <v>45901.0</v>
      </c>
      <c r="B4892" s="14" t="s">
        <v>47</v>
      </c>
      <c r="C4892" s="14" t="s">
        <v>48</v>
      </c>
      <c r="D4892" s="14" t="s">
        <v>99</v>
      </c>
      <c r="E4892" s="14" t="s">
        <v>100</v>
      </c>
      <c r="F4892" s="15" t="s">
        <v>51</v>
      </c>
      <c r="G4892" s="14" t="s">
        <v>101</v>
      </c>
      <c r="H4892" s="14" t="s">
        <v>102</v>
      </c>
      <c r="I4892" s="14" t="s">
        <v>54</v>
      </c>
      <c r="J4892" s="14" t="s">
        <v>198</v>
      </c>
      <c r="K4892" s="14" t="s">
        <v>210</v>
      </c>
      <c r="L4892" s="14" t="s">
        <v>278</v>
      </c>
      <c r="M4892" s="14" t="s">
        <v>839</v>
      </c>
      <c r="N4892" s="14" t="s">
        <v>840</v>
      </c>
      <c r="O4892" s="14">
        <v>50.0</v>
      </c>
      <c r="P4892" s="21">
        <v>1178.0</v>
      </c>
      <c r="Q4892" s="22" t="str">
        <f>"-177"</f>
        <v>-177</v>
      </c>
      <c r="R4892" s="18" t="str">
        <f>"-44"</f>
        <v>-44</v>
      </c>
      <c r="S4892" s="14" t="s">
        <v>2379</v>
      </c>
    </row>
    <row r="4893">
      <c r="A4893" s="13">
        <v>45901.0</v>
      </c>
      <c r="B4893" s="14" t="s">
        <v>47</v>
      </c>
      <c r="C4893" s="14" t="s">
        <v>48</v>
      </c>
      <c r="D4893" s="14" t="s">
        <v>99</v>
      </c>
      <c r="E4893" s="14" t="s">
        <v>100</v>
      </c>
      <c r="F4893" s="15" t="s">
        <v>51</v>
      </c>
      <c r="G4893" s="14" t="s">
        <v>101</v>
      </c>
      <c r="H4893" s="14" t="s">
        <v>102</v>
      </c>
      <c r="I4893" s="14" t="s">
        <v>54</v>
      </c>
      <c r="J4893" s="14" t="s">
        <v>199</v>
      </c>
      <c r="K4893" s="14" t="s">
        <v>206</v>
      </c>
      <c r="L4893" s="14" t="s">
        <v>295</v>
      </c>
      <c r="M4893" s="14" t="s">
        <v>651</v>
      </c>
      <c r="N4893" s="14" t="s">
        <v>652</v>
      </c>
      <c r="O4893" s="14">
        <v>0.0</v>
      </c>
      <c r="P4893" s="21">
        <v>0.0</v>
      </c>
      <c r="Q4893" s="22" t="str">
        <f t="shared" ref="Q4893:R4893" si="2924">"+0"</f>
        <v>+0</v>
      </c>
      <c r="R4893" s="18" t="str">
        <f t="shared" si="2924"/>
        <v>+0</v>
      </c>
      <c r="S4893" s="14" t="s">
        <v>260</v>
      </c>
    </row>
    <row r="4894">
      <c r="A4894" s="13">
        <v>45901.0</v>
      </c>
      <c r="B4894" s="14" t="s">
        <v>47</v>
      </c>
      <c r="C4894" s="14" t="s">
        <v>48</v>
      </c>
      <c r="D4894" s="14" t="s">
        <v>99</v>
      </c>
      <c r="E4894" s="14" t="s">
        <v>100</v>
      </c>
      <c r="F4894" s="15" t="s">
        <v>51</v>
      </c>
      <c r="G4894" s="14" t="s">
        <v>101</v>
      </c>
      <c r="H4894" s="14" t="s">
        <v>102</v>
      </c>
      <c r="I4894" s="14" t="s">
        <v>54</v>
      </c>
      <c r="J4894" s="14" t="s">
        <v>200</v>
      </c>
      <c r="K4894" s="14" t="s">
        <v>209</v>
      </c>
      <c r="L4894" s="14" t="s">
        <v>253</v>
      </c>
      <c r="M4894" s="14" t="s">
        <v>817</v>
      </c>
      <c r="N4894" s="14" t="s">
        <v>818</v>
      </c>
      <c r="O4894" s="14">
        <v>21.0</v>
      </c>
      <c r="P4894" s="23">
        <v>0.2187</v>
      </c>
      <c r="Q4894" s="22" t="str">
        <f>"+0.02%"</f>
        <v>+0.02%</v>
      </c>
      <c r="R4894" s="18" t="str">
        <f>"+0.67%"</f>
        <v>+0.67%</v>
      </c>
      <c r="S4894" s="14" t="s">
        <v>2380</v>
      </c>
    </row>
    <row r="4895">
      <c r="A4895" s="13">
        <v>45901.0</v>
      </c>
      <c r="B4895" s="14" t="s">
        <v>47</v>
      </c>
      <c r="C4895" s="14" t="s">
        <v>48</v>
      </c>
      <c r="D4895" s="14" t="s">
        <v>63</v>
      </c>
      <c r="E4895" s="14" t="s">
        <v>64</v>
      </c>
      <c r="F4895" s="15" t="s">
        <v>51</v>
      </c>
      <c r="G4895" s="14" t="s">
        <v>65</v>
      </c>
      <c r="H4895" s="14" t="s">
        <v>63</v>
      </c>
      <c r="I4895" s="14" t="s">
        <v>54</v>
      </c>
      <c r="J4895" s="14" t="s">
        <v>200</v>
      </c>
      <c r="K4895" s="14" t="s">
        <v>227</v>
      </c>
      <c r="L4895" s="14" t="s">
        <v>253</v>
      </c>
      <c r="M4895" s="14" t="s">
        <v>811</v>
      </c>
      <c r="N4895" s="14" t="s">
        <v>812</v>
      </c>
      <c r="O4895" s="14">
        <v>100.0</v>
      </c>
      <c r="P4895" s="23">
        <v>1.0</v>
      </c>
      <c r="Q4895" s="22" t="str">
        <f t="shared" ref="Q4895:R4895" si="2925">"+0.00%"</f>
        <v>+0.00%</v>
      </c>
      <c r="R4895" s="18" t="str">
        <f t="shared" si="2925"/>
        <v>+0.00%</v>
      </c>
      <c r="S4895" s="14" t="s">
        <v>813</v>
      </c>
    </row>
    <row r="4896">
      <c r="A4896" s="13">
        <v>45901.0</v>
      </c>
      <c r="B4896" s="14" t="s">
        <v>47</v>
      </c>
      <c r="C4896" s="14" t="s">
        <v>48</v>
      </c>
      <c r="D4896" s="14" t="s">
        <v>118</v>
      </c>
      <c r="E4896" s="14" t="s">
        <v>119</v>
      </c>
      <c r="F4896" s="15" t="s">
        <v>51</v>
      </c>
      <c r="G4896" s="14" t="s">
        <v>120</v>
      </c>
      <c r="H4896" s="14" t="s">
        <v>118</v>
      </c>
      <c r="I4896" s="14" t="s">
        <v>59</v>
      </c>
      <c r="J4896" s="14" t="s">
        <v>198</v>
      </c>
      <c r="K4896" s="14" t="s">
        <v>210</v>
      </c>
      <c r="L4896" s="14" t="s">
        <v>264</v>
      </c>
      <c r="M4896" s="14" t="s">
        <v>265</v>
      </c>
      <c r="N4896" s="14" t="s">
        <v>266</v>
      </c>
      <c r="O4896" s="14">
        <v>80.0</v>
      </c>
      <c r="P4896" s="21">
        <v>35.0</v>
      </c>
      <c r="Q4896" s="22" t="str">
        <f>"+1"</f>
        <v>+1</v>
      </c>
      <c r="R4896" s="18" t="str">
        <f>"-140"</f>
        <v>-140</v>
      </c>
      <c r="S4896" s="14" t="s">
        <v>2381</v>
      </c>
    </row>
    <row r="4897">
      <c r="A4897" s="13">
        <v>45901.0</v>
      </c>
      <c r="B4897" s="14" t="s">
        <v>47</v>
      </c>
      <c r="C4897" s="14" t="s">
        <v>48</v>
      </c>
      <c r="D4897" s="14" t="s">
        <v>99</v>
      </c>
      <c r="E4897" s="14" t="s">
        <v>100</v>
      </c>
      <c r="F4897" s="15" t="s">
        <v>51</v>
      </c>
      <c r="G4897" s="14" t="s">
        <v>101</v>
      </c>
      <c r="H4897" s="14" t="s">
        <v>102</v>
      </c>
      <c r="I4897" s="14" t="s">
        <v>54</v>
      </c>
      <c r="J4897" s="14" t="s">
        <v>199</v>
      </c>
      <c r="K4897" s="14" t="s">
        <v>203</v>
      </c>
      <c r="L4897" s="14" t="s">
        <v>342</v>
      </c>
      <c r="M4897" s="14" t="s">
        <v>342</v>
      </c>
      <c r="N4897" s="14" t="s">
        <v>343</v>
      </c>
      <c r="O4897" s="14">
        <v>0.0</v>
      </c>
      <c r="P4897" s="21">
        <v>0.0</v>
      </c>
      <c r="Q4897" s="22" t="str">
        <f t="shared" ref="Q4897:R4897" si="2926">"+0"</f>
        <v>+0</v>
      </c>
      <c r="R4897" s="18" t="str">
        <f t="shared" si="2926"/>
        <v>+0</v>
      </c>
      <c r="S4897" s="14" t="s">
        <v>260</v>
      </c>
    </row>
    <row r="4898">
      <c r="A4898" s="13">
        <v>45901.0</v>
      </c>
      <c r="B4898" s="14" t="s">
        <v>47</v>
      </c>
      <c r="C4898" s="14" t="s">
        <v>48</v>
      </c>
      <c r="D4898" s="14" t="s">
        <v>66</v>
      </c>
      <c r="E4898" s="14" t="s">
        <v>67</v>
      </c>
      <c r="F4898" s="15" t="s">
        <v>51</v>
      </c>
      <c r="G4898" s="14" t="s">
        <v>68</v>
      </c>
      <c r="H4898" s="14" t="s">
        <v>66</v>
      </c>
      <c r="I4898" s="14" t="s">
        <v>59</v>
      </c>
      <c r="J4898" s="14" t="s">
        <v>200</v>
      </c>
      <c r="K4898" s="14" t="s">
        <v>231</v>
      </c>
      <c r="L4898" s="14" t="s">
        <v>372</v>
      </c>
      <c r="M4898" s="14" t="s">
        <v>1807</v>
      </c>
      <c r="N4898" s="14" t="s">
        <v>1808</v>
      </c>
      <c r="O4898" s="14">
        <v>0.0</v>
      </c>
      <c r="P4898" s="17"/>
      <c r="Q4898" s="22"/>
      <c r="S4898" s="14" t="s">
        <v>2382</v>
      </c>
    </row>
    <row r="4899">
      <c r="A4899" s="13">
        <v>45901.0</v>
      </c>
      <c r="B4899" s="14" t="s">
        <v>47</v>
      </c>
      <c r="C4899" s="14" t="s">
        <v>48</v>
      </c>
      <c r="D4899" s="14" t="s">
        <v>66</v>
      </c>
      <c r="E4899" s="14" t="s">
        <v>67</v>
      </c>
      <c r="F4899" s="15" t="s">
        <v>51</v>
      </c>
      <c r="G4899" s="14" t="s">
        <v>68</v>
      </c>
      <c r="H4899" s="14" t="s">
        <v>66</v>
      </c>
      <c r="I4899" s="14" t="s">
        <v>59</v>
      </c>
      <c r="J4899" s="14" t="s">
        <v>200</v>
      </c>
      <c r="K4899" s="14" t="s">
        <v>223</v>
      </c>
      <c r="L4899" s="14" t="s">
        <v>359</v>
      </c>
      <c r="M4899" s="14" t="s">
        <v>628</v>
      </c>
      <c r="N4899" s="14" t="s">
        <v>629</v>
      </c>
      <c r="O4899" s="14">
        <v>100.0</v>
      </c>
      <c r="P4899" s="21">
        <v>415.0</v>
      </c>
      <c r="Q4899" s="22" t="str">
        <f t="shared" ref="Q4899:R4899" si="2927">"+0"</f>
        <v>+0</v>
      </c>
      <c r="R4899" s="18" t="str">
        <f t="shared" si="2927"/>
        <v>+0</v>
      </c>
      <c r="S4899" s="14" t="s">
        <v>260</v>
      </c>
    </row>
    <row r="4900">
      <c r="A4900" s="13">
        <v>45901.0</v>
      </c>
      <c r="B4900" s="14" t="s">
        <v>47</v>
      </c>
      <c r="C4900" s="14" t="s">
        <v>48</v>
      </c>
      <c r="D4900" s="14" t="s">
        <v>103</v>
      </c>
      <c r="E4900" s="14" t="s">
        <v>104</v>
      </c>
      <c r="F4900" s="15" t="s">
        <v>51</v>
      </c>
      <c r="G4900" s="14" t="s">
        <v>105</v>
      </c>
      <c r="H4900" s="14" t="s">
        <v>106</v>
      </c>
      <c r="I4900" s="14" t="s">
        <v>59</v>
      </c>
      <c r="J4900" s="14" t="s">
        <v>200</v>
      </c>
      <c r="K4900" s="14" t="s">
        <v>232</v>
      </c>
      <c r="L4900" s="14" t="s">
        <v>487</v>
      </c>
      <c r="M4900" s="14" t="s">
        <v>488</v>
      </c>
      <c r="N4900" s="14" t="s">
        <v>489</v>
      </c>
      <c r="O4900" s="14">
        <v>0.0</v>
      </c>
      <c r="P4900" s="21">
        <v>0.0</v>
      </c>
      <c r="Q4900" s="22" t="str">
        <f t="shared" ref="Q4900:R4900" si="2928">"+0"</f>
        <v>+0</v>
      </c>
      <c r="R4900" s="18" t="str">
        <f t="shared" si="2928"/>
        <v>+0</v>
      </c>
      <c r="S4900" s="14" t="s">
        <v>260</v>
      </c>
    </row>
    <row r="4901">
      <c r="A4901" s="13">
        <v>45901.0</v>
      </c>
      <c r="B4901" s="14" t="s">
        <v>47</v>
      </c>
      <c r="C4901" s="14" t="s">
        <v>48</v>
      </c>
      <c r="D4901" s="14" t="s">
        <v>103</v>
      </c>
      <c r="E4901" s="14" t="s">
        <v>104</v>
      </c>
      <c r="F4901" s="15" t="s">
        <v>51</v>
      </c>
      <c r="G4901" s="14" t="s">
        <v>105</v>
      </c>
      <c r="H4901" s="14" t="s">
        <v>106</v>
      </c>
      <c r="I4901" s="14" t="s">
        <v>59</v>
      </c>
      <c r="J4901" s="14" t="s">
        <v>198</v>
      </c>
      <c r="K4901" s="14" t="s">
        <v>205</v>
      </c>
      <c r="L4901" s="14" t="s">
        <v>274</v>
      </c>
      <c r="M4901" s="14" t="s">
        <v>448</v>
      </c>
      <c r="N4901" s="14" t="s">
        <v>449</v>
      </c>
      <c r="O4901" s="14">
        <v>100.0</v>
      </c>
      <c r="P4901" s="21">
        <v>3.0</v>
      </c>
      <c r="Q4901" s="22" t="str">
        <f>"+0"</f>
        <v>+0</v>
      </c>
      <c r="S4901" s="14" t="s">
        <v>450</v>
      </c>
    </row>
    <row r="4902">
      <c r="A4902" s="13">
        <v>45901.0</v>
      </c>
      <c r="B4902" s="14" t="s">
        <v>47</v>
      </c>
      <c r="C4902" s="14" t="s">
        <v>48</v>
      </c>
      <c r="D4902" s="14" t="s">
        <v>136</v>
      </c>
      <c r="E4902" s="14" t="s">
        <v>137</v>
      </c>
      <c r="F4902" s="15" t="s">
        <v>51</v>
      </c>
      <c r="G4902" s="14" t="s">
        <v>138</v>
      </c>
      <c r="H4902" s="14" t="s">
        <v>139</v>
      </c>
      <c r="I4902" s="14" t="s">
        <v>59</v>
      </c>
      <c r="J4902" s="14" t="s">
        <v>200</v>
      </c>
      <c r="K4902" s="14" t="s">
        <v>224</v>
      </c>
      <c r="L4902" s="14" t="s">
        <v>392</v>
      </c>
      <c r="M4902" s="14" t="s">
        <v>754</v>
      </c>
      <c r="N4902" s="14" t="s">
        <v>755</v>
      </c>
      <c r="O4902" s="14">
        <v>0.0</v>
      </c>
      <c r="P4902" s="23">
        <v>0.0</v>
      </c>
      <c r="Q4902" s="22" t="str">
        <f>"+0.00%"</f>
        <v>+0.00%</v>
      </c>
      <c r="S4902" s="14" t="s">
        <v>2383</v>
      </c>
    </row>
    <row r="4903">
      <c r="A4903" s="13">
        <v>45901.0</v>
      </c>
      <c r="B4903" s="14" t="s">
        <v>47</v>
      </c>
      <c r="C4903" s="14" t="s">
        <v>48</v>
      </c>
      <c r="D4903" s="14" t="s">
        <v>136</v>
      </c>
      <c r="E4903" s="14" t="s">
        <v>137</v>
      </c>
      <c r="F4903" s="15" t="s">
        <v>51</v>
      </c>
      <c r="G4903" s="14" t="s">
        <v>138</v>
      </c>
      <c r="H4903" s="14" t="s">
        <v>139</v>
      </c>
      <c r="I4903" s="14" t="s">
        <v>59</v>
      </c>
      <c r="J4903" s="14" t="s">
        <v>198</v>
      </c>
      <c r="K4903" s="14" t="s">
        <v>210</v>
      </c>
      <c r="L4903" s="14" t="s">
        <v>278</v>
      </c>
      <c r="M4903" s="14" t="s">
        <v>839</v>
      </c>
      <c r="N4903" s="14" t="s">
        <v>840</v>
      </c>
      <c r="O4903" s="14">
        <v>19.0</v>
      </c>
      <c r="P4903" s="21">
        <v>2109.0</v>
      </c>
      <c r="Q4903" s="22" t="str">
        <f>"-80"</f>
        <v>-80</v>
      </c>
      <c r="R4903" s="18" t="str">
        <f>"+333"</f>
        <v>+333</v>
      </c>
      <c r="S4903" s="14" t="s">
        <v>2384</v>
      </c>
    </row>
    <row r="4904">
      <c r="A4904" s="13">
        <v>45901.0</v>
      </c>
      <c r="B4904" s="14" t="s">
        <v>47</v>
      </c>
      <c r="C4904" s="14" t="s">
        <v>48</v>
      </c>
      <c r="D4904" s="14" t="s">
        <v>136</v>
      </c>
      <c r="E4904" s="14" t="s">
        <v>137</v>
      </c>
      <c r="F4904" s="15" t="s">
        <v>51</v>
      </c>
      <c r="G4904" s="14" t="s">
        <v>138</v>
      </c>
      <c r="H4904" s="14" t="s">
        <v>139</v>
      </c>
      <c r="I4904" s="14" t="s">
        <v>59</v>
      </c>
      <c r="J4904" s="14" t="s">
        <v>200</v>
      </c>
      <c r="K4904" s="14" t="s">
        <v>213</v>
      </c>
      <c r="L4904" s="14" t="s">
        <v>676</v>
      </c>
      <c r="M4904" s="14" t="s">
        <v>836</v>
      </c>
      <c r="N4904" s="14" t="s">
        <v>837</v>
      </c>
      <c r="O4904" s="14">
        <v>0.0</v>
      </c>
      <c r="P4904" s="23">
        <v>0.0</v>
      </c>
      <c r="Q4904" s="22" t="str">
        <f t="shared" ref="Q4904:R4904" si="2929">"+0.00%"</f>
        <v>+0.00%</v>
      </c>
      <c r="R4904" s="18" t="str">
        <f t="shared" si="2929"/>
        <v>+0.00%</v>
      </c>
      <c r="S4904" s="14" t="s">
        <v>2385</v>
      </c>
    </row>
    <row r="4905">
      <c r="A4905" s="13">
        <v>45901.0</v>
      </c>
      <c r="B4905" s="14" t="s">
        <v>47</v>
      </c>
      <c r="C4905" s="14" t="s">
        <v>48</v>
      </c>
      <c r="D4905" s="14" t="s">
        <v>129</v>
      </c>
      <c r="E4905" s="14" t="s">
        <v>130</v>
      </c>
      <c r="F4905" s="15" t="s">
        <v>51</v>
      </c>
      <c r="G4905" s="14" t="s">
        <v>131</v>
      </c>
      <c r="H4905" s="14" t="s">
        <v>129</v>
      </c>
      <c r="I4905" s="14" t="s">
        <v>59</v>
      </c>
      <c r="J4905" s="14" t="s">
        <v>199</v>
      </c>
      <c r="K4905" s="14" t="s">
        <v>203</v>
      </c>
      <c r="L4905" s="14" t="s">
        <v>725</v>
      </c>
      <c r="M4905" s="14" t="s">
        <v>725</v>
      </c>
      <c r="N4905" s="14" t="s">
        <v>726</v>
      </c>
      <c r="O4905" s="14">
        <v>0.0</v>
      </c>
      <c r="P4905" s="21">
        <v>0.0</v>
      </c>
      <c r="Q4905" s="22" t="str">
        <f t="shared" ref="Q4905:R4905" si="2930">"+0"</f>
        <v>+0</v>
      </c>
      <c r="R4905" s="18" t="str">
        <f t="shared" si="2930"/>
        <v>+0</v>
      </c>
      <c r="S4905" s="14" t="s">
        <v>260</v>
      </c>
    </row>
    <row r="4906">
      <c r="A4906" s="13">
        <v>45901.0</v>
      </c>
      <c r="B4906" s="14" t="s">
        <v>47</v>
      </c>
      <c r="C4906" s="14" t="s">
        <v>48</v>
      </c>
      <c r="D4906" s="14" t="s">
        <v>129</v>
      </c>
      <c r="E4906" s="14" t="s">
        <v>130</v>
      </c>
      <c r="F4906" s="15" t="s">
        <v>51</v>
      </c>
      <c r="G4906" s="14" t="s">
        <v>131</v>
      </c>
      <c r="H4906" s="14" t="s">
        <v>129</v>
      </c>
      <c r="I4906" s="14" t="s">
        <v>59</v>
      </c>
      <c r="J4906" s="14" t="s">
        <v>200</v>
      </c>
      <c r="K4906" s="14" t="s">
        <v>213</v>
      </c>
      <c r="L4906" s="14" t="s">
        <v>289</v>
      </c>
      <c r="M4906" s="14" t="s">
        <v>331</v>
      </c>
      <c r="N4906" s="14" t="s">
        <v>332</v>
      </c>
      <c r="O4906" s="14">
        <v>0.0</v>
      </c>
      <c r="P4906" s="23">
        <v>0.0</v>
      </c>
      <c r="Q4906" s="22" t="str">
        <f t="shared" ref="Q4906:R4906" si="2931">"+0.00%"</f>
        <v>+0.00%</v>
      </c>
      <c r="R4906" s="18" t="str">
        <f t="shared" si="2931"/>
        <v>+0.00%</v>
      </c>
      <c r="S4906" s="14" t="s">
        <v>285</v>
      </c>
    </row>
    <row r="4907">
      <c r="A4907" s="13">
        <v>45901.0</v>
      </c>
      <c r="B4907" s="14" t="s">
        <v>47</v>
      </c>
      <c r="C4907" s="14" t="s">
        <v>48</v>
      </c>
      <c r="D4907" s="14" t="s">
        <v>136</v>
      </c>
      <c r="E4907" s="14" t="s">
        <v>137</v>
      </c>
      <c r="F4907" s="15" t="s">
        <v>51</v>
      </c>
      <c r="G4907" s="14" t="s">
        <v>138</v>
      </c>
      <c r="H4907" s="14" t="s">
        <v>139</v>
      </c>
      <c r="I4907" s="14" t="s">
        <v>59</v>
      </c>
      <c r="J4907" s="14" t="s">
        <v>198</v>
      </c>
      <c r="K4907" s="14" t="s">
        <v>210</v>
      </c>
      <c r="L4907" s="14" t="s">
        <v>458</v>
      </c>
      <c r="M4907" s="14" t="s">
        <v>459</v>
      </c>
      <c r="N4907" s="14" t="s">
        <v>460</v>
      </c>
      <c r="O4907" s="14">
        <v>100.0</v>
      </c>
      <c r="P4907" s="21">
        <v>0.0</v>
      </c>
      <c r="Q4907" s="22" t="str">
        <f t="shared" ref="Q4907:R4907" si="2932">"+0"</f>
        <v>+0</v>
      </c>
      <c r="R4907" s="18" t="str">
        <f t="shared" si="2932"/>
        <v>+0</v>
      </c>
      <c r="S4907" s="14" t="s">
        <v>281</v>
      </c>
    </row>
    <row r="4908">
      <c r="A4908" s="13">
        <v>45901.0</v>
      </c>
      <c r="B4908" s="14" t="s">
        <v>47</v>
      </c>
      <c r="C4908" s="14" t="s">
        <v>48</v>
      </c>
      <c r="D4908" s="14" t="s">
        <v>158</v>
      </c>
      <c r="E4908" s="14" t="s">
        <v>159</v>
      </c>
      <c r="F4908" s="15" t="s">
        <v>51</v>
      </c>
      <c r="G4908" s="14" t="s">
        <v>160</v>
      </c>
      <c r="H4908" s="14" t="s">
        <v>158</v>
      </c>
      <c r="I4908" s="14" t="s">
        <v>54</v>
      </c>
      <c r="J4908" s="14" t="s">
        <v>200</v>
      </c>
      <c r="K4908" s="14" t="s">
        <v>229</v>
      </c>
      <c r="L4908" s="14" t="s">
        <v>253</v>
      </c>
      <c r="M4908" s="14" t="s">
        <v>366</v>
      </c>
      <c r="N4908" s="14" t="s">
        <v>367</v>
      </c>
      <c r="O4908" s="14">
        <v>66.0</v>
      </c>
      <c r="P4908" s="23">
        <v>0.6627</v>
      </c>
      <c r="Q4908" s="22" t="str">
        <f>"+0.00%"</f>
        <v>+0.00%</v>
      </c>
      <c r="R4908" s="18" t="str">
        <f>"+0.59%"</f>
        <v>+0.59%</v>
      </c>
      <c r="S4908" s="14" t="s">
        <v>2386</v>
      </c>
    </row>
    <row r="4909">
      <c r="A4909" s="13">
        <v>45901.0</v>
      </c>
      <c r="B4909" s="14" t="s">
        <v>47</v>
      </c>
      <c r="C4909" s="14" t="s">
        <v>48</v>
      </c>
      <c r="D4909" s="14" t="s">
        <v>174</v>
      </c>
      <c r="E4909" s="14" t="s">
        <v>175</v>
      </c>
      <c r="F4909" s="15" t="s">
        <v>51</v>
      </c>
      <c r="G4909" s="14" t="s">
        <v>176</v>
      </c>
      <c r="H4909" s="14" t="s">
        <v>174</v>
      </c>
      <c r="I4909" s="14" t="s">
        <v>59</v>
      </c>
      <c r="J4909" s="14" t="s">
        <v>200</v>
      </c>
      <c r="K4909" s="14" t="s">
        <v>214</v>
      </c>
      <c r="L4909" s="14" t="s">
        <v>253</v>
      </c>
      <c r="M4909" s="14" t="s">
        <v>389</v>
      </c>
      <c r="N4909" s="14" t="s">
        <v>390</v>
      </c>
      <c r="O4909" s="14">
        <v>40.0</v>
      </c>
      <c r="P4909" s="23">
        <v>0.4</v>
      </c>
      <c r="Q4909" s="22" t="str">
        <f t="shared" ref="Q4909:R4909" si="2933">"+20.00%"</f>
        <v>+20.00%</v>
      </c>
      <c r="R4909" s="18" t="str">
        <f t="shared" si="2933"/>
        <v>+20.00%</v>
      </c>
      <c r="S4909" s="14" t="s">
        <v>2387</v>
      </c>
    </row>
    <row r="4910">
      <c r="A4910" s="13">
        <v>45901.0</v>
      </c>
      <c r="B4910" s="14" t="s">
        <v>47</v>
      </c>
      <c r="C4910" s="14" t="s">
        <v>48</v>
      </c>
      <c r="D4910" s="14" t="s">
        <v>77</v>
      </c>
      <c r="E4910" s="14" t="s">
        <v>78</v>
      </c>
      <c r="F4910" s="15" t="s">
        <v>51</v>
      </c>
      <c r="G4910" s="14" t="s">
        <v>128</v>
      </c>
      <c r="H4910" s="14" t="s">
        <v>81</v>
      </c>
      <c r="I4910" s="14" t="s">
        <v>59</v>
      </c>
      <c r="J4910" s="14" t="s">
        <v>198</v>
      </c>
      <c r="K4910" s="14" t="s">
        <v>205</v>
      </c>
      <c r="L4910" s="14" t="s">
        <v>274</v>
      </c>
      <c r="M4910" s="14" t="s">
        <v>466</v>
      </c>
      <c r="N4910" s="14" t="s">
        <v>467</v>
      </c>
      <c r="O4910" s="14">
        <v>0.0</v>
      </c>
      <c r="P4910" s="21">
        <v>0.0</v>
      </c>
      <c r="Q4910" s="22" t="str">
        <f t="shared" ref="Q4910:Q4911" si="2934">"+0"</f>
        <v>+0</v>
      </c>
      <c r="S4910" s="14" t="s">
        <v>281</v>
      </c>
    </row>
    <row r="4911">
      <c r="A4911" s="13">
        <v>45901.0</v>
      </c>
      <c r="B4911" s="14" t="s">
        <v>47</v>
      </c>
      <c r="C4911" s="14" t="s">
        <v>48</v>
      </c>
      <c r="D4911" s="14" t="s">
        <v>174</v>
      </c>
      <c r="E4911" s="14" t="s">
        <v>175</v>
      </c>
      <c r="F4911" s="15" t="s">
        <v>51</v>
      </c>
      <c r="G4911" s="14" t="s">
        <v>176</v>
      </c>
      <c r="H4911" s="14" t="s">
        <v>174</v>
      </c>
      <c r="I4911" s="14" t="s">
        <v>59</v>
      </c>
      <c r="J4911" s="14" t="s">
        <v>199</v>
      </c>
      <c r="K4911" s="14" t="s">
        <v>203</v>
      </c>
      <c r="L4911" s="14" t="s">
        <v>342</v>
      </c>
      <c r="M4911" s="14" t="s">
        <v>342</v>
      </c>
      <c r="N4911" s="14" t="s">
        <v>343</v>
      </c>
      <c r="O4911" s="14">
        <v>100.0</v>
      </c>
      <c r="P4911" s="21">
        <v>2.0</v>
      </c>
      <c r="Q4911" s="22" t="str">
        <f t="shared" si="2934"/>
        <v>+0</v>
      </c>
      <c r="R4911" s="18" t="str">
        <f>"+0"</f>
        <v>+0</v>
      </c>
      <c r="S4911" s="14" t="s">
        <v>260</v>
      </c>
    </row>
    <row r="4912">
      <c r="A4912" s="13">
        <v>45901.0</v>
      </c>
      <c r="B4912" s="14" t="s">
        <v>47</v>
      </c>
      <c r="C4912" s="14" t="s">
        <v>48</v>
      </c>
      <c r="D4912" s="14" t="s">
        <v>77</v>
      </c>
      <c r="E4912" s="14" t="s">
        <v>78</v>
      </c>
      <c r="F4912" s="15" t="s">
        <v>51</v>
      </c>
      <c r="G4912" s="14" t="s">
        <v>128</v>
      </c>
      <c r="H4912" s="14" t="s">
        <v>81</v>
      </c>
      <c r="I4912" s="14" t="s">
        <v>59</v>
      </c>
      <c r="J4912" s="14" t="s">
        <v>198</v>
      </c>
      <c r="K4912" s="14" t="s">
        <v>210</v>
      </c>
      <c r="L4912" s="14" t="s">
        <v>278</v>
      </c>
      <c r="M4912" s="14" t="s">
        <v>839</v>
      </c>
      <c r="N4912" s="14" t="s">
        <v>840</v>
      </c>
      <c r="O4912" s="14">
        <v>0.0</v>
      </c>
      <c r="P4912" s="21">
        <v>2924.0</v>
      </c>
      <c r="Q4912" s="22" t="str">
        <f>"-3,758"</f>
        <v>-3,758</v>
      </c>
      <c r="R4912" s="18" t="str">
        <f>"-933"</f>
        <v>-933</v>
      </c>
      <c r="S4912" s="14" t="s">
        <v>2388</v>
      </c>
    </row>
    <row r="4913">
      <c r="A4913" s="13">
        <v>45901.0</v>
      </c>
      <c r="B4913" s="14" t="s">
        <v>47</v>
      </c>
      <c r="C4913" s="14" t="s">
        <v>48</v>
      </c>
      <c r="D4913" s="14" t="s">
        <v>60</v>
      </c>
      <c r="E4913" s="14" t="s">
        <v>61</v>
      </c>
      <c r="F4913" s="15" t="s">
        <v>51</v>
      </c>
      <c r="G4913" s="14" t="s">
        <v>62</v>
      </c>
      <c r="H4913" s="14" t="s">
        <v>60</v>
      </c>
      <c r="I4913" s="14" t="s">
        <v>59</v>
      </c>
      <c r="J4913" s="14" t="s">
        <v>200</v>
      </c>
      <c r="K4913" s="14" t="s">
        <v>223</v>
      </c>
      <c r="L4913" s="14" t="s">
        <v>261</v>
      </c>
      <c r="M4913" s="14" t="s">
        <v>864</v>
      </c>
      <c r="N4913" s="14" t="s">
        <v>865</v>
      </c>
      <c r="O4913" s="14">
        <v>0.0</v>
      </c>
      <c r="P4913" s="23">
        <v>0.0</v>
      </c>
      <c r="Q4913" s="22" t="str">
        <f t="shared" ref="Q4913:R4913" si="2935">"+0.00%"</f>
        <v>+0.00%</v>
      </c>
      <c r="R4913" s="18" t="str">
        <f t="shared" si="2935"/>
        <v>+0.00%</v>
      </c>
      <c r="S4913" s="14" t="s">
        <v>285</v>
      </c>
    </row>
    <row r="4914">
      <c r="A4914" s="13">
        <v>45901.0</v>
      </c>
      <c r="B4914" s="14" t="s">
        <v>47</v>
      </c>
      <c r="C4914" s="14" t="s">
        <v>48</v>
      </c>
      <c r="D4914" s="14" t="s">
        <v>181</v>
      </c>
      <c r="E4914" s="14" t="s">
        <v>182</v>
      </c>
      <c r="F4914" s="15" t="s">
        <v>51</v>
      </c>
      <c r="G4914" s="14" t="s">
        <v>183</v>
      </c>
      <c r="H4914" s="14" t="s">
        <v>181</v>
      </c>
      <c r="I4914" s="14" t="s">
        <v>59</v>
      </c>
      <c r="J4914" s="14" t="s">
        <v>198</v>
      </c>
      <c r="K4914" s="14" t="s">
        <v>205</v>
      </c>
      <c r="L4914" s="14" t="s">
        <v>274</v>
      </c>
      <c r="M4914" s="14" t="s">
        <v>738</v>
      </c>
      <c r="N4914" s="14" t="s">
        <v>739</v>
      </c>
      <c r="O4914" s="14">
        <v>0.0</v>
      </c>
      <c r="P4914" s="21">
        <v>0.0</v>
      </c>
      <c r="Q4914" s="22" t="str">
        <f t="shared" ref="Q4914:Q4915" si="2936">"+0"</f>
        <v>+0</v>
      </c>
      <c r="S4914" s="14" t="s">
        <v>281</v>
      </c>
    </row>
    <row r="4915">
      <c r="A4915" s="13">
        <v>45901.0</v>
      </c>
      <c r="B4915" s="14" t="s">
        <v>47</v>
      </c>
      <c r="C4915" s="14" t="s">
        <v>48</v>
      </c>
      <c r="D4915" s="14" t="s">
        <v>60</v>
      </c>
      <c r="E4915" s="14" t="s">
        <v>61</v>
      </c>
      <c r="F4915" s="15" t="s">
        <v>51</v>
      </c>
      <c r="G4915" s="14" t="s">
        <v>62</v>
      </c>
      <c r="H4915" s="14" t="s">
        <v>60</v>
      </c>
      <c r="I4915" s="14" t="s">
        <v>59</v>
      </c>
      <c r="J4915" s="14" t="s">
        <v>200</v>
      </c>
      <c r="K4915" s="14" t="s">
        <v>223</v>
      </c>
      <c r="L4915" s="14" t="s">
        <v>422</v>
      </c>
      <c r="M4915" s="14" t="s">
        <v>423</v>
      </c>
      <c r="N4915" s="14" t="s">
        <v>424</v>
      </c>
      <c r="O4915" s="14">
        <v>100.0</v>
      </c>
      <c r="P4915" s="21">
        <v>25.0</v>
      </c>
      <c r="Q4915" s="22" t="str">
        <f t="shared" si="2936"/>
        <v>+0</v>
      </c>
      <c r="R4915" s="18" t="str">
        <f>"+0"</f>
        <v>+0</v>
      </c>
      <c r="S4915" s="14" t="s">
        <v>260</v>
      </c>
    </row>
    <row r="4916">
      <c r="A4916" s="13">
        <v>45901.0</v>
      </c>
      <c r="B4916" s="14" t="s">
        <v>47</v>
      </c>
      <c r="C4916" s="14" t="s">
        <v>48</v>
      </c>
      <c r="D4916" s="14" t="s">
        <v>165</v>
      </c>
      <c r="E4916" s="14" t="s">
        <v>166</v>
      </c>
      <c r="F4916" s="15" t="s">
        <v>51</v>
      </c>
      <c r="G4916" s="14" t="s">
        <v>167</v>
      </c>
      <c r="H4916" s="14" t="s">
        <v>165</v>
      </c>
      <c r="I4916" s="14" t="s">
        <v>54</v>
      </c>
      <c r="J4916" s="14" t="s">
        <v>200</v>
      </c>
      <c r="K4916" s="14" t="s">
        <v>213</v>
      </c>
      <c r="L4916" s="14" t="s">
        <v>289</v>
      </c>
      <c r="M4916" s="14" t="s">
        <v>684</v>
      </c>
      <c r="N4916" s="14" t="s">
        <v>685</v>
      </c>
      <c r="O4916" s="14">
        <v>100.0</v>
      </c>
      <c r="P4916" s="23">
        <v>0.0034</v>
      </c>
      <c r="Q4916" s="22" t="str">
        <f>"+0.09%"</f>
        <v>+0.09%</v>
      </c>
      <c r="R4916" s="18" t="str">
        <f>"-0.10%"</f>
        <v>-0.10%</v>
      </c>
      <c r="S4916" s="14" t="s">
        <v>285</v>
      </c>
    </row>
    <row r="4917">
      <c r="A4917" s="13">
        <v>45901.0</v>
      </c>
      <c r="B4917" s="14" t="s">
        <v>47</v>
      </c>
      <c r="C4917" s="14" t="s">
        <v>48</v>
      </c>
      <c r="D4917" s="14" t="s">
        <v>49</v>
      </c>
      <c r="E4917" s="14" t="s">
        <v>50</v>
      </c>
      <c r="F4917" s="15" t="s">
        <v>51</v>
      </c>
      <c r="G4917" s="14" t="s">
        <v>52</v>
      </c>
      <c r="H4917" s="14" t="s">
        <v>53</v>
      </c>
      <c r="I4917" s="14" t="s">
        <v>54</v>
      </c>
      <c r="J4917" s="14" t="s">
        <v>198</v>
      </c>
      <c r="K4917" s="14" t="s">
        <v>210</v>
      </c>
      <c r="L4917" s="14" t="s">
        <v>505</v>
      </c>
      <c r="M4917" s="14" t="s">
        <v>1475</v>
      </c>
      <c r="N4917" s="14" t="s">
        <v>1476</v>
      </c>
      <c r="O4917" s="14">
        <v>0.0</v>
      </c>
      <c r="P4917" s="21">
        <v>0.0</v>
      </c>
      <c r="Q4917" s="22" t="str">
        <f t="shared" ref="Q4917:R4917" si="2937">"+0"</f>
        <v>+0</v>
      </c>
      <c r="R4917" s="18" t="str">
        <f t="shared" si="2937"/>
        <v>+0</v>
      </c>
      <c r="S4917" s="14" t="s">
        <v>277</v>
      </c>
    </row>
    <row r="4918">
      <c r="A4918" s="13">
        <v>45901.0</v>
      </c>
      <c r="B4918" s="14" t="s">
        <v>47</v>
      </c>
      <c r="C4918" s="14" t="s">
        <v>48</v>
      </c>
      <c r="D4918" s="14" t="s">
        <v>165</v>
      </c>
      <c r="E4918" s="14" t="s">
        <v>166</v>
      </c>
      <c r="F4918" s="15" t="s">
        <v>51</v>
      </c>
      <c r="G4918" s="14" t="s">
        <v>167</v>
      </c>
      <c r="H4918" s="14" t="s">
        <v>165</v>
      </c>
      <c r="I4918" s="14" t="s">
        <v>54</v>
      </c>
      <c r="J4918" s="14" t="s">
        <v>200</v>
      </c>
      <c r="K4918" s="14" t="s">
        <v>224</v>
      </c>
      <c r="L4918" s="14" t="s">
        <v>453</v>
      </c>
      <c r="M4918" s="14" t="s">
        <v>949</v>
      </c>
      <c r="N4918" s="14" t="s">
        <v>950</v>
      </c>
      <c r="O4918" s="14">
        <v>100.0</v>
      </c>
      <c r="P4918" s="23">
        <v>1.0</v>
      </c>
      <c r="Q4918" s="22" t="str">
        <f t="shared" ref="Q4918:R4918" si="2938">"+0.00%"</f>
        <v>+0.00%</v>
      </c>
      <c r="R4918" s="18" t="str">
        <f t="shared" si="2938"/>
        <v>+0.00%</v>
      </c>
      <c r="S4918" s="14" t="s">
        <v>951</v>
      </c>
    </row>
    <row r="4919">
      <c r="A4919" s="13">
        <v>45901.0</v>
      </c>
      <c r="B4919" s="14" t="s">
        <v>47</v>
      </c>
      <c r="C4919" s="14" t="s">
        <v>48</v>
      </c>
      <c r="D4919" s="14" t="s">
        <v>49</v>
      </c>
      <c r="E4919" s="14" t="s">
        <v>50</v>
      </c>
      <c r="F4919" s="15" t="s">
        <v>51</v>
      </c>
      <c r="G4919" s="14" t="s">
        <v>52</v>
      </c>
      <c r="H4919" s="14" t="s">
        <v>53</v>
      </c>
      <c r="I4919" s="14" t="s">
        <v>54</v>
      </c>
      <c r="J4919" s="14" t="s">
        <v>200</v>
      </c>
      <c r="K4919" s="14" t="s">
        <v>227</v>
      </c>
      <c r="L4919" s="14" t="s">
        <v>270</v>
      </c>
      <c r="M4919" s="14" t="s">
        <v>417</v>
      </c>
      <c r="N4919" s="14" t="s">
        <v>418</v>
      </c>
      <c r="O4919" s="14">
        <v>14.0</v>
      </c>
      <c r="P4919" s="21">
        <v>3.0</v>
      </c>
      <c r="Q4919" s="22" t="str">
        <f>"+1"</f>
        <v>+1</v>
      </c>
      <c r="R4919" s="18" t="str">
        <f>"-12"</f>
        <v>-12</v>
      </c>
      <c r="S4919" s="14" t="s">
        <v>260</v>
      </c>
    </row>
    <row r="4920">
      <c r="A4920" s="13">
        <v>45901.0</v>
      </c>
      <c r="B4920" s="14" t="s">
        <v>47</v>
      </c>
      <c r="C4920" s="14" t="s">
        <v>48</v>
      </c>
      <c r="D4920" s="14" t="s">
        <v>118</v>
      </c>
      <c r="E4920" s="14" t="s">
        <v>119</v>
      </c>
      <c r="F4920" s="15" t="s">
        <v>51</v>
      </c>
      <c r="G4920" s="14" t="s">
        <v>120</v>
      </c>
      <c r="H4920" s="14" t="s">
        <v>118</v>
      </c>
      <c r="I4920" s="14" t="s">
        <v>59</v>
      </c>
      <c r="J4920" s="14" t="s">
        <v>200</v>
      </c>
      <c r="K4920" s="14" t="s">
        <v>213</v>
      </c>
      <c r="L4920" s="14" t="s">
        <v>257</v>
      </c>
      <c r="M4920" s="14" t="s">
        <v>517</v>
      </c>
      <c r="N4920" s="14" t="s">
        <v>518</v>
      </c>
      <c r="O4920" s="14">
        <v>0.0</v>
      </c>
      <c r="P4920" s="21">
        <v>0.0</v>
      </c>
      <c r="Q4920" s="22" t="str">
        <f t="shared" ref="Q4920:R4920" si="2939">"+0"</f>
        <v>+0</v>
      </c>
      <c r="R4920" s="18" t="str">
        <f t="shared" si="2939"/>
        <v>+0</v>
      </c>
      <c r="S4920" s="14" t="s">
        <v>260</v>
      </c>
    </row>
    <row r="4921">
      <c r="A4921" s="13">
        <v>45901.0</v>
      </c>
      <c r="B4921" s="14" t="s">
        <v>47</v>
      </c>
      <c r="C4921" s="14" t="s">
        <v>48</v>
      </c>
      <c r="D4921" s="14" t="s">
        <v>63</v>
      </c>
      <c r="E4921" s="14" t="s">
        <v>64</v>
      </c>
      <c r="F4921" s="15" t="s">
        <v>51</v>
      </c>
      <c r="G4921" s="14" t="s">
        <v>65</v>
      </c>
      <c r="H4921" s="14" t="s">
        <v>63</v>
      </c>
      <c r="I4921" s="14" t="s">
        <v>54</v>
      </c>
      <c r="J4921" s="14" t="s">
        <v>200</v>
      </c>
      <c r="K4921" s="14" t="s">
        <v>213</v>
      </c>
      <c r="L4921" s="14" t="s">
        <v>307</v>
      </c>
      <c r="M4921" s="14" t="s">
        <v>308</v>
      </c>
      <c r="N4921" s="14" t="s">
        <v>309</v>
      </c>
      <c r="O4921" s="14">
        <v>0.0</v>
      </c>
      <c r="P4921" s="23">
        <v>0.0</v>
      </c>
      <c r="Q4921" s="22" t="str">
        <f t="shared" ref="Q4921:R4921" si="2940">"+0.00%"</f>
        <v>+0.00%</v>
      </c>
      <c r="R4921" s="18" t="str">
        <f t="shared" si="2940"/>
        <v>+0.00%</v>
      </c>
      <c r="S4921" s="14" t="s">
        <v>285</v>
      </c>
    </row>
    <row r="4922">
      <c r="A4922" s="13">
        <v>45901.0</v>
      </c>
      <c r="B4922" s="14" t="s">
        <v>47</v>
      </c>
      <c r="C4922" s="14" t="s">
        <v>48</v>
      </c>
      <c r="D4922" s="14" t="s">
        <v>192</v>
      </c>
      <c r="E4922" s="14" t="s">
        <v>193</v>
      </c>
      <c r="F4922" s="15" t="s">
        <v>51</v>
      </c>
      <c r="G4922" s="14" t="s">
        <v>194</v>
      </c>
      <c r="H4922" s="14" t="s">
        <v>192</v>
      </c>
      <c r="I4922" s="14" t="s">
        <v>54</v>
      </c>
      <c r="J4922" s="14" t="s">
        <v>200</v>
      </c>
      <c r="K4922" s="14" t="s">
        <v>223</v>
      </c>
      <c r="L4922" s="14" t="s">
        <v>304</v>
      </c>
      <c r="M4922" s="14" t="s">
        <v>662</v>
      </c>
      <c r="N4922" s="14" t="s">
        <v>663</v>
      </c>
      <c r="O4922" s="14">
        <v>45.0</v>
      </c>
      <c r="P4922" s="23">
        <v>-0.0862</v>
      </c>
      <c r="Q4922" s="22" t="str">
        <f>"+0.80%"</f>
        <v>+0.80%</v>
      </c>
      <c r="R4922" s="18" t="str">
        <f>"+2.02%"</f>
        <v>+2.02%</v>
      </c>
      <c r="S4922" s="14" t="s">
        <v>2389</v>
      </c>
    </row>
    <row r="4923">
      <c r="A4923" s="13">
        <v>45901.0</v>
      </c>
      <c r="B4923" s="14" t="s">
        <v>47</v>
      </c>
      <c r="C4923" s="14" t="s">
        <v>48</v>
      </c>
      <c r="D4923" s="14" t="s">
        <v>103</v>
      </c>
      <c r="E4923" s="14" t="s">
        <v>104</v>
      </c>
      <c r="F4923" s="15" t="s">
        <v>51</v>
      </c>
      <c r="G4923" s="14" t="s">
        <v>105</v>
      </c>
      <c r="H4923" s="14" t="s">
        <v>106</v>
      </c>
      <c r="I4923" s="14" t="s">
        <v>59</v>
      </c>
      <c r="J4923" s="14" t="s">
        <v>200</v>
      </c>
      <c r="K4923" s="14" t="s">
        <v>232</v>
      </c>
      <c r="L4923" s="14" t="s">
        <v>710</v>
      </c>
      <c r="M4923" s="14" t="s">
        <v>711</v>
      </c>
      <c r="N4923" s="14" t="s">
        <v>712</v>
      </c>
      <c r="O4923" s="14">
        <v>0.0</v>
      </c>
      <c r="P4923" s="23">
        <v>0.0</v>
      </c>
      <c r="Q4923" s="22" t="str">
        <f t="shared" ref="Q4923:R4923" si="2941">"+0.00%"</f>
        <v>+0.00%</v>
      </c>
      <c r="R4923" s="18" t="str">
        <f t="shared" si="2941"/>
        <v>+0.00%</v>
      </c>
      <c r="S4923" s="14" t="s">
        <v>285</v>
      </c>
    </row>
    <row r="4924">
      <c r="A4924" s="13">
        <v>45901.0</v>
      </c>
      <c r="B4924" s="14" t="s">
        <v>47</v>
      </c>
      <c r="C4924" s="14" t="s">
        <v>48</v>
      </c>
      <c r="D4924" s="14" t="s">
        <v>143</v>
      </c>
      <c r="E4924" s="14" t="s">
        <v>144</v>
      </c>
      <c r="F4924" s="15" t="s">
        <v>51</v>
      </c>
      <c r="G4924" s="14" t="s">
        <v>145</v>
      </c>
      <c r="H4924" s="14" t="s">
        <v>143</v>
      </c>
      <c r="I4924" s="14" t="s">
        <v>59</v>
      </c>
      <c r="J4924" s="14" t="s">
        <v>199</v>
      </c>
      <c r="K4924" s="14" t="s">
        <v>203</v>
      </c>
      <c r="L4924" s="14" t="s">
        <v>725</v>
      </c>
      <c r="M4924" s="14" t="s">
        <v>725</v>
      </c>
      <c r="N4924" s="14" t="s">
        <v>726</v>
      </c>
      <c r="O4924" s="14">
        <v>0.0</v>
      </c>
      <c r="P4924" s="21">
        <v>0.0</v>
      </c>
      <c r="Q4924" s="22" t="str">
        <f t="shared" ref="Q4924:R4924" si="2942">"+0"</f>
        <v>+0</v>
      </c>
      <c r="R4924" s="18" t="str">
        <f t="shared" si="2942"/>
        <v>+0</v>
      </c>
      <c r="S4924" s="14" t="s">
        <v>260</v>
      </c>
    </row>
    <row r="4925">
      <c r="A4925" s="13">
        <v>45901.0</v>
      </c>
      <c r="B4925" s="14" t="s">
        <v>47</v>
      </c>
      <c r="C4925" s="14" t="s">
        <v>48</v>
      </c>
      <c r="D4925" s="14" t="s">
        <v>149</v>
      </c>
      <c r="E4925" s="14" t="s">
        <v>150</v>
      </c>
      <c r="F4925" s="15" t="s">
        <v>51</v>
      </c>
      <c r="G4925" s="14" t="s">
        <v>151</v>
      </c>
      <c r="H4925" s="14" t="s">
        <v>152</v>
      </c>
      <c r="I4925" s="14" t="s">
        <v>54</v>
      </c>
      <c r="J4925" s="14" t="s">
        <v>200</v>
      </c>
      <c r="K4925" s="14" t="s">
        <v>223</v>
      </c>
      <c r="L4925" s="14" t="s">
        <v>676</v>
      </c>
      <c r="M4925" s="14" t="s">
        <v>836</v>
      </c>
      <c r="N4925" s="14" t="s">
        <v>837</v>
      </c>
      <c r="O4925" s="14">
        <v>17.0</v>
      </c>
      <c r="P4925" s="23">
        <v>0.1795</v>
      </c>
      <c r="Q4925" s="22" t="str">
        <f>"-0.36%"</f>
        <v>-0.36%</v>
      </c>
      <c r="R4925" s="18" t="str">
        <f>"+0.28%"</f>
        <v>+0.28%</v>
      </c>
      <c r="S4925" s="14" t="s">
        <v>2390</v>
      </c>
    </row>
    <row r="4926">
      <c r="A4926" s="13">
        <v>45901.0</v>
      </c>
      <c r="B4926" s="14" t="s">
        <v>47</v>
      </c>
      <c r="C4926" s="14" t="s">
        <v>48</v>
      </c>
      <c r="D4926" s="14" t="s">
        <v>136</v>
      </c>
      <c r="E4926" s="14" t="s">
        <v>137</v>
      </c>
      <c r="F4926" s="15" t="s">
        <v>51</v>
      </c>
      <c r="G4926" s="14" t="s">
        <v>138</v>
      </c>
      <c r="H4926" s="14" t="s">
        <v>139</v>
      </c>
      <c r="I4926" s="14" t="s">
        <v>59</v>
      </c>
      <c r="J4926" s="14" t="s">
        <v>200</v>
      </c>
      <c r="K4926" s="14" t="s">
        <v>201</v>
      </c>
      <c r="L4926" s="14" t="s">
        <v>253</v>
      </c>
      <c r="M4926" s="14" t="s">
        <v>585</v>
      </c>
      <c r="N4926" s="14" t="s">
        <v>586</v>
      </c>
      <c r="O4926" s="14">
        <v>8.0</v>
      </c>
      <c r="P4926" s="23">
        <v>0.0857</v>
      </c>
      <c r="Q4926" s="22" t="str">
        <f>"-0.15%"</f>
        <v>-0.15%</v>
      </c>
      <c r="R4926" s="18" t="str">
        <f>"+0.06%"</f>
        <v>+0.06%</v>
      </c>
      <c r="S4926" s="14" t="s">
        <v>1454</v>
      </c>
    </row>
    <row r="4927">
      <c r="A4927" s="13">
        <v>45901.0</v>
      </c>
      <c r="B4927" s="14" t="s">
        <v>47</v>
      </c>
      <c r="C4927" s="14" t="s">
        <v>48</v>
      </c>
      <c r="D4927" s="14" t="s">
        <v>96</v>
      </c>
      <c r="E4927" s="14" t="s">
        <v>97</v>
      </c>
      <c r="F4927" s="15" t="s">
        <v>51</v>
      </c>
      <c r="G4927" s="14" t="s">
        <v>98</v>
      </c>
      <c r="H4927" s="14" t="s">
        <v>96</v>
      </c>
      <c r="I4927" s="14" t="s">
        <v>59</v>
      </c>
      <c r="J4927" s="14" t="s">
        <v>200</v>
      </c>
      <c r="K4927" s="14" t="s">
        <v>223</v>
      </c>
      <c r="L4927" s="14" t="s">
        <v>440</v>
      </c>
      <c r="M4927" s="14" t="s">
        <v>510</v>
      </c>
      <c r="N4927" s="14" t="s">
        <v>511</v>
      </c>
      <c r="O4927" s="14">
        <v>0.0</v>
      </c>
      <c r="P4927" s="23">
        <v>0.0</v>
      </c>
      <c r="Q4927" s="22" t="str">
        <f t="shared" ref="Q4927:R4927" si="2943">"+0.00%"</f>
        <v>+0.00%</v>
      </c>
      <c r="R4927" s="18" t="str">
        <f t="shared" si="2943"/>
        <v>+0.00%</v>
      </c>
      <c r="S4927" s="14" t="s">
        <v>285</v>
      </c>
    </row>
    <row r="4928">
      <c r="A4928" s="13">
        <v>45901.0</v>
      </c>
      <c r="B4928" s="14" t="s">
        <v>47</v>
      </c>
      <c r="C4928" s="14" t="s">
        <v>48</v>
      </c>
      <c r="D4928" s="14" t="s">
        <v>125</v>
      </c>
      <c r="E4928" s="14" t="s">
        <v>126</v>
      </c>
      <c r="F4928" s="15" t="s">
        <v>51</v>
      </c>
      <c r="G4928" s="14" t="s">
        <v>127</v>
      </c>
      <c r="H4928" s="14" t="s">
        <v>125</v>
      </c>
      <c r="I4928" s="14" t="s">
        <v>59</v>
      </c>
      <c r="J4928" s="14" t="s">
        <v>200</v>
      </c>
      <c r="K4928" s="14" t="s">
        <v>232</v>
      </c>
      <c r="L4928" s="14" t="s">
        <v>375</v>
      </c>
      <c r="M4928" s="14" t="s">
        <v>376</v>
      </c>
      <c r="N4928" s="14" t="s">
        <v>377</v>
      </c>
      <c r="O4928" s="14">
        <v>0.0</v>
      </c>
      <c r="P4928" s="23">
        <v>0.0</v>
      </c>
      <c r="Q4928" s="22" t="str">
        <f t="shared" ref="Q4928:R4928" si="2944">"+0.00%"</f>
        <v>+0.00%</v>
      </c>
      <c r="R4928" s="18" t="str">
        <f t="shared" si="2944"/>
        <v>+0.00%</v>
      </c>
      <c r="S4928" s="14" t="s">
        <v>2391</v>
      </c>
    </row>
    <row r="4929">
      <c r="A4929" s="13">
        <v>45901.0</v>
      </c>
      <c r="B4929" s="14" t="s">
        <v>47</v>
      </c>
      <c r="C4929" s="14" t="s">
        <v>48</v>
      </c>
      <c r="D4929" s="14" t="s">
        <v>96</v>
      </c>
      <c r="E4929" s="14" t="s">
        <v>97</v>
      </c>
      <c r="F4929" s="15" t="s">
        <v>51</v>
      </c>
      <c r="G4929" s="14" t="s">
        <v>98</v>
      </c>
      <c r="H4929" s="14" t="s">
        <v>96</v>
      </c>
      <c r="I4929" s="14" t="s">
        <v>59</v>
      </c>
      <c r="J4929" s="14" t="s">
        <v>200</v>
      </c>
      <c r="K4929" s="14" t="s">
        <v>227</v>
      </c>
      <c r="L4929" s="14" t="s">
        <v>328</v>
      </c>
      <c r="M4929" s="14" t="s">
        <v>329</v>
      </c>
      <c r="N4929" s="14" t="s">
        <v>330</v>
      </c>
      <c r="O4929" s="14">
        <v>0.0</v>
      </c>
      <c r="P4929" s="21">
        <v>0.0</v>
      </c>
      <c r="Q4929" s="22" t="str">
        <f t="shared" ref="Q4929:Q4933" si="2945">"+0"</f>
        <v>+0</v>
      </c>
      <c r="R4929" s="18" t="str">
        <f>"-1"</f>
        <v>-1</v>
      </c>
      <c r="S4929" s="14" t="s">
        <v>260</v>
      </c>
    </row>
    <row r="4930">
      <c r="A4930" s="13">
        <v>45901.0</v>
      </c>
      <c r="B4930" s="14" t="s">
        <v>47</v>
      </c>
      <c r="C4930" s="14" t="s">
        <v>48</v>
      </c>
      <c r="D4930" s="14" t="s">
        <v>108</v>
      </c>
      <c r="E4930" s="14" t="s">
        <v>109</v>
      </c>
      <c r="F4930" s="15" t="s">
        <v>51</v>
      </c>
      <c r="G4930" s="14" t="s">
        <v>110</v>
      </c>
      <c r="H4930" s="14" t="s">
        <v>108</v>
      </c>
      <c r="I4930" s="14" t="s">
        <v>59</v>
      </c>
      <c r="J4930" s="14" t="s">
        <v>199</v>
      </c>
      <c r="K4930" s="14" t="s">
        <v>206</v>
      </c>
      <c r="L4930" s="14" t="s">
        <v>295</v>
      </c>
      <c r="M4930" s="14" t="s">
        <v>461</v>
      </c>
      <c r="N4930" s="14" t="s">
        <v>462</v>
      </c>
      <c r="O4930" s="14">
        <v>0.0</v>
      </c>
      <c r="P4930" s="21">
        <v>0.0</v>
      </c>
      <c r="Q4930" s="22" t="str">
        <f t="shared" si="2945"/>
        <v>+0</v>
      </c>
      <c r="R4930" s="18" t="str">
        <f t="shared" ref="R4930:R4931" si="2946">"+0"</f>
        <v>+0</v>
      </c>
      <c r="S4930" s="14" t="s">
        <v>260</v>
      </c>
    </row>
    <row r="4931">
      <c r="A4931" s="13">
        <v>45901.0</v>
      </c>
      <c r="B4931" s="14" t="s">
        <v>47</v>
      </c>
      <c r="C4931" s="14" t="s">
        <v>48</v>
      </c>
      <c r="D4931" s="14" t="s">
        <v>155</v>
      </c>
      <c r="E4931" s="14" t="s">
        <v>156</v>
      </c>
      <c r="F4931" s="15" t="s">
        <v>51</v>
      </c>
      <c r="G4931" s="14" t="s">
        <v>157</v>
      </c>
      <c r="H4931" s="14" t="s">
        <v>155</v>
      </c>
      <c r="I4931" s="14" t="s">
        <v>59</v>
      </c>
      <c r="J4931" s="14" t="s">
        <v>200</v>
      </c>
      <c r="K4931" s="14" t="s">
        <v>223</v>
      </c>
      <c r="L4931" s="14" t="s">
        <v>282</v>
      </c>
      <c r="M4931" s="14" t="s">
        <v>914</v>
      </c>
      <c r="N4931" s="14" t="s">
        <v>915</v>
      </c>
      <c r="O4931" s="14">
        <v>0.0</v>
      </c>
      <c r="P4931" s="21">
        <v>0.0</v>
      </c>
      <c r="Q4931" s="22" t="str">
        <f t="shared" si="2945"/>
        <v>+0</v>
      </c>
      <c r="R4931" s="18" t="str">
        <f t="shared" si="2946"/>
        <v>+0</v>
      </c>
      <c r="S4931" s="14" t="s">
        <v>260</v>
      </c>
    </row>
    <row r="4932">
      <c r="A4932" s="13">
        <v>45901.0</v>
      </c>
      <c r="B4932" s="14" t="s">
        <v>47</v>
      </c>
      <c r="C4932" s="14" t="s">
        <v>48</v>
      </c>
      <c r="D4932" s="14" t="s">
        <v>60</v>
      </c>
      <c r="E4932" s="14" t="s">
        <v>61</v>
      </c>
      <c r="F4932" s="15" t="s">
        <v>51</v>
      </c>
      <c r="G4932" s="14" t="s">
        <v>62</v>
      </c>
      <c r="H4932" s="14" t="s">
        <v>60</v>
      </c>
      <c r="I4932" s="14" t="s">
        <v>59</v>
      </c>
      <c r="J4932" s="14" t="s">
        <v>200</v>
      </c>
      <c r="K4932" s="14" t="s">
        <v>227</v>
      </c>
      <c r="L4932" s="14" t="s">
        <v>270</v>
      </c>
      <c r="M4932" s="14" t="s">
        <v>400</v>
      </c>
      <c r="N4932" s="14" t="s">
        <v>401</v>
      </c>
      <c r="O4932" s="14">
        <v>0.0</v>
      </c>
      <c r="P4932" s="21">
        <v>0.0</v>
      </c>
      <c r="Q4932" s="22" t="str">
        <f t="shared" si="2945"/>
        <v>+0</v>
      </c>
      <c r="R4932" s="18" t="str">
        <f>"-1"</f>
        <v>-1</v>
      </c>
      <c r="S4932" s="14" t="s">
        <v>260</v>
      </c>
    </row>
    <row r="4933">
      <c r="A4933" s="13">
        <v>45901.0</v>
      </c>
      <c r="B4933" s="14" t="s">
        <v>47</v>
      </c>
      <c r="C4933" s="14" t="s">
        <v>48</v>
      </c>
      <c r="D4933" s="14" t="s">
        <v>121</v>
      </c>
      <c r="E4933" s="14" t="s">
        <v>122</v>
      </c>
      <c r="F4933" s="15" t="s">
        <v>51</v>
      </c>
      <c r="G4933" s="14" t="s">
        <v>123</v>
      </c>
      <c r="H4933" s="14" t="s">
        <v>124</v>
      </c>
      <c r="I4933" s="14" t="s">
        <v>59</v>
      </c>
      <c r="J4933" s="14" t="s">
        <v>198</v>
      </c>
      <c r="K4933" s="14" t="s">
        <v>205</v>
      </c>
      <c r="L4933" s="14" t="s">
        <v>274</v>
      </c>
      <c r="M4933" s="14" t="s">
        <v>451</v>
      </c>
      <c r="N4933" s="14" t="s">
        <v>452</v>
      </c>
      <c r="O4933" s="14">
        <v>0.0</v>
      </c>
      <c r="P4933" s="21">
        <v>0.0</v>
      </c>
      <c r="Q4933" s="22" t="str">
        <f t="shared" si="2945"/>
        <v>+0</v>
      </c>
      <c r="S4933" s="14" t="s">
        <v>281</v>
      </c>
    </row>
    <row r="4934">
      <c r="A4934" s="13">
        <v>45901.0</v>
      </c>
      <c r="B4934" s="14" t="s">
        <v>47</v>
      </c>
      <c r="C4934" s="14" t="s">
        <v>48</v>
      </c>
      <c r="D4934" s="14" t="s">
        <v>181</v>
      </c>
      <c r="E4934" s="14" t="s">
        <v>182</v>
      </c>
      <c r="F4934" s="15" t="s">
        <v>51</v>
      </c>
      <c r="G4934" s="14" t="s">
        <v>183</v>
      </c>
      <c r="H4934" s="14" t="s">
        <v>181</v>
      </c>
      <c r="I4934" s="14" t="s">
        <v>59</v>
      </c>
      <c r="J4934" s="14" t="s">
        <v>200</v>
      </c>
      <c r="K4934" s="14" t="s">
        <v>232</v>
      </c>
      <c r="L4934" s="14" t="s">
        <v>607</v>
      </c>
      <c r="M4934" s="14" t="s">
        <v>869</v>
      </c>
      <c r="N4934" s="14" t="s">
        <v>870</v>
      </c>
      <c r="O4934" s="14">
        <v>0.0</v>
      </c>
      <c r="P4934" s="23">
        <v>-1.0</v>
      </c>
      <c r="Q4934" s="22" t="str">
        <f t="shared" ref="Q4934:R4934" si="2947">"+0.00%"</f>
        <v>+0.00%</v>
      </c>
      <c r="R4934" s="18" t="str">
        <f t="shared" si="2947"/>
        <v>+0.00%</v>
      </c>
      <c r="S4934" s="14" t="s">
        <v>2392</v>
      </c>
    </row>
    <row r="4935">
      <c r="A4935" s="13">
        <v>45901.0</v>
      </c>
      <c r="B4935" s="14" t="s">
        <v>47</v>
      </c>
      <c r="C4935" s="14" t="s">
        <v>48</v>
      </c>
      <c r="D4935" s="14" t="s">
        <v>181</v>
      </c>
      <c r="E4935" s="14" t="s">
        <v>182</v>
      </c>
      <c r="F4935" s="15" t="s">
        <v>51</v>
      </c>
      <c r="G4935" s="14" t="s">
        <v>183</v>
      </c>
      <c r="H4935" s="14" t="s">
        <v>181</v>
      </c>
      <c r="I4935" s="14" t="s">
        <v>59</v>
      </c>
      <c r="J4935" s="14" t="s">
        <v>200</v>
      </c>
      <c r="K4935" s="14" t="s">
        <v>227</v>
      </c>
      <c r="L4935" s="14" t="s">
        <v>721</v>
      </c>
      <c r="M4935" s="14" t="s">
        <v>722</v>
      </c>
      <c r="N4935" s="14" t="s">
        <v>723</v>
      </c>
      <c r="O4935" s="14">
        <v>30.0</v>
      </c>
      <c r="P4935" s="23">
        <v>-0.3814</v>
      </c>
      <c r="Q4935" s="22" t="str">
        <f>"+13.37%"</f>
        <v>+13.37%</v>
      </c>
      <c r="R4935" s="18" t="str">
        <f>"-7.38%"</f>
        <v>-7.38%</v>
      </c>
      <c r="S4935" s="14" t="s">
        <v>724</v>
      </c>
    </row>
    <row r="4936">
      <c r="A4936" s="13">
        <v>45901.0</v>
      </c>
      <c r="B4936" s="14" t="s">
        <v>47</v>
      </c>
      <c r="C4936" s="14" t="s">
        <v>48</v>
      </c>
      <c r="D4936" s="14" t="s">
        <v>140</v>
      </c>
      <c r="E4936" s="14" t="s">
        <v>141</v>
      </c>
      <c r="F4936" s="15" t="s">
        <v>51</v>
      </c>
      <c r="G4936" s="14" t="s">
        <v>142</v>
      </c>
      <c r="H4936" s="14" t="s">
        <v>140</v>
      </c>
      <c r="I4936" s="14" t="s">
        <v>59</v>
      </c>
      <c r="J4936" s="14" t="s">
        <v>199</v>
      </c>
      <c r="K4936" s="14" t="s">
        <v>206</v>
      </c>
      <c r="L4936" s="14" t="s">
        <v>433</v>
      </c>
      <c r="M4936" s="14" t="s">
        <v>433</v>
      </c>
      <c r="N4936" s="14" t="s">
        <v>434</v>
      </c>
      <c r="O4936" s="14">
        <v>0.0</v>
      </c>
      <c r="P4936" s="21">
        <v>0.0</v>
      </c>
      <c r="Q4936" s="22" t="str">
        <f t="shared" ref="Q4936:R4936" si="2948">"+0"</f>
        <v>+0</v>
      </c>
      <c r="R4936" s="18" t="str">
        <f t="shared" si="2948"/>
        <v>+0</v>
      </c>
      <c r="S4936" s="14" t="s">
        <v>383</v>
      </c>
    </row>
    <row r="4937">
      <c r="A4937" s="13">
        <v>45901.0</v>
      </c>
      <c r="B4937" s="14" t="s">
        <v>47</v>
      </c>
      <c r="C4937" s="14" t="s">
        <v>48</v>
      </c>
      <c r="D4937" s="14" t="s">
        <v>165</v>
      </c>
      <c r="E4937" s="14" t="s">
        <v>166</v>
      </c>
      <c r="F4937" s="15" t="s">
        <v>51</v>
      </c>
      <c r="G4937" s="14" t="s">
        <v>167</v>
      </c>
      <c r="H4937" s="14" t="s">
        <v>165</v>
      </c>
      <c r="I4937" s="14" t="s">
        <v>54</v>
      </c>
      <c r="J4937" s="14" t="s">
        <v>200</v>
      </c>
      <c r="K4937" s="14" t="s">
        <v>219</v>
      </c>
      <c r="L4937" s="14" t="s">
        <v>253</v>
      </c>
      <c r="M4937" s="14" t="s">
        <v>1614</v>
      </c>
      <c r="N4937" s="14" t="s">
        <v>1615</v>
      </c>
      <c r="O4937" s="14">
        <v>100.0</v>
      </c>
      <c r="P4937" s="23">
        <v>1.0</v>
      </c>
      <c r="Q4937" s="22" t="str">
        <f t="shared" ref="Q4937:R4937" si="2949">"+0.00%"</f>
        <v>+0.00%</v>
      </c>
      <c r="R4937" s="18" t="str">
        <f t="shared" si="2949"/>
        <v>+0.00%</v>
      </c>
      <c r="S4937" s="14" t="s">
        <v>285</v>
      </c>
    </row>
    <row r="4938">
      <c r="A4938" s="13">
        <v>45901.0</v>
      </c>
      <c r="B4938" s="14" t="s">
        <v>47</v>
      </c>
      <c r="C4938" s="14" t="s">
        <v>48</v>
      </c>
      <c r="D4938" s="14" t="s">
        <v>49</v>
      </c>
      <c r="E4938" s="14" t="s">
        <v>50</v>
      </c>
      <c r="F4938" s="15" t="s">
        <v>51</v>
      </c>
      <c r="G4938" s="14" t="s">
        <v>52</v>
      </c>
      <c r="H4938" s="14" t="s">
        <v>53</v>
      </c>
      <c r="I4938" s="14" t="s">
        <v>54</v>
      </c>
      <c r="J4938" s="14" t="s">
        <v>198</v>
      </c>
      <c r="K4938" s="14" t="s">
        <v>210</v>
      </c>
      <c r="L4938" s="14" t="s">
        <v>505</v>
      </c>
      <c r="M4938" s="14" t="s">
        <v>1097</v>
      </c>
      <c r="N4938" s="14" t="s">
        <v>1098</v>
      </c>
      <c r="O4938" s="14">
        <v>0.0</v>
      </c>
      <c r="P4938" s="21">
        <v>0.0</v>
      </c>
      <c r="Q4938" s="22" t="str">
        <f t="shared" ref="Q4938:R4938" si="2950">"+0"</f>
        <v>+0</v>
      </c>
      <c r="R4938" s="18" t="str">
        <f t="shared" si="2950"/>
        <v>+0</v>
      </c>
      <c r="S4938" s="14" t="s">
        <v>277</v>
      </c>
    </row>
    <row r="4939">
      <c r="A4939" s="13">
        <v>45901.0</v>
      </c>
      <c r="B4939" s="14" t="s">
        <v>47</v>
      </c>
      <c r="C4939" s="14" t="s">
        <v>48</v>
      </c>
      <c r="D4939" s="14" t="s">
        <v>91</v>
      </c>
      <c r="E4939" s="14" t="s">
        <v>92</v>
      </c>
      <c r="F4939" s="15" t="s">
        <v>51</v>
      </c>
      <c r="G4939" s="14" t="s">
        <v>163</v>
      </c>
      <c r="H4939" s="14" t="s">
        <v>91</v>
      </c>
      <c r="I4939" s="14" t="s">
        <v>59</v>
      </c>
      <c r="J4939" s="14" t="s">
        <v>200</v>
      </c>
      <c r="K4939" s="14" t="s">
        <v>223</v>
      </c>
      <c r="L4939" s="14" t="s">
        <v>363</v>
      </c>
      <c r="M4939" s="14" t="s">
        <v>1634</v>
      </c>
      <c r="N4939" s="14" t="s">
        <v>1635</v>
      </c>
      <c r="O4939" s="14">
        <v>0.0</v>
      </c>
      <c r="P4939" s="23">
        <v>0.0</v>
      </c>
      <c r="Q4939" s="22" t="str">
        <f t="shared" ref="Q4939:R4939" si="2951">"+0.00%"</f>
        <v>+0.00%</v>
      </c>
      <c r="R4939" s="18" t="str">
        <f t="shared" si="2951"/>
        <v>+0.00%</v>
      </c>
      <c r="S4939" s="14" t="s">
        <v>285</v>
      </c>
    </row>
    <row r="4940">
      <c r="A4940" s="13">
        <v>45901.0</v>
      </c>
      <c r="B4940" s="14" t="s">
        <v>47</v>
      </c>
      <c r="C4940" s="14" t="s">
        <v>48</v>
      </c>
      <c r="D4940" s="14" t="s">
        <v>63</v>
      </c>
      <c r="E4940" s="14" t="s">
        <v>64</v>
      </c>
      <c r="F4940" s="15" t="s">
        <v>51</v>
      </c>
      <c r="G4940" s="14" t="s">
        <v>65</v>
      </c>
      <c r="H4940" s="14" t="s">
        <v>63</v>
      </c>
      <c r="I4940" s="14" t="s">
        <v>54</v>
      </c>
      <c r="J4940" s="14" t="s">
        <v>198</v>
      </c>
      <c r="K4940" s="14" t="s">
        <v>212</v>
      </c>
      <c r="L4940" s="14" t="s">
        <v>249</v>
      </c>
      <c r="M4940" s="14" t="s">
        <v>1406</v>
      </c>
      <c r="N4940" s="14" t="s">
        <v>1407</v>
      </c>
      <c r="O4940" s="14">
        <v>0.0</v>
      </c>
      <c r="P4940" s="21">
        <v>0.0</v>
      </c>
      <c r="Q4940" s="22" t="str">
        <f t="shared" ref="Q4940:R4940" si="2952">"+0"</f>
        <v>+0</v>
      </c>
      <c r="R4940" s="18" t="str">
        <f t="shared" si="2952"/>
        <v>+0</v>
      </c>
      <c r="S4940" s="14" t="s">
        <v>277</v>
      </c>
    </row>
    <row r="4941">
      <c r="A4941" s="13">
        <v>45901.0</v>
      </c>
      <c r="B4941" s="14" t="s">
        <v>47</v>
      </c>
      <c r="C4941" s="14" t="s">
        <v>48</v>
      </c>
      <c r="D4941" s="14" t="s">
        <v>63</v>
      </c>
      <c r="E4941" s="14" t="s">
        <v>64</v>
      </c>
      <c r="F4941" s="15" t="s">
        <v>51</v>
      </c>
      <c r="G4941" s="14" t="s">
        <v>65</v>
      </c>
      <c r="H4941" s="14" t="s">
        <v>63</v>
      </c>
      <c r="I4941" s="14" t="s">
        <v>54</v>
      </c>
      <c r="J4941" s="14" t="s">
        <v>198</v>
      </c>
      <c r="K4941" s="14" t="s">
        <v>210</v>
      </c>
      <c r="L4941" s="14" t="s">
        <v>264</v>
      </c>
      <c r="M4941" s="14" t="s">
        <v>1033</v>
      </c>
      <c r="N4941" s="14" t="s">
        <v>1034</v>
      </c>
      <c r="O4941" s="14">
        <v>100.0</v>
      </c>
      <c r="P4941" s="21">
        <v>1.0</v>
      </c>
      <c r="Q4941" s="22" t="str">
        <f t="shared" ref="Q4941:R4941" si="2953">"+1"</f>
        <v>+1</v>
      </c>
      <c r="R4941" s="18" t="str">
        <f t="shared" si="2953"/>
        <v>+1</v>
      </c>
      <c r="S4941" s="14" t="s">
        <v>277</v>
      </c>
    </row>
    <row r="4942">
      <c r="A4942" s="13">
        <v>45901.0</v>
      </c>
      <c r="B4942" s="14" t="s">
        <v>47</v>
      </c>
      <c r="C4942" s="14" t="s">
        <v>48</v>
      </c>
      <c r="D4942" s="14" t="s">
        <v>174</v>
      </c>
      <c r="E4942" s="14" t="s">
        <v>175</v>
      </c>
      <c r="F4942" s="15" t="s">
        <v>51</v>
      </c>
      <c r="G4942" s="14" t="s">
        <v>176</v>
      </c>
      <c r="H4942" s="14" t="s">
        <v>174</v>
      </c>
      <c r="I4942" s="14" t="s">
        <v>59</v>
      </c>
      <c r="J4942" s="14" t="s">
        <v>200</v>
      </c>
      <c r="K4942" s="14" t="s">
        <v>213</v>
      </c>
      <c r="L4942" s="14" t="s">
        <v>591</v>
      </c>
      <c r="M4942" s="14" t="s">
        <v>592</v>
      </c>
      <c r="N4942" s="14" t="s">
        <v>1048</v>
      </c>
      <c r="O4942" s="14">
        <v>100.0</v>
      </c>
      <c r="P4942" s="23">
        <v>0.0104</v>
      </c>
      <c r="Q4942" s="22" t="str">
        <f>"+0.16%"</f>
        <v>+0.16%</v>
      </c>
      <c r="R4942" s="18" t="str">
        <f>"-0.10%"</f>
        <v>-0.10%</v>
      </c>
      <c r="S4942" s="14" t="s">
        <v>285</v>
      </c>
    </row>
    <row r="4943">
      <c r="A4943" s="13">
        <v>45901.0</v>
      </c>
      <c r="B4943" s="14" t="s">
        <v>47</v>
      </c>
      <c r="C4943" s="14" t="s">
        <v>48</v>
      </c>
      <c r="D4943" s="14" t="s">
        <v>192</v>
      </c>
      <c r="E4943" s="14" t="s">
        <v>193</v>
      </c>
      <c r="F4943" s="15" t="s">
        <v>51</v>
      </c>
      <c r="G4943" s="14" t="s">
        <v>194</v>
      </c>
      <c r="H4943" s="14" t="s">
        <v>192</v>
      </c>
      <c r="I4943" s="14" t="s">
        <v>54</v>
      </c>
      <c r="J4943" s="14" t="s">
        <v>200</v>
      </c>
      <c r="K4943" s="14" t="s">
        <v>231</v>
      </c>
      <c r="L4943" s="14" t="s">
        <v>751</v>
      </c>
      <c r="M4943" s="14" t="s">
        <v>2059</v>
      </c>
      <c r="N4943" s="14" t="s">
        <v>2060</v>
      </c>
      <c r="O4943" s="14">
        <v>0.0</v>
      </c>
      <c r="P4943" s="23">
        <v>0.0</v>
      </c>
      <c r="Q4943" s="22" t="str">
        <f t="shared" ref="Q4943:R4943" si="2954">"+0.00%"</f>
        <v>+0.00%</v>
      </c>
      <c r="R4943" s="18" t="str">
        <f t="shared" si="2954"/>
        <v>+0.00%</v>
      </c>
      <c r="S4943" s="14" t="s">
        <v>2061</v>
      </c>
    </row>
    <row r="4944">
      <c r="A4944" s="13">
        <v>45901.0</v>
      </c>
      <c r="B4944" s="14" t="s">
        <v>47</v>
      </c>
      <c r="C4944" s="14" t="s">
        <v>48</v>
      </c>
      <c r="D4944" s="14" t="s">
        <v>73</v>
      </c>
      <c r="E4944" s="14" t="s">
        <v>74</v>
      </c>
      <c r="F4944" s="15" t="s">
        <v>51</v>
      </c>
      <c r="G4944" s="14" t="s">
        <v>75</v>
      </c>
      <c r="H4944" s="14" t="s">
        <v>76</v>
      </c>
      <c r="I4944" s="14" t="s">
        <v>59</v>
      </c>
      <c r="J4944" s="14" t="s">
        <v>198</v>
      </c>
      <c r="K4944" s="14" t="s">
        <v>205</v>
      </c>
      <c r="L4944" s="14" t="s">
        <v>274</v>
      </c>
      <c r="M4944" s="14" t="s">
        <v>696</v>
      </c>
      <c r="N4944" s="14" t="s">
        <v>697</v>
      </c>
      <c r="O4944" s="14">
        <v>100.0</v>
      </c>
      <c r="P4944" s="21">
        <v>1.0</v>
      </c>
      <c r="Q4944" s="22" t="str">
        <f t="shared" ref="Q4944:Q4946" si="2955">"+0"</f>
        <v>+0</v>
      </c>
      <c r="S4944" s="14" t="s">
        <v>281</v>
      </c>
    </row>
    <row r="4945">
      <c r="A4945" s="13">
        <v>45901.0</v>
      </c>
      <c r="B4945" s="14" t="s">
        <v>47</v>
      </c>
      <c r="C4945" s="14" t="s">
        <v>48</v>
      </c>
      <c r="D4945" s="14" t="s">
        <v>174</v>
      </c>
      <c r="E4945" s="14" t="s">
        <v>175</v>
      </c>
      <c r="F4945" s="15" t="s">
        <v>51</v>
      </c>
      <c r="G4945" s="14" t="s">
        <v>176</v>
      </c>
      <c r="H4945" s="14" t="s">
        <v>174</v>
      </c>
      <c r="I4945" s="14" t="s">
        <v>59</v>
      </c>
      <c r="J4945" s="14" t="s">
        <v>199</v>
      </c>
      <c r="K4945" s="14" t="s">
        <v>203</v>
      </c>
      <c r="L4945" s="14" t="s">
        <v>431</v>
      </c>
      <c r="M4945" s="14" t="s">
        <v>431</v>
      </c>
      <c r="N4945" s="14" t="s">
        <v>432</v>
      </c>
      <c r="O4945" s="14">
        <v>0.0</v>
      </c>
      <c r="P4945" s="21">
        <v>0.0</v>
      </c>
      <c r="Q4945" s="22" t="str">
        <f t="shared" si="2955"/>
        <v>+0</v>
      </c>
      <c r="R4945" s="18" t="str">
        <f t="shared" ref="R4945:R4946" si="2956">"+0"</f>
        <v>+0</v>
      </c>
      <c r="S4945" s="14" t="s">
        <v>260</v>
      </c>
    </row>
    <row r="4946">
      <c r="A4946" s="13">
        <v>45901.0</v>
      </c>
      <c r="B4946" s="14" t="s">
        <v>47</v>
      </c>
      <c r="C4946" s="14" t="s">
        <v>48</v>
      </c>
      <c r="D4946" s="14" t="s">
        <v>91</v>
      </c>
      <c r="E4946" s="14" t="s">
        <v>92</v>
      </c>
      <c r="F4946" s="15" t="s">
        <v>51</v>
      </c>
      <c r="G4946" s="14" t="s">
        <v>163</v>
      </c>
      <c r="H4946" s="14" t="s">
        <v>91</v>
      </c>
      <c r="I4946" s="14" t="s">
        <v>59</v>
      </c>
      <c r="J4946" s="14" t="s">
        <v>200</v>
      </c>
      <c r="K4946" s="14" t="s">
        <v>223</v>
      </c>
      <c r="L4946" s="14" t="s">
        <v>359</v>
      </c>
      <c r="M4946" s="14" t="s">
        <v>519</v>
      </c>
      <c r="N4946" s="14" t="s">
        <v>520</v>
      </c>
      <c r="O4946" s="14">
        <v>100.0</v>
      </c>
      <c r="P4946" s="21">
        <v>1.0</v>
      </c>
      <c r="Q4946" s="22" t="str">
        <f t="shared" si="2955"/>
        <v>+0</v>
      </c>
      <c r="R4946" s="18" t="str">
        <f t="shared" si="2956"/>
        <v>+0</v>
      </c>
      <c r="S4946" s="14" t="s">
        <v>260</v>
      </c>
    </row>
    <row r="4947">
      <c r="A4947" s="13">
        <v>45901.0</v>
      </c>
      <c r="B4947" s="14" t="s">
        <v>47</v>
      </c>
      <c r="C4947" s="14" t="s">
        <v>48</v>
      </c>
      <c r="D4947" s="14" t="s">
        <v>91</v>
      </c>
      <c r="E4947" s="14" t="s">
        <v>92</v>
      </c>
      <c r="F4947" s="14" t="s">
        <v>79</v>
      </c>
      <c r="G4947" s="14" t="s">
        <v>164</v>
      </c>
      <c r="H4947" s="14" t="s">
        <v>91</v>
      </c>
      <c r="I4947" s="14" t="s">
        <v>154</v>
      </c>
      <c r="J4947" s="14" t="s">
        <v>200</v>
      </c>
      <c r="K4947" s="14" t="s">
        <v>237</v>
      </c>
      <c r="L4947" s="14" t="s">
        <v>253</v>
      </c>
      <c r="M4947" s="14" t="s">
        <v>1547</v>
      </c>
      <c r="N4947" s="14" t="s">
        <v>1548</v>
      </c>
      <c r="O4947" s="14">
        <v>0.0</v>
      </c>
      <c r="P4947" s="23">
        <v>0.0</v>
      </c>
      <c r="Q4947" s="22" t="str">
        <f t="shared" ref="Q4947:R4947" si="2957">"+0.00%"</f>
        <v>+0.00%</v>
      </c>
      <c r="R4947" s="18" t="str">
        <f t="shared" si="2957"/>
        <v>+0.00%</v>
      </c>
      <c r="S4947" s="14" t="s">
        <v>2393</v>
      </c>
    </row>
    <row r="4948">
      <c r="A4948" s="13">
        <v>45901.0</v>
      </c>
      <c r="B4948" s="14" t="s">
        <v>47</v>
      </c>
      <c r="C4948" s="14" t="s">
        <v>48</v>
      </c>
      <c r="D4948" s="14" t="s">
        <v>66</v>
      </c>
      <c r="E4948" s="14" t="s">
        <v>67</v>
      </c>
      <c r="F4948" s="15" t="s">
        <v>51</v>
      </c>
      <c r="G4948" s="14" t="s">
        <v>68</v>
      </c>
      <c r="H4948" s="14" t="s">
        <v>66</v>
      </c>
      <c r="I4948" s="14" t="s">
        <v>59</v>
      </c>
      <c r="J4948" s="14" t="s">
        <v>199</v>
      </c>
      <c r="K4948" s="14" t="s">
        <v>203</v>
      </c>
      <c r="L4948" s="14" t="s">
        <v>431</v>
      </c>
      <c r="M4948" s="14" t="s">
        <v>431</v>
      </c>
      <c r="N4948" s="14" t="s">
        <v>432</v>
      </c>
      <c r="O4948" s="14">
        <v>0.0</v>
      </c>
      <c r="P4948" s="21">
        <v>0.0</v>
      </c>
      <c r="Q4948" s="22" t="str">
        <f t="shared" ref="Q4948:R4948" si="2958">"+0"</f>
        <v>+0</v>
      </c>
      <c r="R4948" s="18" t="str">
        <f t="shared" si="2958"/>
        <v>+0</v>
      </c>
      <c r="S4948" s="14" t="s">
        <v>260</v>
      </c>
    </row>
    <row r="4949">
      <c r="A4949" s="13">
        <v>45901.0</v>
      </c>
      <c r="B4949" s="14" t="s">
        <v>47</v>
      </c>
      <c r="C4949" s="14" t="s">
        <v>48</v>
      </c>
      <c r="D4949" s="14" t="s">
        <v>93</v>
      </c>
      <c r="E4949" s="14" t="s">
        <v>94</v>
      </c>
      <c r="F4949" s="14" t="s">
        <v>71</v>
      </c>
      <c r="G4949" s="14">
        <v>5.36001438E8</v>
      </c>
      <c r="H4949" s="14" t="s">
        <v>95</v>
      </c>
      <c r="I4949" s="14" t="s">
        <v>59</v>
      </c>
      <c r="J4949" s="14" t="s">
        <v>199</v>
      </c>
      <c r="K4949" s="14" t="s">
        <v>206</v>
      </c>
      <c r="L4949" s="14" t="s">
        <v>515</v>
      </c>
      <c r="M4949" s="14" t="s">
        <v>515</v>
      </c>
      <c r="N4949" s="14" t="s">
        <v>516</v>
      </c>
      <c r="O4949" s="14">
        <v>0.0</v>
      </c>
      <c r="P4949" s="21">
        <v>0.0</v>
      </c>
      <c r="Q4949" s="22" t="str">
        <f t="shared" ref="Q4949:R4949" si="2959">"+0"</f>
        <v>+0</v>
      </c>
      <c r="R4949" s="18" t="str">
        <f t="shared" si="2959"/>
        <v>+0</v>
      </c>
      <c r="S4949" s="14" t="s">
        <v>383</v>
      </c>
    </row>
    <row r="4950">
      <c r="A4950" s="13">
        <v>45901.0</v>
      </c>
      <c r="B4950" s="14" t="s">
        <v>47</v>
      </c>
      <c r="C4950" s="14" t="s">
        <v>48</v>
      </c>
      <c r="D4950" s="14" t="s">
        <v>192</v>
      </c>
      <c r="E4950" s="14" t="s">
        <v>193</v>
      </c>
      <c r="F4950" s="15" t="s">
        <v>51</v>
      </c>
      <c r="G4950" s="14" t="s">
        <v>194</v>
      </c>
      <c r="H4950" s="14" t="s">
        <v>192</v>
      </c>
      <c r="I4950" s="14" t="s">
        <v>54</v>
      </c>
      <c r="J4950" s="14" t="s">
        <v>200</v>
      </c>
      <c r="K4950" s="14" t="s">
        <v>223</v>
      </c>
      <c r="L4950" s="14" t="s">
        <v>607</v>
      </c>
      <c r="M4950" s="14" t="s">
        <v>1204</v>
      </c>
      <c r="N4950" s="14" t="s">
        <v>1205</v>
      </c>
      <c r="O4950" s="14">
        <v>0.0</v>
      </c>
      <c r="P4950" s="21">
        <v>0.0</v>
      </c>
      <c r="Q4950" s="22" t="str">
        <f t="shared" ref="Q4950:R4950" si="2960">"+0"</f>
        <v>+0</v>
      </c>
      <c r="R4950" s="18" t="str">
        <f t="shared" si="2960"/>
        <v>+0</v>
      </c>
      <c r="S4950" s="14" t="s">
        <v>260</v>
      </c>
    </row>
    <row r="4951">
      <c r="A4951" s="13">
        <v>45901.0</v>
      </c>
      <c r="B4951" s="14" t="s">
        <v>47</v>
      </c>
      <c r="C4951" s="14" t="s">
        <v>48</v>
      </c>
      <c r="D4951" s="14" t="s">
        <v>66</v>
      </c>
      <c r="E4951" s="14" t="s">
        <v>67</v>
      </c>
      <c r="F4951" s="15" t="s">
        <v>51</v>
      </c>
      <c r="G4951" s="14" t="s">
        <v>68</v>
      </c>
      <c r="H4951" s="14" t="s">
        <v>66</v>
      </c>
      <c r="I4951" s="14" t="s">
        <v>59</v>
      </c>
      <c r="J4951" s="14" t="s">
        <v>200</v>
      </c>
      <c r="K4951" s="14" t="s">
        <v>227</v>
      </c>
      <c r="L4951" s="14" t="s">
        <v>328</v>
      </c>
      <c r="M4951" s="14" t="s">
        <v>329</v>
      </c>
      <c r="N4951" s="14" t="s">
        <v>330</v>
      </c>
      <c r="O4951" s="14">
        <v>0.0</v>
      </c>
      <c r="P4951" s="21">
        <v>0.0</v>
      </c>
      <c r="Q4951" s="22" t="str">
        <f t="shared" ref="Q4951:R4951" si="2961">"+0"</f>
        <v>+0</v>
      </c>
      <c r="R4951" s="18" t="str">
        <f t="shared" si="2961"/>
        <v>+0</v>
      </c>
      <c r="S4951" s="14" t="s">
        <v>260</v>
      </c>
    </row>
    <row r="4952">
      <c r="A4952" s="13">
        <v>45901.0</v>
      </c>
      <c r="B4952" s="14" t="s">
        <v>47</v>
      </c>
      <c r="C4952" s="14" t="s">
        <v>48</v>
      </c>
      <c r="D4952" s="14" t="s">
        <v>66</v>
      </c>
      <c r="E4952" s="14" t="s">
        <v>67</v>
      </c>
      <c r="F4952" s="15" t="s">
        <v>51</v>
      </c>
      <c r="G4952" s="14" t="s">
        <v>68</v>
      </c>
      <c r="H4952" s="14" t="s">
        <v>66</v>
      </c>
      <c r="I4952" s="14" t="s">
        <v>59</v>
      </c>
      <c r="J4952" s="14" t="s">
        <v>200</v>
      </c>
      <c r="K4952" s="14" t="s">
        <v>223</v>
      </c>
      <c r="L4952" s="14" t="s">
        <v>257</v>
      </c>
      <c r="M4952" s="14" t="s">
        <v>517</v>
      </c>
      <c r="N4952" s="14" t="s">
        <v>518</v>
      </c>
      <c r="O4952" s="14">
        <v>100.0</v>
      </c>
      <c r="P4952" s="21">
        <v>80.0</v>
      </c>
      <c r="Q4952" s="22" t="str">
        <f t="shared" ref="Q4952:R4952" si="2962">"+0"</f>
        <v>+0</v>
      </c>
      <c r="R4952" s="18" t="str">
        <f t="shared" si="2962"/>
        <v>+0</v>
      </c>
      <c r="S4952" s="14" t="s">
        <v>260</v>
      </c>
    </row>
    <row r="4953">
      <c r="A4953" s="13">
        <v>45901.0</v>
      </c>
      <c r="B4953" s="14" t="s">
        <v>47</v>
      </c>
      <c r="C4953" s="14" t="s">
        <v>48</v>
      </c>
      <c r="D4953" s="14" t="s">
        <v>192</v>
      </c>
      <c r="E4953" s="14" t="s">
        <v>193</v>
      </c>
      <c r="F4953" s="15" t="s">
        <v>51</v>
      </c>
      <c r="G4953" s="14" t="s">
        <v>194</v>
      </c>
      <c r="H4953" s="14" t="s">
        <v>192</v>
      </c>
      <c r="I4953" s="14" t="s">
        <v>54</v>
      </c>
      <c r="J4953" s="14" t="s">
        <v>200</v>
      </c>
      <c r="K4953" s="14" t="s">
        <v>223</v>
      </c>
      <c r="L4953" s="14" t="s">
        <v>607</v>
      </c>
      <c r="M4953" s="14" t="s">
        <v>765</v>
      </c>
      <c r="N4953" s="14" t="s">
        <v>766</v>
      </c>
      <c r="O4953" s="14">
        <v>100.0</v>
      </c>
      <c r="P4953" s="21">
        <v>82.0</v>
      </c>
      <c r="Q4953" s="22" t="str">
        <f>"+0"</f>
        <v>+0</v>
      </c>
      <c r="R4953" s="18" t="str">
        <f>"+10"</f>
        <v>+10</v>
      </c>
      <c r="S4953" s="14" t="s">
        <v>260</v>
      </c>
    </row>
    <row r="4954">
      <c r="A4954" s="13">
        <v>45901.0</v>
      </c>
      <c r="B4954" s="14" t="s">
        <v>47</v>
      </c>
      <c r="C4954" s="14" t="s">
        <v>48</v>
      </c>
      <c r="D4954" s="14" t="s">
        <v>66</v>
      </c>
      <c r="E4954" s="14" t="s">
        <v>67</v>
      </c>
      <c r="F4954" s="15" t="s">
        <v>51</v>
      </c>
      <c r="G4954" s="14" t="s">
        <v>68</v>
      </c>
      <c r="H4954" s="14" t="s">
        <v>66</v>
      </c>
      <c r="I4954" s="14" t="s">
        <v>59</v>
      </c>
      <c r="J4954" s="14" t="s">
        <v>200</v>
      </c>
      <c r="K4954" s="14" t="s">
        <v>223</v>
      </c>
      <c r="L4954" s="14" t="s">
        <v>487</v>
      </c>
      <c r="M4954" s="14" t="s">
        <v>1075</v>
      </c>
      <c r="N4954" s="14" t="s">
        <v>1076</v>
      </c>
      <c r="O4954" s="14">
        <v>0.0</v>
      </c>
      <c r="P4954" s="23">
        <v>0.0</v>
      </c>
      <c r="Q4954" s="22" t="str">
        <f t="shared" ref="Q4954:R4954" si="2963">"+0.00%"</f>
        <v>+0.00%</v>
      </c>
      <c r="R4954" s="18" t="str">
        <f t="shared" si="2963"/>
        <v>+0.00%</v>
      </c>
      <c r="S4954" s="14" t="s">
        <v>285</v>
      </c>
    </row>
    <row r="4955">
      <c r="A4955" s="13">
        <v>45901.0</v>
      </c>
      <c r="B4955" s="14" t="s">
        <v>47</v>
      </c>
      <c r="C4955" s="14" t="s">
        <v>48</v>
      </c>
      <c r="D4955" s="14" t="s">
        <v>93</v>
      </c>
      <c r="E4955" s="14" t="s">
        <v>94</v>
      </c>
      <c r="F4955" s="15" t="s">
        <v>51</v>
      </c>
      <c r="G4955" s="14" t="s">
        <v>191</v>
      </c>
      <c r="H4955" s="14" t="s">
        <v>95</v>
      </c>
      <c r="I4955" s="14" t="s">
        <v>59</v>
      </c>
      <c r="J4955" s="14" t="s">
        <v>200</v>
      </c>
      <c r="K4955" s="14" t="s">
        <v>215</v>
      </c>
      <c r="L4955" s="14" t="s">
        <v>253</v>
      </c>
      <c r="M4955" s="14" t="s">
        <v>1972</v>
      </c>
      <c r="N4955" s="14" t="s">
        <v>1973</v>
      </c>
      <c r="O4955" s="14">
        <v>6.0</v>
      </c>
      <c r="P4955" s="23">
        <v>0.0646</v>
      </c>
      <c r="Q4955" s="22" t="str">
        <f>"-1.13%"</f>
        <v>-1.13%</v>
      </c>
      <c r="R4955" s="18" t="str">
        <f>"-0.48%"</f>
        <v>-0.48%</v>
      </c>
      <c r="S4955" s="14" t="s">
        <v>1746</v>
      </c>
    </row>
    <row r="4956">
      <c r="A4956" s="13">
        <v>45901.0</v>
      </c>
      <c r="B4956" s="14" t="s">
        <v>47</v>
      </c>
      <c r="C4956" s="14" t="s">
        <v>48</v>
      </c>
      <c r="D4956" s="14" t="s">
        <v>132</v>
      </c>
      <c r="E4956" s="14" t="s">
        <v>133</v>
      </c>
      <c r="F4956" s="15" t="s">
        <v>51</v>
      </c>
      <c r="G4956" s="14" t="s">
        <v>134</v>
      </c>
      <c r="H4956" s="14" t="s">
        <v>135</v>
      </c>
      <c r="I4956" s="14" t="s">
        <v>59</v>
      </c>
      <c r="J4956" s="14" t="s">
        <v>199</v>
      </c>
      <c r="K4956" s="14" t="s">
        <v>203</v>
      </c>
      <c r="L4956" s="14" t="s">
        <v>601</v>
      </c>
      <c r="M4956" s="14" t="s">
        <v>601</v>
      </c>
      <c r="N4956" s="14" t="s">
        <v>602</v>
      </c>
      <c r="O4956" s="14">
        <v>0.0</v>
      </c>
      <c r="P4956" s="21">
        <v>0.0</v>
      </c>
      <c r="Q4956" s="22" t="str">
        <f t="shared" ref="Q4956:R4956" si="2964">"+0"</f>
        <v>+0</v>
      </c>
      <c r="R4956" s="18" t="str">
        <f t="shared" si="2964"/>
        <v>+0</v>
      </c>
      <c r="S4956" s="14" t="s">
        <v>260</v>
      </c>
    </row>
    <row r="4957">
      <c r="A4957" s="13">
        <v>45901.0</v>
      </c>
      <c r="B4957" s="14" t="s">
        <v>47</v>
      </c>
      <c r="C4957" s="14" t="s">
        <v>48</v>
      </c>
      <c r="D4957" s="14" t="s">
        <v>73</v>
      </c>
      <c r="E4957" s="14" t="s">
        <v>74</v>
      </c>
      <c r="F4957" s="15" t="s">
        <v>51</v>
      </c>
      <c r="G4957" s="14" t="s">
        <v>75</v>
      </c>
      <c r="H4957" s="14" t="s">
        <v>76</v>
      </c>
      <c r="I4957" s="14" t="s">
        <v>59</v>
      </c>
      <c r="J4957" s="14" t="s">
        <v>200</v>
      </c>
      <c r="K4957" s="14" t="s">
        <v>232</v>
      </c>
      <c r="L4957" s="14" t="s">
        <v>422</v>
      </c>
      <c r="M4957" s="14" t="s">
        <v>423</v>
      </c>
      <c r="N4957" s="14" t="s">
        <v>424</v>
      </c>
      <c r="O4957" s="14">
        <v>100.0</v>
      </c>
      <c r="P4957" s="21">
        <v>1.0</v>
      </c>
      <c r="Q4957" s="22" t="str">
        <f t="shared" ref="Q4957:R4957" si="2965">"+0"</f>
        <v>+0</v>
      </c>
      <c r="R4957" s="18" t="str">
        <f t="shared" si="2965"/>
        <v>+0</v>
      </c>
      <c r="S4957" s="14" t="s">
        <v>260</v>
      </c>
    </row>
    <row r="4958">
      <c r="A4958" s="13">
        <v>45901.0</v>
      </c>
      <c r="B4958" s="14" t="s">
        <v>47</v>
      </c>
      <c r="C4958" s="14" t="s">
        <v>48</v>
      </c>
      <c r="D4958" s="14" t="s">
        <v>132</v>
      </c>
      <c r="E4958" s="14" t="s">
        <v>133</v>
      </c>
      <c r="F4958" s="15" t="s">
        <v>51</v>
      </c>
      <c r="G4958" s="14" t="s">
        <v>134</v>
      </c>
      <c r="H4958" s="14" t="s">
        <v>135</v>
      </c>
      <c r="I4958" s="14" t="s">
        <v>59</v>
      </c>
      <c r="J4958" s="14" t="s">
        <v>200</v>
      </c>
      <c r="K4958" s="14" t="s">
        <v>227</v>
      </c>
      <c r="L4958" s="14" t="s">
        <v>253</v>
      </c>
      <c r="M4958" s="14" t="s">
        <v>849</v>
      </c>
      <c r="N4958" s="14" t="s">
        <v>850</v>
      </c>
      <c r="O4958" s="14">
        <v>0.0</v>
      </c>
      <c r="P4958" s="23">
        <v>0.0</v>
      </c>
      <c r="Q4958" s="22" t="str">
        <f t="shared" ref="Q4958:R4958" si="2966">"+0.00%"</f>
        <v>+0.00%</v>
      </c>
      <c r="R4958" s="18" t="str">
        <f t="shared" si="2966"/>
        <v>+0.00%</v>
      </c>
      <c r="S4958" s="14" t="s">
        <v>851</v>
      </c>
    </row>
    <row r="4959">
      <c r="A4959" s="13">
        <v>45901.0</v>
      </c>
      <c r="B4959" s="14" t="s">
        <v>47</v>
      </c>
      <c r="C4959" s="14" t="s">
        <v>48</v>
      </c>
      <c r="D4959" s="14" t="s">
        <v>143</v>
      </c>
      <c r="E4959" s="14" t="s">
        <v>144</v>
      </c>
      <c r="F4959" s="15" t="s">
        <v>51</v>
      </c>
      <c r="G4959" s="14" t="s">
        <v>145</v>
      </c>
      <c r="H4959" s="14" t="s">
        <v>143</v>
      </c>
      <c r="I4959" s="14" t="s">
        <v>59</v>
      </c>
      <c r="J4959" s="14" t="s">
        <v>200</v>
      </c>
      <c r="K4959" s="14" t="s">
        <v>232</v>
      </c>
      <c r="L4959" s="14" t="s">
        <v>487</v>
      </c>
      <c r="M4959" s="14" t="s">
        <v>1415</v>
      </c>
      <c r="N4959" s="14" t="s">
        <v>1416</v>
      </c>
      <c r="O4959" s="14">
        <v>100.0</v>
      </c>
      <c r="P4959" s="21">
        <v>665.0</v>
      </c>
      <c r="Q4959" s="22" t="str">
        <f>"+4"</f>
        <v>+4</v>
      </c>
      <c r="R4959" s="18" t="str">
        <f>"+23"</f>
        <v>+23</v>
      </c>
      <c r="S4959" s="14" t="s">
        <v>260</v>
      </c>
    </row>
    <row r="4960">
      <c r="A4960" s="13">
        <v>45901.0</v>
      </c>
      <c r="B4960" s="14" t="s">
        <v>47</v>
      </c>
      <c r="C4960" s="14" t="s">
        <v>48</v>
      </c>
      <c r="D4960" s="14" t="s">
        <v>73</v>
      </c>
      <c r="E4960" s="14" t="s">
        <v>74</v>
      </c>
      <c r="F4960" s="15" t="s">
        <v>51</v>
      </c>
      <c r="G4960" s="14" t="s">
        <v>75</v>
      </c>
      <c r="H4960" s="14" t="s">
        <v>76</v>
      </c>
      <c r="I4960" s="14" t="s">
        <v>59</v>
      </c>
      <c r="J4960" s="14" t="s">
        <v>200</v>
      </c>
      <c r="K4960" s="14" t="s">
        <v>232</v>
      </c>
      <c r="L4960" s="14" t="s">
        <v>883</v>
      </c>
      <c r="M4960" s="14" t="s">
        <v>884</v>
      </c>
      <c r="N4960" s="14" t="s">
        <v>885</v>
      </c>
      <c r="O4960" s="14">
        <v>0.0</v>
      </c>
      <c r="P4960" s="23">
        <v>0.0</v>
      </c>
      <c r="Q4960" s="22" t="str">
        <f t="shared" ref="Q4960:R4960" si="2967">"+0.00%"</f>
        <v>+0.00%</v>
      </c>
      <c r="R4960" s="18" t="str">
        <f t="shared" si="2967"/>
        <v>+0.00%</v>
      </c>
      <c r="S4960" s="14" t="s">
        <v>285</v>
      </c>
    </row>
    <row r="4961">
      <c r="A4961" s="13">
        <v>45901.0</v>
      </c>
      <c r="B4961" s="14" t="s">
        <v>47</v>
      </c>
      <c r="C4961" s="14" t="s">
        <v>48</v>
      </c>
      <c r="D4961" s="14" t="s">
        <v>129</v>
      </c>
      <c r="E4961" s="14" t="s">
        <v>130</v>
      </c>
      <c r="F4961" s="15" t="s">
        <v>51</v>
      </c>
      <c r="G4961" s="14" t="s">
        <v>131</v>
      </c>
      <c r="H4961" s="14" t="s">
        <v>129</v>
      </c>
      <c r="I4961" s="14" t="s">
        <v>59</v>
      </c>
      <c r="J4961" s="14" t="s">
        <v>200</v>
      </c>
      <c r="K4961" s="14" t="s">
        <v>231</v>
      </c>
      <c r="L4961" s="14" t="s">
        <v>751</v>
      </c>
      <c r="M4961" s="14" t="s">
        <v>1527</v>
      </c>
      <c r="N4961" s="14" t="s">
        <v>1528</v>
      </c>
      <c r="O4961" s="14">
        <v>9.0</v>
      </c>
      <c r="P4961" s="23">
        <v>0.0933</v>
      </c>
      <c r="Q4961" s="22" t="str">
        <f>"-0.82%"</f>
        <v>-0.82%</v>
      </c>
      <c r="R4961" s="18" t="str">
        <f>"+0.65%"</f>
        <v>+0.65%</v>
      </c>
      <c r="S4961" s="14" t="s">
        <v>2394</v>
      </c>
    </row>
    <row r="4962">
      <c r="A4962" s="13">
        <v>45901.0</v>
      </c>
      <c r="B4962" s="14" t="s">
        <v>47</v>
      </c>
      <c r="C4962" s="14" t="s">
        <v>48</v>
      </c>
      <c r="D4962" s="14" t="s">
        <v>87</v>
      </c>
      <c r="E4962" s="14" t="s">
        <v>88</v>
      </c>
      <c r="F4962" s="15" t="s">
        <v>51</v>
      </c>
      <c r="G4962" s="14" t="s">
        <v>89</v>
      </c>
      <c r="H4962" s="14" t="s">
        <v>90</v>
      </c>
      <c r="I4962" s="14" t="s">
        <v>59</v>
      </c>
      <c r="J4962" s="14" t="s">
        <v>200</v>
      </c>
      <c r="K4962" s="14" t="s">
        <v>223</v>
      </c>
      <c r="L4962" s="14" t="s">
        <v>304</v>
      </c>
      <c r="M4962" s="14" t="s">
        <v>1012</v>
      </c>
      <c r="N4962" s="14" t="s">
        <v>1013</v>
      </c>
      <c r="O4962" s="14">
        <v>100.0</v>
      </c>
      <c r="P4962" s="23">
        <v>0.0604</v>
      </c>
      <c r="Q4962" s="22" t="str">
        <f>"+1.18%"</f>
        <v>+1.18%</v>
      </c>
      <c r="R4962" s="18" t="str">
        <f>"-0.39%"</f>
        <v>-0.39%</v>
      </c>
      <c r="S4962" s="14" t="s">
        <v>285</v>
      </c>
    </row>
    <row r="4963">
      <c r="A4963" s="13">
        <v>45901.0</v>
      </c>
      <c r="B4963" s="14" t="s">
        <v>47</v>
      </c>
      <c r="C4963" s="14" t="s">
        <v>48</v>
      </c>
      <c r="D4963" s="14" t="s">
        <v>149</v>
      </c>
      <c r="E4963" s="14" t="s">
        <v>150</v>
      </c>
      <c r="F4963" s="15" t="s">
        <v>51</v>
      </c>
      <c r="G4963" s="14" t="s">
        <v>151</v>
      </c>
      <c r="H4963" s="14" t="s">
        <v>152</v>
      </c>
      <c r="I4963" s="14" t="s">
        <v>54</v>
      </c>
      <c r="J4963" s="14" t="s">
        <v>200</v>
      </c>
      <c r="K4963" s="14" t="s">
        <v>224</v>
      </c>
      <c r="L4963" s="14" t="s">
        <v>392</v>
      </c>
      <c r="M4963" s="14" t="s">
        <v>826</v>
      </c>
      <c r="N4963" s="14" t="s">
        <v>827</v>
      </c>
      <c r="O4963" s="14">
        <v>0.0</v>
      </c>
      <c r="P4963" s="23">
        <v>0.0</v>
      </c>
      <c r="Q4963" s="22" t="str">
        <f t="shared" ref="Q4963:R4963" si="2968">"+0.00%"</f>
        <v>+0.00%</v>
      </c>
      <c r="R4963" s="18" t="str">
        <f t="shared" si="2968"/>
        <v>+0.00%</v>
      </c>
      <c r="S4963" s="14" t="s">
        <v>2395</v>
      </c>
    </row>
    <row r="4964">
      <c r="A4964" s="13">
        <v>45901.0</v>
      </c>
      <c r="B4964" s="14" t="s">
        <v>47</v>
      </c>
      <c r="C4964" s="14" t="s">
        <v>48</v>
      </c>
      <c r="D4964" s="14" t="s">
        <v>87</v>
      </c>
      <c r="E4964" s="14" t="s">
        <v>88</v>
      </c>
      <c r="F4964" s="15" t="s">
        <v>51</v>
      </c>
      <c r="G4964" s="14" t="s">
        <v>89</v>
      </c>
      <c r="H4964" s="14" t="s">
        <v>90</v>
      </c>
      <c r="I4964" s="14" t="s">
        <v>59</v>
      </c>
      <c r="J4964" s="14" t="s">
        <v>200</v>
      </c>
      <c r="K4964" s="14" t="s">
        <v>223</v>
      </c>
      <c r="L4964" s="14" t="s">
        <v>487</v>
      </c>
      <c r="M4964" s="14" t="s">
        <v>1075</v>
      </c>
      <c r="N4964" s="14" t="s">
        <v>1076</v>
      </c>
      <c r="O4964" s="14">
        <v>100.0</v>
      </c>
      <c r="P4964" s="23">
        <v>0.4835</v>
      </c>
      <c r="Q4964" s="22" t="str">
        <f>"+0.78%"</f>
        <v>+0.78%</v>
      </c>
      <c r="R4964" s="18" t="str">
        <f>"+1.57%"</f>
        <v>+1.57%</v>
      </c>
      <c r="S4964" s="14" t="s">
        <v>285</v>
      </c>
    </row>
    <row r="4965">
      <c r="A4965" s="13">
        <v>45901.0</v>
      </c>
      <c r="B4965" s="14" t="s">
        <v>47</v>
      </c>
      <c r="C4965" s="14" t="s">
        <v>48</v>
      </c>
      <c r="D4965" s="14" t="s">
        <v>149</v>
      </c>
      <c r="E4965" s="14" t="s">
        <v>150</v>
      </c>
      <c r="F4965" s="15" t="s">
        <v>51</v>
      </c>
      <c r="G4965" s="14" t="s">
        <v>151</v>
      </c>
      <c r="H4965" s="14" t="s">
        <v>152</v>
      </c>
      <c r="I4965" s="14" t="s">
        <v>54</v>
      </c>
      <c r="J4965" s="14" t="s">
        <v>200</v>
      </c>
      <c r="K4965" s="14" t="s">
        <v>223</v>
      </c>
      <c r="L4965" s="14" t="s">
        <v>253</v>
      </c>
      <c r="M4965" s="14" t="s">
        <v>366</v>
      </c>
      <c r="N4965" s="14" t="s">
        <v>367</v>
      </c>
      <c r="O4965" s="14">
        <v>88.0</v>
      </c>
      <c r="P4965" s="23">
        <v>0.8864</v>
      </c>
      <c r="Q4965" s="22" t="str">
        <f>"+2.07%"</f>
        <v>+2.07%</v>
      </c>
      <c r="R4965" s="18" t="str">
        <f>"+0.37%"</f>
        <v>+0.37%</v>
      </c>
      <c r="S4965" s="14" t="s">
        <v>2396</v>
      </c>
    </row>
    <row r="4966">
      <c r="A4966" s="13">
        <v>45901.0</v>
      </c>
      <c r="B4966" s="14" t="s">
        <v>47</v>
      </c>
      <c r="C4966" s="14" t="s">
        <v>48</v>
      </c>
      <c r="D4966" s="14" t="s">
        <v>69</v>
      </c>
      <c r="E4966" s="14" t="s">
        <v>70</v>
      </c>
      <c r="F4966" s="15" t="s">
        <v>51</v>
      </c>
      <c r="G4966" s="14" t="s">
        <v>115</v>
      </c>
      <c r="H4966" s="14" t="s">
        <v>72</v>
      </c>
      <c r="I4966" s="14" t="s">
        <v>54</v>
      </c>
      <c r="J4966" s="14" t="s">
        <v>200</v>
      </c>
      <c r="K4966" s="14" t="s">
        <v>245</v>
      </c>
      <c r="L4966" s="14" t="s">
        <v>253</v>
      </c>
      <c r="M4966" s="14" t="s">
        <v>583</v>
      </c>
      <c r="N4966" s="14" t="s">
        <v>367</v>
      </c>
      <c r="O4966" s="14">
        <v>43.0</v>
      </c>
      <c r="P4966" s="23">
        <v>0.43</v>
      </c>
      <c r="Q4966" s="22" t="str">
        <f>"+18.00%"</f>
        <v>+18.00%</v>
      </c>
      <c r="R4966" s="18" t="str">
        <f>"+41.00%"</f>
        <v>+41.00%</v>
      </c>
      <c r="S4966" s="14" t="s">
        <v>584</v>
      </c>
    </row>
    <row r="4967">
      <c r="A4967" s="13">
        <v>45901.0</v>
      </c>
      <c r="B4967" s="14" t="s">
        <v>47</v>
      </c>
      <c r="C4967" s="14" t="s">
        <v>48</v>
      </c>
      <c r="D4967" s="14" t="s">
        <v>69</v>
      </c>
      <c r="E4967" s="14" t="s">
        <v>70</v>
      </c>
      <c r="F4967" s="15" t="s">
        <v>51</v>
      </c>
      <c r="G4967" s="14" t="s">
        <v>115</v>
      </c>
      <c r="H4967" s="14" t="s">
        <v>72</v>
      </c>
      <c r="I4967" s="14" t="s">
        <v>54</v>
      </c>
      <c r="J4967" s="14" t="s">
        <v>200</v>
      </c>
      <c r="K4967" s="14" t="s">
        <v>213</v>
      </c>
      <c r="L4967" s="14" t="s">
        <v>307</v>
      </c>
      <c r="M4967" s="14" t="s">
        <v>308</v>
      </c>
      <c r="N4967" s="14" t="s">
        <v>309</v>
      </c>
      <c r="O4967" s="14">
        <v>0.0</v>
      </c>
      <c r="P4967" s="23">
        <v>0.0</v>
      </c>
      <c r="Q4967" s="22" t="str">
        <f>"-0.02%"</f>
        <v>-0.02%</v>
      </c>
      <c r="R4967" s="18" t="str">
        <f>"+0.00%"</f>
        <v>+0.00%</v>
      </c>
      <c r="S4967" s="14" t="s">
        <v>285</v>
      </c>
    </row>
    <row r="4968">
      <c r="A4968" s="13">
        <v>45901.0</v>
      </c>
      <c r="B4968" s="14" t="s">
        <v>47</v>
      </c>
      <c r="C4968" s="14" t="s">
        <v>48</v>
      </c>
      <c r="D4968" s="14" t="s">
        <v>125</v>
      </c>
      <c r="E4968" s="14" t="s">
        <v>126</v>
      </c>
      <c r="F4968" s="15" t="s">
        <v>51</v>
      </c>
      <c r="G4968" s="14" t="s">
        <v>127</v>
      </c>
      <c r="H4968" s="14" t="s">
        <v>125</v>
      </c>
      <c r="I4968" s="14" t="s">
        <v>59</v>
      </c>
      <c r="J4968" s="14" t="s">
        <v>200</v>
      </c>
      <c r="K4968" s="14" t="s">
        <v>232</v>
      </c>
      <c r="L4968" s="14" t="s">
        <v>363</v>
      </c>
      <c r="M4968" s="14" t="s">
        <v>364</v>
      </c>
      <c r="N4968" s="14" t="s">
        <v>365</v>
      </c>
      <c r="O4968" s="14">
        <v>0.0</v>
      </c>
      <c r="P4968" s="23">
        <v>0.0</v>
      </c>
      <c r="Q4968" s="22" t="str">
        <f t="shared" ref="Q4968:R4968" si="2969">"+0.00%"</f>
        <v>+0.00%</v>
      </c>
      <c r="R4968" s="18" t="str">
        <f t="shared" si="2969"/>
        <v>+0.00%</v>
      </c>
      <c r="S4968" s="14" t="s">
        <v>285</v>
      </c>
    </row>
    <row r="4969">
      <c r="A4969" s="13">
        <v>45901.0</v>
      </c>
      <c r="B4969" s="14" t="s">
        <v>47</v>
      </c>
      <c r="C4969" s="14" t="s">
        <v>48</v>
      </c>
      <c r="D4969" s="14" t="s">
        <v>85</v>
      </c>
      <c r="E4969" s="14" t="s">
        <v>86</v>
      </c>
      <c r="F4969" s="14" t="s">
        <v>71</v>
      </c>
      <c r="G4969" s="14">
        <v>88285.0</v>
      </c>
      <c r="H4969" s="14" t="s">
        <v>85</v>
      </c>
      <c r="I4969" s="14" t="s">
        <v>59</v>
      </c>
      <c r="J4969" s="14" t="s">
        <v>199</v>
      </c>
      <c r="K4969" s="14" t="s">
        <v>203</v>
      </c>
      <c r="L4969" s="14" t="s">
        <v>342</v>
      </c>
      <c r="M4969" s="14" t="s">
        <v>342</v>
      </c>
      <c r="N4969" s="14" t="s">
        <v>343</v>
      </c>
      <c r="O4969" s="14">
        <v>0.0</v>
      </c>
      <c r="P4969" s="21">
        <v>0.0</v>
      </c>
      <c r="Q4969" s="22" t="str">
        <f t="shared" ref="Q4969:R4969" si="2970">"+0"</f>
        <v>+0</v>
      </c>
      <c r="R4969" s="18" t="str">
        <f t="shared" si="2970"/>
        <v>+0</v>
      </c>
      <c r="S4969" s="14" t="s">
        <v>260</v>
      </c>
    </row>
    <row r="4970">
      <c r="A4970" s="13">
        <v>45901.0</v>
      </c>
      <c r="B4970" s="14" t="s">
        <v>47</v>
      </c>
      <c r="C4970" s="14" t="s">
        <v>48</v>
      </c>
      <c r="D4970" s="14" t="s">
        <v>96</v>
      </c>
      <c r="E4970" s="14" t="s">
        <v>97</v>
      </c>
      <c r="F4970" s="15" t="s">
        <v>51</v>
      </c>
      <c r="G4970" s="14" t="s">
        <v>98</v>
      </c>
      <c r="H4970" s="14" t="s">
        <v>96</v>
      </c>
      <c r="I4970" s="14" t="s">
        <v>59</v>
      </c>
      <c r="J4970" s="14" t="s">
        <v>200</v>
      </c>
      <c r="K4970" s="14" t="s">
        <v>223</v>
      </c>
      <c r="L4970" s="14" t="s">
        <v>257</v>
      </c>
      <c r="M4970" s="14" t="s">
        <v>622</v>
      </c>
      <c r="N4970" s="14" t="s">
        <v>623</v>
      </c>
      <c r="O4970" s="14">
        <v>0.0</v>
      </c>
      <c r="P4970" s="23">
        <v>-1.0</v>
      </c>
      <c r="Q4970" s="22" t="str">
        <f t="shared" ref="Q4970:R4970" si="2971">"+0.00%"</f>
        <v>+0.00%</v>
      </c>
      <c r="R4970" s="18" t="str">
        <f t="shared" si="2971"/>
        <v>+0.00%</v>
      </c>
      <c r="S4970" s="14" t="s">
        <v>2397</v>
      </c>
    </row>
    <row r="4971">
      <c r="A4971" s="13">
        <v>45901.0</v>
      </c>
      <c r="B4971" s="14" t="s">
        <v>47</v>
      </c>
      <c r="C4971" s="14" t="s">
        <v>48</v>
      </c>
      <c r="D4971" s="14" t="s">
        <v>158</v>
      </c>
      <c r="E4971" s="14" t="s">
        <v>159</v>
      </c>
      <c r="F4971" s="15" t="s">
        <v>51</v>
      </c>
      <c r="G4971" s="14" t="s">
        <v>160</v>
      </c>
      <c r="H4971" s="14" t="s">
        <v>158</v>
      </c>
      <c r="I4971" s="14" t="s">
        <v>54</v>
      </c>
      <c r="J4971" s="14" t="s">
        <v>200</v>
      </c>
      <c r="K4971" s="14" t="s">
        <v>224</v>
      </c>
      <c r="L4971" s="14" t="s">
        <v>427</v>
      </c>
      <c r="M4971" s="14" t="s">
        <v>1575</v>
      </c>
      <c r="N4971" s="14" t="s">
        <v>1576</v>
      </c>
      <c r="O4971" s="14">
        <v>0.0</v>
      </c>
      <c r="P4971" s="17"/>
      <c r="Q4971" s="22"/>
      <c r="S4971" s="14" t="s">
        <v>2051</v>
      </c>
    </row>
    <row r="4972">
      <c r="A4972" s="13">
        <v>45901.0</v>
      </c>
      <c r="B4972" s="14" t="s">
        <v>47</v>
      </c>
      <c r="C4972" s="14" t="s">
        <v>48</v>
      </c>
      <c r="D4972" s="14" t="s">
        <v>116</v>
      </c>
      <c r="E4972" s="14" t="s">
        <v>117</v>
      </c>
      <c r="F4972" s="15" t="s">
        <v>51</v>
      </c>
      <c r="G4972" s="14" t="s">
        <v>161</v>
      </c>
      <c r="H4972" s="14" t="s">
        <v>116</v>
      </c>
      <c r="I4972" s="14" t="s">
        <v>54</v>
      </c>
      <c r="J4972" s="14" t="s">
        <v>200</v>
      </c>
      <c r="K4972" s="14" t="s">
        <v>219</v>
      </c>
      <c r="L4972" s="14" t="s">
        <v>253</v>
      </c>
      <c r="M4972" s="14" t="s">
        <v>1614</v>
      </c>
      <c r="N4972" s="14" t="s">
        <v>1615</v>
      </c>
      <c r="O4972" s="14">
        <v>100.0</v>
      </c>
      <c r="P4972" s="23">
        <v>0.8333</v>
      </c>
      <c r="Q4972" s="22" t="str">
        <f>"+3.33%"</f>
        <v>+3.33%</v>
      </c>
      <c r="R4972" s="18" t="str">
        <f>"+0.00%"</f>
        <v>+0.00%</v>
      </c>
      <c r="S4972" s="14" t="s">
        <v>285</v>
      </c>
    </row>
    <row r="4973">
      <c r="A4973" s="13">
        <v>45901.0</v>
      </c>
      <c r="B4973" s="14" t="s">
        <v>47</v>
      </c>
      <c r="C4973" s="14" t="s">
        <v>48</v>
      </c>
      <c r="D4973" s="14" t="s">
        <v>108</v>
      </c>
      <c r="E4973" s="14" t="s">
        <v>109</v>
      </c>
      <c r="F4973" s="15" t="s">
        <v>51</v>
      </c>
      <c r="G4973" s="14" t="s">
        <v>110</v>
      </c>
      <c r="H4973" s="14" t="s">
        <v>108</v>
      </c>
      <c r="I4973" s="14" t="s">
        <v>59</v>
      </c>
      <c r="J4973" s="14" t="s">
        <v>200</v>
      </c>
      <c r="K4973" s="14" t="s">
        <v>204</v>
      </c>
      <c r="L4973" s="14" t="s">
        <v>253</v>
      </c>
      <c r="M4973" s="14" t="s">
        <v>844</v>
      </c>
      <c r="N4973" s="14" t="s">
        <v>845</v>
      </c>
      <c r="O4973" s="14">
        <v>0.0</v>
      </c>
      <c r="P4973" s="17"/>
      <c r="Q4973" s="22"/>
      <c r="S4973" s="14" t="s">
        <v>846</v>
      </c>
    </row>
    <row r="4974">
      <c r="A4974" s="13">
        <v>45901.0</v>
      </c>
      <c r="B4974" s="14" t="s">
        <v>47</v>
      </c>
      <c r="C4974" s="14" t="s">
        <v>48</v>
      </c>
      <c r="D4974" s="14" t="s">
        <v>77</v>
      </c>
      <c r="E4974" s="14" t="s">
        <v>78</v>
      </c>
      <c r="F4974" s="14" t="s">
        <v>79</v>
      </c>
      <c r="G4974" s="14" t="s">
        <v>80</v>
      </c>
      <c r="H4974" s="14" t="s">
        <v>81</v>
      </c>
      <c r="J4974" s="14" t="s">
        <v>200</v>
      </c>
      <c r="K4974" s="14" t="s">
        <v>237</v>
      </c>
      <c r="L4974" s="14" t="s">
        <v>253</v>
      </c>
      <c r="M4974" s="14" t="s">
        <v>1547</v>
      </c>
      <c r="N4974" s="14" t="s">
        <v>1548</v>
      </c>
      <c r="O4974" s="14">
        <v>0.0</v>
      </c>
      <c r="P4974" s="23">
        <v>0.0</v>
      </c>
      <c r="Q4974" s="22" t="str">
        <f t="shared" ref="Q4974:R4974" si="2972">"+0.00%"</f>
        <v>+0.00%</v>
      </c>
      <c r="R4974" s="18" t="str">
        <f t="shared" si="2972"/>
        <v>+0.00%</v>
      </c>
      <c r="S4974" s="14" t="s">
        <v>2398</v>
      </c>
    </row>
    <row r="4975">
      <c r="A4975" s="13">
        <v>45901.0</v>
      </c>
      <c r="B4975" s="14" t="s">
        <v>47</v>
      </c>
      <c r="C4975" s="14" t="s">
        <v>48</v>
      </c>
      <c r="D4975" s="14" t="s">
        <v>112</v>
      </c>
      <c r="E4975" s="14" t="s">
        <v>113</v>
      </c>
      <c r="F4975" s="15" t="s">
        <v>51</v>
      </c>
      <c r="G4975" s="14" t="s">
        <v>114</v>
      </c>
      <c r="H4975" s="14" t="s">
        <v>112</v>
      </c>
      <c r="I4975" s="14" t="s">
        <v>59</v>
      </c>
      <c r="J4975" s="14" t="s">
        <v>198</v>
      </c>
      <c r="K4975" s="14" t="s">
        <v>205</v>
      </c>
      <c r="L4975" s="14" t="s">
        <v>274</v>
      </c>
      <c r="M4975" s="14" t="s">
        <v>696</v>
      </c>
      <c r="N4975" s="14" t="s">
        <v>697</v>
      </c>
      <c r="O4975" s="14">
        <v>100.0</v>
      </c>
      <c r="P4975" s="21">
        <v>1.0</v>
      </c>
      <c r="Q4975" s="22" t="str">
        <f>"+0"</f>
        <v>+0</v>
      </c>
      <c r="S4975" s="14" t="s">
        <v>281</v>
      </c>
    </row>
    <row r="4976">
      <c r="A4976" s="13">
        <v>45901.0</v>
      </c>
      <c r="B4976" s="14" t="s">
        <v>47</v>
      </c>
      <c r="C4976" s="14" t="s">
        <v>48</v>
      </c>
      <c r="D4976" s="14" t="s">
        <v>77</v>
      </c>
      <c r="E4976" s="14" t="s">
        <v>78</v>
      </c>
      <c r="F4976" s="15" t="s">
        <v>51</v>
      </c>
      <c r="G4976" s="14" t="s">
        <v>128</v>
      </c>
      <c r="H4976" s="14" t="s">
        <v>81</v>
      </c>
      <c r="I4976" s="14" t="s">
        <v>59</v>
      </c>
      <c r="J4976" s="14" t="s">
        <v>200</v>
      </c>
      <c r="K4976" s="14" t="s">
        <v>227</v>
      </c>
      <c r="L4976" s="14" t="s">
        <v>270</v>
      </c>
      <c r="M4976" s="14" t="s">
        <v>321</v>
      </c>
      <c r="N4976" s="14" t="s">
        <v>322</v>
      </c>
      <c r="O4976" s="14">
        <v>0.0</v>
      </c>
      <c r="P4976" s="23">
        <v>-1.0</v>
      </c>
      <c r="Q4976" s="22" t="str">
        <f t="shared" ref="Q4976:R4976" si="2973">"+0.00%"</f>
        <v>+0.00%</v>
      </c>
      <c r="R4976" s="18" t="str">
        <f t="shared" si="2973"/>
        <v>+0.00%</v>
      </c>
      <c r="S4976" s="14" t="s">
        <v>323</v>
      </c>
    </row>
    <row r="4977">
      <c r="A4977" s="13">
        <v>45901.0</v>
      </c>
      <c r="B4977" s="14" t="s">
        <v>47</v>
      </c>
      <c r="C4977" s="14" t="s">
        <v>48</v>
      </c>
      <c r="D4977" s="14" t="s">
        <v>116</v>
      </c>
      <c r="E4977" s="14" t="s">
        <v>117</v>
      </c>
      <c r="F4977" s="14" t="s">
        <v>111</v>
      </c>
      <c r="G4977" s="14">
        <v>5298600.0</v>
      </c>
      <c r="H4977" s="14" t="s">
        <v>116</v>
      </c>
      <c r="I4977" s="14" t="s">
        <v>59</v>
      </c>
      <c r="J4977" s="14" t="s">
        <v>200</v>
      </c>
      <c r="K4977" s="14" t="s">
        <v>221</v>
      </c>
      <c r="L4977" s="14" t="s">
        <v>253</v>
      </c>
      <c r="M4977" s="14" t="s">
        <v>2067</v>
      </c>
      <c r="N4977" s="14" t="s">
        <v>2068</v>
      </c>
      <c r="O4977" s="14">
        <v>0.0</v>
      </c>
      <c r="P4977" s="17"/>
      <c r="Q4977" s="22"/>
      <c r="S4977" s="14" t="s">
        <v>2307</v>
      </c>
    </row>
    <row r="4978">
      <c r="A4978" s="13">
        <v>45901.0</v>
      </c>
      <c r="B4978" s="14" t="s">
        <v>47</v>
      </c>
      <c r="C4978" s="14" t="s">
        <v>48</v>
      </c>
      <c r="D4978" s="14" t="s">
        <v>174</v>
      </c>
      <c r="E4978" s="14" t="s">
        <v>175</v>
      </c>
      <c r="F4978" s="15" t="s">
        <v>51</v>
      </c>
      <c r="G4978" s="14" t="s">
        <v>176</v>
      </c>
      <c r="H4978" s="14" t="s">
        <v>174</v>
      </c>
      <c r="I4978" s="14" t="s">
        <v>59</v>
      </c>
      <c r="J4978" s="14" t="s">
        <v>200</v>
      </c>
      <c r="K4978" s="14" t="s">
        <v>227</v>
      </c>
      <c r="L4978" s="14" t="s">
        <v>253</v>
      </c>
      <c r="M4978" s="14" t="s">
        <v>849</v>
      </c>
      <c r="N4978" s="14" t="s">
        <v>850</v>
      </c>
      <c r="O4978" s="14">
        <v>80.0</v>
      </c>
      <c r="P4978" s="23">
        <v>0.8</v>
      </c>
      <c r="Q4978" s="22" t="str">
        <f t="shared" ref="Q4978:R4978" si="2974">"+0.00%"</f>
        <v>+0.00%</v>
      </c>
      <c r="R4978" s="18" t="str">
        <f t="shared" si="2974"/>
        <v>+0.00%</v>
      </c>
      <c r="S4978" s="14" t="s">
        <v>851</v>
      </c>
    </row>
    <row r="4979">
      <c r="A4979" s="13">
        <v>45901.0</v>
      </c>
      <c r="B4979" s="14" t="s">
        <v>47</v>
      </c>
      <c r="C4979" s="14" t="s">
        <v>48</v>
      </c>
      <c r="D4979" s="14" t="s">
        <v>56</v>
      </c>
      <c r="E4979" s="14" t="s">
        <v>57</v>
      </c>
      <c r="F4979" s="15" t="s">
        <v>51</v>
      </c>
      <c r="G4979" s="14" t="s">
        <v>58</v>
      </c>
      <c r="H4979" s="14" t="s">
        <v>56</v>
      </c>
      <c r="I4979" s="14" t="s">
        <v>59</v>
      </c>
      <c r="J4979" s="14" t="s">
        <v>200</v>
      </c>
      <c r="K4979" s="14" t="s">
        <v>201</v>
      </c>
      <c r="L4979" s="14" t="s">
        <v>253</v>
      </c>
      <c r="M4979" s="14" t="s">
        <v>409</v>
      </c>
      <c r="N4979" s="14" t="s">
        <v>410</v>
      </c>
      <c r="O4979" s="14">
        <v>1.0</v>
      </c>
      <c r="P4979" s="23">
        <v>0.0</v>
      </c>
      <c r="Q4979" s="22" t="str">
        <f t="shared" ref="Q4979:R4979" si="2975">"+0.00%"</f>
        <v>+0.00%</v>
      </c>
      <c r="R4979" s="18" t="str">
        <f t="shared" si="2975"/>
        <v>+0.00%</v>
      </c>
      <c r="S4979" s="14" t="s">
        <v>411</v>
      </c>
    </row>
    <row r="4980">
      <c r="A4980" s="13">
        <v>45901.0</v>
      </c>
      <c r="B4980" s="14" t="s">
        <v>47</v>
      </c>
      <c r="C4980" s="14" t="s">
        <v>48</v>
      </c>
      <c r="D4980" s="14" t="s">
        <v>60</v>
      </c>
      <c r="E4980" s="14" t="s">
        <v>61</v>
      </c>
      <c r="F4980" s="15" t="s">
        <v>51</v>
      </c>
      <c r="G4980" s="14" t="s">
        <v>62</v>
      </c>
      <c r="H4980" s="14" t="s">
        <v>60</v>
      </c>
      <c r="I4980" s="14" t="s">
        <v>59</v>
      </c>
      <c r="J4980" s="14" t="s">
        <v>199</v>
      </c>
      <c r="K4980" s="14" t="s">
        <v>203</v>
      </c>
      <c r="L4980" s="14" t="s">
        <v>725</v>
      </c>
      <c r="M4980" s="14" t="s">
        <v>725</v>
      </c>
      <c r="N4980" s="14" t="s">
        <v>726</v>
      </c>
      <c r="O4980" s="14">
        <v>0.0</v>
      </c>
      <c r="P4980" s="21">
        <v>0.0</v>
      </c>
      <c r="Q4980" s="22" t="str">
        <f t="shared" ref="Q4980:R4980" si="2976">"+0"</f>
        <v>+0</v>
      </c>
      <c r="R4980" s="18" t="str">
        <f t="shared" si="2976"/>
        <v>+0</v>
      </c>
      <c r="S4980" s="14" t="s">
        <v>260</v>
      </c>
    </row>
    <row r="4981">
      <c r="A4981" s="13">
        <v>45901.0</v>
      </c>
      <c r="B4981" s="14" t="s">
        <v>47</v>
      </c>
      <c r="C4981" s="14" t="s">
        <v>48</v>
      </c>
      <c r="D4981" s="14" t="s">
        <v>181</v>
      </c>
      <c r="E4981" s="14" t="s">
        <v>182</v>
      </c>
      <c r="F4981" s="15" t="s">
        <v>51</v>
      </c>
      <c r="G4981" s="14" t="s">
        <v>183</v>
      </c>
      <c r="H4981" s="14" t="s">
        <v>181</v>
      </c>
      <c r="I4981" s="14" t="s">
        <v>59</v>
      </c>
      <c r="J4981" s="14" t="s">
        <v>200</v>
      </c>
      <c r="K4981" s="14" t="s">
        <v>232</v>
      </c>
      <c r="L4981" s="14" t="s">
        <v>261</v>
      </c>
      <c r="M4981" s="14" t="s">
        <v>814</v>
      </c>
      <c r="N4981" s="14" t="s">
        <v>815</v>
      </c>
      <c r="O4981" s="14">
        <v>7.0</v>
      </c>
      <c r="P4981" s="23">
        <v>-0.85</v>
      </c>
      <c r="Q4981" s="22" t="str">
        <f>"-100.07%"</f>
        <v>-100.07%</v>
      </c>
      <c r="R4981" s="18" t="str">
        <f>"-185.00%"</f>
        <v>-185.00%</v>
      </c>
      <c r="S4981" s="14" t="s">
        <v>2399</v>
      </c>
    </row>
    <row r="4982">
      <c r="A4982" s="13">
        <v>45901.0</v>
      </c>
      <c r="B4982" s="14" t="s">
        <v>47</v>
      </c>
      <c r="C4982" s="14" t="s">
        <v>48</v>
      </c>
      <c r="D4982" s="14" t="s">
        <v>181</v>
      </c>
      <c r="E4982" s="14" t="s">
        <v>182</v>
      </c>
      <c r="F4982" s="15" t="s">
        <v>51</v>
      </c>
      <c r="G4982" s="14" t="s">
        <v>183</v>
      </c>
      <c r="H4982" s="14" t="s">
        <v>181</v>
      </c>
      <c r="I4982" s="14" t="s">
        <v>59</v>
      </c>
      <c r="J4982" s="14" t="s">
        <v>200</v>
      </c>
      <c r="K4982" s="14" t="s">
        <v>232</v>
      </c>
      <c r="L4982" s="14" t="s">
        <v>710</v>
      </c>
      <c r="M4982" s="14" t="s">
        <v>1302</v>
      </c>
      <c r="N4982" s="14" t="s">
        <v>1303</v>
      </c>
      <c r="O4982" s="14">
        <v>0.0</v>
      </c>
      <c r="P4982" s="23">
        <v>0.0</v>
      </c>
      <c r="Q4982" s="22" t="str">
        <f t="shared" ref="Q4982:R4982" si="2977">"+0.00%"</f>
        <v>+0.00%</v>
      </c>
      <c r="R4982" s="18" t="str">
        <f t="shared" si="2977"/>
        <v>+0.00%</v>
      </c>
      <c r="S4982" s="14" t="s">
        <v>2400</v>
      </c>
    </row>
    <row r="4983">
      <c r="A4983" s="13">
        <v>45901.0</v>
      </c>
      <c r="B4983" s="14" t="s">
        <v>47</v>
      </c>
      <c r="C4983" s="14" t="s">
        <v>48</v>
      </c>
      <c r="D4983" s="14" t="s">
        <v>181</v>
      </c>
      <c r="E4983" s="14" t="s">
        <v>182</v>
      </c>
      <c r="F4983" s="15" t="s">
        <v>51</v>
      </c>
      <c r="G4983" s="14" t="s">
        <v>183</v>
      </c>
      <c r="H4983" s="14" t="s">
        <v>181</v>
      </c>
      <c r="I4983" s="14" t="s">
        <v>59</v>
      </c>
      <c r="J4983" s="14" t="s">
        <v>198</v>
      </c>
      <c r="K4983" s="14" t="s">
        <v>205</v>
      </c>
      <c r="L4983" s="14" t="s">
        <v>274</v>
      </c>
      <c r="M4983" s="14" t="s">
        <v>387</v>
      </c>
      <c r="N4983" s="14" t="s">
        <v>388</v>
      </c>
      <c r="O4983" s="14">
        <v>0.0</v>
      </c>
      <c r="P4983" s="21">
        <v>0.0</v>
      </c>
      <c r="Q4983" s="22" t="str">
        <f>"+0"</f>
        <v>+0</v>
      </c>
      <c r="S4983" s="14" t="s">
        <v>281</v>
      </c>
    </row>
    <row r="4984">
      <c r="A4984" s="13">
        <v>45901.0</v>
      </c>
      <c r="B4984" s="14" t="s">
        <v>47</v>
      </c>
      <c r="C4984" s="14" t="s">
        <v>48</v>
      </c>
      <c r="D4984" s="14" t="s">
        <v>56</v>
      </c>
      <c r="E4984" s="14" t="s">
        <v>57</v>
      </c>
      <c r="F4984" s="15" t="s">
        <v>51</v>
      </c>
      <c r="G4984" s="14" t="s">
        <v>58</v>
      </c>
      <c r="H4984" s="14" t="s">
        <v>56</v>
      </c>
      <c r="I4984" s="14" t="s">
        <v>59</v>
      </c>
      <c r="J4984" s="14" t="s">
        <v>200</v>
      </c>
      <c r="K4984" s="14" t="s">
        <v>223</v>
      </c>
      <c r="L4984" s="14" t="s">
        <v>710</v>
      </c>
      <c r="M4984" s="14" t="s">
        <v>1302</v>
      </c>
      <c r="N4984" s="14" t="s">
        <v>1303</v>
      </c>
      <c r="O4984" s="14">
        <v>4.0</v>
      </c>
      <c r="P4984" s="23">
        <v>0.04</v>
      </c>
      <c r="Q4984" s="22" t="str">
        <f>"-6.00%"</f>
        <v>-6.00%</v>
      </c>
      <c r="R4984" s="18" t="str">
        <f>"-12.67%"</f>
        <v>-12.67%</v>
      </c>
      <c r="S4984" s="14" t="s">
        <v>2401</v>
      </c>
    </row>
    <row r="4985">
      <c r="A4985" s="13">
        <v>45901.0</v>
      </c>
      <c r="B4985" s="14" t="s">
        <v>47</v>
      </c>
      <c r="C4985" s="14" t="s">
        <v>48</v>
      </c>
      <c r="D4985" s="14" t="s">
        <v>181</v>
      </c>
      <c r="E4985" s="14" t="s">
        <v>182</v>
      </c>
      <c r="F4985" s="15" t="s">
        <v>51</v>
      </c>
      <c r="G4985" s="14" t="s">
        <v>183</v>
      </c>
      <c r="H4985" s="14" t="s">
        <v>181</v>
      </c>
      <c r="I4985" s="14" t="s">
        <v>59</v>
      </c>
      <c r="J4985" s="14" t="s">
        <v>200</v>
      </c>
      <c r="K4985" s="14" t="s">
        <v>232</v>
      </c>
      <c r="L4985" s="14" t="s">
        <v>286</v>
      </c>
      <c r="M4985" s="14" t="s">
        <v>419</v>
      </c>
      <c r="N4985" s="14" t="s">
        <v>420</v>
      </c>
      <c r="O4985" s="14">
        <v>0.0</v>
      </c>
      <c r="P4985" s="23">
        <v>0.0</v>
      </c>
      <c r="Q4985" s="22" t="str">
        <f t="shared" ref="Q4985:R4985" si="2978">"+0.00%"</f>
        <v>+0.00%</v>
      </c>
      <c r="R4985" s="18" t="str">
        <f t="shared" si="2978"/>
        <v>+0.00%</v>
      </c>
      <c r="S4985" s="14" t="s">
        <v>2402</v>
      </c>
    </row>
    <row r="4986">
      <c r="A4986" s="13">
        <v>45901.0</v>
      </c>
      <c r="B4986" s="14" t="s">
        <v>47</v>
      </c>
      <c r="C4986" s="14" t="s">
        <v>48</v>
      </c>
      <c r="D4986" s="14" t="s">
        <v>56</v>
      </c>
      <c r="E4986" s="14" t="s">
        <v>57</v>
      </c>
      <c r="F4986" s="15" t="s">
        <v>51</v>
      </c>
      <c r="G4986" s="14" t="s">
        <v>58</v>
      </c>
      <c r="H4986" s="14" t="s">
        <v>56</v>
      </c>
      <c r="I4986" s="14" t="s">
        <v>59</v>
      </c>
      <c r="J4986" s="14" t="s">
        <v>198</v>
      </c>
      <c r="K4986" s="14" t="s">
        <v>212</v>
      </c>
      <c r="L4986" s="14" t="s">
        <v>344</v>
      </c>
      <c r="M4986" s="14" t="s">
        <v>580</v>
      </c>
      <c r="N4986" s="14" t="s">
        <v>581</v>
      </c>
      <c r="O4986" s="14">
        <v>100.0</v>
      </c>
      <c r="P4986" s="21">
        <v>1.0</v>
      </c>
      <c r="Q4986" s="22" t="str">
        <f>"+1"</f>
        <v>+1</v>
      </c>
      <c r="S4986" s="14" t="s">
        <v>281</v>
      </c>
    </row>
    <row r="4987">
      <c r="A4987" s="13">
        <v>45901.0</v>
      </c>
      <c r="B4987" s="14" t="s">
        <v>47</v>
      </c>
      <c r="C4987" s="14" t="s">
        <v>48</v>
      </c>
      <c r="D4987" s="14" t="s">
        <v>60</v>
      </c>
      <c r="E4987" s="14" t="s">
        <v>61</v>
      </c>
      <c r="F4987" s="15" t="s">
        <v>51</v>
      </c>
      <c r="G4987" s="14" t="s">
        <v>62</v>
      </c>
      <c r="H4987" s="14" t="s">
        <v>60</v>
      </c>
      <c r="I4987" s="14" t="s">
        <v>59</v>
      </c>
      <c r="J4987" s="14" t="s">
        <v>199</v>
      </c>
      <c r="K4987" s="14" t="s">
        <v>206</v>
      </c>
      <c r="L4987" s="14" t="s">
        <v>295</v>
      </c>
      <c r="M4987" s="14" t="s">
        <v>461</v>
      </c>
      <c r="N4987" s="14" t="s">
        <v>462</v>
      </c>
      <c r="O4987" s="14">
        <v>0.0</v>
      </c>
      <c r="P4987" s="21">
        <v>0.0</v>
      </c>
      <c r="Q4987" s="22" t="str">
        <f t="shared" ref="Q4987:R4987" si="2979">"+0"</f>
        <v>+0</v>
      </c>
      <c r="R4987" s="18" t="str">
        <f t="shared" si="2979"/>
        <v>+0</v>
      </c>
      <c r="S4987" s="14" t="s">
        <v>260</v>
      </c>
    </row>
    <row r="4988">
      <c r="A4988" s="13">
        <v>45901.0</v>
      </c>
      <c r="B4988" s="14" t="s">
        <v>47</v>
      </c>
      <c r="C4988" s="14" t="s">
        <v>48</v>
      </c>
      <c r="D4988" s="14" t="s">
        <v>56</v>
      </c>
      <c r="E4988" s="14" t="s">
        <v>57</v>
      </c>
      <c r="F4988" s="15" t="s">
        <v>51</v>
      </c>
      <c r="G4988" s="14" t="s">
        <v>58</v>
      </c>
      <c r="H4988" s="14" t="s">
        <v>56</v>
      </c>
      <c r="I4988" s="14" t="s">
        <v>59</v>
      </c>
      <c r="J4988" s="14" t="s">
        <v>200</v>
      </c>
      <c r="K4988" s="14" t="s">
        <v>223</v>
      </c>
      <c r="L4988" s="14" t="s">
        <v>286</v>
      </c>
      <c r="M4988" s="14" t="s">
        <v>730</v>
      </c>
      <c r="N4988" s="14" t="s">
        <v>731</v>
      </c>
      <c r="O4988" s="14">
        <v>0.0</v>
      </c>
      <c r="P4988" s="23">
        <v>0.0</v>
      </c>
      <c r="Q4988" s="22" t="str">
        <f t="shared" ref="Q4988:R4988" si="2980">"+0.00%"</f>
        <v>+0.00%</v>
      </c>
      <c r="R4988" s="18" t="str">
        <f t="shared" si="2980"/>
        <v>+0.00%</v>
      </c>
      <c r="S4988" s="14" t="s">
        <v>285</v>
      </c>
    </row>
    <row r="4989">
      <c r="A4989" s="13">
        <v>45901.0</v>
      </c>
      <c r="B4989" s="14" t="s">
        <v>47</v>
      </c>
      <c r="C4989" s="14" t="s">
        <v>48</v>
      </c>
      <c r="D4989" s="14" t="s">
        <v>181</v>
      </c>
      <c r="E4989" s="14" t="s">
        <v>182</v>
      </c>
      <c r="F4989" s="15" t="s">
        <v>51</v>
      </c>
      <c r="G4989" s="14" t="s">
        <v>183</v>
      </c>
      <c r="H4989" s="14" t="s">
        <v>181</v>
      </c>
      <c r="I4989" s="14" t="s">
        <v>59</v>
      </c>
      <c r="J4989" s="14" t="s">
        <v>199</v>
      </c>
      <c r="K4989" s="14" t="s">
        <v>206</v>
      </c>
      <c r="L4989" s="14" t="s">
        <v>295</v>
      </c>
      <c r="M4989" s="14" t="s">
        <v>296</v>
      </c>
      <c r="N4989" s="14" t="s">
        <v>297</v>
      </c>
      <c r="O4989" s="14">
        <v>0.0</v>
      </c>
      <c r="P4989" s="21">
        <v>0.0</v>
      </c>
      <c r="Q4989" s="22" t="str">
        <f t="shared" ref="Q4989:R4989" si="2981">"+0"</f>
        <v>+0</v>
      </c>
      <c r="R4989" s="18" t="str">
        <f t="shared" si="2981"/>
        <v>+0</v>
      </c>
      <c r="S4989" s="14" t="s">
        <v>260</v>
      </c>
    </row>
    <row r="4990">
      <c r="A4990" s="13">
        <v>45901.0</v>
      </c>
      <c r="B4990" s="14" t="s">
        <v>47</v>
      </c>
      <c r="C4990" s="14" t="s">
        <v>48</v>
      </c>
      <c r="D4990" s="14" t="s">
        <v>165</v>
      </c>
      <c r="E4990" s="14" t="s">
        <v>166</v>
      </c>
      <c r="F4990" s="15" t="s">
        <v>51</v>
      </c>
      <c r="G4990" s="14" t="s">
        <v>167</v>
      </c>
      <c r="H4990" s="14" t="s">
        <v>165</v>
      </c>
      <c r="I4990" s="14" t="s">
        <v>54</v>
      </c>
      <c r="J4990" s="14" t="s">
        <v>198</v>
      </c>
      <c r="K4990" s="14" t="s">
        <v>207</v>
      </c>
      <c r="L4990" s="14" t="s">
        <v>318</v>
      </c>
      <c r="M4990" s="14" t="s">
        <v>319</v>
      </c>
      <c r="N4990" s="14" t="s">
        <v>320</v>
      </c>
      <c r="O4990" s="14">
        <v>100.0</v>
      </c>
      <c r="P4990" s="21">
        <v>1.0</v>
      </c>
      <c r="Q4990" s="22" t="str">
        <f t="shared" ref="Q4990:Q4991" si="2982">"+0"</f>
        <v>+0</v>
      </c>
      <c r="S4990" s="14" t="s">
        <v>281</v>
      </c>
    </row>
    <row r="4991">
      <c r="A4991" s="13">
        <v>45901.0</v>
      </c>
      <c r="B4991" s="14" t="s">
        <v>47</v>
      </c>
      <c r="C4991" s="14" t="s">
        <v>48</v>
      </c>
      <c r="D4991" s="14" t="s">
        <v>91</v>
      </c>
      <c r="E4991" s="14" t="s">
        <v>92</v>
      </c>
      <c r="F4991" s="14" t="s">
        <v>146</v>
      </c>
      <c r="G4991" s="14" t="s">
        <v>147</v>
      </c>
      <c r="H4991" s="14" t="s">
        <v>91</v>
      </c>
      <c r="I4991" s="14" t="s">
        <v>107</v>
      </c>
      <c r="J4991" s="14" t="s">
        <v>199</v>
      </c>
      <c r="K4991" s="14" t="s">
        <v>206</v>
      </c>
      <c r="L4991" s="14" t="s">
        <v>295</v>
      </c>
      <c r="M4991" s="14" t="s">
        <v>529</v>
      </c>
      <c r="N4991" s="14" t="s">
        <v>530</v>
      </c>
      <c r="O4991" s="14">
        <v>100.0</v>
      </c>
      <c r="P4991" s="21">
        <v>20.0</v>
      </c>
      <c r="Q4991" s="22" t="str">
        <f t="shared" si="2982"/>
        <v>+0</v>
      </c>
      <c r="R4991" s="18" t="str">
        <f>"+0"</f>
        <v>+0</v>
      </c>
      <c r="S4991" s="14" t="s">
        <v>260</v>
      </c>
    </row>
    <row r="4992">
      <c r="A4992" s="13">
        <v>45901.0</v>
      </c>
      <c r="B4992" s="14" t="s">
        <v>47</v>
      </c>
      <c r="C4992" s="14" t="s">
        <v>48</v>
      </c>
      <c r="D4992" s="14" t="s">
        <v>91</v>
      </c>
      <c r="E4992" s="14" t="s">
        <v>92</v>
      </c>
      <c r="F4992" s="15" t="s">
        <v>51</v>
      </c>
      <c r="G4992" s="14" t="s">
        <v>163</v>
      </c>
      <c r="H4992" s="14" t="s">
        <v>91</v>
      </c>
      <c r="I4992" s="14" t="s">
        <v>59</v>
      </c>
      <c r="J4992" s="14" t="s">
        <v>200</v>
      </c>
      <c r="K4992" s="14" t="s">
        <v>223</v>
      </c>
      <c r="L4992" s="14" t="s">
        <v>487</v>
      </c>
      <c r="M4992" s="14" t="s">
        <v>1075</v>
      </c>
      <c r="N4992" s="14" t="s">
        <v>1076</v>
      </c>
      <c r="O4992" s="14">
        <v>0.0</v>
      </c>
      <c r="P4992" s="23">
        <v>0.0</v>
      </c>
      <c r="Q4992" s="22" t="str">
        <f>"-2.17%"</f>
        <v>-2.17%</v>
      </c>
      <c r="R4992" s="18" t="str">
        <f>"-3.17%"</f>
        <v>-3.17%</v>
      </c>
      <c r="S4992" s="14" t="s">
        <v>285</v>
      </c>
    </row>
    <row r="4993">
      <c r="A4993" s="13">
        <v>45901.0</v>
      </c>
      <c r="B4993" s="14" t="s">
        <v>47</v>
      </c>
      <c r="C4993" s="14" t="s">
        <v>48</v>
      </c>
      <c r="D4993" s="14" t="s">
        <v>118</v>
      </c>
      <c r="E4993" s="14" t="s">
        <v>119</v>
      </c>
      <c r="F4993" s="15" t="s">
        <v>51</v>
      </c>
      <c r="G4993" s="14" t="s">
        <v>120</v>
      </c>
      <c r="H4993" s="14" t="s">
        <v>118</v>
      </c>
      <c r="I4993" s="14" t="s">
        <v>59</v>
      </c>
      <c r="J4993" s="14" t="s">
        <v>198</v>
      </c>
      <c r="K4993" s="14" t="s">
        <v>205</v>
      </c>
      <c r="L4993" s="14" t="s">
        <v>274</v>
      </c>
      <c r="M4993" s="14" t="s">
        <v>767</v>
      </c>
      <c r="N4993" s="14" t="s">
        <v>768</v>
      </c>
      <c r="O4993" s="14">
        <v>100.0</v>
      </c>
      <c r="P4993" s="21">
        <v>1.0</v>
      </c>
      <c r="Q4993" s="22" t="str">
        <f t="shared" ref="Q4993:Q4994" si="2983">"+0"</f>
        <v>+0</v>
      </c>
      <c r="S4993" s="14" t="s">
        <v>281</v>
      </c>
    </row>
    <row r="4994">
      <c r="A4994" s="13">
        <v>45901.0</v>
      </c>
      <c r="B4994" s="14" t="s">
        <v>47</v>
      </c>
      <c r="C4994" s="14" t="s">
        <v>48</v>
      </c>
      <c r="D4994" s="14" t="s">
        <v>91</v>
      </c>
      <c r="E4994" s="14" t="s">
        <v>92</v>
      </c>
      <c r="F4994" s="14" t="s">
        <v>71</v>
      </c>
      <c r="G4994" s="14">
        <v>5.10011769E8</v>
      </c>
      <c r="H4994" s="14" t="s">
        <v>91</v>
      </c>
      <c r="I4994" s="14" t="s">
        <v>59</v>
      </c>
      <c r="J4994" s="14" t="s">
        <v>199</v>
      </c>
      <c r="K4994" s="14" t="s">
        <v>203</v>
      </c>
      <c r="L4994" s="14" t="s">
        <v>431</v>
      </c>
      <c r="M4994" s="14" t="s">
        <v>431</v>
      </c>
      <c r="N4994" s="14" t="s">
        <v>432</v>
      </c>
      <c r="O4994" s="14">
        <v>0.0</v>
      </c>
      <c r="P4994" s="21">
        <v>0.0</v>
      </c>
      <c r="Q4994" s="22" t="str">
        <f t="shared" si="2983"/>
        <v>+0</v>
      </c>
      <c r="R4994" s="18" t="str">
        <f>"+0"</f>
        <v>+0</v>
      </c>
      <c r="S4994" s="14" t="s">
        <v>260</v>
      </c>
    </row>
    <row r="4995">
      <c r="A4995" s="13">
        <v>45901.0</v>
      </c>
      <c r="B4995" s="14" t="s">
        <v>47</v>
      </c>
      <c r="C4995" s="14" t="s">
        <v>48</v>
      </c>
      <c r="D4995" s="14" t="s">
        <v>118</v>
      </c>
      <c r="E4995" s="14" t="s">
        <v>119</v>
      </c>
      <c r="F4995" s="15" t="s">
        <v>51</v>
      </c>
      <c r="G4995" s="14" t="s">
        <v>120</v>
      </c>
      <c r="H4995" s="14" t="s">
        <v>118</v>
      </c>
      <c r="I4995" s="14" t="s">
        <v>59</v>
      </c>
      <c r="J4995" s="14" t="s">
        <v>200</v>
      </c>
      <c r="K4995" s="14" t="s">
        <v>201</v>
      </c>
      <c r="L4995" s="14" t="s">
        <v>253</v>
      </c>
      <c r="M4995" s="14" t="s">
        <v>585</v>
      </c>
      <c r="N4995" s="14" t="s">
        <v>586</v>
      </c>
      <c r="O4995" s="14">
        <v>2.0</v>
      </c>
      <c r="P4995" s="23">
        <v>0.0201</v>
      </c>
      <c r="Q4995" s="22" t="str">
        <f>"+0.09%"</f>
        <v>+0.09%</v>
      </c>
      <c r="R4995" s="18" t="str">
        <f>"+0.19%"</f>
        <v>+0.19%</v>
      </c>
      <c r="S4995" s="14" t="s">
        <v>1156</v>
      </c>
    </row>
    <row r="4996">
      <c r="A4996" s="13">
        <v>45901.0</v>
      </c>
      <c r="B4996" s="14" t="s">
        <v>47</v>
      </c>
      <c r="C4996" s="14" t="s">
        <v>48</v>
      </c>
      <c r="D4996" s="14" t="s">
        <v>63</v>
      </c>
      <c r="E4996" s="14" t="s">
        <v>64</v>
      </c>
      <c r="F4996" s="15" t="s">
        <v>51</v>
      </c>
      <c r="G4996" s="14" t="s">
        <v>65</v>
      </c>
      <c r="H4996" s="14" t="s">
        <v>63</v>
      </c>
      <c r="I4996" s="14" t="s">
        <v>54</v>
      </c>
      <c r="J4996" s="14" t="s">
        <v>200</v>
      </c>
      <c r="K4996" s="14" t="s">
        <v>214</v>
      </c>
      <c r="L4996" s="14" t="s">
        <v>253</v>
      </c>
      <c r="M4996" s="14" t="s">
        <v>389</v>
      </c>
      <c r="N4996" s="14" t="s">
        <v>390</v>
      </c>
      <c r="O4996" s="14">
        <v>77.0</v>
      </c>
      <c r="P4996" s="23">
        <v>0.7748</v>
      </c>
      <c r="Q4996" s="22" t="str">
        <f>"+10.64%"</f>
        <v>+10.64%</v>
      </c>
      <c r="R4996" s="18" t="str">
        <f>"+6.26%"</f>
        <v>+6.26%</v>
      </c>
      <c r="S4996" s="14" t="s">
        <v>2403</v>
      </c>
    </row>
    <row r="4997">
      <c r="A4997" s="13">
        <v>45901.0</v>
      </c>
      <c r="B4997" s="14" t="s">
        <v>47</v>
      </c>
      <c r="C4997" s="14" t="s">
        <v>48</v>
      </c>
      <c r="D4997" s="14" t="s">
        <v>91</v>
      </c>
      <c r="E4997" s="14" t="s">
        <v>92</v>
      </c>
      <c r="F4997" s="14" t="s">
        <v>71</v>
      </c>
      <c r="G4997" s="14">
        <v>7295600.0</v>
      </c>
      <c r="H4997" s="14" t="s">
        <v>91</v>
      </c>
      <c r="I4997" s="14" t="s">
        <v>54</v>
      </c>
      <c r="J4997" s="14" t="s">
        <v>199</v>
      </c>
      <c r="K4997" s="14" t="s">
        <v>208</v>
      </c>
      <c r="L4997" s="14" t="s">
        <v>352</v>
      </c>
      <c r="M4997" s="14" t="s">
        <v>352</v>
      </c>
      <c r="N4997" s="14" t="s">
        <v>353</v>
      </c>
      <c r="O4997" s="14">
        <v>100.0</v>
      </c>
      <c r="P4997" s="21">
        <v>58.0</v>
      </c>
      <c r="Q4997" s="22" t="str">
        <f t="shared" ref="Q4997:R4997" si="2984">"+1"</f>
        <v>+1</v>
      </c>
      <c r="R4997" s="18" t="str">
        <f t="shared" si="2984"/>
        <v>+1</v>
      </c>
      <c r="S4997" s="14" t="s">
        <v>260</v>
      </c>
    </row>
    <row r="4998">
      <c r="A4998" s="13">
        <v>45901.0</v>
      </c>
      <c r="B4998" s="14" t="s">
        <v>47</v>
      </c>
      <c r="C4998" s="14" t="s">
        <v>48</v>
      </c>
      <c r="D4998" s="14" t="s">
        <v>91</v>
      </c>
      <c r="E4998" s="14" t="s">
        <v>92</v>
      </c>
      <c r="F4998" s="14" t="s">
        <v>71</v>
      </c>
      <c r="G4998" s="14">
        <v>7295600.0</v>
      </c>
      <c r="H4998" s="14" t="s">
        <v>91</v>
      </c>
      <c r="I4998" s="14" t="s">
        <v>54</v>
      </c>
      <c r="J4998" s="14" t="s">
        <v>199</v>
      </c>
      <c r="K4998" s="14" t="s">
        <v>206</v>
      </c>
      <c r="L4998" s="14" t="s">
        <v>531</v>
      </c>
      <c r="M4998" s="14" t="s">
        <v>531</v>
      </c>
      <c r="N4998" s="14" t="s">
        <v>532</v>
      </c>
      <c r="O4998" s="14">
        <v>100.0</v>
      </c>
      <c r="P4998" s="21">
        <v>13.0</v>
      </c>
      <c r="Q4998" s="22" t="str">
        <f t="shared" ref="Q4998:R4998" si="2985">"+0"</f>
        <v>+0</v>
      </c>
      <c r="R4998" s="18" t="str">
        <f t="shared" si="2985"/>
        <v>+0</v>
      </c>
      <c r="S4998" s="14" t="s">
        <v>260</v>
      </c>
    </row>
    <row r="4999">
      <c r="A4999" s="13">
        <v>45901.0</v>
      </c>
      <c r="B4999" s="14" t="s">
        <v>47</v>
      </c>
      <c r="C4999" s="14" t="s">
        <v>48</v>
      </c>
      <c r="D4999" s="14" t="s">
        <v>63</v>
      </c>
      <c r="E4999" s="14" t="s">
        <v>64</v>
      </c>
      <c r="F4999" s="15" t="s">
        <v>51</v>
      </c>
      <c r="G4999" s="14" t="s">
        <v>65</v>
      </c>
      <c r="H4999" s="14" t="s">
        <v>63</v>
      </c>
      <c r="I4999" s="14" t="s">
        <v>54</v>
      </c>
      <c r="J4999" s="14" t="s">
        <v>198</v>
      </c>
      <c r="K4999" s="14" t="s">
        <v>210</v>
      </c>
      <c r="L4999" s="14" t="s">
        <v>278</v>
      </c>
      <c r="M4999" s="14" t="s">
        <v>279</v>
      </c>
      <c r="N4999" s="14" t="s">
        <v>280</v>
      </c>
      <c r="O4999" s="14">
        <v>100.0</v>
      </c>
      <c r="P4999" s="21">
        <v>0.0</v>
      </c>
      <c r="Q4999" s="22" t="str">
        <f t="shared" ref="Q4999:R4999" si="2986">"+0"</f>
        <v>+0</v>
      </c>
      <c r="R4999" s="18" t="str">
        <f t="shared" si="2986"/>
        <v>+0</v>
      </c>
      <c r="S4999" s="14" t="s">
        <v>281</v>
      </c>
    </row>
    <row r="5000">
      <c r="A5000" s="13">
        <v>45901.0</v>
      </c>
      <c r="B5000" s="14" t="s">
        <v>47</v>
      </c>
      <c r="C5000" s="14" t="s">
        <v>48</v>
      </c>
      <c r="D5000" s="14" t="s">
        <v>91</v>
      </c>
      <c r="E5000" s="14" t="s">
        <v>92</v>
      </c>
      <c r="F5000" s="14" t="s">
        <v>71</v>
      </c>
      <c r="G5000" s="14">
        <v>5.10001669E8</v>
      </c>
      <c r="H5000" s="14" t="s">
        <v>91</v>
      </c>
      <c r="I5000" s="14" t="s">
        <v>107</v>
      </c>
      <c r="J5000" s="14" t="s">
        <v>199</v>
      </c>
      <c r="K5000" s="14" t="s">
        <v>208</v>
      </c>
      <c r="L5000" s="14" t="s">
        <v>352</v>
      </c>
      <c r="M5000" s="14" t="s">
        <v>352</v>
      </c>
      <c r="N5000" s="14" t="s">
        <v>353</v>
      </c>
      <c r="O5000" s="14">
        <v>100.0</v>
      </c>
      <c r="P5000" s="21">
        <v>57.0</v>
      </c>
      <c r="Q5000" s="22" t="str">
        <f t="shared" ref="Q5000:R5000" si="2987">"+1"</f>
        <v>+1</v>
      </c>
      <c r="R5000" s="18" t="str">
        <f t="shared" si="2987"/>
        <v>+1</v>
      </c>
      <c r="S5000" s="14" t="s">
        <v>260</v>
      </c>
    </row>
    <row r="5001">
      <c r="A5001" s="13">
        <v>45901.0</v>
      </c>
      <c r="B5001" s="14" t="s">
        <v>47</v>
      </c>
      <c r="C5001" s="14" t="s">
        <v>48</v>
      </c>
      <c r="D5001" s="14" t="s">
        <v>93</v>
      </c>
      <c r="E5001" s="14" t="s">
        <v>94</v>
      </c>
      <c r="F5001" s="15" t="s">
        <v>51</v>
      </c>
      <c r="G5001" s="14" t="s">
        <v>191</v>
      </c>
      <c r="H5001" s="14" t="s">
        <v>95</v>
      </c>
      <c r="I5001" s="14" t="s">
        <v>59</v>
      </c>
      <c r="J5001" s="14" t="s">
        <v>198</v>
      </c>
      <c r="K5001" s="14" t="s">
        <v>205</v>
      </c>
      <c r="L5001" s="14" t="s">
        <v>274</v>
      </c>
      <c r="M5001" s="14" t="s">
        <v>575</v>
      </c>
      <c r="N5001" s="14" t="s">
        <v>576</v>
      </c>
      <c r="O5001" s="14">
        <v>100.0</v>
      </c>
      <c r="P5001" s="21">
        <v>90.0</v>
      </c>
      <c r="Q5001" s="22" t="str">
        <f t="shared" ref="Q5001:Q5002" si="2988">"+0"</f>
        <v>+0</v>
      </c>
      <c r="S5001" s="14" t="s">
        <v>577</v>
      </c>
    </row>
    <row r="5002">
      <c r="A5002" s="13">
        <v>45901.0</v>
      </c>
      <c r="B5002" s="14" t="s">
        <v>47</v>
      </c>
      <c r="C5002" s="14" t="s">
        <v>48</v>
      </c>
      <c r="D5002" s="14" t="s">
        <v>192</v>
      </c>
      <c r="E5002" s="14" t="s">
        <v>193</v>
      </c>
      <c r="F5002" s="15" t="s">
        <v>51</v>
      </c>
      <c r="G5002" s="14" t="s">
        <v>194</v>
      </c>
      <c r="H5002" s="14" t="s">
        <v>192</v>
      </c>
      <c r="I5002" s="14" t="s">
        <v>54</v>
      </c>
      <c r="J5002" s="14" t="s">
        <v>199</v>
      </c>
      <c r="K5002" s="14" t="s">
        <v>203</v>
      </c>
      <c r="L5002" s="14" t="s">
        <v>340</v>
      </c>
      <c r="M5002" s="14" t="s">
        <v>340</v>
      </c>
      <c r="N5002" s="14" t="s">
        <v>341</v>
      </c>
      <c r="O5002" s="14">
        <v>0.0</v>
      </c>
      <c r="P5002" s="21">
        <v>0.0</v>
      </c>
      <c r="Q5002" s="22" t="str">
        <f t="shared" si="2988"/>
        <v>+0</v>
      </c>
      <c r="R5002" s="18" t="str">
        <f>"+0"</f>
        <v>+0</v>
      </c>
      <c r="S5002" s="14" t="s">
        <v>260</v>
      </c>
    </row>
    <row r="5003">
      <c r="A5003" s="13">
        <v>45901.0</v>
      </c>
      <c r="B5003" s="14" t="s">
        <v>47</v>
      </c>
      <c r="C5003" s="14" t="s">
        <v>48</v>
      </c>
      <c r="D5003" s="14" t="s">
        <v>192</v>
      </c>
      <c r="E5003" s="14" t="s">
        <v>193</v>
      </c>
      <c r="F5003" s="15" t="s">
        <v>51</v>
      </c>
      <c r="G5003" s="14" t="s">
        <v>194</v>
      </c>
      <c r="H5003" s="14" t="s">
        <v>192</v>
      </c>
      <c r="I5003" s="14" t="s">
        <v>54</v>
      </c>
      <c r="J5003" s="14" t="s">
        <v>199</v>
      </c>
      <c r="K5003" s="14" t="s">
        <v>203</v>
      </c>
      <c r="L5003" s="14" t="s">
        <v>1088</v>
      </c>
      <c r="M5003" s="14" t="s">
        <v>1089</v>
      </c>
      <c r="N5003" s="14" t="s">
        <v>1090</v>
      </c>
      <c r="O5003" s="14">
        <v>0.0</v>
      </c>
      <c r="P5003" s="21">
        <v>0.0</v>
      </c>
      <c r="Q5003" s="22" t="str">
        <f t="shared" ref="Q5003:R5003" si="2989">"-1"</f>
        <v>-1</v>
      </c>
      <c r="R5003" s="18" t="str">
        <f t="shared" si="2989"/>
        <v>-1</v>
      </c>
      <c r="S5003" s="14" t="s">
        <v>260</v>
      </c>
    </row>
    <row r="5004">
      <c r="A5004" s="13">
        <v>45901.0</v>
      </c>
      <c r="B5004" s="14" t="s">
        <v>47</v>
      </c>
      <c r="C5004" s="14" t="s">
        <v>48</v>
      </c>
      <c r="D5004" s="14" t="s">
        <v>93</v>
      </c>
      <c r="E5004" s="14" t="s">
        <v>94</v>
      </c>
      <c r="F5004" s="15" t="s">
        <v>51</v>
      </c>
      <c r="G5004" s="14" t="s">
        <v>191</v>
      </c>
      <c r="H5004" s="14" t="s">
        <v>95</v>
      </c>
      <c r="I5004" s="14" t="s">
        <v>59</v>
      </c>
      <c r="J5004" s="14" t="s">
        <v>198</v>
      </c>
      <c r="K5004" s="14" t="s">
        <v>210</v>
      </c>
      <c r="L5004" s="14" t="s">
        <v>264</v>
      </c>
      <c r="M5004" s="14" t="s">
        <v>265</v>
      </c>
      <c r="N5004" s="14" t="s">
        <v>266</v>
      </c>
      <c r="O5004" s="14">
        <v>76.0</v>
      </c>
      <c r="P5004" s="21">
        <v>48.0</v>
      </c>
      <c r="Q5004" s="22" t="str">
        <f>"-1"</f>
        <v>-1</v>
      </c>
      <c r="R5004" s="18" t="str">
        <f>"-50"</f>
        <v>-50</v>
      </c>
      <c r="S5004" s="14" t="s">
        <v>2404</v>
      </c>
    </row>
    <row r="5005">
      <c r="A5005" s="13">
        <v>45901.0</v>
      </c>
      <c r="B5005" s="14" t="s">
        <v>47</v>
      </c>
      <c r="C5005" s="14" t="s">
        <v>48</v>
      </c>
      <c r="D5005" s="14" t="s">
        <v>73</v>
      </c>
      <c r="E5005" s="14" t="s">
        <v>74</v>
      </c>
      <c r="F5005" s="15" t="s">
        <v>51</v>
      </c>
      <c r="G5005" s="14" t="s">
        <v>75</v>
      </c>
      <c r="H5005" s="14" t="s">
        <v>76</v>
      </c>
      <c r="I5005" s="14" t="s">
        <v>59</v>
      </c>
      <c r="J5005" s="14" t="s">
        <v>198</v>
      </c>
      <c r="K5005" s="14" t="s">
        <v>205</v>
      </c>
      <c r="L5005" s="14" t="s">
        <v>274</v>
      </c>
      <c r="M5005" s="14" t="s">
        <v>482</v>
      </c>
      <c r="N5005" s="14" t="s">
        <v>483</v>
      </c>
      <c r="O5005" s="14">
        <v>100.0</v>
      </c>
      <c r="P5005" s="21">
        <v>8.0</v>
      </c>
      <c r="Q5005" s="22" t="str">
        <f>"+0"</f>
        <v>+0</v>
      </c>
      <c r="S5005" s="14" t="s">
        <v>484</v>
      </c>
    </row>
    <row r="5006">
      <c r="A5006" s="13">
        <v>45901.0</v>
      </c>
      <c r="B5006" s="14" t="s">
        <v>47</v>
      </c>
      <c r="C5006" s="14" t="s">
        <v>48</v>
      </c>
      <c r="D5006" s="14" t="s">
        <v>87</v>
      </c>
      <c r="E5006" s="14" t="s">
        <v>88</v>
      </c>
      <c r="F5006" s="15" t="s">
        <v>51</v>
      </c>
      <c r="G5006" s="14" t="s">
        <v>89</v>
      </c>
      <c r="H5006" s="14" t="s">
        <v>90</v>
      </c>
      <c r="I5006" s="14" t="s">
        <v>59</v>
      </c>
      <c r="J5006" s="14" t="s">
        <v>200</v>
      </c>
      <c r="K5006" s="14" t="s">
        <v>223</v>
      </c>
      <c r="L5006" s="14" t="s">
        <v>257</v>
      </c>
      <c r="M5006" s="14" t="s">
        <v>315</v>
      </c>
      <c r="N5006" s="14" t="s">
        <v>316</v>
      </c>
      <c r="O5006" s="14">
        <v>50.0</v>
      </c>
      <c r="P5006" s="23">
        <v>0.5055</v>
      </c>
      <c r="Q5006" s="22" t="str">
        <f>"+3.52%"</f>
        <v>+3.52%</v>
      </c>
      <c r="R5006" s="18" t="str">
        <f>"-5.59%"</f>
        <v>-5.59%</v>
      </c>
      <c r="S5006" s="14" t="s">
        <v>1996</v>
      </c>
    </row>
    <row r="5007">
      <c r="A5007" s="13">
        <v>45901.0</v>
      </c>
      <c r="B5007" s="14" t="s">
        <v>47</v>
      </c>
      <c r="C5007" s="14" t="s">
        <v>48</v>
      </c>
      <c r="D5007" s="14" t="s">
        <v>149</v>
      </c>
      <c r="E5007" s="14" t="s">
        <v>150</v>
      </c>
      <c r="F5007" s="15" t="s">
        <v>51</v>
      </c>
      <c r="G5007" s="14" t="s">
        <v>151</v>
      </c>
      <c r="H5007" s="14" t="s">
        <v>152</v>
      </c>
      <c r="I5007" s="14" t="s">
        <v>54</v>
      </c>
      <c r="J5007" s="14" t="s">
        <v>200</v>
      </c>
      <c r="K5007" s="14" t="s">
        <v>214</v>
      </c>
      <c r="L5007" s="14" t="s">
        <v>253</v>
      </c>
      <c r="M5007" s="14" t="s">
        <v>366</v>
      </c>
      <c r="N5007" s="14" t="s">
        <v>367</v>
      </c>
      <c r="O5007" s="14">
        <v>41.0</v>
      </c>
      <c r="P5007" s="23">
        <v>0.4111</v>
      </c>
      <c r="Q5007" s="22" t="str">
        <f>"+1.11%"</f>
        <v>+1.11%</v>
      </c>
      <c r="R5007" s="18" t="str">
        <f>"+0.15%"</f>
        <v>+0.15%</v>
      </c>
      <c r="S5007" s="14" t="s">
        <v>2405</v>
      </c>
    </row>
    <row r="5008">
      <c r="A5008" s="13">
        <v>45901.0</v>
      </c>
      <c r="B5008" s="14" t="s">
        <v>47</v>
      </c>
      <c r="C5008" s="14" t="s">
        <v>48</v>
      </c>
      <c r="D5008" s="14" t="s">
        <v>171</v>
      </c>
      <c r="E5008" s="14" t="s">
        <v>172</v>
      </c>
      <c r="F5008" s="15" t="s">
        <v>51</v>
      </c>
      <c r="G5008" s="14" t="s">
        <v>173</v>
      </c>
      <c r="H5008" s="14" t="s">
        <v>171</v>
      </c>
      <c r="I5008" s="14" t="s">
        <v>59</v>
      </c>
      <c r="J5008" s="14" t="s">
        <v>199</v>
      </c>
      <c r="K5008" s="14" t="s">
        <v>206</v>
      </c>
      <c r="L5008" s="14" t="s">
        <v>295</v>
      </c>
      <c r="M5008" s="14" t="s">
        <v>461</v>
      </c>
      <c r="N5008" s="14" t="s">
        <v>462</v>
      </c>
      <c r="O5008" s="14">
        <v>0.0</v>
      </c>
      <c r="P5008" s="21">
        <v>0.0</v>
      </c>
      <c r="Q5008" s="22" t="str">
        <f t="shared" ref="Q5008:R5008" si="2990">"+0"</f>
        <v>+0</v>
      </c>
      <c r="R5008" s="18" t="str">
        <f t="shared" si="2990"/>
        <v>+0</v>
      </c>
      <c r="S5008" s="14" t="s">
        <v>260</v>
      </c>
    </row>
    <row r="5009">
      <c r="A5009" s="13">
        <v>45901.0</v>
      </c>
      <c r="B5009" s="14" t="s">
        <v>47</v>
      </c>
      <c r="C5009" s="14" t="s">
        <v>48</v>
      </c>
      <c r="D5009" s="14" t="s">
        <v>87</v>
      </c>
      <c r="E5009" s="14" t="s">
        <v>88</v>
      </c>
      <c r="F5009" s="15" t="s">
        <v>51</v>
      </c>
      <c r="G5009" s="14" t="s">
        <v>89</v>
      </c>
      <c r="H5009" s="14" t="s">
        <v>90</v>
      </c>
      <c r="I5009" s="14" t="s">
        <v>59</v>
      </c>
      <c r="J5009" s="14" t="s">
        <v>200</v>
      </c>
      <c r="K5009" s="14" t="s">
        <v>223</v>
      </c>
      <c r="L5009" s="14" t="s">
        <v>487</v>
      </c>
      <c r="M5009" s="14" t="s">
        <v>904</v>
      </c>
      <c r="N5009" s="14" t="s">
        <v>905</v>
      </c>
      <c r="O5009" s="14">
        <v>100.0</v>
      </c>
      <c r="P5009" s="21">
        <v>2.0</v>
      </c>
      <c r="Q5009" s="22" t="str">
        <f t="shared" ref="Q5009:R5009" si="2991">"+0"</f>
        <v>+0</v>
      </c>
      <c r="R5009" s="18" t="str">
        <f t="shared" si="2991"/>
        <v>+0</v>
      </c>
      <c r="S5009" s="14" t="s">
        <v>260</v>
      </c>
    </row>
    <row r="5010">
      <c r="A5010" s="13">
        <v>45901.0</v>
      </c>
      <c r="B5010" s="14" t="s">
        <v>47</v>
      </c>
      <c r="C5010" s="14" t="s">
        <v>48</v>
      </c>
      <c r="D5010" s="14" t="s">
        <v>171</v>
      </c>
      <c r="E5010" s="14" t="s">
        <v>172</v>
      </c>
      <c r="F5010" s="15" t="s">
        <v>51</v>
      </c>
      <c r="G5010" s="14" t="s">
        <v>173</v>
      </c>
      <c r="H5010" s="14" t="s">
        <v>171</v>
      </c>
      <c r="I5010" s="14" t="s">
        <v>59</v>
      </c>
      <c r="J5010" s="14" t="s">
        <v>200</v>
      </c>
      <c r="K5010" s="14" t="s">
        <v>213</v>
      </c>
      <c r="L5010" s="14" t="s">
        <v>676</v>
      </c>
      <c r="M5010" s="14" t="s">
        <v>858</v>
      </c>
      <c r="N5010" s="14" t="s">
        <v>859</v>
      </c>
      <c r="O5010" s="14">
        <v>0.0</v>
      </c>
      <c r="P5010" s="23">
        <v>-1.0</v>
      </c>
      <c r="Q5010" s="22" t="str">
        <f t="shared" ref="Q5010:R5010" si="2992">"+0.00%"</f>
        <v>+0.00%</v>
      </c>
      <c r="R5010" s="18" t="str">
        <f t="shared" si="2992"/>
        <v>+0.00%</v>
      </c>
      <c r="S5010" s="14" t="s">
        <v>2406</v>
      </c>
    </row>
    <row r="5011">
      <c r="A5011" s="13">
        <v>45901.0</v>
      </c>
      <c r="B5011" s="14" t="s">
        <v>47</v>
      </c>
      <c r="C5011" s="14" t="s">
        <v>48</v>
      </c>
      <c r="D5011" s="14" t="s">
        <v>171</v>
      </c>
      <c r="E5011" s="14" t="s">
        <v>172</v>
      </c>
      <c r="F5011" s="15" t="s">
        <v>51</v>
      </c>
      <c r="G5011" s="14" t="s">
        <v>173</v>
      </c>
      <c r="H5011" s="14" t="s">
        <v>171</v>
      </c>
      <c r="I5011" s="14" t="s">
        <v>59</v>
      </c>
      <c r="J5011" s="14" t="s">
        <v>199</v>
      </c>
      <c r="K5011" s="14" t="s">
        <v>206</v>
      </c>
      <c r="L5011" s="14" t="s">
        <v>295</v>
      </c>
      <c r="M5011" s="14" t="s">
        <v>651</v>
      </c>
      <c r="N5011" s="14" t="s">
        <v>652</v>
      </c>
      <c r="O5011" s="14">
        <v>0.0</v>
      </c>
      <c r="P5011" s="21">
        <v>0.0</v>
      </c>
      <c r="Q5011" s="22" t="str">
        <f t="shared" ref="Q5011:R5011" si="2993">"+0"</f>
        <v>+0</v>
      </c>
      <c r="R5011" s="18" t="str">
        <f t="shared" si="2993"/>
        <v>+0</v>
      </c>
      <c r="S5011" s="14" t="s">
        <v>260</v>
      </c>
    </row>
    <row r="5012">
      <c r="A5012" s="13">
        <v>45901.0</v>
      </c>
      <c r="B5012" s="14" t="s">
        <v>47</v>
      </c>
      <c r="C5012" s="14" t="s">
        <v>48</v>
      </c>
      <c r="D5012" s="14" t="s">
        <v>129</v>
      </c>
      <c r="E5012" s="14" t="s">
        <v>130</v>
      </c>
      <c r="F5012" s="15" t="s">
        <v>51</v>
      </c>
      <c r="G5012" s="14" t="s">
        <v>131</v>
      </c>
      <c r="H5012" s="14" t="s">
        <v>129</v>
      </c>
      <c r="I5012" s="14" t="s">
        <v>59</v>
      </c>
      <c r="J5012" s="14" t="s">
        <v>200</v>
      </c>
      <c r="K5012" s="14" t="s">
        <v>231</v>
      </c>
      <c r="L5012" s="14" t="s">
        <v>512</v>
      </c>
      <c r="M5012" s="14" t="s">
        <v>1117</v>
      </c>
      <c r="N5012" s="14" t="s">
        <v>1118</v>
      </c>
      <c r="O5012" s="14">
        <v>0.0</v>
      </c>
      <c r="P5012" s="21">
        <v>0.0</v>
      </c>
      <c r="Q5012" s="22" t="str">
        <f t="shared" ref="Q5012:R5012" si="2994">"+0"</f>
        <v>+0</v>
      </c>
      <c r="R5012" s="18" t="str">
        <f t="shared" si="2994"/>
        <v>+0</v>
      </c>
      <c r="S5012" s="14" t="s">
        <v>260</v>
      </c>
    </row>
    <row r="5013">
      <c r="A5013" s="13">
        <v>45901.0</v>
      </c>
      <c r="B5013" s="14" t="s">
        <v>47</v>
      </c>
      <c r="C5013" s="14" t="s">
        <v>48</v>
      </c>
      <c r="D5013" s="14" t="s">
        <v>96</v>
      </c>
      <c r="E5013" s="14" t="s">
        <v>97</v>
      </c>
      <c r="F5013" s="15" t="s">
        <v>51</v>
      </c>
      <c r="G5013" s="14" t="s">
        <v>98</v>
      </c>
      <c r="H5013" s="14" t="s">
        <v>96</v>
      </c>
      <c r="I5013" s="14" t="s">
        <v>59</v>
      </c>
      <c r="J5013" s="14" t="s">
        <v>199</v>
      </c>
      <c r="K5013" s="14" t="s">
        <v>206</v>
      </c>
      <c r="L5013" s="14" t="s">
        <v>295</v>
      </c>
      <c r="M5013" s="14" t="s">
        <v>651</v>
      </c>
      <c r="N5013" s="14" t="s">
        <v>652</v>
      </c>
      <c r="O5013" s="14">
        <v>0.0</v>
      </c>
      <c r="P5013" s="21">
        <v>0.0</v>
      </c>
      <c r="Q5013" s="22" t="str">
        <f t="shared" ref="Q5013:R5013" si="2995">"+0"</f>
        <v>+0</v>
      </c>
      <c r="R5013" s="18" t="str">
        <f t="shared" si="2995"/>
        <v>+0</v>
      </c>
      <c r="S5013" s="14" t="s">
        <v>260</v>
      </c>
    </row>
    <row r="5014">
      <c r="A5014" s="13">
        <v>45901.0</v>
      </c>
      <c r="B5014" s="14" t="s">
        <v>47</v>
      </c>
      <c r="C5014" s="14" t="s">
        <v>48</v>
      </c>
      <c r="D5014" s="14" t="s">
        <v>125</v>
      </c>
      <c r="E5014" s="14" t="s">
        <v>126</v>
      </c>
      <c r="F5014" s="15" t="s">
        <v>51</v>
      </c>
      <c r="G5014" s="14" t="s">
        <v>127</v>
      </c>
      <c r="H5014" s="14" t="s">
        <v>125</v>
      </c>
      <c r="I5014" s="14" t="s">
        <v>59</v>
      </c>
      <c r="J5014" s="14" t="s">
        <v>200</v>
      </c>
      <c r="K5014" s="14" t="s">
        <v>224</v>
      </c>
      <c r="L5014" s="14" t="s">
        <v>427</v>
      </c>
      <c r="M5014" s="14" t="s">
        <v>895</v>
      </c>
      <c r="N5014" s="14" t="s">
        <v>896</v>
      </c>
      <c r="O5014" s="14">
        <v>0.0</v>
      </c>
      <c r="P5014" s="17"/>
      <c r="Q5014" s="22"/>
      <c r="S5014" s="14" t="s">
        <v>897</v>
      </c>
    </row>
    <row r="5015">
      <c r="A5015" s="13">
        <v>45901.0</v>
      </c>
      <c r="B5015" s="14" t="s">
        <v>47</v>
      </c>
      <c r="C5015" s="14" t="s">
        <v>48</v>
      </c>
      <c r="D5015" s="14" t="s">
        <v>69</v>
      </c>
      <c r="E5015" s="14" t="s">
        <v>70</v>
      </c>
      <c r="F5015" s="14" t="s">
        <v>71</v>
      </c>
      <c r="G5015" s="14">
        <v>1.00002092E8</v>
      </c>
      <c r="H5015" s="14" t="s">
        <v>72</v>
      </c>
      <c r="I5015" s="14" t="s">
        <v>54</v>
      </c>
      <c r="J5015" s="14" t="s">
        <v>199</v>
      </c>
      <c r="K5015" s="14" t="s">
        <v>203</v>
      </c>
      <c r="L5015" s="14" t="s">
        <v>1183</v>
      </c>
      <c r="M5015" s="14" t="s">
        <v>1184</v>
      </c>
      <c r="N5015" s="14" t="s">
        <v>1185</v>
      </c>
      <c r="O5015" s="14">
        <v>0.0</v>
      </c>
      <c r="P5015" s="17"/>
      <c r="Q5015" s="22"/>
      <c r="S5015" s="14" t="s">
        <v>371</v>
      </c>
    </row>
    <row r="5016">
      <c r="A5016" s="13">
        <v>45901.0</v>
      </c>
      <c r="B5016" s="14" t="s">
        <v>47</v>
      </c>
      <c r="C5016" s="14" t="s">
        <v>48</v>
      </c>
      <c r="D5016" s="14" t="s">
        <v>96</v>
      </c>
      <c r="E5016" s="14" t="s">
        <v>97</v>
      </c>
      <c r="F5016" s="15" t="s">
        <v>51</v>
      </c>
      <c r="G5016" s="14" t="s">
        <v>98</v>
      </c>
      <c r="H5016" s="14" t="s">
        <v>96</v>
      </c>
      <c r="I5016" s="14" t="s">
        <v>59</v>
      </c>
      <c r="J5016" s="14" t="s">
        <v>200</v>
      </c>
      <c r="K5016" s="14" t="s">
        <v>227</v>
      </c>
      <c r="L5016" s="14" t="s">
        <v>253</v>
      </c>
      <c r="M5016" s="14" t="s">
        <v>254</v>
      </c>
      <c r="N5016" s="14" t="s">
        <v>255</v>
      </c>
      <c r="O5016" s="14">
        <v>2.0</v>
      </c>
      <c r="P5016" s="23">
        <v>0.0261</v>
      </c>
      <c r="Q5016" s="22" t="str">
        <f t="shared" ref="Q5016:R5016" si="2996">"+0.00%"</f>
        <v>+0.00%</v>
      </c>
      <c r="R5016" s="18" t="str">
        <f t="shared" si="2996"/>
        <v>+0.00%</v>
      </c>
      <c r="S5016" s="14" t="s">
        <v>399</v>
      </c>
    </row>
    <row r="5017">
      <c r="A5017" s="13">
        <v>45901.0</v>
      </c>
      <c r="B5017" s="14" t="s">
        <v>47</v>
      </c>
      <c r="C5017" s="14" t="s">
        <v>48</v>
      </c>
      <c r="D5017" s="14" t="s">
        <v>116</v>
      </c>
      <c r="E5017" s="14" t="s">
        <v>117</v>
      </c>
      <c r="F5017" s="15" t="s">
        <v>51</v>
      </c>
      <c r="G5017" s="14" t="s">
        <v>161</v>
      </c>
      <c r="H5017" s="14" t="s">
        <v>116</v>
      </c>
      <c r="I5017" s="14" t="s">
        <v>54</v>
      </c>
      <c r="J5017" s="14" t="s">
        <v>199</v>
      </c>
      <c r="K5017" s="14" t="s">
        <v>206</v>
      </c>
      <c r="L5017" s="14" t="s">
        <v>295</v>
      </c>
      <c r="M5017" s="14" t="s">
        <v>651</v>
      </c>
      <c r="N5017" s="14" t="s">
        <v>652</v>
      </c>
      <c r="O5017" s="14">
        <v>0.0</v>
      </c>
      <c r="P5017" s="21">
        <v>0.0</v>
      </c>
      <c r="Q5017" s="22" t="str">
        <f t="shared" ref="Q5017:R5017" si="2997">"+0"</f>
        <v>+0</v>
      </c>
      <c r="R5017" s="18" t="str">
        <f t="shared" si="2997"/>
        <v>+0</v>
      </c>
      <c r="S5017" s="14" t="s">
        <v>260</v>
      </c>
    </row>
    <row r="5018">
      <c r="A5018" s="13">
        <v>45901.0</v>
      </c>
      <c r="B5018" s="14" t="s">
        <v>47</v>
      </c>
      <c r="C5018" s="14" t="s">
        <v>48</v>
      </c>
      <c r="D5018" s="14" t="s">
        <v>116</v>
      </c>
      <c r="E5018" s="14" t="s">
        <v>117</v>
      </c>
      <c r="F5018" s="15" t="s">
        <v>51</v>
      </c>
      <c r="G5018" s="14" t="s">
        <v>161</v>
      </c>
      <c r="H5018" s="14" t="s">
        <v>116</v>
      </c>
      <c r="I5018" s="14" t="s">
        <v>54</v>
      </c>
      <c r="J5018" s="14" t="s">
        <v>200</v>
      </c>
      <c r="K5018" s="14" t="s">
        <v>224</v>
      </c>
      <c r="L5018" s="14" t="s">
        <v>436</v>
      </c>
      <c r="M5018" s="14" t="s">
        <v>437</v>
      </c>
      <c r="N5018" s="14" t="s">
        <v>438</v>
      </c>
      <c r="O5018" s="14">
        <v>0.0</v>
      </c>
      <c r="P5018" s="23">
        <v>0.0</v>
      </c>
      <c r="Q5018" s="22"/>
      <c r="S5018" s="14" t="s">
        <v>2407</v>
      </c>
    </row>
    <row r="5019">
      <c r="A5019" s="13">
        <v>45901.0</v>
      </c>
      <c r="B5019" s="14" t="s">
        <v>47</v>
      </c>
      <c r="C5019" s="14" t="s">
        <v>48</v>
      </c>
      <c r="D5019" s="14" t="s">
        <v>158</v>
      </c>
      <c r="E5019" s="14" t="s">
        <v>159</v>
      </c>
      <c r="F5019" s="15" t="s">
        <v>51</v>
      </c>
      <c r="G5019" s="14" t="s">
        <v>160</v>
      </c>
      <c r="H5019" s="14" t="s">
        <v>158</v>
      </c>
      <c r="I5019" s="14" t="s">
        <v>54</v>
      </c>
      <c r="J5019" s="14" t="s">
        <v>198</v>
      </c>
      <c r="K5019" s="14" t="s">
        <v>210</v>
      </c>
      <c r="L5019" s="14" t="s">
        <v>264</v>
      </c>
      <c r="M5019" s="14" t="s">
        <v>694</v>
      </c>
      <c r="N5019" s="14" t="s">
        <v>695</v>
      </c>
      <c r="O5019" s="14">
        <v>0.0</v>
      </c>
      <c r="P5019" s="21">
        <v>0.0</v>
      </c>
      <c r="Q5019" s="22" t="str">
        <f t="shared" ref="Q5019:R5019" si="2998">"+0"</f>
        <v>+0</v>
      </c>
      <c r="R5019" s="18" t="str">
        <f t="shared" si="2998"/>
        <v>+0</v>
      </c>
      <c r="S5019" s="14" t="s">
        <v>277</v>
      </c>
    </row>
    <row r="5020">
      <c r="A5020" s="13">
        <v>45901.0</v>
      </c>
      <c r="B5020" s="14" t="s">
        <v>47</v>
      </c>
      <c r="C5020" s="14" t="s">
        <v>48</v>
      </c>
      <c r="D5020" s="14" t="s">
        <v>77</v>
      </c>
      <c r="E5020" s="14" t="s">
        <v>78</v>
      </c>
      <c r="F5020" s="15" t="s">
        <v>51</v>
      </c>
      <c r="G5020" s="14" t="s">
        <v>128</v>
      </c>
      <c r="H5020" s="14" t="s">
        <v>81</v>
      </c>
      <c r="I5020" s="14" t="s">
        <v>59</v>
      </c>
      <c r="J5020" s="14" t="s">
        <v>200</v>
      </c>
      <c r="K5020" s="14" t="s">
        <v>216</v>
      </c>
      <c r="L5020" s="14" t="s">
        <v>1496</v>
      </c>
      <c r="M5020" s="14" t="s">
        <v>1780</v>
      </c>
      <c r="N5020" s="14" t="s">
        <v>1781</v>
      </c>
      <c r="O5020" s="14">
        <v>0.0</v>
      </c>
      <c r="P5020" s="21">
        <v>0.0</v>
      </c>
      <c r="Q5020" s="22" t="str">
        <f t="shared" ref="Q5020:R5020" si="2999">"+0"</f>
        <v>+0</v>
      </c>
      <c r="R5020" s="18" t="str">
        <f t="shared" si="2999"/>
        <v>+0</v>
      </c>
      <c r="S5020" s="14" t="s">
        <v>327</v>
      </c>
    </row>
    <row r="5021">
      <c r="A5021" s="13">
        <v>45901.0</v>
      </c>
      <c r="B5021" s="14" t="s">
        <v>47</v>
      </c>
      <c r="C5021" s="14" t="s">
        <v>48</v>
      </c>
      <c r="D5021" s="14" t="s">
        <v>77</v>
      </c>
      <c r="E5021" s="14" t="s">
        <v>78</v>
      </c>
      <c r="F5021" s="15" t="s">
        <v>51</v>
      </c>
      <c r="G5021" s="14" t="s">
        <v>128</v>
      </c>
      <c r="H5021" s="14" t="s">
        <v>81</v>
      </c>
      <c r="I5021" s="14" t="s">
        <v>59</v>
      </c>
      <c r="J5021" s="14" t="s">
        <v>198</v>
      </c>
      <c r="K5021" s="14" t="s">
        <v>205</v>
      </c>
      <c r="L5021" s="14" t="s">
        <v>274</v>
      </c>
      <c r="M5021" s="14" t="s">
        <v>473</v>
      </c>
      <c r="N5021" s="14" t="s">
        <v>474</v>
      </c>
      <c r="O5021" s="14">
        <v>50.0</v>
      </c>
      <c r="P5021" s="21">
        <v>15.0</v>
      </c>
      <c r="Q5021" s="22" t="str">
        <f>"+0"</f>
        <v>+0</v>
      </c>
      <c r="S5021" s="14" t="s">
        <v>475</v>
      </c>
    </row>
    <row r="5022">
      <c r="A5022" s="13">
        <v>45901.0</v>
      </c>
      <c r="B5022" s="14" t="s">
        <v>47</v>
      </c>
      <c r="C5022" s="14" t="s">
        <v>48</v>
      </c>
      <c r="D5022" s="14" t="s">
        <v>181</v>
      </c>
      <c r="E5022" s="14" t="s">
        <v>182</v>
      </c>
      <c r="F5022" s="15" t="s">
        <v>51</v>
      </c>
      <c r="G5022" s="14" t="s">
        <v>183</v>
      </c>
      <c r="H5022" s="14" t="s">
        <v>181</v>
      </c>
      <c r="I5022" s="14" t="s">
        <v>59</v>
      </c>
      <c r="J5022" s="14" t="s">
        <v>200</v>
      </c>
      <c r="K5022" s="14" t="s">
        <v>201</v>
      </c>
      <c r="L5022" s="14" t="s">
        <v>253</v>
      </c>
      <c r="M5022" s="14" t="s">
        <v>538</v>
      </c>
      <c r="N5022" s="14" t="s">
        <v>539</v>
      </c>
      <c r="O5022" s="14">
        <v>1.0</v>
      </c>
      <c r="P5022" s="23">
        <v>4.0E-4</v>
      </c>
      <c r="Q5022" s="22" t="str">
        <f>"-0.00%"</f>
        <v>-0.00%</v>
      </c>
      <c r="R5022" s="18" t="str">
        <f>"-0.04%"</f>
        <v>-0.04%</v>
      </c>
      <c r="S5022" s="14" t="s">
        <v>1667</v>
      </c>
    </row>
    <row r="5023">
      <c r="A5023" s="13">
        <v>45901.0</v>
      </c>
      <c r="B5023" s="14" t="s">
        <v>47</v>
      </c>
      <c r="C5023" s="14" t="s">
        <v>48</v>
      </c>
      <c r="D5023" s="14" t="s">
        <v>140</v>
      </c>
      <c r="E5023" s="14" t="s">
        <v>141</v>
      </c>
      <c r="F5023" s="15" t="s">
        <v>51</v>
      </c>
      <c r="G5023" s="14" t="s">
        <v>142</v>
      </c>
      <c r="H5023" s="14" t="s">
        <v>140</v>
      </c>
      <c r="I5023" s="14" t="s">
        <v>59</v>
      </c>
      <c r="J5023" s="14" t="s">
        <v>200</v>
      </c>
      <c r="K5023" s="14" t="s">
        <v>222</v>
      </c>
      <c r="L5023" s="14" t="s">
        <v>337</v>
      </c>
      <c r="M5023" s="14" t="s">
        <v>1000</v>
      </c>
      <c r="N5023" s="14" t="s">
        <v>1001</v>
      </c>
      <c r="O5023" s="14">
        <v>0.0</v>
      </c>
      <c r="P5023" s="21">
        <v>0.0</v>
      </c>
      <c r="Q5023" s="22" t="str">
        <f t="shared" ref="Q5023:R5023" si="3000">"+0"</f>
        <v>+0</v>
      </c>
      <c r="R5023" s="18" t="str">
        <f t="shared" si="3000"/>
        <v>+0</v>
      </c>
      <c r="S5023" s="14" t="s">
        <v>260</v>
      </c>
    </row>
    <row r="5024">
      <c r="A5024" s="13">
        <v>45901.0</v>
      </c>
      <c r="B5024" s="14" t="s">
        <v>47</v>
      </c>
      <c r="C5024" s="14" t="s">
        <v>48</v>
      </c>
      <c r="D5024" s="14" t="s">
        <v>168</v>
      </c>
      <c r="E5024" s="14" t="s">
        <v>169</v>
      </c>
      <c r="F5024" s="15" t="s">
        <v>51</v>
      </c>
      <c r="G5024" s="14" t="s">
        <v>170</v>
      </c>
      <c r="H5024" s="14" t="s">
        <v>168</v>
      </c>
      <c r="I5024" s="14" t="s">
        <v>59</v>
      </c>
      <c r="J5024" s="14" t="s">
        <v>199</v>
      </c>
      <c r="K5024" s="14" t="s">
        <v>203</v>
      </c>
      <c r="L5024" s="14" t="s">
        <v>601</v>
      </c>
      <c r="M5024" s="14" t="s">
        <v>601</v>
      </c>
      <c r="N5024" s="14" t="s">
        <v>602</v>
      </c>
      <c r="O5024" s="14">
        <v>0.0</v>
      </c>
      <c r="P5024" s="21">
        <v>0.0</v>
      </c>
      <c r="Q5024" s="22" t="str">
        <f t="shared" ref="Q5024:R5024" si="3001">"+0"</f>
        <v>+0</v>
      </c>
      <c r="R5024" s="18" t="str">
        <f t="shared" si="3001"/>
        <v>+0</v>
      </c>
      <c r="S5024" s="14" t="s">
        <v>260</v>
      </c>
    </row>
    <row r="5025">
      <c r="A5025" s="13">
        <v>45901.0</v>
      </c>
      <c r="B5025" s="14" t="s">
        <v>47</v>
      </c>
      <c r="C5025" s="14" t="s">
        <v>48</v>
      </c>
      <c r="D5025" s="14" t="s">
        <v>49</v>
      </c>
      <c r="E5025" s="14" t="s">
        <v>50</v>
      </c>
      <c r="F5025" s="15" t="s">
        <v>51</v>
      </c>
      <c r="G5025" s="14" t="s">
        <v>52</v>
      </c>
      <c r="H5025" s="14" t="s">
        <v>53</v>
      </c>
      <c r="I5025" s="14" t="s">
        <v>54</v>
      </c>
      <c r="J5025" s="14" t="s">
        <v>200</v>
      </c>
      <c r="K5025" s="14" t="s">
        <v>224</v>
      </c>
      <c r="L5025" s="14" t="s">
        <v>453</v>
      </c>
      <c r="M5025" s="14" t="s">
        <v>555</v>
      </c>
      <c r="N5025" s="14" t="s">
        <v>556</v>
      </c>
      <c r="O5025" s="14">
        <v>0.0</v>
      </c>
      <c r="P5025" s="23">
        <v>0.0</v>
      </c>
      <c r="Q5025" s="22" t="str">
        <f t="shared" ref="Q5025:R5025" si="3002">"+0.00%"</f>
        <v>+0.00%</v>
      </c>
      <c r="R5025" s="18" t="str">
        <f t="shared" si="3002"/>
        <v>+0.00%</v>
      </c>
      <c r="S5025" s="14" t="s">
        <v>557</v>
      </c>
    </row>
    <row r="5026">
      <c r="A5026" s="13">
        <v>45901.0</v>
      </c>
      <c r="B5026" s="14" t="s">
        <v>47</v>
      </c>
      <c r="C5026" s="14" t="s">
        <v>48</v>
      </c>
      <c r="D5026" s="14" t="s">
        <v>165</v>
      </c>
      <c r="E5026" s="14" t="s">
        <v>166</v>
      </c>
      <c r="F5026" s="15" t="s">
        <v>51</v>
      </c>
      <c r="G5026" s="14" t="s">
        <v>167</v>
      </c>
      <c r="H5026" s="14" t="s">
        <v>165</v>
      </c>
      <c r="I5026" s="14" t="s">
        <v>54</v>
      </c>
      <c r="J5026" s="14" t="s">
        <v>200</v>
      </c>
      <c r="K5026" s="14" t="s">
        <v>204</v>
      </c>
      <c r="L5026" s="14" t="s">
        <v>253</v>
      </c>
      <c r="M5026" s="14" t="s">
        <v>793</v>
      </c>
      <c r="N5026" s="14" t="s">
        <v>794</v>
      </c>
      <c r="O5026" s="14">
        <v>1.0</v>
      </c>
      <c r="P5026" s="23">
        <v>0.001</v>
      </c>
      <c r="Q5026" s="22" t="str">
        <f>"+0.04%"</f>
        <v>+0.04%</v>
      </c>
      <c r="R5026" s="18" t="str">
        <f>"-0.01%"</f>
        <v>-0.01%</v>
      </c>
      <c r="S5026" s="14" t="s">
        <v>1232</v>
      </c>
    </row>
    <row r="5027">
      <c r="A5027" s="13">
        <v>45901.0</v>
      </c>
      <c r="B5027" s="14" t="s">
        <v>47</v>
      </c>
      <c r="C5027" s="14" t="s">
        <v>48</v>
      </c>
      <c r="D5027" s="14" t="s">
        <v>165</v>
      </c>
      <c r="E5027" s="14" t="s">
        <v>166</v>
      </c>
      <c r="F5027" s="15" t="s">
        <v>51</v>
      </c>
      <c r="G5027" s="14" t="s">
        <v>167</v>
      </c>
      <c r="H5027" s="14" t="s">
        <v>165</v>
      </c>
      <c r="I5027" s="14" t="s">
        <v>54</v>
      </c>
      <c r="J5027" s="14" t="s">
        <v>200</v>
      </c>
      <c r="K5027" s="14" t="s">
        <v>213</v>
      </c>
      <c r="L5027" s="14" t="s">
        <v>676</v>
      </c>
      <c r="M5027" s="14" t="s">
        <v>677</v>
      </c>
      <c r="N5027" s="14" t="s">
        <v>678</v>
      </c>
      <c r="O5027" s="14">
        <v>0.0</v>
      </c>
      <c r="P5027" s="23">
        <v>0.0</v>
      </c>
      <c r="Q5027" s="22" t="str">
        <f t="shared" ref="Q5027:R5027" si="3003">"+0.00%"</f>
        <v>+0.00%</v>
      </c>
      <c r="R5027" s="18" t="str">
        <f t="shared" si="3003"/>
        <v>+0.00%</v>
      </c>
      <c r="S5027" s="14" t="s">
        <v>285</v>
      </c>
    </row>
    <row r="5028">
      <c r="A5028" s="13">
        <v>45901.0</v>
      </c>
      <c r="B5028" s="14" t="s">
        <v>47</v>
      </c>
      <c r="C5028" s="14" t="s">
        <v>48</v>
      </c>
      <c r="D5028" s="14" t="s">
        <v>165</v>
      </c>
      <c r="E5028" s="14" t="s">
        <v>166</v>
      </c>
      <c r="F5028" s="14" t="s">
        <v>111</v>
      </c>
      <c r="G5028" s="14">
        <v>7116371.0</v>
      </c>
      <c r="H5028" s="14" t="s">
        <v>165</v>
      </c>
      <c r="I5028" s="14" t="s">
        <v>59</v>
      </c>
      <c r="J5028" s="14" t="s">
        <v>199</v>
      </c>
      <c r="K5028" s="14" t="s">
        <v>208</v>
      </c>
      <c r="L5028" s="14" t="s">
        <v>352</v>
      </c>
      <c r="M5028" s="14" t="s">
        <v>352</v>
      </c>
      <c r="N5028" s="14" t="s">
        <v>353</v>
      </c>
      <c r="O5028" s="14">
        <v>100.0</v>
      </c>
      <c r="P5028" s="21">
        <v>9.0</v>
      </c>
      <c r="Q5028" s="22" t="str">
        <f>"+0"</f>
        <v>+0</v>
      </c>
      <c r="R5028" s="18" t="str">
        <f>"+2"</f>
        <v>+2</v>
      </c>
      <c r="S5028" s="14" t="s">
        <v>260</v>
      </c>
    </row>
    <row r="5029">
      <c r="A5029" s="13">
        <v>45901.0</v>
      </c>
      <c r="B5029" s="14" t="s">
        <v>47</v>
      </c>
      <c r="C5029" s="14" t="s">
        <v>48</v>
      </c>
      <c r="D5029" s="14" t="s">
        <v>91</v>
      </c>
      <c r="E5029" s="14" t="s">
        <v>92</v>
      </c>
      <c r="F5029" s="14" t="s">
        <v>79</v>
      </c>
      <c r="G5029" s="14" t="s">
        <v>164</v>
      </c>
      <c r="H5029" s="14" t="s">
        <v>91</v>
      </c>
      <c r="I5029" s="14" t="s">
        <v>154</v>
      </c>
      <c r="J5029" s="14" t="s">
        <v>200</v>
      </c>
      <c r="K5029" s="14" t="s">
        <v>237</v>
      </c>
      <c r="L5029" s="14" t="s">
        <v>333</v>
      </c>
      <c r="M5029" s="14" t="s">
        <v>2351</v>
      </c>
      <c r="N5029" s="14" t="s">
        <v>2352</v>
      </c>
      <c r="O5029" s="14">
        <v>50.0</v>
      </c>
      <c r="P5029" s="23">
        <v>0.0</v>
      </c>
      <c r="Q5029" s="22" t="str">
        <f>"+0.00%"</f>
        <v>+0.00%</v>
      </c>
      <c r="R5029" s="18" t="str">
        <f>"+100.00%"</f>
        <v>+100.00%</v>
      </c>
      <c r="S5029" s="14" t="s">
        <v>336</v>
      </c>
    </row>
    <row r="5030">
      <c r="A5030" s="13">
        <v>45901.0</v>
      </c>
      <c r="B5030" s="14" t="s">
        <v>47</v>
      </c>
      <c r="C5030" s="14" t="s">
        <v>48</v>
      </c>
      <c r="D5030" s="14" t="s">
        <v>63</v>
      </c>
      <c r="E5030" s="14" t="s">
        <v>64</v>
      </c>
      <c r="F5030" s="15" t="s">
        <v>51</v>
      </c>
      <c r="G5030" s="14" t="s">
        <v>65</v>
      </c>
      <c r="H5030" s="14" t="s">
        <v>63</v>
      </c>
      <c r="I5030" s="14" t="s">
        <v>54</v>
      </c>
      <c r="J5030" s="14" t="s">
        <v>200</v>
      </c>
      <c r="K5030" s="14" t="s">
        <v>213</v>
      </c>
      <c r="L5030" s="14" t="s">
        <v>289</v>
      </c>
      <c r="M5030" s="14" t="s">
        <v>384</v>
      </c>
      <c r="N5030" s="14" t="s">
        <v>385</v>
      </c>
      <c r="O5030" s="14">
        <v>92.0</v>
      </c>
      <c r="P5030" s="23">
        <v>0.9221</v>
      </c>
      <c r="Q5030" s="22" t="str">
        <f>"+0.06%"</f>
        <v>+0.06%</v>
      </c>
      <c r="R5030" s="18" t="str">
        <f>"-0.68%"</f>
        <v>-0.68%</v>
      </c>
      <c r="S5030" s="14" t="s">
        <v>1314</v>
      </c>
    </row>
    <row r="5031">
      <c r="A5031" s="13">
        <v>45901.0</v>
      </c>
      <c r="B5031" s="14" t="s">
        <v>47</v>
      </c>
      <c r="C5031" s="14" t="s">
        <v>48</v>
      </c>
      <c r="D5031" s="14" t="s">
        <v>63</v>
      </c>
      <c r="E5031" s="14" t="s">
        <v>64</v>
      </c>
      <c r="F5031" s="15" t="s">
        <v>51</v>
      </c>
      <c r="G5031" s="14" t="s">
        <v>65</v>
      </c>
      <c r="H5031" s="14" t="s">
        <v>63</v>
      </c>
      <c r="I5031" s="14" t="s">
        <v>54</v>
      </c>
      <c r="J5031" s="14" t="s">
        <v>198</v>
      </c>
      <c r="K5031" s="14" t="s">
        <v>212</v>
      </c>
      <c r="L5031" s="14" t="s">
        <v>249</v>
      </c>
      <c r="M5031" s="14" t="s">
        <v>598</v>
      </c>
      <c r="N5031" s="14" t="s">
        <v>599</v>
      </c>
      <c r="O5031" s="14">
        <v>89.0</v>
      </c>
      <c r="P5031" s="21">
        <v>3990.0</v>
      </c>
      <c r="Q5031" s="22" t="str">
        <f>"-133"</f>
        <v>-133</v>
      </c>
      <c r="R5031" s="18" t="str">
        <f>"-1,980"</f>
        <v>-1,980</v>
      </c>
      <c r="S5031" s="14" t="s">
        <v>2408</v>
      </c>
    </row>
    <row r="5032">
      <c r="A5032" s="13">
        <v>45901.0</v>
      </c>
      <c r="B5032" s="14" t="s">
        <v>47</v>
      </c>
      <c r="C5032" s="14" t="s">
        <v>48</v>
      </c>
      <c r="D5032" s="14" t="s">
        <v>118</v>
      </c>
      <c r="E5032" s="14" t="s">
        <v>119</v>
      </c>
      <c r="F5032" s="15" t="s">
        <v>51</v>
      </c>
      <c r="G5032" s="14" t="s">
        <v>120</v>
      </c>
      <c r="H5032" s="14" t="s">
        <v>118</v>
      </c>
      <c r="I5032" s="14" t="s">
        <v>59</v>
      </c>
      <c r="J5032" s="14" t="s">
        <v>199</v>
      </c>
      <c r="K5032" s="14" t="s">
        <v>206</v>
      </c>
      <c r="L5032" s="14" t="s">
        <v>295</v>
      </c>
      <c r="M5032" s="14" t="s">
        <v>986</v>
      </c>
      <c r="N5032" s="14" t="s">
        <v>987</v>
      </c>
      <c r="O5032" s="14">
        <v>0.0</v>
      </c>
      <c r="P5032" s="21">
        <v>0.0</v>
      </c>
      <c r="Q5032" s="22" t="str">
        <f t="shared" ref="Q5032:R5032" si="3004">"+0"</f>
        <v>+0</v>
      </c>
      <c r="R5032" s="18" t="str">
        <f t="shared" si="3004"/>
        <v>+0</v>
      </c>
      <c r="S5032" s="14" t="s">
        <v>260</v>
      </c>
    </row>
    <row r="5033">
      <c r="A5033" s="13">
        <v>45901.0</v>
      </c>
      <c r="B5033" s="14" t="s">
        <v>47</v>
      </c>
      <c r="C5033" s="14" t="s">
        <v>48</v>
      </c>
      <c r="D5033" s="14" t="s">
        <v>91</v>
      </c>
      <c r="E5033" s="14" t="s">
        <v>92</v>
      </c>
      <c r="F5033" s="14" t="s">
        <v>71</v>
      </c>
      <c r="G5033" s="14">
        <v>5.00008612E8</v>
      </c>
      <c r="H5033" s="14" t="s">
        <v>91</v>
      </c>
      <c r="I5033" s="14" t="s">
        <v>59</v>
      </c>
      <c r="J5033" s="14" t="s">
        <v>199</v>
      </c>
      <c r="K5033" s="14" t="s">
        <v>206</v>
      </c>
      <c r="L5033" s="14" t="s">
        <v>268</v>
      </c>
      <c r="M5033" s="14" t="s">
        <v>268</v>
      </c>
      <c r="N5033" s="14" t="s">
        <v>269</v>
      </c>
      <c r="O5033" s="14">
        <v>100.0</v>
      </c>
      <c r="P5033" s="21">
        <v>9.0</v>
      </c>
      <c r="Q5033" s="22" t="str">
        <f t="shared" ref="Q5033:R5033" si="3005">"+5"</f>
        <v>+5</v>
      </c>
      <c r="R5033" s="18" t="str">
        <f t="shared" si="3005"/>
        <v>+5</v>
      </c>
      <c r="S5033" s="14" t="s">
        <v>260</v>
      </c>
    </row>
    <row r="5034">
      <c r="A5034" s="13">
        <v>45901.0</v>
      </c>
      <c r="B5034" s="14" t="s">
        <v>47</v>
      </c>
      <c r="C5034" s="14" t="s">
        <v>48</v>
      </c>
      <c r="D5034" s="14" t="s">
        <v>63</v>
      </c>
      <c r="E5034" s="14" t="s">
        <v>64</v>
      </c>
      <c r="F5034" s="15" t="s">
        <v>51</v>
      </c>
      <c r="G5034" s="14" t="s">
        <v>65</v>
      </c>
      <c r="H5034" s="14" t="s">
        <v>63</v>
      </c>
      <c r="I5034" s="14" t="s">
        <v>54</v>
      </c>
      <c r="J5034" s="14" t="s">
        <v>199</v>
      </c>
      <c r="K5034" s="14" t="s">
        <v>206</v>
      </c>
      <c r="L5034" s="14" t="s">
        <v>569</v>
      </c>
      <c r="M5034" s="14" t="s">
        <v>569</v>
      </c>
      <c r="N5034" s="14" t="s">
        <v>570</v>
      </c>
      <c r="O5034" s="14">
        <v>100.0</v>
      </c>
      <c r="P5034" s="21">
        <v>12.0</v>
      </c>
      <c r="Q5034" s="22" t="str">
        <f>"+5"</f>
        <v>+5</v>
      </c>
      <c r="R5034" s="18" t="str">
        <f>"+2"</f>
        <v>+2</v>
      </c>
      <c r="S5034" s="14" t="s">
        <v>383</v>
      </c>
    </row>
    <row r="5035">
      <c r="A5035" s="13">
        <v>45901.0</v>
      </c>
      <c r="B5035" s="14" t="s">
        <v>47</v>
      </c>
      <c r="C5035" s="14" t="s">
        <v>48</v>
      </c>
      <c r="D5035" s="14" t="s">
        <v>99</v>
      </c>
      <c r="E5035" s="14" t="s">
        <v>100</v>
      </c>
      <c r="F5035" s="15" t="s">
        <v>51</v>
      </c>
      <c r="G5035" s="14" t="s">
        <v>101</v>
      </c>
      <c r="H5035" s="14" t="s">
        <v>102</v>
      </c>
      <c r="I5035" s="14" t="s">
        <v>54</v>
      </c>
      <c r="J5035" s="14" t="s">
        <v>200</v>
      </c>
      <c r="K5035" s="14" t="s">
        <v>204</v>
      </c>
      <c r="L5035" s="14" t="s">
        <v>253</v>
      </c>
      <c r="M5035" s="14" t="s">
        <v>490</v>
      </c>
      <c r="N5035" s="14" t="s">
        <v>491</v>
      </c>
      <c r="O5035" s="14">
        <v>0.0</v>
      </c>
      <c r="P5035" s="23">
        <v>0.0</v>
      </c>
      <c r="Q5035" s="22" t="str">
        <f t="shared" ref="Q5035:R5035" si="3006">"+0.00%"</f>
        <v>+0.00%</v>
      </c>
      <c r="R5035" s="18" t="str">
        <f t="shared" si="3006"/>
        <v>+0.00%</v>
      </c>
      <c r="S5035" s="14" t="s">
        <v>492</v>
      </c>
    </row>
    <row r="5036">
      <c r="A5036" s="13">
        <v>45901.0</v>
      </c>
      <c r="B5036" s="14" t="s">
        <v>47</v>
      </c>
      <c r="C5036" s="14" t="s">
        <v>48</v>
      </c>
      <c r="D5036" s="14" t="s">
        <v>184</v>
      </c>
      <c r="E5036" s="14" t="s">
        <v>185</v>
      </c>
      <c r="F5036" s="15" t="s">
        <v>51</v>
      </c>
      <c r="G5036" s="14" t="s">
        <v>186</v>
      </c>
      <c r="H5036" s="14" t="s">
        <v>187</v>
      </c>
      <c r="I5036" s="14" t="s">
        <v>59</v>
      </c>
      <c r="J5036" s="14" t="s">
        <v>198</v>
      </c>
      <c r="K5036" s="14" t="s">
        <v>212</v>
      </c>
      <c r="L5036" s="14" t="s">
        <v>344</v>
      </c>
      <c r="M5036" s="14" t="s">
        <v>580</v>
      </c>
      <c r="N5036" s="14" t="s">
        <v>581</v>
      </c>
      <c r="O5036" s="14">
        <v>100.0</v>
      </c>
      <c r="P5036" s="21">
        <v>1.0</v>
      </c>
      <c r="Q5036" s="22" t="str">
        <f>"+1"</f>
        <v>+1</v>
      </c>
      <c r="S5036" s="14" t="s">
        <v>281</v>
      </c>
    </row>
    <row r="5037">
      <c r="A5037" s="13">
        <v>45901.0</v>
      </c>
      <c r="B5037" s="14" t="s">
        <v>47</v>
      </c>
      <c r="C5037" s="14" t="s">
        <v>48</v>
      </c>
      <c r="D5037" s="14" t="s">
        <v>192</v>
      </c>
      <c r="E5037" s="14" t="s">
        <v>193</v>
      </c>
      <c r="F5037" s="15" t="s">
        <v>51</v>
      </c>
      <c r="G5037" s="14" t="s">
        <v>194</v>
      </c>
      <c r="H5037" s="14" t="s">
        <v>192</v>
      </c>
      <c r="I5037" s="14" t="s">
        <v>54</v>
      </c>
      <c r="J5037" s="14" t="s">
        <v>200</v>
      </c>
      <c r="K5037" s="14" t="s">
        <v>223</v>
      </c>
      <c r="L5037" s="14" t="s">
        <v>261</v>
      </c>
      <c r="M5037" s="14" t="s">
        <v>814</v>
      </c>
      <c r="N5037" s="14" t="s">
        <v>815</v>
      </c>
      <c r="O5037" s="14">
        <v>51.0</v>
      </c>
      <c r="P5037" s="23">
        <v>0.0297</v>
      </c>
      <c r="Q5037" s="22" t="str">
        <f>"+3.04%"</f>
        <v>+3.04%</v>
      </c>
      <c r="R5037" s="18" t="str">
        <f>"-13.52%"</f>
        <v>-13.52%</v>
      </c>
      <c r="S5037" s="14" t="s">
        <v>2409</v>
      </c>
    </row>
    <row r="5038">
      <c r="A5038" s="13">
        <v>45901.0</v>
      </c>
      <c r="B5038" s="14" t="s">
        <v>47</v>
      </c>
      <c r="C5038" s="14" t="s">
        <v>48</v>
      </c>
      <c r="D5038" s="14" t="s">
        <v>192</v>
      </c>
      <c r="E5038" s="14" t="s">
        <v>193</v>
      </c>
      <c r="F5038" s="15" t="s">
        <v>51</v>
      </c>
      <c r="G5038" s="14" t="s">
        <v>194</v>
      </c>
      <c r="H5038" s="14" t="s">
        <v>192</v>
      </c>
      <c r="I5038" s="14" t="s">
        <v>54</v>
      </c>
      <c r="J5038" s="14" t="s">
        <v>200</v>
      </c>
      <c r="K5038" s="14" t="s">
        <v>223</v>
      </c>
      <c r="L5038" s="14" t="s">
        <v>261</v>
      </c>
      <c r="M5038" s="14" t="s">
        <v>864</v>
      </c>
      <c r="N5038" s="14" t="s">
        <v>865</v>
      </c>
      <c r="O5038" s="14">
        <v>100.0</v>
      </c>
      <c r="P5038" s="23">
        <v>8.0E-4</v>
      </c>
      <c r="Q5038" s="22" t="str">
        <f>"+0.04%"</f>
        <v>+0.04%</v>
      </c>
      <c r="R5038" s="18" t="str">
        <f>"+0.00%"</f>
        <v>+0.00%</v>
      </c>
      <c r="S5038" s="14" t="s">
        <v>285</v>
      </c>
    </row>
    <row r="5039">
      <c r="A5039" s="13">
        <v>45901.0</v>
      </c>
      <c r="B5039" s="14" t="s">
        <v>47</v>
      </c>
      <c r="C5039" s="14" t="s">
        <v>48</v>
      </c>
      <c r="D5039" s="14" t="s">
        <v>192</v>
      </c>
      <c r="E5039" s="14" t="s">
        <v>193</v>
      </c>
      <c r="F5039" s="15" t="s">
        <v>51</v>
      </c>
      <c r="G5039" s="14" t="s">
        <v>194</v>
      </c>
      <c r="H5039" s="14" t="s">
        <v>192</v>
      </c>
      <c r="I5039" s="14" t="s">
        <v>54</v>
      </c>
      <c r="J5039" s="14" t="s">
        <v>200</v>
      </c>
      <c r="K5039" s="14" t="s">
        <v>223</v>
      </c>
      <c r="L5039" s="14" t="s">
        <v>286</v>
      </c>
      <c r="M5039" s="14" t="s">
        <v>588</v>
      </c>
      <c r="N5039" s="14" t="s">
        <v>589</v>
      </c>
      <c r="O5039" s="14">
        <v>100.0</v>
      </c>
      <c r="P5039" s="23">
        <v>0.6519</v>
      </c>
      <c r="Q5039" s="22" t="str">
        <f>"+3.81%"</f>
        <v>+3.81%</v>
      </c>
      <c r="R5039" s="18" t="str">
        <f>"-1.46%"</f>
        <v>-1.46%</v>
      </c>
      <c r="S5039" s="14" t="s">
        <v>285</v>
      </c>
    </row>
    <row r="5040">
      <c r="A5040" s="13">
        <v>45901.0</v>
      </c>
      <c r="B5040" s="14" t="s">
        <v>47</v>
      </c>
      <c r="C5040" s="14" t="s">
        <v>48</v>
      </c>
      <c r="D5040" s="14" t="s">
        <v>184</v>
      </c>
      <c r="E5040" s="14" t="s">
        <v>185</v>
      </c>
      <c r="F5040" s="15" t="s">
        <v>51</v>
      </c>
      <c r="G5040" s="14" t="s">
        <v>186</v>
      </c>
      <c r="H5040" s="14" t="s">
        <v>187</v>
      </c>
      <c r="I5040" s="14" t="s">
        <v>59</v>
      </c>
      <c r="J5040" s="14" t="s">
        <v>198</v>
      </c>
      <c r="K5040" s="14" t="s">
        <v>207</v>
      </c>
      <c r="L5040" s="14" t="s">
        <v>318</v>
      </c>
      <c r="M5040" s="14" t="s">
        <v>319</v>
      </c>
      <c r="N5040" s="14" t="s">
        <v>320</v>
      </c>
      <c r="O5040" s="14">
        <v>0.0</v>
      </c>
      <c r="P5040" s="21">
        <v>0.0</v>
      </c>
      <c r="Q5040" s="22" t="str">
        <f>"+0"</f>
        <v>+0</v>
      </c>
      <c r="S5040" s="14" t="s">
        <v>281</v>
      </c>
    </row>
    <row r="5041">
      <c r="A5041" s="13">
        <v>45901.0</v>
      </c>
      <c r="B5041" s="14" t="s">
        <v>47</v>
      </c>
      <c r="C5041" s="14" t="s">
        <v>48</v>
      </c>
      <c r="D5041" s="14" t="s">
        <v>192</v>
      </c>
      <c r="E5041" s="14" t="s">
        <v>193</v>
      </c>
      <c r="F5041" s="15" t="s">
        <v>51</v>
      </c>
      <c r="G5041" s="14" t="s">
        <v>194</v>
      </c>
      <c r="H5041" s="14" t="s">
        <v>192</v>
      </c>
      <c r="I5041" s="14" t="s">
        <v>54</v>
      </c>
      <c r="J5041" s="14" t="s">
        <v>200</v>
      </c>
      <c r="K5041" s="14" t="s">
        <v>223</v>
      </c>
      <c r="L5041" s="14" t="s">
        <v>261</v>
      </c>
      <c r="M5041" s="14" t="s">
        <v>414</v>
      </c>
      <c r="N5041" s="14" t="s">
        <v>415</v>
      </c>
      <c r="O5041" s="14">
        <v>52.0</v>
      </c>
      <c r="P5041" s="23">
        <v>0.0456</v>
      </c>
      <c r="Q5041" s="22" t="str">
        <f>"+4.82%"</f>
        <v>+4.82%</v>
      </c>
      <c r="R5041" s="18" t="str">
        <f>"-10.76%"</f>
        <v>-10.76%</v>
      </c>
      <c r="S5041" s="14" t="s">
        <v>2410</v>
      </c>
    </row>
    <row r="5042">
      <c r="A5042" s="13">
        <v>45901.0</v>
      </c>
      <c r="B5042" s="14" t="s">
        <v>47</v>
      </c>
      <c r="C5042" s="14" t="s">
        <v>48</v>
      </c>
      <c r="D5042" s="14" t="s">
        <v>93</v>
      </c>
      <c r="E5042" s="14" t="s">
        <v>94</v>
      </c>
      <c r="F5042" s="15" t="s">
        <v>51</v>
      </c>
      <c r="G5042" s="14" t="s">
        <v>191</v>
      </c>
      <c r="H5042" s="14" t="s">
        <v>95</v>
      </c>
      <c r="I5042" s="14" t="s">
        <v>59</v>
      </c>
      <c r="J5042" s="14" t="s">
        <v>199</v>
      </c>
      <c r="K5042" s="14" t="s">
        <v>206</v>
      </c>
      <c r="L5042" s="14" t="s">
        <v>268</v>
      </c>
      <c r="M5042" s="14" t="s">
        <v>268</v>
      </c>
      <c r="N5042" s="14" t="s">
        <v>269</v>
      </c>
      <c r="O5042" s="14">
        <v>0.0</v>
      </c>
      <c r="P5042" s="21">
        <v>0.0</v>
      </c>
      <c r="Q5042" s="22" t="str">
        <f t="shared" ref="Q5042:R5042" si="3007">"+0"</f>
        <v>+0</v>
      </c>
      <c r="R5042" s="18" t="str">
        <f t="shared" si="3007"/>
        <v>+0</v>
      </c>
      <c r="S5042" s="14" t="s">
        <v>260</v>
      </c>
    </row>
    <row r="5043">
      <c r="A5043" s="13">
        <v>45901.0</v>
      </c>
      <c r="B5043" s="14" t="s">
        <v>47</v>
      </c>
      <c r="C5043" s="14" t="s">
        <v>48</v>
      </c>
      <c r="D5043" s="14" t="s">
        <v>184</v>
      </c>
      <c r="E5043" s="14" t="s">
        <v>185</v>
      </c>
      <c r="F5043" s="15" t="s">
        <v>51</v>
      </c>
      <c r="G5043" s="14" t="s">
        <v>186</v>
      </c>
      <c r="H5043" s="14" t="s">
        <v>187</v>
      </c>
      <c r="I5043" s="14" t="s">
        <v>59</v>
      </c>
      <c r="J5043" s="14" t="s">
        <v>200</v>
      </c>
      <c r="K5043" s="14" t="s">
        <v>227</v>
      </c>
      <c r="L5043" s="14" t="s">
        <v>253</v>
      </c>
      <c r="M5043" s="14" t="s">
        <v>849</v>
      </c>
      <c r="N5043" s="14" t="s">
        <v>850</v>
      </c>
      <c r="O5043" s="14">
        <v>20.0</v>
      </c>
      <c r="P5043" s="23">
        <v>0.2</v>
      </c>
      <c r="Q5043" s="22" t="str">
        <f t="shared" ref="Q5043:R5043" si="3008">"+0.00%"</f>
        <v>+0.00%</v>
      </c>
      <c r="R5043" s="18" t="str">
        <f t="shared" si="3008"/>
        <v>+0.00%</v>
      </c>
      <c r="S5043" s="14" t="s">
        <v>851</v>
      </c>
    </row>
    <row r="5044">
      <c r="A5044" s="13">
        <v>45901.0</v>
      </c>
      <c r="B5044" s="14" t="s">
        <v>47</v>
      </c>
      <c r="C5044" s="14" t="s">
        <v>48</v>
      </c>
      <c r="D5044" s="14" t="s">
        <v>132</v>
      </c>
      <c r="E5044" s="14" t="s">
        <v>133</v>
      </c>
      <c r="F5044" s="15" t="s">
        <v>51</v>
      </c>
      <c r="G5044" s="14" t="s">
        <v>134</v>
      </c>
      <c r="H5044" s="14" t="s">
        <v>135</v>
      </c>
      <c r="I5044" s="14" t="s">
        <v>59</v>
      </c>
      <c r="J5044" s="14" t="s">
        <v>198</v>
      </c>
      <c r="K5044" s="14" t="s">
        <v>207</v>
      </c>
      <c r="L5044" s="14" t="s">
        <v>318</v>
      </c>
      <c r="M5044" s="14" t="s">
        <v>508</v>
      </c>
      <c r="N5044" s="14" t="s">
        <v>509</v>
      </c>
      <c r="O5044" s="14">
        <v>0.0</v>
      </c>
      <c r="P5044" s="21">
        <v>0.0</v>
      </c>
      <c r="Q5044" s="22" t="str">
        <f>"+0"</f>
        <v>+0</v>
      </c>
      <c r="S5044" s="14" t="s">
        <v>281</v>
      </c>
    </row>
    <row r="5045">
      <c r="A5045" s="13">
        <v>45901.0</v>
      </c>
      <c r="B5045" s="14" t="s">
        <v>47</v>
      </c>
      <c r="C5045" s="14" t="s">
        <v>48</v>
      </c>
      <c r="D5045" s="14" t="s">
        <v>171</v>
      </c>
      <c r="E5045" s="14" t="s">
        <v>172</v>
      </c>
      <c r="F5045" s="15" t="s">
        <v>51</v>
      </c>
      <c r="G5045" s="14" t="s">
        <v>173</v>
      </c>
      <c r="H5045" s="14" t="s">
        <v>171</v>
      </c>
      <c r="I5045" s="14" t="s">
        <v>59</v>
      </c>
      <c r="J5045" s="14" t="s">
        <v>200</v>
      </c>
      <c r="K5045" s="14" t="s">
        <v>209</v>
      </c>
      <c r="L5045" s="14" t="s">
        <v>253</v>
      </c>
      <c r="M5045" s="14" t="s">
        <v>817</v>
      </c>
      <c r="N5045" s="14" t="s">
        <v>818</v>
      </c>
      <c r="O5045" s="14">
        <v>76.0</v>
      </c>
      <c r="P5045" s="23">
        <v>0.7682</v>
      </c>
      <c r="Q5045" s="22" t="str">
        <f t="shared" ref="Q5045:R5045" si="3009">"+0.00%"</f>
        <v>+0.00%</v>
      </c>
      <c r="R5045" s="18" t="str">
        <f t="shared" si="3009"/>
        <v>+0.00%</v>
      </c>
      <c r="S5045" s="14" t="s">
        <v>2411</v>
      </c>
    </row>
    <row r="5046">
      <c r="A5046" s="13">
        <v>45901.0</v>
      </c>
      <c r="B5046" s="14" t="s">
        <v>47</v>
      </c>
      <c r="C5046" s="14" t="s">
        <v>48</v>
      </c>
      <c r="D5046" s="14" t="s">
        <v>136</v>
      </c>
      <c r="E5046" s="14" t="s">
        <v>137</v>
      </c>
      <c r="F5046" s="15" t="s">
        <v>51</v>
      </c>
      <c r="G5046" s="14" t="s">
        <v>138</v>
      </c>
      <c r="H5046" s="14" t="s">
        <v>139</v>
      </c>
      <c r="I5046" s="14" t="s">
        <v>59</v>
      </c>
      <c r="J5046" s="14" t="s">
        <v>200</v>
      </c>
      <c r="K5046" s="14" t="s">
        <v>202</v>
      </c>
      <c r="L5046" s="14" t="s">
        <v>253</v>
      </c>
      <c r="M5046" s="14" t="s">
        <v>347</v>
      </c>
      <c r="N5046" s="14" t="s">
        <v>348</v>
      </c>
      <c r="O5046" s="14">
        <v>19.0</v>
      </c>
      <c r="P5046" s="23">
        <v>0.2</v>
      </c>
      <c r="Q5046" s="22" t="str">
        <f t="shared" ref="Q5046:R5046" si="3010">"+0.00%"</f>
        <v>+0.00%</v>
      </c>
      <c r="R5046" s="18" t="str">
        <f t="shared" si="3010"/>
        <v>+0.00%</v>
      </c>
      <c r="S5046" s="14" t="s">
        <v>2322</v>
      </c>
    </row>
    <row r="5047">
      <c r="A5047" s="13">
        <v>45901.0</v>
      </c>
      <c r="B5047" s="14" t="s">
        <v>47</v>
      </c>
      <c r="C5047" s="14" t="s">
        <v>48</v>
      </c>
      <c r="D5047" s="14" t="s">
        <v>149</v>
      </c>
      <c r="E5047" s="14" t="s">
        <v>150</v>
      </c>
      <c r="F5047" s="15" t="s">
        <v>51</v>
      </c>
      <c r="G5047" s="14" t="s">
        <v>151</v>
      </c>
      <c r="H5047" s="14" t="s">
        <v>152</v>
      </c>
      <c r="I5047" s="14" t="s">
        <v>54</v>
      </c>
      <c r="J5047" s="14" t="s">
        <v>198</v>
      </c>
      <c r="K5047" s="14" t="s">
        <v>210</v>
      </c>
      <c r="L5047" s="14" t="s">
        <v>505</v>
      </c>
      <c r="M5047" s="14" t="s">
        <v>1475</v>
      </c>
      <c r="N5047" s="14" t="s">
        <v>1476</v>
      </c>
      <c r="O5047" s="14">
        <v>0.0</v>
      </c>
      <c r="P5047" s="21">
        <v>0.0</v>
      </c>
      <c r="Q5047" s="22" t="str">
        <f t="shared" ref="Q5047:R5047" si="3011">"+0"</f>
        <v>+0</v>
      </c>
      <c r="R5047" s="18" t="str">
        <f t="shared" si="3011"/>
        <v>+0</v>
      </c>
      <c r="S5047" s="14" t="s">
        <v>277</v>
      </c>
    </row>
    <row r="5048">
      <c r="A5048" s="13">
        <v>45901.0</v>
      </c>
      <c r="B5048" s="14" t="s">
        <v>47</v>
      </c>
      <c r="C5048" s="14" t="s">
        <v>48</v>
      </c>
      <c r="D5048" s="14" t="s">
        <v>85</v>
      </c>
      <c r="E5048" s="14" t="s">
        <v>86</v>
      </c>
      <c r="F5048" s="14" t="s">
        <v>71</v>
      </c>
      <c r="G5048" s="14">
        <v>88285.0</v>
      </c>
      <c r="H5048" s="14" t="s">
        <v>85</v>
      </c>
      <c r="I5048" s="14" t="s">
        <v>59</v>
      </c>
      <c r="J5048" s="14" t="s">
        <v>199</v>
      </c>
      <c r="K5048" s="14" t="s">
        <v>206</v>
      </c>
      <c r="L5048" s="14" t="s">
        <v>295</v>
      </c>
      <c r="M5048" s="14" t="s">
        <v>529</v>
      </c>
      <c r="N5048" s="14" t="s">
        <v>530</v>
      </c>
      <c r="O5048" s="14">
        <v>100.0</v>
      </c>
      <c r="P5048" s="21">
        <v>1.0</v>
      </c>
      <c r="Q5048" s="22" t="str">
        <f t="shared" ref="Q5048:R5048" si="3012">"+0"</f>
        <v>+0</v>
      </c>
      <c r="R5048" s="18" t="str">
        <f t="shared" si="3012"/>
        <v>+0</v>
      </c>
      <c r="S5048" s="14" t="s">
        <v>260</v>
      </c>
    </row>
    <row r="5049">
      <c r="A5049" s="13">
        <v>45901.0</v>
      </c>
      <c r="B5049" s="14" t="s">
        <v>47</v>
      </c>
      <c r="C5049" s="14" t="s">
        <v>48</v>
      </c>
      <c r="D5049" s="14" t="s">
        <v>96</v>
      </c>
      <c r="E5049" s="14" t="s">
        <v>97</v>
      </c>
      <c r="F5049" s="15" t="s">
        <v>51</v>
      </c>
      <c r="G5049" s="14" t="s">
        <v>98</v>
      </c>
      <c r="H5049" s="14" t="s">
        <v>96</v>
      </c>
      <c r="I5049" s="14" t="s">
        <v>59</v>
      </c>
      <c r="J5049" s="14" t="s">
        <v>200</v>
      </c>
      <c r="K5049" s="14" t="s">
        <v>223</v>
      </c>
      <c r="L5049" s="14" t="s">
        <v>705</v>
      </c>
      <c r="M5049" s="14" t="s">
        <v>706</v>
      </c>
      <c r="N5049" s="14" t="s">
        <v>707</v>
      </c>
      <c r="O5049" s="14">
        <v>100.0</v>
      </c>
      <c r="P5049" s="21">
        <v>1.0</v>
      </c>
      <c r="Q5049" s="22" t="str">
        <f t="shared" ref="Q5049:R5049" si="3013">"+0"</f>
        <v>+0</v>
      </c>
      <c r="R5049" s="18" t="str">
        <f t="shared" si="3013"/>
        <v>+0</v>
      </c>
      <c r="S5049" s="14" t="s">
        <v>260</v>
      </c>
    </row>
    <row r="5050">
      <c r="A5050" s="13">
        <v>45901.0</v>
      </c>
      <c r="B5050" s="14" t="s">
        <v>47</v>
      </c>
      <c r="C5050" s="14" t="s">
        <v>48</v>
      </c>
      <c r="D5050" s="14" t="s">
        <v>77</v>
      </c>
      <c r="E5050" s="14" t="s">
        <v>78</v>
      </c>
      <c r="F5050" s="15" t="s">
        <v>51</v>
      </c>
      <c r="G5050" s="14" t="s">
        <v>128</v>
      </c>
      <c r="H5050" s="14" t="s">
        <v>81</v>
      </c>
      <c r="I5050" s="14" t="s">
        <v>59</v>
      </c>
      <c r="J5050" s="14" t="s">
        <v>199</v>
      </c>
      <c r="K5050" s="14" t="s">
        <v>203</v>
      </c>
      <c r="L5050" s="14" t="s">
        <v>725</v>
      </c>
      <c r="M5050" s="14" t="s">
        <v>725</v>
      </c>
      <c r="N5050" s="14" t="s">
        <v>726</v>
      </c>
      <c r="O5050" s="14">
        <v>0.0</v>
      </c>
      <c r="P5050" s="21">
        <v>0.0</v>
      </c>
      <c r="Q5050" s="22" t="str">
        <f t="shared" ref="Q5050:R5050" si="3014">"+0"</f>
        <v>+0</v>
      </c>
      <c r="R5050" s="18" t="str">
        <f t="shared" si="3014"/>
        <v>+0</v>
      </c>
      <c r="S5050" s="14" t="s">
        <v>260</v>
      </c>
    </row>
    <row r="5051">
      <c r="A5051" s="13">
        <v>45901.0</v>
      </c>
      <c r="B5051" s="14" t="s">
        <v>47</v>
      </c>
      <c r="C5051" s="14" t="s">
        <v>48</v>
      </c>
      <c r="D5051" s="14" t="s">
        <v>174</v>
      </c>
      <c r="E5051" s="14" t="s">
        <v>175</v>
      </c>
      <c r="F5051" s="15" t="s">
        <v>51</v>
      </c>
      <c r="G5051" s="14" t="s">
        <v>176</v>
      </c>
      <c r="H5051" s="14" t="s">
        <v>174</v>
      </c>
      <c r="I5051" s="14" t="s">
        <v>59</v>
      </c>
      <c r="J5051" s="14" t="s">
        <v>198</v>
      </c>
      <c r="K5051" s="14" t="s">
        <v>205</v>
      </c>
      <c r="L5051" s="14" t="s">
        <v>274</v>
      </c>
      <c r="M5051" s="14" t="s">
        <v>791</v>
      </c>
      <c r="N5051" s="14" t="s">
        <v>792</v>
      </c>
      <c r="O5051" s="14">
        <v>100.0</v>
      </c>
      <c r="P5051" s="21">
        <v>5.0</v>
      </c>
      <c r="Q5051" s="22" t="str">
        <f t="shared" ref="Q5051:Q5052" si="3015">"+0"</f>
        <v>+0</v>
      </c>
      <c r="S5051" s="14" t="s">
        <v>260</v>
      </c>
    </row>
    <row r="5052">
      <c r="A5052" s="13">
        <v>45901.0</v>
      </c>
      <c r="B5052" s="14" t="s">
        <v>47</v>
      </c>
      <c r="C5052" s="14" t="s">
        <v>48</v>
      </c>
      <c r="D5052" s="14" t="s">
        <v>158</v>
      </c>
      <c r="E5052" s="14" t="s">
        <v>159</v>
      </c>
      <c r="F5052" s="15" t="s">
        <v>51</v>
      </c>
      <c r="G5052" s="14" t="s">
        <v>160</v>
      </c>
      <c r="H5052" s="14" t="s">
        <v>158</v>
      </c>
      <c r="I5052" s="14" t="s">
        <v>54</v>
      </c>
      <c r="J5052" s="14" t="s">
        <v>198</v>
      </c>
      <c r="K5052" s="14" t="s">
        <v>212</v>
      </c>
      <c r="L5052" s="14" t="s">
        <v>249</v>
      </c>
      <c r="M5052" s="14" t="s">
        <v>1149</v>
      </c>
      <c r="N5052" s="14" t="s">
        <v>1150</v>
      </c>
      <c r="O5052" s="14">
        <v>0.0</v>
      </c>
      <c r="P5052" s="21">
        <v>0.0</v>
      </c>
      <c r="Q5052" s="22" t="str">
        <f t="shared" si="3015"/>
        <v>+0</v>
      </c>
      <c r="R5052" s="18" t="str">
        <f>"+0"</f>
        <v>+0</v>
      </c>
      <c r="S5052" s="14" t="s">
        <v>277</v>
      </c>
    </row>
    <row r="5053">
      <c r="A5053" s="13">
        <v>45901.0</v>
      </c>
      <c r="B5053" s="14" t="s">
        <v>47</v>
      </c>
      <c r="C5053" s="14" t="s">
        <v>48</v>
      </c>
      <c r="D5053" s="14" t="s">
        <v>174</v>
      </c>
      <c r="E5053" s="14" t="s">
        <v>175</v>
      </c>
      <c r="F5053" s="15" t="s">
        <v>51</v>
      </c>
      <c r="G5053" s="14" t="s">
        <v>176</v>
      </c>
      <c r="H5053" s="14" t="s">
        <v>174</v>
      </c>
      <c r="I5053" s="14" t="s">
        <v>59</v>
      </c>
      <c r="J5053" s="14" t="s">
        <v>200</v>
      </c>
      <c r="K5053" s="14" t="s">
        <v>213</v>
      </c>
      <c r="L5053" s="14" t="s">
        <v>257</v>
      </c>
      <c r="M5053" s="14" t="s">
        <v>298</v>
      </c>
      <c r="N5053" s="14" t="s">
        <v>299</v>
      </c>
      <c r="O5053" s="14">
        <v>1.0</v>
      </c>
      <c r="P5053" s="23">
        <v>0.003</v>
      </c>
      <c r="Q5053" s="22" t="str">
        <f>"+0.00%"</f>
        <v>+0.00%</v>
      </c>
      <c r="R5053" s="18" t="str">
        <f>"+0.01%"</f>
        <v>+0.01%</v>
      </c>
      <c r="S5053" s="14" t="s">
        <v>2412</v>
      </c>
    </row>
    <row r="5054">
      <c r="A5054" s="13">
        <v>45901.0</v>
      </c>
      <c r="B5054" s="14" t="s">
        <v>47</v>
      </c>
      <c r="C5054" s="14" t="s">
        <v>48</v>
      </c>
      <c r="D5054" s="14" t="s">
        <v>77</v>
      </c>
      <c r="E5054" s="14" t="s">
        <v>78</v>
      </c>
      <c r="F5054" s="14" t="s">
        <v>71</v>
      </c>
      <c r="G5054" s="14">
        <v>5.36009043E8</v>
      </c>
      <c r="H5054" s="14" t="s">
        <v>81</v>
      </c>
      <c r="J5054" s="14" t="s">
        <v>200</v>
      </c>
      <c r="K5054" s="14" t="s">
        <v>218</v>
      </c>
      <c r="L5054" s="14" t="s">
        <v>253</v>
      </c>
      <c r="M5054" s="14" t="s">
        <v>1202</v>
      </c>
      <c r="N5054" s="14" t="s">
        <v>1203</v>
      </c>
      <c r="O5054" s="14">
        <v>1.0</v>
      </c>
      <c r="P5054" s="23">
        <v>0.0011</v>
      </c>
      <c r="Q5054" s="22" t="str">
        <f>"+0.08%"</f>
        <v>+0.08%</v>
      </c>
      <c r="S5054" s="14" t="s">
        <v>2413</v>
      </c>
    </row>
    <row r="5055">
      <c r="A5055" s="13">
        <v>45901.0</v>
      </c>
      <c r="B5055" s="14" t="s">
        <v>47</v>
      </c>
      <c r="C5055" s="14" t="s">
        <v>48</v>
      </c>
      <c r="D5055" s="14" t="s">
        <v>77</v>
      </c>
      <c r="E5055" s="14" t="s">
        <v>78</v>
      </c>
      <c r="F5055" s="15" t="s">
        <v>51</v>
      </c>
      <c r="G5055" s="14" t="s">
        <v>128</v>
      </c>
      <c r="H5055" s="14" t="s">
        <v>81</v>
      </c>
      <c r="I5055" s="14" t="s">
        <v>59</v>
      </c>
      <c r="J5055" s="14" t="s">
        <v>200</v>
      </c>
      <c r="K5055" s="14" t="s">
        <v>223</v>
      </c>
      <c r="L5055" s="14" t="s">
        <v>607</v>
      </c>
      <c r="M5055" s="14" t="s">
        <v>1027</v>
      </c>
      <c r="N5055" s="14" t="s">
        <v>1028</v>
      </c>
      <c r="O5055" s="14">
        <v>0.0</v>
      </c>
      <c r="P5055" s="23">
        <v>-1.0</v>
      </c>
      <c r="Q5055" s="22" t="str">
        <f t="shared" ref="Q5055:R5055" si="3016">"+0.00%"</f>
        <v>+0.00%</v>
      </c>
      <c r="R5055" s="18" t="str">
        <f t="shared" si="3016"/>
        <v>+0.00%</v>
      </c>
      <c r="S5055" s="14" t="s">
        <v>2414</v>
      </c>
    </row>
    <row r="5056">
      <c r="A5056" s="13">
        <v>45901.0</v>
      </c>
      <c r="B5056" s="14" t="s">
        <v>47</v>
      </c>
      <c r="C5056" s="14" t="s">
        <v>48</v>
      </c>
      <c r="D5056" s="14" t="s">
        <v>77</v>
      </c>
      <c r="E5056" s="14" t="s">
        <v>78</v>
      </c>
      <c r="F5056" s="15" t="s">
        <v>51</v>
      </c>
      <c r="G5056" s="14" t="s">
        <v>128</v>
      </c>
      <c r="H5056" s="14" t="s">
        <v>81</v>
      </c>
      <c r="I5056" s="14" t="s">
        <v>59</v>
      </c>
      <c r="J5056" s="14" t="s">
        <v>200</v>
      </c>
      <c r="K5056" s="14" t="s">
        <v>223</v>
      </c>
      <c r="L5056" s="14" t="s">
        <v>607</v>
      </c>
      <c r="M5056" s="14" t="s">
        <v>758</v>
      </c>
      <c r="N5056" s="14" t="s">
        <v>759</v>
      </c>
      <c r="O5056" s="14">
        <v>0.0</v>
      </c>
      <c r="P5056" s="23">
        <v>-1.0</v>
      </c>
      <c r="Q5056" s="22" t="str">
        <f t="shared" ref="Q5056:R5056" si="3017">"+0.00%"</f>
        <v>+0.00%</v>
      </c>
      <c r="R5056" s="18" t="str">
        <f t="shared" si="3017"/>
        <v>+0.00%</v>
      </c>
      <c r="S5056" s="14" t="s">
        <v>2415</v>
      </c>
    </row>
    <row r="5057">
      <c r="A5057" s="13">
        <v>45901.0</v>
      </c>
      <c r="B5057" s="14" t="s">
        <v>47</v>
      </c>
      <c r="C5057" s="14" t="s">
        <v>48</v>
      </c>
      <c r="D5057" s="14" t="s">
        <v>165</v>
      </c>
      <c r="E5057" s="14" t="s">
        <v>166</v>
      </c>
      <c r="F5057" s="15" t="s">
        <v>51</v>
      </c>
      <c r="G5057" s="14" t="s">
        <v>167</v>
      </c>
      <c r="H5057" s="14" t="s">
        <v>165</v>
      </c>
      <c r="I5057" s="14" t="s">
        <v>54</v>
      </c>
      <c r="J5057" s="14" t="s">
        <v>200</v>
      </c>
      <c r="K5057" s="14" t="s">
        <v>214</v>
      </c>
      <c r="L5057" s="14" t="s">
        <v>253</v>
      </c>
      <c r="M5057" s="14" t="s">
        <v>389</v>
      </c>
      <c r="N5057" s="14" t="s">
        <v>390</v>
      </c>
      <c r="O5057" s="14">
        <v>14.0</v>
      </c>
      <c r="P5057" s="23">
        <v>0.1432</v>
      </c>
      <c r="Q5057" s="22" t="str">
        <f>"+0.76%"</f>
        <v>+0.76%</v>
      </c>
      <c r="R5057" s="18" t="str">
        <f>"-0.22%"</f>
        <v>-0.22%</v>
      </c>
      <c r="S5057" s="14" t="s">
        <v>1787</v>
      </c>
    </row>
    <row r="5058">
      <c r="A5058" s="13">
        <v>45901.0</v>
      </c>
      <c r="B5058" s="14" t="s">
        <v>47</v>
      </c>
      <c r="C5058" s="14" t="s">
        <v>48</v>
      </c>
      <c r="D5058" s="14" t="s">
        <v>165</v>
      </c>
      <c r="E5058" s="14" t="s">
        <v>166</v>
      </c>
      <c r="F5058" s="15" t="s">
        <v>51</v>
      </c>
      <c r="G5058" s="14" t="s">
        <v>167</v>
      </c>
      <c r="H5058" s="14" t="s">
        <v>165</v>
      </c>
      <c r="I5058" s="14" t="s">
        <v>54</v>
      </c>
      <c r="J5058" s="14" t="s">
        <v>199</v>
      </c>
      <c r="K5058" s="14" t="s">
        <v>206</v>
      </c>
      <c r="L5058" s="14" t="s">
        <v>531</v>
      </c>
      <c r="M5058" s="14" t="s">
        <v>531</v>
      </c>
      <c r="N5058" s="14" t="s">
        <v>532</v>
      </c>
      <c r="O5058" s="14">
        <v>100.0</v>
      </c>
      <c r="P5058" s="21">
        <v>9.0</v>
      </c>
      <c r="Q5058" s="22" t="str">
        <f t="shared" ref="Q5058:R5058" si="3018">"+0"</f>
        <v>+0</v>
      </c>
      <c r="R5058" s="18" t="str">
        <f t="shared" si="3018"/>
        <v>+0</v>
      </c>
      <c r="S5058" s="14" t="s">
        <v>260</v>
      </c>
    </row>
    <row r="5059">
      <c r="A5059" s="13">
        <v>45901.0</v>
      </c>
      <c r="B5059" s="14" t="s">
        <v>47</v>
      </c>
      <c r="C5059" s="14" t="s">
        <v>48</v>
      </c>
      <c r="D5059" s="14" t="s">
        <v>91</v>
      </c>
      <c r="E5059" s="14" t="s">
        <v>92</v>
      </c>
      <c r="F5059" s="15" t="s">
        <v>51</v>
      </c>
      <c r="G5059" s="14" t="s">
        <v>163</v>
      </c>
      <c r="H5059" s="14" t="s">
        <v>91</v>
      </c>
      <c r="I5059" s="14" t="s">
        <v>59</v>
      </c>
      <c r="J5059" s="14" t="s">
        <v>200</v>
      </c>
      <c r="K5059" s="14" t="s">
        <v>223</v>
      </c>
      <c r="L5059" s="14" t="s">
        <v>257</v>
      </c>
      <c r="M5059" s="14" t="s">
        <v>499</v>
      </c>
      <c r="N5059" s="14" t="s">
        <v>500</v>
      </c>
      <c r="O5059" s="14">
        <v>0.0</v>
      </c>
      <c r="P5059" s="23">
        <v>0.0</v>
      </c>
      <c r="Q5059" s="22" t="str">
        <f t="shared" ref="Q5059:R5059" si="3019">"+0.00%"</f>
        <v>+0.00%</v>
      </c>
      <c r="R5059" s="18" t="str">
        <f t="shared" si="3019"/>
        <v>+0.00%</v>
      </c>
      <c r="S5059" s="14" t="s">
        <v>2416</v>
      </c>
    </row>
    <row r="5060">
      <c r="A5060" s="13">
        <v>45901.0</v>
      </c>
      <c r="B5060" s="14" t="s">
        <v>47</v>
      </c>
      <c r="C5060" s="14" t="s">
        <v>48</v>
      </c>
      <c r="D5060" s="14" t="s">
        <v>99</v>
      </c>
      <c r="E5060" s="14" t="s">
        <v>100</v>
      </c>
      <c r="F5060" s="15" t="s">
        <v>51</v>
      </c>
      <c r="G5060" s="14" t="s">
        <v>101</v>
      </c>
      <c r="H5060" s="14" t="s">
        <v>102</v>
      </c>
      <c r="I5060" s="14" t="s">
        <v>54</v>
      </c>
      <c r="J5060" s="14" t="s">
        <v>200</v>
      </c>
      <c r="K5060" s="14" t="s">
        <v>219</v>
      </c>
      <c r="L5060" s="14" t="s">
        <v>253</v>
      </c>
      <c r="M5060" s="14" t="s">
        <v>899</v>
      </c>
      <c r="N5060" s="14" t="s">
        <v>900</v>
      </c>
      <c r="O5060" s="14">
        <v>0.0</v>
      </c>
      <c r="P5060" s="23">
        <v>0.0</v>
      </c>
      <c r="Q5060" s="22" t="str">
        <f t="shared" ref="Q5060:R5060" si="3020">"+0.00%"</f>
        <v>+0.00%</v>
      </c>
      <c r="R5060" s="18" t="str">
        <f t="shared" si="3020"/>
        <v>+0.00%</v>
      </c>
      <c r="S5060" s="14" t="s">
        <v>285</v>
      </c>
    </row>
    <row r="5061">
      <c r="A5061" s="13">
        <v>45901.0</v>
      </c>
      <c r="B5061" s="14" t="s">
        <v>47</v>
      </c>
      <c r="C5061" s="14" t="s">
        <v>48</v>
      </c>
      <c r="D5061" s="14" t="s">
        <v>99</v>
      </c>
      <c r="E5061" s="14" t="s">
        <v>100</v>
      </c>
      <c r="F5061" s="15" t="s">
        <v>51</v>
      </c>
      <c r="G5061" s="14" t="s">
        <v>101</v>
      </c>
      <c r="H5061" s="14" t="s">
        <v>102</v>
      </c>
      <c r="I5061" s="14" t="s">
        <v>54</v>
      </c>
      <c r="J5061" s="14" t="s">
        <v>200</v>
      </c>
      <c r="K5061" s="14" t="s">
        <v>213</v>
      </c>
      <c r="L5061" s="14" t="s">
        <v>591</v>
      </c>
      <c r="M5061" s="14" t="s">
        <v>592</v>
      </c>
      <c r="N5061" s="14" t="s">
        <v>1048</v>
      </c>
      <c r="O5061" s="14">
        <v>0.0</v>
      </c>
      <c r="P5061" s="23">
        <v>0.0</v>
      </c>
      <c r="Q5061" s="22" t="str">
        <f t="shared" ref="Q5061:R5061" si="3021">"+0.00%"</f>
        <v>+0.00%</v>
      </c>
      <c r="R5061" s="18" t="str">
        <f t="shared" si="3021"/>
        <v>+0.00%</v>
      </c>
      <c r="S5061" s="14" t="s">
        <v>285</v>
      </c>
    </row>
    <row r="5062">
      <c r="A5062" s="13">
        <v>45901.0</v>
      </c>
      <c r="B5062" s="14" t="s">
        <v>47</v>
      </c>
      <c r="C5062" s="14" t="s">
        <v>48</v>
      </c>
      <c r="D5062" s="14" t="s">
        <v>99</v>
      </c>
      <c r="E5062" s="14" t="s">
        <v>100</v>
      </c>
      <c r="F5062" s="15" t="s">
        <v>51</v>
      </c>
      <c r="G5062" s="14" t="s">
        <v>101</v>
      </c>
      <c r="H5062" s="14" t="s">
        <v>102</v>
      </c>
      <c r="I5062" s="14" t="s">
        <v>54</v>
      </c>
      <c r="J5062" s="14" t="s">
        <v>198</v>
      </c>
      <c r="K5062" s="14" t="s">
        <v>210</v>
      </c>
      <c r="L5062" s="14" t="s">
        <v>458</v>
      </c>
      <c r="M5062" s="14" t="s">
        <v>620</v>
      </c>
      <c r="N5062" s="14" t="s">
        <v>621</v>
      </c>
      <c r="O5062" s="14">
        <v>0.0</v>
      </c>
      <c r="P5062" s="21">
        <v>0.0</v>
      </c>
      <c r="Q5062" s="22" t="str">
        <f t="shared" ref="Q5062:R5062" si="3022">"+0"</f>
        <v>+0</v>
      </c>
      <c r="R5062" s="18" t="str">
        <f t="shared" si="3022"/>
        <v>+0</v>
      </c>
      <c r="S5062" s="14" t="s">
        <v>277</v>
      </c>
    </row>
    <row r="5063">
      <c r="A5063" s="13">
        <v>45901.0</v>
      </c>
      <c r="B5063" s="14" t="s">
        <v>47</v>
      </c>
      <c r="C5063" s="14" t="s">
        <v>48</v>
      </c>
      <c r="D5063" s="14" t="s">
        <v>91</v>
      </c>
      <c r="E5063" s="14" t="s">
        <v>92</v>
      </c>
      <c r="F5063" s="15" t="s">
        <v>51</v>
      </c>
      <c r="G5063" s="14" t="s">
        <v>163</v>
      </c>
      <c r="H5063" s="14" t="s">
        <v>91</v>
      </c>
      <c r="I5063" s="14" t="s">
        <v>59</v>
      </c>
      <c r="J5063" s="14" t="s">
        <v>200</v>
      </c>
      <c r="K5063" s="14" t="s">
        <v>223</v>
      </c>
      <c r="L5063" s="14" t="s">
        <v>282</v>
      </c>
      <c r="M5063" s="14" t="s">
        <v>283</v>
      </c>
      <c r="N5063" s="14" t="s">
        <v>284</v>
      </c>
      <c r="O5063" s="14">
        <v>0.0</v>
      </c>
      <c r="P5063" s="23">
        <v>0.0</v>
      </c>
      <c r="Q5063" s="22" t="str">
        <f t="shared" ref="Q5063:R5063" si="3023">"+0.00%"</f>
        <v>+0.00%</v>
      </c>
      <c r="R5063" s="18" t="str">
        <f t="shared" si="3023"/>
        <v>+0.00%</v>
      </c>
      <c r="S5063" s="14" t="s">
        <v>285</v>
      </c>
    </row>
    <row r="5064">
      <c r="A5064" s="13">
        <v>45901.0</v>
      </c>
      <c r="B5064" s="14" t="s">
        <v>47</v>
      </c>
      <c r="C5064" s="14" t="s">
        <v>48</v>
      </c>
      <c r="D5064" s="14" t="s">
        <v>99</v>
      </c>
      <c r="E5064" s="14" t="s">
        <v>100</v>
      </c>
      <c r="F5064" s="15" t="s">
        <v>51</v>
      </c>
      <c r="G5064" s="14" t="s">
        <v>101</v>
      </c>
      <c r="H5064" s="14" t="s">
        <v>102</v>
      </c>
      <c r="I5064" s="14" t="s">
        <v>54</v>
      </c>
      <c r="J5064" s="14" t="s">
        <v>200</v>
      </c>
      <c r="K5064" s="14" t="s">
        <v>222</v>
      </c>
      <c r="L5064" s="14" t="s">
        <v>253</v>
      </c>
      <c r="M5064" s="14" t="s">
        <v>732</v>
      </c>
      <c r="N5064" s="14" t="s">
        <v>733</v>
      </c>
      <c r="O5064" s="14">
        <v>100.0</v>
      </c>
      <c r="P5064" s="21">
        <v>2.0</v>
      </c>
      <c r="Q5064" s="22" t="str">
        <f t="shared" ref="Q5064:R5064" si="3024">"+1"</f>
        <v>+1</v>
      </c>
      <c r="R5064" s="18" t="str">
        <f t="shared" si="3024"/>
        <v>+1</v>
      </c>
      <c r="S5064" s="14" t="s">
        <v>450</v>
      </c>
    </row>
    <row r="5065">
      <c r="A5065" s="13">
        <v>45901.0</v>
      </c>
      <c r="B5065" s="14" t="s">
        <v>47</v>
      </c>
      <c r="C5065" s="14" t="s">
        <v>48</v>
      </c>
      <c r="D5065" s="14" t="s">
        <v>91</v>
      </c>
      <c r="E5065" s="14" t="s">
        <v>92</v>
      </c>
      <c r="F5065" s="15" t="s">
        <v>51</v>
      </c>
      <c r="G5065" s="14" t="s">
        <v>163</v>
      </c>
      <c r="H5065" s="14" t="s">
        <v>91</v>
      </c>
      <c r="I5065" s="14" t="s">
        <v>59</v>
      </c>
      <c r="J5065" s="14" t="s">
        <v>199</v>
      </c>
      <c r="K5065" s="14" t="s">
        <v>206</v>
      </c>
      <c r="L5065" s="14" t="s">
        <v>569</v>
      </c>
      <c r="M5065" s="14" t="s">
        <v>569</v>
      </c>
      <c r="N5065" s="14" t="s">
        <v>570</v>
      </c>
      <c r="O5065" s="14">
        <v>100.0</v>
      </c>
      <c r="P5065" s="21">
        <v>10.0</v>
      </c>
      <c r="Q5065" s="22" t="str">
        <f>"-2"</f>
        <v>-2</v>
      </c>
      <c r="R5065" s="18" t="str">
        <f>"-7"</f>
        <v>-7</v>
      </c>
      <c r="S5065" s="14" t="s">
        <v>383</v>
      </c>
    </row>
    <row r="5066">
      <c r="A5066" s="13">
        <v>45901.0</v>
      </c>
      <c r="B5066" s="14" t="s">
        <v>47</v>
      </c>
      <c r="C5066" s="14" t="s">
        <v>48</v>
      </c>
      <c r="D5066" s="14" t="s">
        <v>184</v>
      </c>
      <c r="E5066" s="14" t="s">
        <v>185</v>
      </c>
      <c r="F5066" s="15" t="s">
        <v>51</v>
      </c>
      <c r="G5066" s="14" t="s">
        <v>186</v>
      </c>
      <c r="H5066" s="14" t="s">
        <v>187</v>
      </c>
      <c r="I5066" s="14" t="s">
        <v>59</v>
      </c>
      <c r="J5066" s="14" t="s">
        <v>198</v>
      </c>
      <c r="K5066" s="14" t="s">
        <v>207</v>
      </c>
      <c r="L5066" s="14" t="s">
        <v>318</v>
      </c>
      <c r="M5066" s="14" t="s">
        <v>508</v>
      </c>
      <c r="N5066" s="14" t="s">
        <v>509</v>
      </c>
      <c r="O5066" s="14">
        <v>0.0</v>
      </c>
      <c r="P5066" s="21">
        <v>0.0</v>
      </c>
      <c r="Q5066" s="22" t="str">
        <f t="shared" ref="Q5066:Q5068" si="3025">"+0"</f>
        <v>+0</v>
      </c>
      <c r="S5066" s="14" t="s">
        <v>281</v>
      </c>
    </row>
    <row r="5067">
      <c r="A5067" s="13">
        <v>45901.0</v>
      </c>
      <c r="B5067" s="14" t="s">
        <v>47</v>
      </c>
      <c r="C5067" s="14" t="s">
        <v>48</v>
      </c>
      <c r="D5067" s="14" t="s">
        <v>66</v>
      </c>
      <c r="E5067" s="14" t="s">
        <v>67</v>
      </c>
      <c r="F5067" s="15" t="s">
        <v>51</v>
      </c>
      <c r="G5067" s="14" t="s">
        <v>68</v>
      </c>
      <c r="H5067" s="14" t="s">
        <v>66</v>
      </c>
      <c r="I5067" s="14" t="s">
        <v>59</v>
      </c>
      <c r="J5067" s="14" t="s">
        <v>200</v>
      </c>
      <c r="K5067" s="14" t="s">
        <v>231</v>
      </c>
      <c r="L5067" s="14" t="s">
        <v>512</v>
      </c>
      <c r="M5067" s="14" t="s">
        <v>1810</v>
      </c>
      <c r="N5067" s="14" t="s">
        <v>1811</v>
      </c>
      <c r="O5067" s="14">
        <v>0.0</v>
      </c>
      <c r="P5067" s="21">
        <v>0.0</v>
      </c>
      <c r="Q5067" s="22" t="str">
        <f t="shared" si="3025"/>
        <v>+0</v>
      </c>
      <c r="R5067" s="18" t="str">
        <f t="shared" ref="R5067:R5068" si="3026">"+0"</f>
        <v>+0</v>
      </c>
      <c r="S5067" s="14" t="s">
        <v>260</v>
      </c>
    </row>
    <row r="5068">
      <c r="A5068" s="13">
        <v>45901.0</v>
      </c>
      <c r="B5068" s="14" t="s">
        <v>47</v>
      </c>
      <c r="C5068" s="14" t="s">
        <v>48</v>
      </c>
      <c r="D5068" s="14" t="s">
        <v>192</v>
      </c>
      <c r="E5068" s="14" t="s">
        <v>193</v>
      </c>
      <c r="F5068" s="15" t="s">
        <v>51</v>
      </c>
      <c r="G5068" s="14" t="s">
        <v>194</v>
      </c>
      <c r="H5068" s="14" t="s">
        <v>192</v>
      </c>
      <c r="I5068" s="14" t="s">
        <v>54</v>
      </c>
      <c r="J5068" s="14" t="s">
        <v>198</v>
      </c>
      <c r="K5068" s="14" t="s">
        <v>210</v>
      </c>
      <c r="L5068" s="14" t="s">
        <v>264</v>
      </c>
      <c r="M5068" s="14" t="s">
        <v>1210</v>
      </c>
      <c r="N5068" s="14" t="s">
        <v>1211</v>
      </c>
      <c r="O5068" s="14">
        <v>0.0</v>
      </c>
      <c r="P5068" s="21">
        <v>0.0</v>
      </c>
      <c r="Q5068" s="22" t="str">
        <f t="shared" si="3025"/>
        <v>+0</v>
      </c>
      <c r="R5068" s="18" t="str">
        <f t="shared" si="3026"/>
        <v>+0</v>
      </c>
      <c r="S5068" s="14" t="s">
        <v>277</v>
      </c>
    </row>
    <row r="5069">
      <c r="A5069" s="13">
        <v>45901.0</v>
      </c>
      <c r="B5069" s="14" t="s">
        <v>47</v>
      </c>
      <c r="C5069" s="14" t="s">
        <v>48</v>
      </c>
      <c r="D5069" s="14" t="s">
        <v>143</v>
      </c>
      <c r="E5069" s="14" t="s">
        <v>144</v>
      </c>
      <c r="F5069" s="15" t="s">
        <v>51</v>
      </c>
      <c r="G5069" s="14" t="s">
        <v>145</v>
      </c>
      <c r="H5069" s="14" t="s">
        <v>143</v>
      </c>
      <c r="I5069" s="14" t="s">
        <v>59</v>
      </c>
      <c r="J5069" s="14" t="s">
        <v>200</v>
      </c>
      <c r="K5069" s="14" t="s">
        <v>232</v>
      </c>
      <c r="L5069" s="14" t="s">
        <v>607</v>
      </c>
      <c r="M5069" s="14" t="s">
        <v>1027</v>
      </c>
      <c r="N5069" s="14" t="s">
        <v>1028</v>
      </c>
      <c r="O5069" s="14">
        <v>54.0</v>
      </c>
      <c r="P5069" s="23">
        <v>0.0909</v>
      </c>
      <c r="Q5069" s="22" t="str">
        <f>"+109.09%"</f>
        <v>+109.09%</v>
      </c>
      <c r="R5069" s="18" t="str">
        <f>"-40.91%"</f>
        <v>-40.91%</v>
      </c>
      <c r="S5069" s="14" t="s">
        <v>2417</v>
      </c>
    </row>
    <row r="5070">
      <c r="A5070" s="13">
        <v>45901.0</v>
      </c>
      <c r="B5070" s="14" t="s">
        <v>47</v>
      </c>
      <c r="C5070" s="14" t="s">
        <v>48</v>
      </c>
      <c r="D5070" s="14" t="s">
        <v>132</v>
      </c>
      <c r="E5070" s="14" t="s">
        <v>133</v>
      </c>
      <c r="F5070" s="15" t="s">
        <v>51</v>
      </c>
      <c r="G5070" s="14" t="s">
        <v>134</v>
      </c>
      <c r="H5070" s="14" t="s">
        <v>135</v>
      </c>
      <c r="I5070" s="14" t="s">
        <v>59</v>
      </c>
      <c r="J5070" s="14" t="s">
        <v>200</v>
      </c>
      <c r="K5070" s="14" t="s">
        <v>227</v>
      </c>
      <c r="L5070" s="14" t="s">
        <v>253</v>
      </c>
      <c r="M5070" s="14" t="s">
        <v>396</v>
      </c>
      <c r="N5070" s="14" t="s">
        <v>397</v>
      </c>
      <c r="O5070" s="14">
        <v>0.0</v>
      </c>
      <c r="P5070" s="23">
        <v>0.0</v>
      </c>
      <c r="Q5070" s="22" t="str">
        <f t="shared" ref="Q5070:R5070" si="3027">"+0.00%"</f>
        <v>+0.00%</v>
      </c>
      <c r="R5070" s="18" t="str">
        <f t="shared" si="3027"/>
        <v>+0.00%</v>
      </c>
      <c r="S5070" s="14" t="s">
        <v>916</v>
      </c>
    </row>
    <row r="5071">
      <c r="A5071" s="13">
        <v>45901.0</v>
      </c>
      <c r="B5071" s="14" t="s">
        <v>47</v>
      </c>
      <c r="C5071" s="14" t="s">
        <v>48</v>
      </c>
      <c r="D5071" s="14" t="s">
        <v>143</v>
      </c>
      <c r="E5071" s="14" t="s">
        <v>144</v>
      </c>
      <c r="F5071" s="15" t="s">
        <v>51</v>
      </c>
      <c r="G5071" s="14" t="s">
        <v>145</v>
      </c>
      <c r="H5071" s="14" t="s">
        <v>143</v>
      </c>
      <c r="I5071" s="14" t="s">
        <v>59</v>
      </c>
      <c r="J5071" s="14" t="s">
        <v>198</v>
      </c>
      <c r="K5071" s="14" t="s">
        <v>210</v>
      </c>
      <c r="L5071" s="14" t="s">
        <v>458</v>
      </c>
      <c r="M5071" s="14" t="s">
        <v>459</v>
      </c>
      <c r="N5071" s="14" t="s">
        <v>460</v>
      </c>
      <c r="O5071" s="14">
        <v>100.0</v>
      </c>
      <c r="P5071" s="21">
        <v>0.0</v>
      </c>
      <c r="Q5071" s="22" t="str">
        <f t="shared" ref="Q5071:R5071" si="3028">"+0"</f>
        <v>+0</v>
      </c>
      <c r="R5071" s="18" t="str">
        <f t="shared" si="3028"/>
        <v>+0</v>
      </c>
      <c r="S5071" s="14" t="s">
        <v>281</v>
      </c>
    </row>
    <row r="5072">
      <c r="A5072" s="13">
        <v>45901.0</v>
      </c>
      <c r="B5072" s="14" t="s">
        <v>47</v>
      </c>
      <c r="C5072" s="14" t="s">
        <v>48</v>
      </c>
      <c r="D5072" s="14" t="s">
        <v>136</v>
      </c>
      <c r="E5072" s="14" t="s">
        <v>137</v>
      </c>
      <c r="F5072" s="15" t="s">
        <v>51</v>
      </c>
      <c r="G5072" s="14" t="s">
        <v>138</v>
      </c>
      <c r="H5072" s="14" t="s">
        <v>139</v>
      </c>
      <c r="I5072" s="14" t="s">
        <v>59</v>
      </c>
      <c r="J5072" s="14" t="s">
        <v>200</v>
      </c>
      <c r="K5072" s="14" t="s">
        <v>222</v>
      </c>
      <c r="L5072" s="14" t="s">
        <v>253</v>
      </c>
      <c r="M5072" s="14" t="s">
        <v>732</v>
      </c>
      <c r="N5072" s="14" t="s">
        <v>733</v>
      </c>
      <c r="O5072" s="14">
        <v>50.0</v>
      </c>
      <c r="P5072" s="21">
        <v>1.0</v>
      </c>
      <c r="Q5072" s="22" t="str">
        <f t="shared" ref="Q5072:R5072" si="3029">"+0"</f>
        <v>+0</v>
      </c>
      <c r="R5072" s="18" t="str">
        <f t="shared" si="3029"/>
        <v>+0</v>
      </c>
      <c r="S5072" s="14" t="s">
        <v>450</v>
      </c>
    </row>
    <row r="5073">
      <c r="A5073" s="13">
        <v>45901.0</v>
      </c>
      <c r="B5073" s="14" t="s">
        <v>47</v>
      </c>
      <c r="C5073" s="14" t="s">
        <v>48</v>
      </c>
      <c r="D5073" s="14" t="s">
        <v>129</v>
      </c>
      <c r="E5073" s="14" t="s">
        <v>130</v>
      </c>
      <c r="F5073" s="15" t="s">
        <v>51</v>
      </c>
      <c r="G5073" s="14" t="s">
        <v>131</v>
      </c>
      <c r="H5073" s="14" t="s">
        <v>129</v>
      </c>
      <c r="I5073" s="14" t="s">
        <v>59</v>
      </c>
      <c r="J5073" s="14" t="s">
        <v>200</v>
      </c>
      <c r="K5073" s="14" t="s">
        <v>213</v>
      </c>
      <c r="L5073" s="14" t="s">
        <v>307</v>
      </c>
      <c r="M5073" s="14" t="s">
        <v>1176</v>
      </c>
      <c r="N5073" s="14" t="s">
        <v>1177</v>
      </c>
      <c r="O5073" s="14">
        <v>0.0</v>
      </c>
      <c r="P5073" s="23">
        <v>0.0</v>
      </c>
      <c r="Q5073" s="22" t="str">
        <f t="shared" ref="Q5073:R5073" si="3030">"+0.00%"</f>
        <v>+0.00%</v>
      </c>
      <c r="R5073" s="18" t="str">
        <f t="shared" si="3030"/>
        <v>+0.00%</v>
      </c>
      <c r="S5073" s="14" t="s">
        <v>285</v>
      </c>
    </row>
    <row r="5074">
      <c r="A5074" s="13">
        <v>45901.0</v>
      </c>
      <c r="B5074" s="14" t="s">
        <v>47</v>
      </c>
      <c r="C5074" s="14" t="s">
        <v>48</v>
      </c>
      <c r="D5074" s="14" t="s">
        <v>87</v>
      </c>
      <c r="E5074" s="14" t="s">
        <v>88</v>
      </c>
      <c r="F5074" s="15" t="s">
        <v>51</v>
      </c>
      <c r="G5074" s="14" t="s">
        <v>89</v>
      </c>
      <c r="H5074" s="14" t="s">
        <v>90</v>
      </c>
      <c r="I5074" s="14" t="s">
        <v>59</v>
      </c>
      <c r="J5074" s="14" t="s">
        <v>200</v>
      </c>
      <c r="K5074" s="14" t="s">
        <v>202</v>
      </c>
      <c r="L5074" s="14" t="s">
        <v>253</v>
      </c>
      <c r="M5074" s="14" t="s">
        <v>347</v>
      </c>
      <c r="N5074" s="14" t="s">
        <v>348</v>
      </c>
      <c r="O5074" s="14">
        <v>27.0</v>
      </c>
      <c r="P5074" s="23">
        <v>0.2727</v>
      </c>
      <c r="Q5074" s="22" t="str">
        <f t="shared" ref="Q5074:R5074" si="3031">"-2.73%"</f>
        <v>-2.73%</v>
      </c>
      <c r="R5074" s="18" t="str">
        <f t="shared" si="3031"/>
        <v>-2.73%</v>
      </c>
      <c r="S5074" s="14" t="s">
        <v>1480</v>
      </c>
    </row>
    <row r="5075">
      <c r="A5075" s="13">
        <v>45901.0</v>
      </c>
      <c r="B5075" s="14" t="s">
        <v>47</v>
      </c>
      <c r="C5075" s="14" t="s">
        <v>48</v>
      </c>
      <c r="D5075" s="14" t="s">
        <v>85</v>
      </c>
      <c r="E5075" s="14" t="s">
        <v>86</v>
      </c>
      <c r="F5075" s="15" t="s">
        <v>51</v>
      </c>
      <c r="G5075" s="14" t="s">
        <v>148</v>
      </c>
      <c r="H5075" s="14" t="s">
        <v>85</v>
      </c>
      <c r="I5075" s="14" t="s">
        <v>59</v>
      </c>
      <c r="J5075" s="14" t="s">
        <v>200</v>
      </c>
      <c r="K5075" s="14" t="s">
        <v>209</v>
      </c>
      <c r="L5075" s="14" t="s">
        <v>253</v>
      </c>
      <c r="M5075" s="14" t="s">
        <v>402</v>
      </c>
      <c r="N5075" s="14" t="s">
        <v>403</v>
      </c>
      <c r="O5075" s="14">
        <v>71.0</v>
      </c>
      <c r="P5075" s="23">
        <v>0.7106</v>
      </c>
      <c r="Q5075" s="22" t="str">
        <f>"+0.54%"</f>
        <v>+0.54%</v>
      </c>
      <c r="R5075" s="18" t="str">
        <f>"+1.39%"</f>
        <v>+1.39%</v>
      </c>
      <c r="S5075" s="14" t="s">
        <v>2418</v>
      </c>
    </row>
    <row r="5076">
      <c r="A5076" s="13">
        <v>45901.0</v>
      </c>
      <c r="B5076" s="14" t="s">
        <v>47</v>
      </c>
      <c r="C5076" s="14" t="s">
        <v>48</v>
      </c>
      <c r="D5076" s="14" t="s">
        <v>69</v>
      </c>
      <c r="E5076" s="14" t="s">
        <v>70</v>
      </c>
      <c r="F5076" s="14" t="s">
        <v>71</v>
      </c>
      <c r="G5076" s="14">
        <v>1.00002092E8</v>
      </c>
      <c r="H5076" s="14" t="s">
        <v>72</v>
      </c>
      <c r="I5076" s="14" t="s">
        <v>54</v>
      </c>
      <c r="J5076" s="14" t="s">
        <v>199</v>
      </c>
      <c r="K5076" s="14" t="s">
        <v>203</v>
      </c>
      <c r="L5076" s="14" t="s">
        <v>342</v>
      </c>
      <c r="M5076" s="14" t="s">
        <v>342</v>
      </c>
      <c r="N5076" s="14" t="s">
        <v>343</v>
      </c>
      <c r="O5076" s="14">
        <v>0.0</v>
      </c>
      <c r="P5076" s="21">
        <v>0.0</v>
      </c>
      <c r="Q5076" s="22" t="str">
        <f t="shared" ref="Q5076:R5076" si="3032">"+0"</f>
        <v>+0</v>
      </c>
      <c r="R5076" s="18" t="str">
        <f t="shared" si="3032"/>
        <v>+0</v>
      </c>
      <c r="S5076" s="14" t="s">
        <v>260</v>
      </c>
    </row>
    <row r="5077">
      <c r="A5077" s="13">
        <v>45901.0</v>
      </c>
      <c r="B5077" s="14" t="s">
        <v>47</v>
      </c>
      <c r="C5077" s="14" t="s">
        <v>48</v>
      </c>
      <c r="D5077" s="14" t="s">
        <v>77</v>
      </c>
      <c r="E5077" s="14" t="s">
        <v>78</v>
      </c>
      <c r="F5077" s="15" t="s">
        <v>51</v>
      </c>
      <c r="G5077" s="14" t="s">
        <v>128</v>
      </c>
      <c r="H5077" s="14" t="s">
        <v>81</v>
      </c>
      <c r="I5077" s="14" t="s">
        <v>59</v>
      </c>
      <c r="J5077" s="14" t="s">
        <v>200</v>
      </c>
      <c r="K5077" s="14" t="s">
        <v>223</v>
      </c>
      <c r="L5077" s="14" t="s">
        <v>286</v>
      </c>
      <c r="M5077" s="14" t="s">
        <v>419</v>
      </c>
      <c r="N5077" s="14" t="s">
        <v>420</v>
      </c>
      <c r="O5077" s="14">
        <v>0.0</v>
      </c>
      <c r="P5077" s="23">
        <v>0.0</v>
      </c>
      <c r="Q5077" s="22" t="str">
        <f t="shared" ref="Q5077:R5077" si="3033">"+0.00%"</f>
        <v>+0.00%</v>
      </c>
      <c r="R5077" s="18" t="str">
        <f t="shared" si="3033"/>
        <v>+0.00%</v>
      </c>
      <c r="S5077" s="14" t="s">
        <v>371</v>
      </c>
    </row>
    <row r="5078">
      <c r="A5078" s="13">
        <v>45901.0</v>
      </c>
      <c r="B5078" s="14" t="s">
        <v>47</v>
      </c>
      <c r="C5078" s="14" t="s">
        <v>48</v>
      </c>
      <c r="D5078" s="14" t="s">
        <v>77</v>
      </c>
      <c r="E5078" s="14" t="s">
        <v>78</v>
      </c>
      <c r="F5078" s="14" t="s">
        <v>79</v>
      </c>
      <c r="G5078" s="14" t="s">
        <v>80</v>
      </c>
      <c r="H5078" s="14" t="s">
        <v>81</v>
      </c>
      <c r="J5078" s="14" t="s">
        <v>200</v>
      </c>
      <c r="K5078" s="14" t="s">
        <v>237</v>
      </c>
      <c r="L5078" s="14" t="s">
        <v>333</v>
      </c>
      <c r="M5078" s="14" t="s">
        <v>1145</v>
      </c>
      <c r="N5078" s="14" t="s">
        <v>1146</v>
      </c>
      <c r="O5078" s="14">
        <v>0.0</v>
      </c>
      <c r="P5078" s="23">
        <v>-1.0</v>
      </c>
      <c r="Q5078" s="22" t="str">
        <f t="shared" ref="Q5078:R5078" si="3034">"+0.00%"</f>
        <v>+0.00%</v>
      </c>
      <c r="R5078" s="18" t="str">
        <f t="shared" si="3034"/>
        <v>+0.00%</v>
      </c>
      <c r="S5078" s="14" t="s">
        <v>285</v>
      </c>
    </row>
    <row r="5079">
      <c r="A5079" s="13">
        <v>45901.0</v>
      </c>
      <c r="B5079" s="14" t="s">
        <v>47</v>
      </c>
      <c r="C5079" s="14" t="s">
        <v>48</v>
      </c>
      <c r="D5079" s="14" t="s">
        <v>77</v>
      </c>
      <c r="E5079" s="14" t="s">
        <v>78</v>
      </c>
      <c r="F5079" s="14" t="s">
        <v>79</v>
      </c>
      <c r="G5079" s="14" t="s">
        <v>80</v>
      </c>
      <c r="H5079" s="14" t="s">
        <v>81</v>
      </c>
      <c r="J5079" s="14" t="s">
        <v>200</v>
      </c>
      <c r="K5079" s="14" t="s">
        <v>237</v>
      </c>
      <c r="L5079" s="14" t="s">
        <v>333</v>
      </c>
      <c r="M5079" s="14" t="s">
        <v>1186</v>
      </c>
      <c r="N5079" s="14" t="s">
        <v>1187</v>
      </c>
      <c r="O5079" s="14">
        <v>0.0</v>
      </c>
      <c r="P5079" s="23">
        <v>-1.0</v>
      </c>
      <c r="Q5079" s="22" t="str">
        <f t="shared" ref="Q5079:R5079" si="3035">"+0.00%"</f>
        <v>+0.00%</v>
      </c>
      <c r="R5079" s="18" t="str">
        <f t="shared" si="3035"/>
        <v>+0.00%</v>
      </c>
      <c r="S5079" s="14" t="s">
        <v>285</v>
      </c>
    </row>
    <row r="5080">
      <c r="A5080" s="13">
        <v>45901.0</v>
      </c>
      <c r="B5080" s="14" t="s">
        <v>47</v>
      </c>
      <c r="C5080" s="14" t="s">
        <v>48</v>
      </c>
      <c r="D5080" s="14" t="s">
        <v>158</v>
      </c>
      <c r="E5080" s="14" t="s">
        <v>159</v>
      </c>
      <c r="F5080" s="15" t="s">
        <v>51</v>
      </c>
      <c r="G5080" s="14" t="s">
        <v>160</v>
      </c>
      <c r="H5080" s="14" t="s">
        <v>158</v>
      </c>
      <c r="I5080" s="14" t="s">
        <v>54</v>
      </c>
      <c r="J5080" s="14" t="s">
        <v>199</v>
      </c>
      <c r="K5080" s="14" t="s">
        <v>208</v>
      </c>
      <c r="L5080" s="14" t="s">
        <v>412</v>
      </c>
      <c r="M5080" s="14" t="s">
        <v>412</v>
      </c>
      <c r="N5080" s="14" t="s">
        <v>413</v>
      </c>
      <c r="O5080" s="14">
        <v>80.0</v>
      </c>
      <c r="P5080" s="21">
        <v>2.0</v>
      </c>
      <c r="Q5080" s="22" t="str">
        <f t="shared" ref="Q5080:R5080" si="3036">"+0"</f>
        <v>+0</v>
      </c>
      <c r="R5080" s="18" t="str">
        <f t="shared" si="3036"/>
        <v>+0</v>
      </c>
      <c r="S5080" s="14" t="s">
        <v>260</v>
      </c>
    </row>
    <row r="5081">
      <c r="A5081" s="13">
        <v>45901.0</v>
      </c>
      <c r="B5081" s="14" t="s">
        <v>47</v>
      </c>
      <c r="C5081" s="14" t="s">
        <v>48</v>
      </c>
      <c r="D5081" s="14" t="s">
        <v>108</v>
      </c>
      <c r="E5081" s="14" t="s">
        <v>109</v>
      </c>
      <c r="F5081" s="15" t="s">
        <v>51</v>
      </c>
      <c r="G5081" s="14" t="s">
        <v>110</v>
      </c>
      <c r="H5081" s="14" t="s">
        <v>108</v>
      </c>
      <c r="I5081" s="14" t="s">
        <v>59</v>
      </c>
      <c r="J5081" s="14" t="s">
        <v>200</v>
      </c>
      <c r="K5081" s="14" t="s">
        <v>213</v>
      </c>
      <c r="L5081" s="14" t="s">
        <v>289</v>
      </c>
      <c r="M5081" s="14" t="s">
        <v>290</v>
      </c>
      <c r="N5081" s="14" t="s">
        <v>291</v>
      </c>
      <c r="O5081" s="14">
        <v>0.0</v>
      </c>
      <c r="P5081" s="23">
        <v>0.0</v>
      </c>
      <c r="Q5081" s="22" t="str">
        <f t="shared" ref="Q5081:Q5083" si="3037">"+0.00%"</f>
        <v>+0.00%</v>
      </c>
      <c r="S5081" s="14" t="s">
        <v>285</v>
      </c>
    </row>
    <row r="5082">
      <c r="A5082" s="13">
        <v>45901.0</v>
      </c>
      <c r="B5082" s="14" t="s">
        <v>47</v>
      </c>
      <c r="C5082" s="14" t="s">
        <v>48</v>
      </c>
      <c r="D5082" s="14" t="s">
        <v>56</v>
      </c>
      <c r="E5082" s="14" t="s">
        <v>57</v>
      </c>
      <c r="F5082" s="15" t="s">
        <v>51</v>
      </c>
      <c r="G5082" s="14" t="s">
        <v>58</v>
      </c>
      <c r="H5082" s="14" t="s">
        <v>56</v>
      </c>
      <c r="I5082" s="14" t="s">
        <v>59</v>
      </c>
      <c r="J5082" s="14" t="s">
        <v>200</v>
      </c>
      <c r="K5082" s="14" t="s">
        <v>223</v>
      </c>
      <c r="L5082" s="14" t="s">
        <v>286</v>
      </c>
      <c r="M5082" s="14" t="s">
        <v>656</v>
      </c>
      <c r="N5082" s="14" t="s">
        <v>657</v>
      </c>
      <c r="O5082" s="14">
        <v>0.0</v>
      </c>
      <c r="P5082" s="23">
        <v>0.0</v>
      </c>
      <c r="Q5082" s="22" t="str">
        <f t="shared" si="3037"/>
        <v>+0.00%</v>
      </c>
      <c r="R5082" s="18" t="str">
        <f t="shared" ref="R5082:R5083" si="3038">"+0.00%"</f>
        <v>+0.00%</v>
      </c>
      <c r="S5082" s="14" t="s">
        <v>285</v>
      </c>
    </row>
    <row r="5083">
      <c r="A5083" s="13">
        <v>45901.0</v>
      </c>
      <c r="B5083" s="14" t="s">
        <v>47</v>
      </c>
      <c r="C5083" s="14" t="s">
        <v>48</v>
      </c>
      <c r="D5083" s="14" t="s">
        <v>155</v>
      </c>
      <c r="E5083" s="14" t="s">
        <v>156</v>
      </c>
      <c r="F5083" s="15" t="s">
        <v>51</v>
      </c>
      <c r="G5083" s="14" t="s">
        <v>157</v>
      </c>
      <c r="H5083" s="14" t="s">
        <v>155</v>
      </c>
      <c r="I5083" s="14" t="s">
        <v>59</v>
      </c>
      <c r="J5083" s="14" t="s">
        <v>200</v>
      </c>
      <c r="K5083" s="14" t="s">
        <v>202</v>
      </c>
      <c r="L5083" s="14" t="s">
        <v>253</v>
      </c>
      <c r="M5083" s="14" t="s">
        <v>347</v>
      </c>
      <c r="N5083" s="14" t="s">
        <v>348</v>
      </c>
      <c r="O5083" s="14">
        <v>0.0</v>
      </c>
      <c r="P5083" s="23">
        <v>0.0</v>
      </c>
      <c r="Q5083" s="22" t="str">
        <f t="shared" si="3037"/>
        <v>+0.00%</v>
      </c>
      <c r="R5083" s="18" t="str">
        <f t="shared" si="3038"/>
        <v>+0.00%</v>
      </c>
      <c r="S5083" s="14" t="s">
        <v>2419</v>
      </c>
    </row>
    <row r="5084">
      <c r="A5084" s="13">
        <v>45901.0</v>
      </c>
      <c r="B5084" s="14" t="s">
        <v>47</v>
      </c>
      <c r="C5084" s="14" t="s">
        <v>48</v>
      </c>
      <c r="D5084" s="14" t="s">
        <v>60</v>
      </c>
      <c r="E5084" s="14" t="s">
        <v>61</v>
      </c>
      <c r="F5084" s="15" t="s">
        <v>51</v>
      </c>
      <c r="G5084" s="14" t="s">
        <v>62</v>
      </c>
      <c r="H5084" s="14" t="s">
        <v>60</v>
      </c>
      <c r="I5084" s="14" t="s">
        <v>59</v>
      </c>
      <c r="J5084" s="14" t="s">
        <v>200</v>
      </c>
      <c r="K5084" s="14" t="s">
        <v>227</v>
      </c>
      <c r="L5084" s="14" t="s">
        <v>270</v>
      </c>
      <c r="M5084" s="14" t="s">
        <v>321</v>
      </c>
      <c r="N5084" s="14" t="s">
        <v>322</v>
      </c>
      <c r="O5084" s="14">
        <v>72.0</v>
      </c>
      <c r="P5084" s="23">
        <v>0.44</v>
      </c>
      <c r="Q5084" s="22" t="str">
        <f>"+144.00%"</f>
        <v>+144.00%</v>
      </c>
      <c r="R5084" s="18" t="str">
        <f>"-13.14%"</f>
        <v>-13.14%</v>
      </c>
      <c r="S5084" s="14" t="s">
        <v>323</v>
      </c>
    </row>
    <row r="5085">
      <c r="A5085" s="13">
        <v>45901.0</v>
      </c>
      <c r="B5085" s="14" t="s">
        <v>47</v>
      </c>
      <c r="C5085" s="14" t="s">
        <v>48</v>
      </c>
      <c r="D5085" s="14" t="s">
        <v>181</v>
      </c>
      <c r="E5085" s="14" t="s">
        <v>182</v>
      </c>
      <c r="F5085" s="15" t="s">
        <v>51</v>
      </c>
      <c r="G5085" s="14" t="s">
        <v>183</v>
      </c>
      <c r="H5085" s="14" t="s">
        <v>181</v>
      </c>
      <c r="I5085" s="14" t="s">
        <v>59</v>
      </c>
      <c r="J5085" s="14" t="s">
        <v>199</v>
      </c>
      <c r="K5085" s="14" t="s">
        <v>206</v>
      </c>
      <c r="L5085" s="14" t="s">
        <v>569</v>
      </c>
      <c r="M5085" s="14" t="s">
        <v>569</v>
      </c>
      <c r="N5085" s="14" t="s">
        <v>570</v>
      </c>
      <c r="O5085" s="14">
        <v>0.0</v>
      </c>
      <c r="P5085" s="21">
        <v>0.0</v>
      </c>
      <c r="Q5085" s="22" t="str">
        <f t="shared" ref="Q5085:R5085" si="3039">"+0"</f>
        <v>+0</v>
      </c>
      <c r="R5085" s="18" t="str">
        <f t="shared" si="3039"/>
        <v>+0</v>
      </c>
      <c r="S5085" s="14" t="s">
        <v>383</v>
      </c>
    </row>
    <row r="5086">
      <c r="A5086" s="13">
        <v>45901.0</v>
      </c>
      <c r="B5086" s="14" t="s">
        <v>47</v>
      </c>
      <c r="C5086" s="14" t="s">
        <v>48</v>
      </c>
      <c r="D5086" s="14" t="s">
        <v>49</v>
      </c>
      <c r="E5086" s="14" t="s">
        <v>50</v>
      </c>
      <c r="F5086" s="15" t="s">
        <v>51</v>
      </c>
      <c r="G5086" s="14" t="s">
        <v>52</v>
      </c>
      <c r="H5086" s="14" t="s">
        <v>53</v>
      </c>
      <c r="I5086" s="14" t="s">
        <v>54</v>
      </c>
      <c r="J5086" s="14" t="s">
        <v>200</v>
      </c>
      <c r="K5086" s="14" t="s">
        <v>224</v>
      </c>
      <c r="L5086" s="14" t="s">
        <v>436</v>
      </c>
      <c r="M5086" s="14" t="s">
        <v>1353</v>
      </c>
      <c r="N5086" s="14" t="s">
        <v>1354</v>
      </c>
      <c r="O5086" s="14">
        <v>22.0</v>
      </c>
      <c r="P5086" s="23">
        <v>0.2222</v>
      </c>
      <c r="Q5086" s="22" t="str">
        <f>"-27.78%"</f>
        <v>-27.78%</v>
      </c>
      <c r="R5086" s="18" t="str">
        <f>"-6.35%"</f>
        <v>-6.35%</v>
      </c>
      <c r="S5086" s="14" t="s">
        <v>2420</v>
      </c>
    </row>
    <row r="5087">
      <c r="A5087" s="13">
        <v>45901.0</v>
      </c>
      <c r="B5087" s="14" t="s">
        <v>47</v>
      </c>
      <c r="C5087" s="14" t="s">
        <v>48</v>
      </c>
      <c r="D5087" s="14" t="s">
        <v>49</v>
      </c>
      <c r="E5087" s="14" t="s">
        <v>50</v>
      </c>
      <c r="F5087" s="15" t="s">
        <v>51</v>
      </c>
      <c r="G5087" s="14" t="s">
        <v>52</v>
      </c>
      <c r="H5087" s="14" t="s">
        <v>53</v>
      </c>
      <c r="I5087" s="14" t="s">
        <v>54</v>
      </c>
      <c r="J5087" s="14" t="s">
        <v>199</v>
      </c>
      <c r="K5087" s="14" t="s">
        <v>206</v>
      </c>
      <c r="L5087" s="14" t="s">
        <v>569</v>
      </c>
      <c r="M5087" s="14" t="s">
        <v>569</v>
      </c>
      <c r="N5087" s="14" t="s">
        <v>570</v>
      </c>
      <c r="O5087" s="14">
        <v>75.0</v>
      </c>
      <c r="P5087" s="21">
        <v>53.0</v>
      </c>
      <c r="Q5087" s="22" t="str">
        <f>"+44"</f>
        <v>+44</v>
      </c>
      <c r="R5087" s="18" t="str">
        <f>"+0"</f>
        <v>+0</v>
      </c>
      <c r="S5087" s="14" t="s">
        <v>383</v>
      </c>
    </row>
    <row r="5088">
      <c r="A5088" s="13">
        <v>45901.0</v>
      </c>
      <c r="B5088" s="14" t="s">
        <v>47</v>
      </c>
      <c r="C5088" s="14" t="s">
        <v>48</v>
      </c>
      <c r="D5088" s="14" t="s">
        <v>49</v>
      </c>
      <c r="E5088" s="14" t="s">
        <v>50</v>
      </c>
      <c r="F5088" s="15" t="s">
        <v>51</v>
      </c>
      <c r="G5088" s="14" t="s">
        <v>52</v>
      </c>
      <c r="H5088" s="14" t="s">
        <v>53</v>
      </c>
      <c r="I5088" s="14" t="s">
        <v>54</v>
      </c>
      <c r="J5088" s="14" t="s">
        <v>198</v>
      </c>
      <c r="K5088" s="14" t="s">
        <v>210</v>
      </c>
      <c r="L5088" s="14" t="s">
        <v>278</v>
      </c>
      <c r="M5088" s="14" t="s">
        <v>468</v>
      </c>
      <c r="N5088" s="14" t="s">
        <v>469</v>
      </c>
      <c r="O5088" s="14">
        <v>0.0</v>
      </c>
      <c r="P5088" s="21">
        <v>0.0</v>
      </c>
      <c r="Q5088" s="22" t="str">
        <f t="shared" ref="Q5088:R5088" si="3040">"+0"</f>
        <v>+0</v>
      </c>
      <c r="R5088" s="18" t="str">
        <f t="shared" si="3040"/>
        <v>+0</v>
      </c>
      <c r="S5088" s="14" t="s">
        <v>277</v>
      </c>
    </row>
    <row r="5089">
      <c r="A5089" s="13">
        <v>45901.0</v>
      </c>
      <c r="B5089" s="14" t="s">
        <v>47</v>
      </c>
      <c r="C5089" s="14" t="s">
        <v>48</v>
      </c>
      <c r="D5089" s="14" t="s">
        <v>49</v>
      </c>
      <c r="E5089" s="14" t="s">
        <v>50</v>
      </c>
      <c r="F5089" s="15" t="s">
        <v>51</v>
      </c>
      <c r="G5089" s="14" t="s">
        <v>52</v>
      </c>
      <c r="H5089" s="14" t="s">
        <v>53</v>
      </c>
      <c r="I5089" s="14" t="s">
        <v>54</v>
      </c>
      <c r="J5089" s="14" t="s">
        <v>200</v>
      </c>
      <c r="K5089" s="14" t="s">
        <v>222</v>
      </c>
      <c r="L5089" s="14" t="s">
        <v>337</v>
      </c>
      <c r="M5089" s="14" t="s">
        <v>1000</v>
      </c>
      <c r="N5089" s="14" t="s">
        <v>1001</v>
      </c>
      <c r="O5089" s="14">
        <v>0.0</v>
      </c>
      <c r="P5089" s="21">
        <v>0.0</v>
      </c>
      <c r="Q5089" s="22" t="str">
        <f t="shared" ref="Q5089:R5089" si="3041">"+0"</f>
        <v>+0</v>
      </c>
      <c r="R5089" s="18" t="str">
        <f t="shared" si="3041"/>
        <v>+0</v>
      </c>
      <c r="S5089" s="14" t="s">
        <v>260</v>
      </c>
    </row>
    <row r="5090">
      <c r="A5090" s="13">
        <v>45901.0</v>
      </c>
      <c r="B5090" s="14" t="s">
        <v>47</v>
      </c>
      <c r="C5090" s="14" t="s">
        <v>48</v>
      </c>
      <c r="D5090" s="14" t="s">
        <v>49</v>
      </c>
      <c r="E5090" s="14" t="s">
        <v>50</v>
      </c>
      <c r="F5090" s="15" t="s">
        <v>51</v>
      </c>
      <c r="G5090" s="14" t="s">
        <v>52</v>
      </c>
      <c r="H5090" s="14" t="s">
        <v>53</v>
      </c>
      <c r="I5090" s="14" t="s">
        <v>54</v>
      </c>
      <c r="J5090" s="14" t="s">
        <v>198</v>
      </c>
      <c r="K5090" s="14" t="s">
        <v>210</v>
      </c>
      <c r="L5090" s="14" t="s">
        <v>264</v>
      </c>
      <c r="M5090" s="14" t="s">
        <v>943</v>
      </c>
      <c r="N5090" s="14" t="s">
        <v>944</v>
      </c>
      <c r="O5090" s="14">
        <v>0.0</v>
      </c>
      <c r="P5090" s="21">
        <v>0.0</v>
      </c>
      <c r="Q5090" s="22" t="str">
        <f t="shared" ref="Q5090:R5090" si="3042">"+0"</f>
        <v>+0</v>
      </c>
      <c r="R5090" s="18" t="str">
        <f t="shared" si="3042"/>
        <v>+0</v>
      </c>
      <c r="S5090" s="14" t="s">
        <v>277</v>
      </c>
    </row>
    <row r="5091">
      <c r="A5091" s="13">
        <v>45901.0</v>
      </c>
      <c r="B5091" s="14" t="s">
        <v>47</v>
      </c>
      <c r="C5091" s="14" t="s">
        <v>48</v>
      </c>
      <c r="D5091" s="14" t="s">
        <v>99</v>
      </c>
      <c r="E5091" s="14" t="s">
        <v>100</v>
      </c>
      <c r="F5091" s="15" t="s">
        <v>51</v>
      </c>
      <c r="G5091" s="14" t="s">
        <v>101</v>
      </c>
      <c r="H5091" s="14" t="s">
        <v>102</v>
      </c>
      <c r="I5091" s="14" t="s">
        <v>54</v>
      </c>
      <c r="J5091" s="14" t="s">
        <v>200</v>
      </c>
      <c r="K5091" s="14" t="s">
        <v>213</v>
      </c>
      <c r="L5091" s="14" t="s">
        <v>571</v>
      </c>
      <c r="M5091" s="14" t="s">
        <v>578</v>
      </c>
      <c r="N5091" s="14" t="s">
        <v>579</v>
      </c>
      <c r="O5091" s="14">
        <v>0.0</v>
      </c>
      <c r="P5091" s="23">
        <v>0.0</v>
      </c>
      <c r="Q5091" s="22" t="str">
        <f t="shared" ref="Q5091:R5091" si="3043">"+0.00%"</f>
        <v>+0.00%</v>
      </c>
      <c r="R5091" s="18" t="str">
        <f t="shared" si="3043"/>
        <v>+0.00%</v>
      </c>
      <c r="S5091" s="14" t="s">
        <v>285</v>
      </c>
    </row>
    <row r="5092">
      <c r="A5092" s="13">
        <v>45901.0</v>
      </c>
      <c r="B5092" s="14" t="s">
        <v>47</v>
      </c>
      <c r="C5092" s="14" t="s">
        <v>48</v>
      </c>
      <c r="D5092" s="14" t="s">
        <v>99</v>
      </c>
      <c r="E5092" s="14" t="s">
        <v>100</v>
      </c>
      <c r="F5092" s="15" t="s">
        <v>51</v>
      </c>
      <c r="G5092" s="14" t="s">
        <v>101</v>
      </c>
      <c r="H5092" s="14" t="s">
        <v>102</v>
      </c>
      <c r="I5092" s="14" t="s">
        <v>54</v>
      </c>
      <c r="J5092" s="14" t="s">
        <v>200</v>
      </c>
      <c r="K5092" s="14" t="s">
        <v>213</v>
      </c>
      <c r="L5092" s="14" t="s">
        <v>257</v>
      </c>
      <c r="M5092" s="14" t="s">
        <v>298</v>
      </c>
      <c r="N5092" s="14" t="s">
        <v>299</v>
      </c>
      <c r="O5092" s="14">
        <v>0.0</v>
      </c>
      <c r="P5092" s="23">
        <v>0.0</v>
      </c>
      <c r="Q5092" s="22" t="str">
        <f t="shared" ref="Q5092:R5092" si="3044">"+0.00%"</f>
        <v>+0.00%</v>
      </c>
      <c r="R5092" s="18" t="str">
        <f t="shared" si="3044"/>
        <v>+0.00%</v>
      </c>
      <c r="S5092" s="14" t="s">
        <v>2421</v>
      </c>
    </row>
    <row r="5093">
      <c r="A5093" s="13">
        <v>45901.0</v>
      </c>
      <c r="B5093" s="14" t="s">
        <v>47</v>
      </c>
      <c r="C5093" s="14" t="s">
        <v>48</v>
      </c>
      <c r="D5093" s="14" t="s">
        <v>177</v>
      </c>
      <c r="E5093" s="14" t="s">
        <v>178</v>
      </c>
      <c r="F5093" s="14" t="s">
        <v>146</v>
      </c>
      <c r="G5093" s="14" t="s">
        <v>179</v>
      </c>
      <c r="H5093" s="14" t="s">
        <v>177</v>
      </c>
      <c r="I5093" s="14" t="s">
        <v>107</v>
      </c>
      <c r="J5093" s="14" t="s">
        <v>199</v>
      </c>
      <c r="K5093" s="14" t="s">
        <v>208</v>
      </c>
      <c r="L5093" s="14" t="s">
        <v>352</v>
      </c>
      <c r="M5093" s="14" t="s">
        <v>352</v>
      </c>
      <c r="N5093" s="14" t="s">
        <v>353</v>
      </c>
      <c r="O5093" s="14">
        <v>0.0</v>
      </c>
      <c r="P5093" s="21">
        <v>0.0</v>
      </c>
      <c r="Q5093" s="22" t="str">
        <f t="shared" ref="Q5093:R5093" si="3045">"+0"</f>
        <v>+0</v>
      </c>
      <c r="R5093" s="18" t="str">
        <f t="shared" si="3045"/>
        <v>+0</v>
      </c>
      <c r="S5093" s="14" t="s">
        <v>260</v>
      </c>
    </row>
    <row r="5094">
      <c r="A5094" s="13">
        <v>45901.0</v>
      </c>
      <c r="B5094" s="14" t="s">
        <v>47</v>
      </c>
      <c r="C5094" s="14" t="s">
        <v>48</v>
      </c>
      <c r="D5094" s="14" t="s">
        <v>63</v>
      </c>
      <c r="E5094" s="14" t="s">
        <v>64</v>
      </c>
      <c r="F5094" s="15" t="s">
        <v>51</v>
      </c>
      <c r="G5094" s="14" t="s">
        <v>65</v>
      </c>
      <c r="H5094" s="14" t="s">
        <v>63</v>
      </c>
      <c r="I5094" s="14" t="s">
        <v>54</v>
      </c>
      <c r="J5094" s="14" t="s">
        <v>198</v>
      </c>
      <c r="K5094" s="14" t="s">
        <v>210</v>
      </c>
      <c r="L5094" s="14" t="s">
        <v>264</v>
      </c>
      <c r="M5094" s="14" t="s">
        <v>1210</v>
      </c>
      <c r="N5094" s="14" t="s">
        <v>1211</v>
      </c>
      <c r="O5094" s="14">
        <v>0.0</v>
      </c>
      <c r="P5094" s="21">
        <v>0.0</v>
      </c>
      <c r="Q5094" s="22" t="str">
        <f t="shared" ref="Q5094:R5094" si="3046">"+0"</f>
        <v>+0</v>
      </c>
      <c r="R5094" s="18" t="str">
        <f t="shared" si="3046"/>
        <v>+0</v>
      </c>
      <c r="S5094" s="14" t="s">
        <v>277</v>
      </c>
    </row>
    <row r="5095">
      <c r="A5095" s="13">
        <v>45901.0</v>
      </c>
      <c r="B5095" s="14" t="s">
        <v>47</v>
      </c>
      <c r="C5095" s="14" t="s">
        <v>48</v>
      </c>
      <c r="D5095" s="14" t="s">
        <v>118</v>
      </c>
      <c r="E5095" s="14" t="s">
        <v>119</v>
      </c>
      <c r="F5095" s="15" t="s">
        <v>51</v>
      </c>
      <c r="G5095" s="14" t="s">
        <v>120</v>
      </c>
      <c r="H5095" s="14" t="s">
        <v>118</v>
      </c>
      <c r="I5095" s="14" t="s">
        <v>59</v>
      </c>
      <c r="J5095" s="14" t="s">
        <v>200</v>
      </c>
      <c r="K5095" s="14" t="s">
        <v>213</v>
      </c>
      <c r="L5095" s="14" t="s">
        <v>676</v>
      </c>
      <c r="M5095" s="14" t="s">
        <v>858</v>
      </c>
      <c r="N5095" s="14" t="s">
        <v>859</v>
      </c>
      <c r="O5095" s="14">
        <v>0.0</v>
      </c>
      <c r="P5095" s="23">
        <v>-1.0</v>
      </c>
      <c r="Q5095" s="22" t="str">
        <f t="shared" ref="Q5095:R5095" si="3047">"+0.00%"</f>
        <v>+0.00%</v>
      </c>
      <c r="R5095" s="18" t="str">
        <f t="shared" si="3047"/>
        <v>+0.00%</v>
      </c>
      <c r="S5095" s="14" t="s">
        <v>2422</v>
      </c>
    </row>
    <row r="5096">
      <c r="A5096" s="13">
        <v>45901.0</v>
      </c>
      <c r="B5096" s="14" t="s">
        <v>47</v>
      </c>
      <c r="C5096" s="14" t="s">
        <v>48</v>
      </c>
      <c r="D5096" s="14" t="s">
        <v>99</v>
      </c>
      <c r="E5096" s="14" t="s">
        <v>100</v>
      </c>
      <c r="F5096" s="15" t="s">
        <v>51</v>
      </c>
      <c r="G5096" s="14" t="s">
        <v>101</v>
      </c>
      <c r="H5096" s="14" t="s">
        <v>102</v>
      </c>
      <c r="I5096" s="14" t="s">
        <v>54</v>
      </c>
      <c r="J5096" s="14" t="s">
        <v>200</v>
      </c>
      <c r="K5096" s="14" t="s">
        <v>213</v>
      </c>
      <c r="L5096" s="14" t="s">
        <v>307</v>
      </c>
      <c r="M5096" s="14" t="s">
        <v>1176</v>
      </c>
      <c r="N5096" s="14" t="s">
        <v>1177</v>
      </c>
      <c r="O5096" s="14">
        <v>0.0</v>
      </c>
      <c r="P5096" s="23">
        <v>0.0</v>
      </c>
      <c r="Q5096" s="22" t="str">
        <f t="shared" ref="Q5096:R5096" si="3048">"+0.00%"</f>
        <v>+0.00%</v>
      </c>
      <c r="R5096" s="18" t="str">
        <f t="shared" si="3048"/>
        <v>+0.00%</v>
      </c>
      <c r="S5096" s="14" t="s">
        <v>285</v>
      </c>
    </row>
    <row r="5097">
      <c r="A5097" s="13">
        <v>45901.0</v>
      </c>
      <c r="B5097" s="14" t="s">
        <v>47</v>
      </c>
      <c r="C5097" s="14" t="s">
        <v>48</v>
      </c>
      <c r="D5097" s="14" t="s">
        <v>91</v>
      </c>
      <c r="E5097" s="14" t="s">
        <v>92</v>
      </c>
      <c r="F5097" s="14" t="s">
        <v>71</v>
      </c>
      <c r="G5097" s="14">
        <v>5.10000484E8</v>
      </c>
      <c r="H5097" s="14" t="s">
        <v>91</v>
      </c>
      <c r="I5097" s="14" t="s">
        <v>54</v>
      </c>
      <c r="J5097" s="14" t="s">
        <v>199</v>
      </c>
      <c r="K5097" s="14" t="s">
        <v>203</v>
      </c>
      <c r="L5097" s="14" t="s">
        <v>1095</v>
      </c>
      <c r="M5097" s="14" t="s">
        <v>1095</v>
      </c>
      <c r="N5097" s="14" t="s">
        <v>1096</v>
      </c>
      <c r="O5097" s="14">
        <v>0.0</v>
      </c>
      <c r="P5097" s="21">
        <v>0.0</v>
      </c>
      <c r="Q5097" s="22" t="str">
        <f t="shared" ref="Q5097:R5097" si="3049">"+0"</f>
        <v>+0</v>
      </c>
      <c r="R5097" s="18" t="str">
        <f t="shared" si="3049"/>
        <v>+0</v>
      </c>
      <c r="S5097" s="14" t="s">
        <v>260</v>
      </c>
    </row>
    <row r="5098">
      <c r="A5098" s="13">
        <v>45901.0</v>
      </c>
      <c r="B5098" s="14" t="s">
        <v>47</v>
      </c>
      <c r="C5098" s="14" t="s">
        <v>48</v>
      </c>
      <c r="D5098" s="14" t="s">
        <v>63</v>
      </c>
      <c r="E5098" s="14" t="s">
        <v>64</v>
      </c>
      <c r="F5098" s="15" t="s">
        <v>51</v>
      </c>
      <c r="G5098" s="14" t="s">
        <v>65</v>
      </c>
      <c r="H5098" s="14" t="s">
        <v>63</v>
      </c>
      <c r="I5098" s="14" t="s">
        <v>54</v>
      </c>
      <c r="J5098" s="14" t="s">
        <v>198</v>
      </c>
      <c r="K5098" s="14" t="s">
        <v>205</v>
      </c>
      <c r="L5098" s="14" t="s">
        <v>274</v>
      </c>
      <c r="M5098" s="14" t="s">
        <v>354</v>
      </c>
      <c r="N5098" s="14" t="s">
        <v>355</v>
      </c>
      <c r="O5098" s="14">
        <v>50.0</v>
      </c>
      <c r="P5098" s="21">
        <v>5.0</v>
      </c>
      <c r="Q5098" s="22" t="str">
        <f>"+0"</f>
        <v>+0</v>
      </c>
      <c r="S5098" s="14" t="s">
        <v>356</v>
      </c>
    </row>
    <row r="5099">
      <c r="A5099" s="13">
        <v>45901.0</v>
      </c>
      <c r="B5099" s="14" t="s">
        <v>47</v>
      </c>
      <c r="C5099" s="14" t="s">
        <v>48</v>
      </c>
      <c r="D5099" s="14" t="s">
        <v>91</v>
      </c>
      <c r="E5099" s="14" t="s">
        <v>92</v>
      </c>
      <c r="F5099" s="14" t="s">
        <v>71</v>
      </c>
      <c r="G5099" s="14">
        <v>5.00008612E8</v>
      </c>
      <c r="H5099" s="14" t="s">
        <v>91</v>
      </c>
      <c r="I5099" s="14" t="s">
        <v>59</v>
      </c>
      <c r="J5099" s="14" t="s">
        <v>199</v>
      </c>
      <c r="K5099" s="14" t="s">
        <v>203</v>
      </c>
      <c r="L5099" s="14" t="s">
        <v>725</v>
      </c>
      <c r="M5099" s="14" t="s">
        <v>725</v>
      </c>
      <c r="N5099" s="14" t="s">
        <v>726</v>
      </c>
      <c r="O5099" s="14">
        <v>100.0</v>
      </c>
      <c r="P5099" s="21">
        <v>4.0</v>
      </c>
      <c r="Q5099" s="22" t="str">
        <f>"+1"</f>
        <v>+1</v>
      </c>
      <c r="R5099" s="18" t="str">
        <f>"+2"</f>
        <v>+2</v>
      </c>
      <c r="S5099" s="14" t="s">
        <v>260</v>
      </c>
    </row>
    <row r="5100">
      <c r="A5100" s="13">
        <v>45901.0</v>
      </c>
      <c r="B5100" s="14" t="s">
        <v>47</v>
      </c>
      <c r="C5100" s="14" t="s">
        <v>48</v>
      </c>
      <c r="D5100" s="14" t="s">
        <v>192</v>
      </c>
      <c r="E5100" s="14" t="s">
        <v>193</v>
      </c>
      <c r="F5100" s="15" t="s">
        <v>51</v>
      </c>
      <c r="G5100" s="14" t="s">
        <v>194</v>
      </c>
      <c r="H5100" s="14" t="s">
        <v>192</v>
      </c>
      <c r="I5100" s="14" t="s">
        <v>54</v>
      </c>
      <c r="J5100" s="14" t="s">
        <v>200</v>
      </c>
      <c r="K5100" s="14" t="s">
        <v>223</v>
      </c>
      <c r="L5100" s="14" t="s">
        <v>359</v>
      </c>
      <c r="M5100" s="14" t="s">
        <v>519</v>
      </c>
      <c r="N5100" s="14" t="s">
        <v>520</v>
      </c>
      <c r="O5100" s="14">
        <v>0.0</v>
      </c>
      <c r="P5100" s="21">
        <v>0.0</v>
      </c>
      <c r="Q5100" s="22" t="str">
        <f t="shared" ref="Q5100:R5100" si="3050">"+0"</f>
        <v>+0</v>
      </c>
      <c r="R5100" s="18" t="str">
        <f t="shared" si="3050"/>
        <v>+0</v>
      </c>
      <c r="S5100" s="14" t="s">
        <v>260</v>
      </c>
    </row>
    <row r="5101">
      <c r="A5101" s="13">
        <v>45901.0</v>
      </c>
      <c r="B5101" s="14" t="s">
        <v>47</v>
      </c>
      <c r="C5101" s="14" t="s">
        <v>48</v>
      </c>
      <c r="D5101" s="14" t="s">
        <v>93</v>
      </c>
      <c r="E5101" s="14" t="s">
        <v>94</v>
      </c>
      <c r="F5101" s="15" t="s">
        <v>51</v>
      </c>
      <c r="G5101" s="14" t="s">
        <v>191</v>
      </c>
      <c r="H5101" s="14" t="s">
        <v>95</v>
      </c>
      <c r="I5101" s="14" t="s">
        <v>59</v>
      </c>
      <c r="J5101" s="14" t="s">
        <v>200</v>
      </c>
      <c r="K5101" s="14" t="s">
        <v>215</v>
      </c>
      <c r="L5101" s="14" t="s">
        <v>548</v>
      </c>
      <c r="M5101" s="14" t="s">
        <v>1674</v>
      </c>
      <c r="N5101" s="14" t="s">
        <v>1675</v>
      </c>
      <c r="O5101" s="14">
        <v>66.0</v>
      </c>
      <c r="P5101" s="23">
        <v>0.3333</v>
      </c>
      <c r="Q5101" s="22" t="str">
        <f>"+47.62%"</f>
        <v>+47.62%</v>
      </c>
      <c r="R5101" s="18" t="str">
        <f>"+66.67%"</f>
        <v>+66.67%</v>
      </c>
      <c r="S5101" s="14" t="s">
        <v>336</v>
      </c>
    </row>
    <row r="5102">
      <c r="A5102" s="13">
        <v>45901.0</v>
      </c>
      <c r="B5102" s="14" t="s">
        <v>47</v>
      </c>
      <c r="C5102" s="14" t="s">
        <v>48</v>
      </c>
      <c r="D5102" s="14" t="s">
        <v>192</v>
      </c>
      <c r="E5102" s="14" t="s">
        <v>193</v>
      </c>
      <c r="F5102" s="15" t="s">
        <v>51</v>
      </c>
      <c r="G5102" s="14" t="s">
        <v>194</v>
      </c>
      <c r="H5102" s="14" t="s">
        <v>192</v>
      </c>
      <c r="I5102" s="14" t="s">
        <v>54</v>
      </c>
      <c r="J5102" s="14" t="s">
        <v>200</v>
      </c>
      <c r="K5102" s="14" t="s">
        <v>209</v>
      </c>
      <c r="L5102" s="14" t="s">
        <v>253</v>
      </c>
      <c r="M5102" s="14" t="s">
        <v>817</v>
      </c>
      <c r="N5102" s="14" t="s">
        <v>818</v>
      </c>
      <c r="O5102" s="14">
        <v>82.0</v>
      </c>
      <c r="P5102" s="23">
        <v>0.8201</v>
      </c>
      <c r="Q5102" s="22" t="str">
        <f>"+1.65%"</f>
        <v>+1.65%</v>
      </c>
      <c r="R5102" s="18" t="str">
        <f>"+7.22%"</f>
        <v>+7.22%</v>
      </c>
      <c r="S5102" s="14" t="s">
        <v>2423</v>
      </c>
    </row>
    <row r="5103">
      <c r="A5103" s="13">
        <v>45901.0</v>
      </c>
      <c r="B5103" s="14" t="s">
        <v>47</v>
      </c>
      <c r="C5103" s="14" t="s">
        <v>48</v>
      </c>
      <c r="D5103" s="14" t="s">
        <v>66</v>
      </c>
      <c r="E5103" s="14" t="s">
        <v>67</v>
      </c>
      <c r="F5103" s="15" t="s">
        <v>51</v>
      </c>
      <c r="G5103" s="14" t="s">
        <v>68</v>
      </c>
      <c r="H5103" s="14" t="s">
        <v>66</v>
      </c>
      <c r="I5103" s="14" t="s">
        <v>59</v>
      </c>
      <c r="J5103" s="14" t="s">
        <v>200</v>
      </c>
      <c r="K5103" s="14" t="s">
        <v>202</v>
      </c>
      <c r="L5103" s="14" t="s">
        <v>253</v>
      </c>
      <c r="M5103" s="14" t="s">
        <v>347</v>
      </c>
      <c r="N5103" s="14" t="s">
        <v>348</v>
      </c>
      <c r="O5103" s="14">
        <v>0.0</v>
      </c>
      <c r="P5103" s="23">
        <v>0.0</v>
      </c>
      <c r="Q5103" s="22" t="str">
        <f>"-3.33%"</f>
        <v>-3.33%</v>
      </c>
      <c r="R5103" s="18" t="str">
        <f>"-20.00%"</f>
        <v>-20.00%</v>
      </c>
      <c r="S5103" s="14" t="s">
        <v>2424</v>
      </c>
    </row>
    <row r="5104">
      <c r="A5104" s="13">
        <v>45901.0</v>
      </c>
      <c r="B5104" s="14" t="s">
        <v>47</v>
      </c>
      <c r="C5104" s="14" t="s">
        <v>48</v>
      </c>
      <c r="D5104" s="14" t="s">
        <v>143</v>
      </c>
      <c r="E5104" s="14" t="s">
        <v>144</v>
      </c>
      <c r="F5104" s="15" t="s">
        <v>51</v>
      </c>
      <c r="G5104" s="14" t="s">
        <v>145</v>
      </c>
      <c r="H5104" s="14" t="s">
        <v>143</v>
      </c>
      <c r="I5104" s="14" t="s">
        <v>59</v>
      </c>
      <c r="J5104" s="14" t="s">
        <v>199</v>
      </c>
      <c r="K5104" s="14" t="s">
        <v>206</v>
      </c>
      <c r="L5104" s="14" t="s">
        <v>295</v>
      </c>
      <c r="M5104" s="14" t="s">
        <v>986</v>
      </c>
      <c r="N5104" s="14" t="s">
        <v>987</v>
      </c>
      <c r="O5104" s="14">
        <v>0.0</v>
      </c>
      <c r="P5104" s="21">
        <v>0.0</v>
      </c>
      <c r="Q5104" s="22" t="str">
        <f t="shared" ref="Q5104:R5104" si="3051">"+0"</f>
        <v>+0</v>
      </c>
      <c r="R5104" s="18" t="str">
        <f t="shared" si="3051"/>
        <v>+0</v>
      </c>
      <c r="S5104" s="14" t="s">
        <v>260</v>
      </c>
    </row>
    <row r="5105">
      <c r="A5105" s="13">
        <v>45901.0</v>
      </c>
      <c r="B5105" s="14" t="s">
        <v>47</v>
      </c>
      <c r="C5105" s="14" t="s">
        <v>48</v>
      </c>
      <c r="D5105" s="14" t="s">
        <v>103</v>
      </c>
      <c r="E5105" s="14" t="s">
        <v>104</v>
      </c>
      <c r="F5105" s="15" t="s">
        <v>51</v>
      </c>
      <c r="G5105" s="14" t="s">
        <v>105</v>
      </c>
      <c r="H5105" s="14" t="s">
        <v>106</v>
      </c>
      <c r="I5105" s="14" t="s">
        <v>59</v>
      </c>
      <c r="J5105" s="14" t="s">
        <v>198</v>
      </c>
      <c r="K5105" s="14" t="s">
        <v>210</v>
      </c>
      <c r="L5105" s="14" t="s">
        <v>278</v>
      </c>
      <c r="M5105" s="14" t="s">
        <v>279</v>
      </c>
      <c r="N5105" s="14" t="s">
        <v>280</v>
      </c>
      <c r="O5105" s="14">
        <v>100.0</v>
      </c>
      <c r="P5105" s="21">
        <v>0.0</v>
      </c>
      <c r="Q5105" s="22" t="str">
        <f t="shared" ref="Q5105:R5105" si="3052">"+0"</f>
        <v>+0</v>
      </c>
      <c r="R5105" s="18" t="str">
        <f t="shared" si="3052"/>
        <v>+0</v>
      </c>
      <c r="S5105" s="14" t="s">
        <v>281</v>
      </c>
    </row>
    <row r="5106">
      <c r="A5106" s="13">
        <v>45901.0</v>
      </c>
      <c r="B5106" s="14" t="s">
        <v>47</v>
      </c>
      <c r="C5106" s="14" t="s">
        <v>48</v>
      </c>
      <c r="D5106" s="14" t="s">
        <v>103</v>
      </c>
      <c r="E5106" s="14" t="s">
        <v>104</v>
      </c>
      <c r="F5106" s="15" t="s">
        <v>51</v>
      </c>
      <c r="G5106" s="14" t="s">
        <v>105</v>
      </c>
      <c r="H5106" s="14" t="s">
        <v>106</v>
      </c>
      <c r="I5106" s="14" t="s">
        <v>59</v>
      </c>
      <c r="J5106" s="14" t="s">
        <v>198</v>
      </c>
      <c r="K5106" s="14" t="s">
        <v>210</v>
      </c>
      <c r="L5106" s="14" t="s">
        <v>278</v>
      </c>
      <c r="M5106" s="14" t="s">
        <v>839</v>
      </c>
      <c r="N5106" s="14" t="s">
        <v>840</v>
      </c>
      <c r="O5106" s="14">
        <v>35.0</v>
      </c>
      <c r="P5106" s="21">
        <v>1632.0</v>
      </c>
      <c r="Q5106" s="22" t="str">
        <f>"+747"</f>
        <v>+747</v>
      </c>
      <c r="R5106" s="18" t="str">
        <f>"-197"</f>
        <v>-197</v>
      </c>
      <c r="S5106" s="14" t="s">
        <v>2425</v>
      </c>
    </row>
    <row r="5107">
      <c r="A5107" s="13">
        <v>45901.0</v>
      </c>
      <c r="B5107" s="14" t="s">
        <v>47</v>
      </c>
      <c r="C5107" s="14" t="s">
        <v>48</v>
      </c>
      <c r="D5107" s="14" t="s">
        <v>87</v>
      </c>
      <c r="E5107" s="14" t="s">
        <v>88</v>
      </c>
      <c r="F5107" s="14" t="s">
        <v>71</v>
      </c>
      <c r="G5107" s="14">
        <v>5.46000941E8</v>
      </c>
      <c r="H5107" s="14" t="s">
        <v>90</v>
      </c>
      <c r="I5107" s="14" t="s">
        <v>107</v>
      </c>
      <c r="J5107" s="14" t="s">
        <v>199</v>
      </c>
      <c r="K5107" s="14" t="s">
        <v>206</v>
      </c>
      <c r="L5107" s="14" t="s">
        <v>268</v>
      </c>
      <c r="M5107" s="14" t="s">
        <v>268</v>
      </c>
      <c r="N5107" s="14" t="s">
        <v>269</v>
      </c>
      <c r="O5107" s="14">
        <v>0.0</v>
      </c>
      <c r="P5107" s="21">
        <v>0.0</v>
      </c>
      <c r="Q5107" s="22" t="str">
        <f t="shared" ref="Q5107:R5107" si="3053">"+0"</f>
        <v>+0</v>
      </c>
      <c r="R5107" s="18" t="str">
        <f t="shared" si="3053"/>
        <v>+0</v>
      </c>
      <c r="S5107" s="14" t="s">
        <v>260</v>
      </c>
    </row>
    <row r="5108">
      <c r="A5108" s="13">
        <v>45901.0</v>
      </c>
      <c r="B5108" s="14" t="s">
        <v>47</v>
      </c>
      <c r="C5108" s="14" t="s">
        <v>48</v>
      </c>
      <c r="D5108" s="14" t="s">
        <v>149</v>
      </c>
      <c r="E5108" s="14" t="s">
        <v>150</v>
      </c>
      <c r="F5108" s="15" t="s">
        <v>51</v>
      </c>
      <c r="G5108" s="14" t="s">
        <v>151</v>
      </c>
      <c r="H5108" s="14" t="s">
        <v>152</v>
      </c>
      <c r="I5108" s="14" t="s">
        <v>54</v>
      </c>
      <c r="J5108" s="14" t="s">
        <v>198</v>
      </c>
      <c r="K5108" s="14" t="s">
        <v>210</v>
      </c>
      <c r="L5108" s="14" t="s">
        <v>278</v>
      </c>
      <c r="M5108" s="14" t="s">
        <v>947</v>
      </c>
      <c r="N5108" s="14" t="s">
        <v>948</v>
      </c>
      <c r="O5108" s="14">
        <v>0.0</v>
      </c>
      <c r="P5108" s="21">
        <v>0.0</v>
      </c>
      <c r="Q5108" s="22" t="str">
        <f t="shared" ref="Q5108:R5108" si="3054">"+0"</f>
        <v>+0</v>
      </c>
      <c r="R5108" s="18" t="str">
        <f t="shared" si="3054"/>
        <v>+0</v>
      </c>
      <c r="S5108" s="14" t="s">
        <v>277</v>
      </c>
    </row>
    <row r="5109">
      <c r="A5109" s="13">
        <v>45901.0</v>
      </c>
      <c r="B5109" s="14" t="s">
        <v>47</v>
      </c>
      <c r="C5109" s="14" t="s">
        <v>48</v>
      </c>
      <c r="D5109" s="14" t="s">
        <v>129</v>
      </c>
      <c r="E5109" s="14" t="s">
        <v>130</v>
      </c>
      <c r="F5109" s="15" t="s">
        <v>51</v>
      </c>
      <c r="G5109" s="14" t="s">
        <v>131</v>
      </c>
      <c r="H5109" s="14" t="s">
        <v>129</v>
      </c>
      <c r="I5109" s="14" t="s">
        <v>59</v>
      </c>
      <c r="J5109" s="14" t="s">
        <v>200</v>
      </c>
      <c r="K5109" s="14" t="s">
        <v>227</v>
      </c>
      <c r="L5109" s="14" t="s">
        <v>253</v>
      </c>
      <c r="M5109" s="14" t="s">
        <v>254</v>
      </c>
      <c r="N5109" s="14" t="s">
        <v>255</v>
      </c>
      <c r="O5109" s="14">
        <v>1.0</v>
      </c>
      <c r="P5109" s="23">
        <v>0.0138</v>
      </c>
      <c r="Q5109" s="22" t="str">
        <f t="shared" ref="Q5109:R5109" si="3055">"+0.00%"</f>
        <v>+0.00%</v>
      </c>
      <c r="R5109" s="18" t="str">
        <f t="shared" si="3055"/>
        <v>+0.00%</v>
      </c>
      <c r="S5109" s="14" t="s">
        <v>2426</v>
      </c>
    </row>
    <row r="5110">
      <c r="A5110" s="13">
        <v>45901.0</v>
      </c>
      <c r="B5110" s="14" t="s">
        <v>47</v>
      </c>
      <c r="C5110" s="14" t="s">
        <v>48</v>
      </c>
      <c r="D5110" s="14" t="s">
        <v>85</v>
      </c>
      <c r="E5110" s="14" t="s">
        <v>86</v>
      </c>
      <c r="F5110" s="15" t="s">
        <v>51</v>
      </c>
      <c r="G5110" s="14" t="s">
        <v>148</v>
      </c>
      <c r="H5110" s="14" t="s">
        <v>85</v>
      </c>
      <c r="I5110" s="14" t="s">
        <v>59</v>
      </c>
      <c r="J5110" s="14" t="s">
        <v>200</v>
      </c>
      <c r="K5110" s="14" t="s">
        <v>201</v>
      </c>
      <c r="L5110" s="14" t="s">
        <v>253</v>
      </c>
      <c r="M5110" s="14" t="s">
        <v>585</v>
      </c>
      <c r="N5110" s="14" t="s">
        <v>586</v>
      </c>
      <c r="O5110" s="14">
        <v>3.0</v>
      </c>
      <c r="P5110" s="23">
        <v>0.0336</v>
      </c>
      <c r="Q5110" s="22" t="str">
        <f>"-1.01%"</f>
        <v>-1.01%</v>
      </c>
      <c r="R5110" s="18" t="str">
        <f>"+0.86%"</f>
        <v>+0.86%</v>
      </c>
      <c r="S5110" s="14" t="s">
        <v>1454</v>
      </c>
    </row>
    <row r="5111">
      <c r="A5111" s="13">
        <v>45901.0</v>
      </c>
      <c r="B5111" s="14" t="s">
        <v>47</v>
      </c>
      <c r="C5111" s="14" t="s">
        <v>48</v>
      </c>
      <c r="D5111" s="14" t="s">
        <v>69</v>
      </c>
      <c r="E5111" s="14" t="s">
        <v>70</v>
      </c>
      <c r="F5111" s="15" t="s">
        <v>51</v>
      </c>
      <c r="G5111" s="14" t="s">
        <v>115</v>
      </c>
      <c r="H5111" s="14" t="s">
        <v>72</v>
      </c>
      <c r="I5111" s="14" t="s">
        <v>54</v>
      </c>
      <c r="J5111" s="14" t="s">
        <v>200</v>
      </c>
      <c r="K5111" s="14" t="s">
        <v>215</v>
      </c>
      <c r="L5111" s="14" t="s">
        <v>1322</v>
      </c>
      <c r="M5111" s="14" t="s">
        <v>2232</v>
      </c>
      <c r="N5111" s="14" t="s">
        <v>2233</v>
      </c>
      <c r="O5111" s="14">
        <v>45.0</v>
      </c>
      <c r="P5111" s="23">
        <v>-0.0849</v>
      </c>
      <c r="Q5111" s="22" t="str">
        <f>"+6.78%"</f>
        <v>+6.78%</v>
      </c>
      <c r="R5111" s="18" t="str">
        <f>"+39.19%"</f>
        <v>+39.19%</v>
      </c>
      <c r="S5111" s="14" t="s">
        <v>2427</v>
      </c>
    </row>
    <row r="5112">
      <c r="A5112" s="13">
        <v>45901.0</v>
      </c>
      <c r="B5112" s="14" t="s">
        <v>47</v>
      </c>
      <c r="C5112" s="14" t="s">
        <v>48</v>
      </c>
      <c r="D5112" s="14" t="s">
        <v>96</v>
      </c>
      <c r="E5112" s="14" t="s">
        <v>97</v>
      </c>
      <c r="F5112" s="15" t="s">
        <v>51</v>
      </c>
      <c r="G5112" s="14" t="s">
        <v>98</v>
      </c>
      <c r="H5112" s="14" t="s">
        <v>96</v>
      </c>
      <c r="I5112" s="14" t="s">
        <v>59</v>
      </c>
      <c r="J5112" s="14" t="s">
        <v>200</v>
      </c>
      <c r="K5112" s="14" t="s">
        <v>223</v>
      </c>
      <c r="L5112" s="14" t="s">
        <v>607</v>
      </c>
      <c r="M5112" s="14" t="s">
        <v>869</v>
      </c>
      <c r="N5112" s="14" t="s">
        <v>870</v>
      </c>
      <c r="O5112" s="14">
        <v>37.0</v>
      </c>
      <c r="P5112" s="23">
        <v>-0.2414</v>
      </c>
      <c r="Q5112" s="22" t="str">
        <f>"-56.70%"</f>
        <v>-56.70%</v>
      </c>
      <c r="R5112" s="18" t="str">
        <f>"-14.84%"</f>
        <v>-14.84%</v>
      </c>
      <c r="S5112" s="14" t="s">
        <v>2428</v>
      </c>
    </row>
    <row r="5113">
      <c r="A5113" s="13">
        <v>45901.0</v>
      </c>
      <c r="B5113" s="14" t="s">
        <v>47</v>
      </c>
      <c r="C5113" s="14" t="s">
        <v>48</v>
      </c>
      <c r="D5113" s="14" t="s">
        <v>116</v>
      </c>
      <c r="E5113" s="14" t="s">
        <v>117</v>
      </c>
      <c r="F5113" s="15" t="s">
        <v>51</v>
      </c>
      <c r="G5113" s="14" t="s">
        <v>161</v>
      </c>
      <c r="H5113" s="14" t="s">
        <v>116</v>
      </c>
      <c r="I5113" s="14" t="s">
        <v>54</v>
      </c>
      <c r="J5113" s="14" t="s">
        <v>200</v>
      </c>
      <c r="K5113" s="14" t="s">
        <v>211</v>
      </c>
      <c r="L5113" s="14" t="s">
        <v>991</v>
      </c>
      <c r="M5113" s="14" t="s">
        <v>1649</v>
      </c>
      <c r="N5113" s="14" t="s">
        <v>1650</v>
      </c>
      <c r="O5113" s="14">
        <v>100.0</v>
      </c>
      <c r="P5113" s="23">
        <v>1.0</v>
      </c>
      <c r="Q5113" s="22" t="str">
        <f t="shared" ref="Q5113:R5113" si="3056">"+0.00%"</f>
        <v>+0.00%</v>
      </c>
      <c r="R5113" s="18" t="str">
        <f t="shared" si="3056"/>
        <v>+0.00%</v>
      </c>
      <c r="S5113" s="14" t="s">
        <v>336</v>
      </c>
    </row>
    <row r="5114">
      <c r="A5114" s="13">
        <v>45901.0</v>
      </c>
      <c r="B5114" s="14" t="s">
        <v>47</v>
      </c>
      <c r="C5114" s="14" t="s">
        <v>48</v>
      </c>
      <c r="D5114" s="14" t="s">
        <v>158</v>
      </c>
      <c r="E5114" s="14" t="s">
        <v>159</v>
      </c>
      <c r="F5114" s="15" t="s">
        <v>51</v>
      </c>
      <c r="G5114" s="14" t="s">
        <v>160</v>
      </c>
      <c r="H5114" s="14" t="s">
        <v>158</v>
      </c>
      <c r="I5114" s="14" t="s">
        <v>54</v>
      </c>
      <c r="J5114" s="14" t="s">
        <v>198</v>
      </c>
      <c r="K5114" s="14" t="s">
        <v>210</v>
      </c>
      <c r="L5114" s="14" t="s">
        <v>264</v>
      </c>
      <c r="M5114" s="14" t="s">
        <v>638</v>
      </c>
      <c r="N5114" s="14" t="s">
        <v>639</v>
      </c>
      <c r="O5114" s="14">
        <v>0.0</v>
      </c>
      <c r="P5114" s="21">
        <v>0.0</v>
      </c>
      <c r="Q5114" s="22" t="str">
        <f t="shared" ref="Q5114:R5114" si="3057">"+0"</f>
        <v>+0</v>
      </c>
      <c r="R5114" s="18" t="str">
        <f t="shared" si="3057"/>
        <v>+0</v>
      </c>
      <c r="S5114" s="14" t="s">
        <v>277</v>
      </c>
    </row>
    <row r="5115">
      <c r="A5115" s="13">
        <v>45901.0</v>
      </c>
      <c r="B5115" s="14" t="s">
        <v>47</v>
      </c>
      <c r="C5115" s="14" t="s">
        <v>48</v>
      </c>
      <c r="D5115" s="14" t="s">
        <v>158</v>
      </c>
      <c r="E5115" s="14" t="s">
        <v>159</v>
      </c>
      <c r="F5115" s="15" t="s">
        <v>51</v>
      </c>
      <c r="G5115" s="14" t="s">
        <v>160</v>
      </c>
      <c r="H5115" s="14" t="s">
        <v>158</v>
      </c>
      <c r="I5115" s="14" t="s">
        <v>54</v>
      </c>
      <c r="J5115" s="14" t="s">
        <v>198</v>
      </c>
      <c r="K5115" s="14" t="s">
        <v>210</v>
      </c>
      <c r="L5115" s="14" t="s">
        <v>264</v>
      </c>
      <c r="M5115" s="14" t="s">
        <v>918</v>
      </c>
      <c r="N5115" s="14" t="s">
        <v>919</v>
      </c>
      <c r="O5115" s="14">
        <v>0.0</v>
      </c>
      <c r="P5115" s="21">
        <v>0.0</v>
      </c>
      <c r="Q5115" s="22" t="str">
        <f t="shared" ref="Q5115:R5115" si="3058">"+0"</f>
        <v>+0</v>
      </c>
      <c r="R5115" s="18" t="str">
        <f t="shared" si="3058"/>
        <v>+0</v>
      </c>
      <c r="S5115" s="14" t="s">
        <v>277</v>
      </c>
    </row>
    <row r="5116">
      <c r="A5116" s="13">
        <v>45901.0</v>
      </c>
      <c r="B5116" s="14" t="s">
        <v>47</v>
      </c>
      <c r="C5116" s="14" t="s">
        <v>48</v>
      </c>
      <c r="D5116" s="14" t="s">
        <v>158</v>
      </c>
      <c r="E5116" s="14" t="s">
        <v>159</v>
      </c>
      <c r="F5116" s="15" t="s">
        <v>51</v>
      </c>
      <c r="G5116" s="14" t="s">
        <v>160</v>
      </c>
      <c r="H5116" s="14" t="s">
        <v>158</v>
      </c>
      <c r="I5116" s="14" t="s">
        <v>54</v>
      </c>
      <c r="J5116" s="14" t="s">
        <v>200</v>
      </c>
      <c r="K5116" s="14" t="s">
        <v>224</v>
      </c>
      <c r="L5116" s="14" t="s">
        <v>453</v>
      </c>
      <c r="M5116" s="14" t="s">
        <v>949</v>
      </c>
      <c r="N5116" s="14" t="s">
        <v>950</v>
      </c>
      <c r="O5116" s="14">
        <v>0.0</v>
      </c>
      <c r="P5116" s="17"/>
      <c r="Q5116" s="22"/>
      <c r="S5116" s="14" t="s">
        <v>951</v>
      </c>
    </row>
    <row r="5117">
      <c r="A5117" s="13">
        <v>45901.0</v>
      </c>
      <c r="B5117" s="14" t="s">
        <v>47</v>
      </c>
      <c r="C5117" s="14" t="s">
        <v>48</v>
      </c>
      <c r="D5117" s="14" t="s">
        <v>174</v>
      </c>
      <c r="E5117" s="14" t="s">
        <v>175</v>
      </c>
      <c r="F5117" s="15" t="s">
        <v>51</v>
      </c>
      <c r="G5117" s="14" t="s">
        <v>176</v>
      </c>
      <c r="H5117" s="14" t="s">
        <v>174</v>
      </c>
      <c r="I5117" s="14" t="s">
        <v>59</v>
      </c>
      <c r="J5117" s="14" t="s">
        <v>200</v>
      </c>
      <c r="K5117" s="14" t="s">
        <v>201</v>
      </c>
      <c r="L5117" s="14" t="s">
        <v>253</v>
      </c>
      <c r="M5117" s="14" t="s">
        <v>1411</v>
      </c>
      <c r="N5117" s="14" t="s">
        <v>1412</v>
      </c>
      <c r="O5117" s="14">
        <v>12.0</v>
      </c>
      <c r="P5117" s="23">
        <v>0.1284</v>
      </c>
      <c r="Q5117" s="22" t="str">
        <f>"+4.86%"</f>
        <v>+4.86%</v>
      </c>
      <c r="R5117" s="18" t="str">
        <f>"+6.40%"</f>
        <v>+6.40%</v>
      </c>
      <c r="S5117" s="14" t="s">
        <v>1647</v>
      </c>
    </row>
    <row r="5118">
      <c r="A5118" s="13">
        <v>45901.0</v>
      </c>
      <c r="B5118" s="14" t="s">
        <v>47</v>
      </c>
      <c r="C5118" s="14" t="s">
        <v>48</v>
      </c>
      <c r="D5118" s="14" t="s">
        <v>116</v>
      </c>
      <c r="E5118" s="14" t="s">
        <v>117</v>
      </c>
      <c r="F5118" s="15" t="s">
        <v>51</v>
      </c>
      <c r="G5118" s="14" t="s">
        <v>161</v>
      </c>
      <c r="H5118" s="14" t="s">
        <v>116</v>
      </c>
      <c r="I5118" s="14" t="s">
        <v>54</v>
      </c>
      <c r="J5118" s="14" t="s">
        <v>200</v>
      </c>
      <c r="K5118" s="14" t="s">
        <v>213</v>
      </c>
      <c r="L5118" s="14" t="s">
        <v>571</v>
      </c>
      <c r="M5118" s="14" t="s">
        <v>578</v>
      </c>
      <c r="N5118" s="14" t="s">
        <v>579</v>
      </c>
      <c r="O5118" s="14">
        <v>100.0</v>
      </c>
      <c r="P5118" s="23">
        <v>7.0E-4</v>
      </c>
      <c r="Q5118" s="22" t="str">
        <f>"-0.00%"</f>
        <v>-0.00%</v>
      </c>
      <c r="R5118" s="18" t="str">
        <f>"+0.00%"</f>
        <v>+0.00%</v>
      </c>
      <c r="S5118" s="14" t="s">
        <v>285</v>
      </c>
    </row>
    <row r="5119">
      <c r="A5119" s="13">
        <v>45901.0</v>
      </c>
      <c r="B5119" s="14" t="s">
        <v>47</v>
      </c>
      <c r="C5119" s="14" t="s">
        <v>48</v>
      </c>
      <c r="D5119" s="14" t="s">
        <v>140</v>
      </c>
      <c r="E5119" s="14" t="s">
        <v>141</v>
      </c>
      <c r="F5119" s="15" t="s">
        <v>51</v>
      </c>
      <c r="G5119" s="14" t="s">
        <v>142</v>
      </c>
      <c r="H5119" s="14" t="s">
        <v>140</v>
      </c>
      <c r="I5119" s="14" t="s">
        <v>59</v>
      </c>
      <c r="J5119" s="14" t="s">
        <v>200</v>
      </c>
      <c r="K5119" s="14" t="s">
        <v>213</v>
      </c>
      <c r="L5119" s="14" t="s">
        <v>571</v>
      </c>
      <c r="M5119" s="14" t="s">
        <v>572</v>
      </c>
      <c r="N5119" s="14" t="s">
        <v>573</v>
      </c>
      <c r="O5119" s="14">
        <v>0.0</v>
      </c>
      <c r="P5119" s="23">
        <v>0.0</v>
      </c>
      <c r="Q5119" s="22" t="str">
        <f t="shared" ref="Q5119:R5119" si="3059">"+0.00%"</f>
        <v>+0.00%</v>
      </c>
      <c r="R5119" s="18" t="str">
        <f t="shared" si="3059"/>
        <v>+0.00%</v>
      </c>
      <c r="S5119" s="14" t="s">
        <v>285</v>
      </c>
    </row>
    <row r="5120">
      <c r="A5120" s="13">
        <v>45901.0</v>
      </c>
      <c r="B5120" s="14" t="s">
        <v>47</v>
      </c>
      <c r="C5120" s="14" t="s">
        <v>48</v>
      </c>
      <c r="D5120" s="14" t="s">
        <v>56</v>
      </c>
      <c r="E5120" s="14" t="s">
        <v>57</v>
      </c>
      <c r="F5120" s="15" t="s">
        <v>51</v>
      </c>
      <c r="G5120" s="14" t="s">
        <v>58</v>
      </c>
      <c r="H5120" s="14" t="s">
        <v>56</v>
      </c>
      <c r="I5120" s="14" t="s">
        <v>59</v>
      </c>
      <c r="J5120" s="14" t="s">
        <v>200</v>
      </c>
      <c r="K5120" s="14" t="s">
        <v>223</v>
      </c>
      <c r="L5120" s="14" t="s">
        <v>257</v>
      </c>
      <c r="M5120" s="14" t="s">
        <v>622</v>
      </c>
      <c r="N5120" s="14" t="s">
        <v>623</v>
      </c>
      <c r="O5120" s="14">
        <v>100.0</v>
      </c>
      <c r="P5120" s="23">
        <v>1.0</v>
      </c>
      <c r="Q5120" s="22" t="str">
        <f>"+66.67%"</f>
        <v>+66.67%</v>
      </c>
      <c r="R5120" s="18" t="str">
        <f>"+0.00%"</f>
        <v>+0.00%</v>
      </c>
      <c r="S5120" s="14" t="s">
        <v>2429</v>
      </c>
    </row>
    <row r="5121">
      <c r="A5121" s="13">
        <v>45901.0</v>
      </c>
      <c r="B5121" s="14" t="s">
        <v>47</v>
      </c>
      <c r="C5121" s="14" t="s">
        <v>48</v>
      </c>
      <c r="D5121" s="14" t="s">
        <v>56</v>
      </c>
      <c r="E5121" s="14" t="s">
        <v>57</v>
      </c>
      <c r="F5121" s="15" t="s">
        <v>51</v>
      </c>
      <c r="G5121" s="14" t="s">
        <v>58</v>
      </c>
      <c r="H5121" s="14" t="s">
        <v>56</v>
      </c>
      <c r="I5121" s="14" t="s">
        <v>59</v>
      </c>
      <c r="J5121" s="14" t="s">
        <v>200</v>
      </c>
      <c r="K5121" s="14" t="s">
        <v>223</v>
      </c>
      <c r="L5121" s="14" t="s">
        <v>282</v>
      </c>
      <c r="M5121" s="14" t="s">
        <v>914</v>
      </c>
      <c r="N5121" s="14" t="s">
        <v>915</v>
      </c>
      <c r="O5121" s="14">
        <v>0.0</v>
      </c>
      <c r="P5121" s="21">
        <v>0.0</v>
      </c>
      <c r="Q5121" s="22" t="str">
        <f t="shared" ref="Q5121:R5121" si="3060">"+0"</f>
        <v>+0</v>
      </c>
      <c r="R5121" s="18" t="str">
        <f t="shared" si="3060"/>
        <v>+0</v>
      </c>
      <c r="S5121" s="14" t="s">
        <v>260</v>
      </c>
    </row>
    <row r="5122">
      <c r="A5122" s="13">
        <v>45901.0</v>
      </c>
      <c r="B5122" s="14" t="s">
        <v>47</v>
      </c>
      <c r="C5122" s="14" t="s">
        <v>48</v>
      </c>
      <c r="D5122" s="14" t="s">
        <v>56</v>
      </c>
      <c r="E5122" s="14" t="s">
        <v>57</v>
      </c>
      <c r="F5122" s="15" t="s">
        <v>51</v>
      </c>
      <c r="G5122" s="14" t="s">
        <v>58</v>
      </c>
      <c r="H5122" s="14" t="s">
        <v>56</v>
      </c>
      <c r="I5122" s="14" t="s">
        <v>59</v>
      </c>
      <c r="J5122" s="14" t="s">
        <v>198</v>
      </c>
      <c r="K5122" s="14" t="s">
        <v>210</v>
      </c>
      <c r="L5122" s="14" t="s">
        <v>264</v>
      </c>
      <c r="M5122" s="14" t="s">
        <v>265</v>
      </c>
      <c r="N5122" s="14" t="s">
        <v>266</v>
      </c>
      <c r="O5122" s="14">
        <v>32.0</v>
      </c>
      <c r="P5122" s="21">
        <v>213.0</v>
      </c>
      <c r="Q5122" s="22" t="str">
        <f>"+30"</f>
        <v>+30</v>
      </c>
      <c r="R5122" s="18" t="str">
        <f>"-507"</f>
        <v>-507</v>
      </c>
      <c r="S5122" s="14" t="s">
        <v>2430</v>
      </c>
    </row>
    <row r="5123">
      <c r="A5123" s="13">
        <v>45901.0</v>
      </c>
      <c r="B5123" s="14" t="s">
        <v>47</v>
      </c>
      <c r="C5123" s="14" t="s">
        <v>48</v>
      </c>
      <c r="D5123" s="14" t="s">
        <v>49</v>
      </c>
      <c r="E5123" s="14" t="s">
        <v>50</v>
      </c>
      <c r="F5123" s="15" t="s">
        <v>51</v>
      </c>
      <c r="G5123" s="14" t="s">
        <v>52</v>
      </c>
      <c r="H5123" s="14" t="s">
        <v>53</v>
      </c>
      <c r="I5123" s="14" t="s">
        <v>54</v>
      </c>
      <c r="J5123" s="14" t="s">
        <v>200</v>
      </c>
      <c r="K5123" s="14" t="s">
        <v>219</v>
      </c>
      <c r="L5123" s="14" t="s">
        <v>253</v>
      </c>
      <c r="M5123" s="14" t="s">
        <v>899</v>
      </c>
      <c r="N5123" s="14" t="s">
        <v>900</v>
      </c>
      <c r="O5123" s="14">
        <v>100.0</v>
      </c>
      <c r="P5123" s="23">
        <v>0.0</v>
      </c>
      <c r="Q5123" s="22" t="str">
        <f t="shared" ref="Q5123:R5123" si="3061">"+0.00%"</f>
        <v>+0.00%</v>
      </c>
      <c r="R5123" s="18" t="str">
        <f t="shared" si="3061"/>
        <v>+0.00%</v>
      </c>
      <c r="S5123" s="14" t="s">
        <v>285</v>
      </c>
    </row>
    <row r="5124">
      <c r="A5124" s="13">
        <v>45901.0</v>
      </c>
      <c r="B5124" s="14" t="s">
        <v>47</v>
      </c>
      <c r="C5124" s="14" t="s">
        <v>48</v>
      </c>
      <c r="D5124" s="14" t="s">
        <v>91</v>
      </c>
      <c r="E5124" s="14" t="s">
        <v>92</v>
      </c>
      <c r="F5124" s="15" t="s">
        <v>51</v>
      </c>
      <c r="G5124" s="14" t="s">
        <v>163</v>
      </c>
      <c r="H5124" s="14" t="s">
        <v>91</v>
      </c>
      <c r="I5124" s="14" t="s">
        <v>59</v>
      </c>
      <c r="J5124" s="14" t="s">
        <v>199</v>
      </c>
      <c r="K5124" s="14" t="s">
        <v>203</v>
      </c>
      <c r="L5124" s="14" t="s">
        <v>736</v>
      </c>
      <c r="M5124" s="14" t="s">
        <v>736</v>
      </c>
      <c r="N5124" s="14" t="s">
        <v>737</v>
      </c>
      <c r="O5124" s="14">
        <v>100.0</v>
      </c>
      <c r="P5124" s="21">
        <v>5.0</v>
      </c>
      <c r="Q5124" s="22" t="str">
        <f t="shared" ref="Q5124:R5124" si="3062">"+0"</f>
        <v>+0</v>
      </c>
      <c r="R5124" s="18" t="str">
        <f t="shared" si="3062"/>
        <v>+0</v>
      </c>
      <c r="S5124" s="14" t="s">
        <v>260</v>
      </c>
    </row>
    <row r="5125">
      <c r="A5125" s="13">
        <v>45901.0</v>
      </c>
      <c r="B5125" s="14" t="s">
        <v>47</v>
      </c>
      <c r="C5125" s="14" t="s">
        <v>48</v>
      </c>
      <c r="D5125" s="14" t="s">
        <v>63</v>
      </c>
      <c r="E5125" s="14" t="s">
        <v>64</v>
      </c>
      <c r="F5125" s="14" t="s">
        <v>111</v>
      </c>
      <c r="G5125" s="14">
        <v>4916210.0</v>
      </c>
      <c r="H5125" s="14" t="s">
        <v>63</v>
      </c>
      <c r="I5125" s="14" t="s">
        <v>59</v>
      </c>
      <c r="J5125" s="14" t="s">
        <v>199</v>
      </c>
      <c r="K5125" s="14" t="s">
        <v>206</v>
      </c>
      <c r="L5125" s="14" t="s">
        <v>295</v>
      </c>
      <c r="M5125" s="14" t="s">
        <v>529</v>
      </c>
      <c r="N5125" s="14" t="s">
        <v>530</v>
      </c>
      <c r="O5125" s="14">
        <v>100.0</v>
      </c>
      <c r="P5125" s="21">
        <v>1.0</v>
      </c>
      <c r="Q5125" s="22" t="str">
        <f t="shared" ref="Q5125:R5125" si="3063">"+0"</f>
        <v>+0</v>
      </c>
      <c r="R5125" s="18" t="str">
        <f t="shared" si="3063"/>
        <v>+0</v>
      </c>
      <c r="S5125" s="14" t="s">
        <v>260</v>
      </c>
    </row>
    <row r="5126">
      <c r="A5126" s="13">
        <v>45901.0</v>
      </c>
      <c r="B5126" s="14" t="s">
        <v>47</v>
      </c>
      <c r="C5126" s="14" t="s">
        <v>48</v>
      </c>
      <c r="D5126" s="14" t="s">
        <v>91</v>
      </c>
      <c r="E5126" s="14" t="s">
        <v>92</v>
      </c>
      <c r="F5126" s="14" t="s">
        <v>146</v>
      </c>
      <c r="G5126" s="14" t="s">
        <v>147</v>
      </c>
      <c r="H5126" s="14" t="s">
        <v>91</v>
      </c>
      <c r="I5126" s="14" t="s">
        <v>107</v>
      </c>
      <c r="J5126" s="14" t="s">
        <v>200</v>
      </c>
      <c r="K5126" s="14" t="s">
        <v>226</v>
      </c>
      <c r="L5126" s="14" t="s">
        <v>633</v>
      </c>
      <c r="M5126" s="14" t="s">
        <v>1751</v>
      </c>
      <c r="N5126" s="14" t="s">
        <v>1752</v>
      </c>
      <c r="O5126" s="14">
        <v>0.0</v>
      </c>
      <c r="P5126" s="21">
        <v>0.0</v>
      </c>
      <c r="Q5126" s="22" t="str">
        <f t="shared" ref="Q5126:R5126" si="3064">"+0"</f>
        <v>+0</v>
      </c>
      <c r="R5126" s="18" t="str">
        <f t="shared" si="3064"/>
        <v>+0</v>
      </c>
      <c r="S5126" s="14" t="s">
        <v>260</v>
      </c>
    </row>
    <row r="5127">
      <c r="A5127" s="13">
        <v>45901.0</v>
      </c>
      <c r="B5127" s="14" t="s">
        <v>47</v>
      </c>
      <c r="C5127" s="14" t="s">
        <v>48</v>
      </c>
      <c r="D5127" s="14" t="s">
        <v>63</v>
      </c>
      <c r="E5127" s="14" t="s">
        <v>64</v>
      </c>
      <c r="F5127" s="15" t="s">
        <v>51</v>
      </c>
      <c r="G5127" s="14" t="s">
        <v>65</v>
      </c>
      <c r="H5127" s="14" t="s">
        <v>63</v>
      </c>
      <c r="I5127" s="14" t="s">
        <v>54</v>
      </c>
      <c r="J5127" s="14" t="s">
        <v>198</v>
      </c>
      <c r="K5127" s="14" t="s">
        <v>205</v>
      </c>
      <c r="L5127" s="14" t="s">
        <v>274</v>
      </c>
      <c r="M5127" s="14" t="s">
        <v>575</v>
      </c>
      <c r="N5127" s="14" t="s">
        <v>576</v>
      </c>
      <c r="O5127" s="14">
        <v>100.0</v>
      </c>
      <c r="P5127" s="21">
        <v>90.0</v>
      </c>
      <c r="Q5127" s="22" t="str">
        <f t="shared" ref="Q5127:Q5128" si="3065">"+0"</f>
        <v>+0</v>
      </c>
      <c r="S5127" s="14" t="s">
        <v>577</v>
      </c>
    </row>
    <row r="5128">
      <c r="A5128" s="13">
        <v>45901.0</v>
      </c>
      <c r="B5128" s="14" t="s">
        <v>47</v>
      </c>
      <c r="C5128" s="14" t="s">
        <v>48</v>
      </c>
      <c r="D5128" s="14" t="s">
        <v>66</v>
      </c>
      <c r="E5128" s="14" t="s">
        <v>67</v>
      </c>
      <c r="F5128" s="15" t="s">
        <v>51</v>
      </c>
      <c r="G5128" s="14" t="s">
        <v>68</v>
      </c>
      <c r="H5128" s="14" t="s">
        <v>66</v>
      </c>
      <c r="I5128" s="14" t="s">
        <v>59</v>
      </c>
      <c r="J5128" s="14" t="s">
        <v>200</v>
      </c>
      <c r="K5128" s="14" t="s">
        <v>231</v>
      </c>
      <c r="L5128" s="14" t="s">
        <v>512</v>
      </c>
      <c r="M5128" s="14" t="s">
        <v>1194</v>
      </c>
      <c r="N5128" s="14" t="s">
        <v>1195</v>
      </c>
      <c r="O5128" s="14">
        <v>0.0</v>
      </c>
      <c r="P5128" s="21">
        <v>0.0</v>
      </c>
      <c r="Q5128" s="22" t="str">
        <f t="shared" si="3065"/>
        <v>+0</v>
      </c>
      <c r="R5128" s="18" t="str">
        <f>"+0"</f>
        <v>+0</v>
      </c>
      <c r="S5128" s="14" t="s">
        <v>260</v>
      </c>
    </row>
    <row r="5129">
      <c r="A5129" s="13">
        <v>45901.0</v>
      </c>
      <c r="B5129" s="14" t="s">
        <v>47</v>
      </c>
      <c r="C5129" s="14" t="s">
        <v>48</v>
      </c>
      <c r="D5129" s="14" t="s">
        <v>82</v>
      </c>
      <c r="E5129" s="14" t="s">
        <v>83</v>
      </c>
      <c r="F5129" s="15" t="s">
        <v>51</v>
      </c>
      <c r="G5129" s="14" t="s">
        <v>84</v>
      </c>
      <c r="H5129" s="14" t="s">
        <v>82</v>
      </c>
      <c r="I5129" s="14" t="s">
        <v>59</v>
      </c>
      <c r="J5129" s="14" t="s">
        <v>200</v>
      </c>
      <c r="K5129" s="14" t="s">
        <v>213</v>
      </c>
      <c r="L5129" s="14" t="s">
        <v>591</v>
      </c>
      <c r="M5129" s="14" t="s">
        <v>592</v>
      </c>
      <c r="N5129" s="14" t="s">
        <v>1048</v>
      </c>
      <c r="O5129" s="14">
        <v>0.0</v>
      </c>
      <c r="P5129" s="23">
        <v>0.0</v>
      </c>
      <c r="Q5129" s="22" t="str">
        <f>"-3.13%"</f>
        <v>-3.13%</v>
      </c>
      <c r="R5129" s="18" t="str">
        <f>"+0.00%"</f>
        <v>+0.00%</v>
      </c>
      <c r="S5129" s="14" t="s">
        <v>285</v>
      </c>
    </row>
    <row r="5130">
      <c r="A5130" s="13">
        <v>45901.0</v>
      </c>
      <c r="B5130" s="14" t="s">
        <v>47</v>
      </c>
      <c r="C5130" s="14" t="s">
        <v>48</v>
      </c>
      <c r="D5130" s="14" t="s">
        <v>192</v>
      </c>
      <c r="E5130" s="14" t="s">
        <v>193</v>
      </c>
      <c r="F5130" s="15" t="s">
        <v>51</v>
      </c>
      <c r="G5130" s="14" t="s">
        <v>194</v>
      </c>
      <c r="H5130" s="14" t="s">
        <v>192</v>
      </c>
      <c r="I5130" s="14" t="s">
        <v>54</v>
      </c>
      <c r="J5130" s="14" t="s">
        <v>200</v>
      </c>
      <c r="K5130" s="14" t="s">
        <v>223</v>
      </c>
      <c r="L5130" s="14" t="s">
        <v>289</v>
      </c>
      <c r="M5130" s="14" t="s">
        <v>331</v>
      </c>
      <c r="N5130" s="14" t="s">
        <v>332</v>
      </c>
      <c r="O5130" s="14">
        <v>0.0</v>
      </c>
      <c r="P5130" s="23">
        <v>0.0</v>
      </c>
      <c r="Q5130" s="22" t="str">
        <f t="shared" ref="Q5130:R5130" si="3066">"+0.00%"</f>
        <v>+0.00%</v>
      </c>
      <c r="R5130" s="18" t="str">
        <f t="shared" si="3066"/>
        <v>+0.00%</v>
      </c>
      <c r="S5130" s="14" t="s">
        <v>285</v>
      </c>
    </row>
    <row r="5131">
      <c r="A5131" s="13">
        <v>45901.0</v>
      </c>
      <c r="B5131" s="14" t="s">
        <v>47</v>
      </c>
      <c r="C5131" s="14" t="s">
        <v>48</v>
      </c>
      <c r="D5131" s="14" t="s">
        <v>184</v>
      </c>
      <c r="E5131" s="14" t="s">
        <v>185</v>
      </c>
      <c r="F5131" s="15" t="s">
        <v>51</v>
      </c>
      <c r="G5131" s="14" t="s">
        <v>186</v>
      </c>
      <c r="H5131" s="14" t="s">
        <v>187</v>
      </c>
      <c r="I5131" s="14" t="s">
        <v>59</v>
      </c>
      <c r="J5131" s="14" t="s">
        <v>200</v>
      </c>
      <c r="K5131" s="14" t="s">
        <v>224</v>
      </c>
      <c r="L5131" s="14" t="s">
        <v>427</v>
      </c>
      <c r="M5131" s="14" t="s">
        <v>428</v>
      </c>
      <c r="N5131" s="14" t="s">
        <v>429</v>
      </c>
      <c r="O5131" s="14">
        <v>0.0</v>
      </c>
      <c r="P5131" s="17"/>
      <c r="Q5131" s="22"/>
      <c r="S5131" s="14" t="s">
        <v>2431</v>
      </c>
    </row>
    <row r="5132">
      <c r="A5132" s="13">
        <v>45901.0</v>
      </c>
      <c r="B5132" s="14" t="s">
        <v>47</v>
      </c>
      <c r="C5132" s="14" t="s">
        <v>48</v>
      </c>
      <c r="D5132" s="14" t="s">
        <v>66</v>
      </c>
      <c r="E5132" s="14" t="s">
        <v>67</v>
      </c>
      <c r="F5132" s="15" t="s">
        <v>51</v>
      </c>
      <c r="G5132" s="14" t="s">
        <v>68</v>
      </c>
      <c r="H5132" s="14" t="s">
        <v>66</v>
      </c>
      <c r="I5132" s="14" t="s">
        <v>59</v>
      </c>
      <c r="J5132" s="14" t="s">
        <v>198</v>
      </c>
      <c r="K5132" s="14" t="s">
        <v>210</v>
      </c>
      <c r="L5132" s="14" t="s">
        <v>278</v>
      </c>
      <c r="M5132" s="14" t="s">
        <v>839</v>
      </c>
      <c r="N5132" s="14" t="s">
        <v>840</v>
      </c>
      <c r="O5132" s="14">
        <v>100.0</v>
      </c>
      <c r="P5132" s="21">
        <v>0.0</v>
      </c>
      <c r="Q5132" s="22" t="str">
        <f>"+0"</f>
        <v>+0</v>
      </c>
      <c r="R5132" s="18" t="str">
        <f>"-2,578"</f>
        <v>-2,578</v>
      </c>
      <c r="S5132" s="14" t="s">
        <v>281</v>
      </c>
    </row>
    <row r="5133">
      <c r="A5133" s="13">
        <v>45901.0</v>
      </c>
      <c r="B5133" s="14" t="s">
        <v>47</v>
      </c>
      <c r="C5133" s="14" t="s">
        <v>48</v>
      </c>
      <c r="D5133" s="14" t="s">
        <v>73</v>
      </c>
      <c r="E5133" s="14" t="s">
        <v>74</v>
      </c>
      <c r="F5133" s="15" t="s">
        <v>51</v>
      </c>
      <c r="G5133" s="14" t="s">
        <v>75</v>
      </c>
      <c r="H5133" s="14" t="s">
        <v>76</v>
      </c>
      <c r="I5133" s="14" t="s">
        <v>59</v>
      </c>
      <c r="J5133" s="14" t="s">
        <v>200</v>
      </c>
      <c r="K5133" s="14" t="s">
        <v>232</v>
      </c>
      <c r="L5133" s="14" t="s">
        <v>607</v>
      </c>
      <c r="M5133" s="14" t="s">
        <v>1027</v>
      </c>
      <c r="N5133" s="14" t="s">
        <v>1028</v>
      </c>
      <c r="O5133" s="14">
        <v>0.0</v>
      </c>
      <c r="P5133" s="23">
        <v>-1.0</v>
      </c>
      <c r="Q5133" s="22" t="str">
        <f t="shared" ref="Q5133:R5133" si="3067">"+0.00%"</f>
        <v>+0.00%</v>
      </c>
      <c r="R5133" s="18" t="str">
        <f t="shared" si="3067"/>
        <v>+0.00%</v>
      </c>
      <c r="S5133" s="14" t="s">
        <v>1073</v>
      </c>
    </row>
    <row r="5134">
      <c r="A5134" s="13">
        <v>45901.0</v>
      </c>
      <c r="B5134" s="14" t="s">
        <v>47</v>
      </c>
      <c r="C5134" s="14" t="s">
        <v>48</v>
      </c>
      <c r="D5134" s="14" t="s">
        <v>103</v>
      </c>
      <c r="E5134" s="14" t="s">
        <v>104</v>
      </c>
      <c r="F5134" s="15" t="s">
        <v>51</v>
      </c>
      <c r="G5134" s="14" t="s">
        <v>105</v>
      </c>
      <c r="H5134" s="14" t="s">
        <v>106</v>
      </c>
      <c r="I5134" s="14" t="s">
        <v>59</v>
      </c>
      <c r="J5134" s="14" t="s">
        <v>200</v>
      </c>
      <c r="K5134" s="14" t="s">
        <v>232</v>
      </c>
      <c r="L5134" s="14" t="s">
        <v>607</v>
      </c>
      <c r="M5134" s="14" t="s">
        <v>1204</v>
      </c>
      <c r="N5134" s="14" t="s">
        <v>1205</v>
      </c>
      <c r="O5134" s="14">
        <v>0.0</v>
      </c>
      <c r="P5134" s="21">
        <v>0.0</v>
      </c>
      <c r="Q5134" s="22" t="str">
        <f t="shared" ref="Q5134:R5134" si="3068">"+0"</f>
        <v>+0</v>
      </c>
      <c r="R5134" s="18" t="str">
        <f t="shared" si="3068"/>
        <v>+0</v>
      </c>
      <c r="S5134" s="14" t="s">
        <v>260</v>
      </c>
    </row>
    <row r="5135">
      <c r="A5135" s="13">
        <v>45901.0</v>
      </c>
      <c r="B5135" s="14" t="s">
        <v>47</v>
      </c>
      <c r="C5135" s="14" t="s">
        <v>48</v>
      </c>
      <c r="D5135" s="14" t="s">
        <v>73</v>
      </c>
      <c r="E5135" s="14" t="s">
        <v>74</v>
      </c>
      <c r="F5135" s="15" t="s">
        <v>51</v>
      </c>
      <c r="G5135" s="14" t="s">
        <v>75</v>
      </c>
      <c r="H5135" s="14" t="s">
        <v>76</v>
      </c>
      <c r="I5135" s="14" t="s">
        <v>59</v>
      </c>
      <c r="J5135" s="14" t="s">
        <v>200</v>
      </c>
      <c r="K5135" s="14" t="s">
        <v>209</v>
      </c>
      <c r="L5135" s="14" t="s">
        <v>253</v>
      </c>
      <c r="M5135" s="14" t="s">
        <v>817</v>
      </c>
      <c r="N5135" s="14" t="s">
        <v>818</v>
      </c>
      <c r="O5135" s="14">
        <v>1.0</v>
      </c>
      <c r="P5135" s="23">
        <v>0.0105</v>
      </c>
      <c r="Q5135" s="22" t="str">
        <f>"+0.01%"</f>
        <v>+0.01%</v>
      </c>
      <c r="R5135" s="18" t="str">
        <f>"+0.02%"</f>
        <v>+0.02%</v>
      </c>
      <c r="S5135" s="14" t="s">
        <v>1832</v>
      </c>
    </row>
    <row r="5136">
      <c r="A5136" s="13">
        <v>45901.0</v>
      </c>
      <c r="B5136" s="14" t="s">
        <v>47</v>
      </c>
      <c r="C5136" s="14" t="s">
        <v>48</v>
      </c>
      <c r="D5136" s="14" t="s">
        <v>103</v>
      </c>
      <c r="E5136" s="14" t="s">
        <v>104</v>
      </c>
      <c r="F5136" s="15" t="s">
        <v>51</v>
      </c>
      <c r="G5136" s="14" t="s">
        <v>105</v>
      </c>
      <c r="H5136" s="14" t="s">
        <v>106</v>
      </c>
      <c r="I5136" s="14" t="s">
        <v>59</v>
      </c>
      <c r="J5136" s="14" t="s">
        <v>199</v>
      </c>
      <c r="K5136" s="14" t="s">
        <v>208</v>
      </c>
      <c r="L5136" s="14" t="s">
        <v>352</v>
      </c>
      <c r="M5136" s="14" t="s">
        <v>352</v>
      </c>
      <c r="N5136" s="14" t="s">
        <v>353</v>
      </c>
      <c r="O5136" s="14">
        <v>0.0</v>
      </c>
      <c r="P5136" s="21">
        <v>0.0</v>
      </c>
      <c r="Q5136" s="22" t="str">
        <f t="shared" ref="Q5136:R5136" si="3069">"+0"</f>
        <v>+0</v>
      </c>
      <c r="R5136" s="18" t="str">
        <f t="shared" si="3069"/>
        <v>+0</v>
      </c>
      <c r="S5136" s="14" t="s">
        <v>260</v>
      </c>
    </row>
    <row r="5137">
      <c r="A5137" s="13">
        <v>45901.0</v>
      </c>
      <c r="B5137" s="14" t="s">
        <v>47</v>
      </c>
      <c r="C5137" s="14" t="s">
        <v>48</v>
      </c>
      <c r="D5137" s="14" t="s">
        <v>171</v>
      </c>
      <c r="E5137" s="14" t="s">
        <v>172</v>
      </c>
      <c r="F5137" s="15" t="s">
        <v>51</v>
      </c>
      <c r="G5137" s="14" t="s">
        <v>173</v>
      </c>
      <c r="H5137" s="14" t="s">
        <v>171</v>
      </c>
      <c r="I5137" s="14" t="s">
        <v>59</v>
      </c>
      <c r="J5137" s="14" t="s">
        <v>200</v>
      </c>
      <c r="K5137" s="14" t="s">
        <v>204</v>
      </c>
      <c r="L5137" s="14" t="s">
        <v>253</v>
      </c>
      <c r="M5137" s="14" t="s">
        <v>844</v>
      </c>
      <c r="N5137" s="14" t="s">
        <v>845</v>
      </c>
      <c r="O5137" s="14">
        <v>0.0</v>
      </c>
      <c r="P5137" s="17"/>
      <c r="Q5137" s="22"/>
      <c r="S5137" s="14" t="s">
        <v>846</v>
      </c>
    </row>
    <row r="5138">
      <c r="A5138" s="13">
        <v>45901.0</v>
      </c>
      <c r="B5138" s="14" t="s">
        <v>47</v>
      </c>
      <c r="C5138" s="14" t="s">
        <v>48</v>
      </c>
      <c r="D5138" s="14" t="s">
        <v>149</v>
      </c>
      <c r="E5138" s="14" t="s">
        <v>150</v>
      </c>
      <c r="F5138" s="15" t="s">
        <v>51</v>
      </c>
      <c r="G5138" s="14" t="s">
        <v>151</v>
      </c>
      <c r="H5138" s="14" t="s">
        <v>152</v>
      </c>
      <c r="I5138" s="14" t="s">
        <v>54</v>
      </c>
      <c r="J5138" s="14" t="s">
        <v>198</v>
      </c>
      <c r="K5138" s="14" t="s">
        <v>205</v>
      </c>
      <c r="L5138" s="14" t="s">
        <v>274</v>
      </c>
      <c r="M5138" s="14" t="s">
        <v>387</v>
      </c>
      <c r="N5138" s="14" t="s">
        <v>388</v>
      </c>
      <c r="O5138" s="14">
        <v>100.0</v>
      </c>
      <c r="P5138" s="21">
        <v>1.0</v>
      </c>
      <c r="Q5138" s="22" t="str">
        <f>"+0"</f>
        <v>+0</v>
      </c>
      <c r="S5138" s="14" t="s">
        <v>281</v>
      </c>
    </row>
    <row r="5139">
      <c r="A5139" s="13">
        <v>45901.0</v>
      </c>
      <c r="B5139" s="14" t="s">
        <v>47</v>
      </c>
      <c r="C5139" s="14" t="s">
        <v>48</v>
      </c>
      <c r="D5139" s="14" t="s">
        <v>149</v>
      </c>
      <c r="E5139" s="14" t="s">
        <v>150</v>
      </c>
      <c r="F5139" s="15" t="s">
        <v>51</v>
      </c>
      <c r="G5139" s="14" t="s">
        <v>151</v>
      </c>
      <c r="H5139" s="14" t="s">
        <v>152</v>
      </c>
      <c r="I5139" s="14" t="s">
        <v>54</v>
      </c>
      <c r="J5139" s="14" t="s">
        <v>200</v>
      </c>
      <c r="K5139" s="14" t="s">
        <v>231</v>
      </c>
      <c r="L5139" s="14" t="s">
        <v>253</v>
      </c>
      <c r="M5139" s="14" t="s">
        <v>366</v>
      </c>
      <c r="N5139" s="14" t="s">
        <v>367</v>
      </c>
      <c r="O5139" s="14">
        <v>63.0</v>
      </c>
      <c r="P5139" s="23">
        <v>0.6316</v>
      </c>
      <c r="Q5139" s="22" t="str">
        <f>"-7.02%"</f>
        <v>-7.02%</v>
      </c>
      <c r="R5139" s="18" t="str">
        <f>"-34.46%"</f>
        <v>-34.46%</v>
      </c>
      <c r="S5139" s="14" t="s">
        <v>2432</v>
      </c>
    </row>
    <row r="5140">
      <c r="A5140" s="13">
        <v>45901.0</v>
      </c>
      <c r="B5140" s="14" t="s">
        <v>47</v>
      </c>
      <c r="C5140" s="14" t="s">
        <v>48</v>
      </c>
      <c r="D5140" s="14" t="s">
        <v>149</v>
      </c>
      <c r="E5140" s="14" t="s">
        <v>150</v>
      </c>
      <c r="F5140" s="15" t="s">
        <v>51</v>
      </c>
      <c r="G5140" s="14" t="s">
        <v>151</v>
      </c>
      <c r="H5140" s="14" t="s">
        <v>152</v>
      </c>
      <c r="I5140" s="14" t="s">
        <v>54</v>
      </c>
      <c r="J5140" s="14" t="s">
        <v>200</v>
      </c>
      <c r="K5140" s="14" t="s">
        <v>223</v>
      </c>
      <c r="L5140" s="14" t="s">
        <v>607</v>
      </c>
      <c r="M5140" s="14" t="s">
        <v>1204</v>
      </c>
      <c r="N5140" s="14" t="s">
        <v>1205</v>
      </c>
      <c r="O5140" s="14">
        <v>0.0</v>
      </c>
      <c r="P5140" s="21">
        <v>0.0</v>
      </c>
      <c r="Q5140" s="22" t="str">
        <f t="shared" ref="Q5140:R5140" si="3070">"+0"</f>
        <v>+0</v>
      </c>
      <c r="R5140" s="18" t="str">
        <f t="shared" si="3070"/>
        <v>+0</v>
      </c>
      <c r="S5140" s="14" t="s">
        <v>260</v>
      </c>
    </row>
    <row r="5141">
      <c r="A5141" s="13">
        <v>45901.0</v>
      </c>
      <c r="B5141" s="14" t="s">
        <v>47</v>
      </c>
      <c r="C5141" s="14" t="s">
        <v>48</v>
      </c>
      <c r="D5141" s="14" t="s">
        <v>136</v>
      </c>
      <c r="E5141" s="14" t="s">
        <v>137</v>
      </c>
      <c r="F5141" s="15" t="s">
        <v>51</v>
      </c>
      <c r="G5141" s="14" t="s">
        <v>138</v>
      </c>
      <c r="H5141" s="14" t="s">
        <v>139</v>
      </c>
      <c r="I5141" s="14" t="s">
        <v>59</v>
      </c>
      <c r="J5141" s="14" t="s">
        <v>200</v>
      </c>
      <c r="K5141" s="14" t="s">
        <v>213</v>
      </c>
      <c r="L5141" s="14" t="s">
        <v>307</v>
      </c>
      <c r="M5141" s="14" t="s">
        <v>561</v>
      </c>
      <c r="N5141" s="14" t="s">
        <v>562</v>
      </c>
      <c r="O5141" s="14">
        <v>0.0</v>
      </c>
      <c r="P5141" s="23">
        <v>0.0</v>
      </c>
      <c r="Q5141" s="22" t="str">
        <f t="shared" ref="Q5141:R5141" si="3071">"+0.00%"</f>
        <v>+0.00%</v>
      </c>
      <c r="R5141" s="18" t="str">
        <f t="shared" si="3071"/>
        <v>+0.00%</v>
      </c>
      <c r="S5141" s="14" t="s">
        <v>285</v>
      </c>
    </row>
    <row r="5142">
      <c r="A5142" s="13">
        <v>45901.0</v>
      </c>
      <c r="B5142" s="14" t="s">
        <v>47</v>
      </c>
      <c r="C5142" s="14" t="s">
        <v>48</v>
      </c>
      <c r="D5142" s="14" t="s">
        <v>96</v>
      </c>
      <c r="E5142" s="14" t="s">
        <v>97</v>
      </c>
      <c r="F5142" s="15" t="s">
        <v>51</v>
      </c>
      <c r="G5142" s="14" t="s">
        <v>98</v>
      </c>
      <c r="H5142" s="14" t="s">
        <v>96</v>
      </c>
      <c r="I5142" s="14" t="s">
        <v>59</v>
      </c>
      <c r="J5142" s="14" t="s">
        <v>200</v>
      </c>
      <c r="K5142" s="14" t="s">
        <v>219</v>
      </c>
      <c r="L5142" s="14" t="s">
        <v>253</v>
      </c>
      <c r="M5142" s="14" t="s">
        <v>1614</v>
      </c>
      <c r="N5142" s="14" t="s">
        <v>1615</v>
      </c>
      <c r="O5142" s="14">
        <v>100.0</v>
      </c>
      <c r="P5142" s="23">
        <v>1.0</v>
      </c>
      <c r="Q5142" s="22" t="str">
        <f t="shared" ref="Q5142:R5142" si="3072">"+0.00%"</f>
        <v>+0.00%</v>
      </c>
      <c r="R5142" s="18" t="str">
        <f t="shared" si="3072"/>
        <v>+0.00%</v>
      </c>
      <c r="S5142" s="14" t="s">
        <v>285</v>
      </c>
    </row>
    <row r="5143">
      <c r="A5143" s="13">
        <v>45901.0</v>
      </c>
      <c r="B5143" s="14" t="s">
        <v>47</v>
      </c>
      <c r="C5143" s="14" t="s">
        <v>48</v>
      </c>
      <c r="D5143" s="14" t="s">
        <v>125</v>
      </c>
      <c r="E5143" s="14" t="s">
        <v>126</v>
      </c>
      <c r="F5143" s="15" t="s">
        <v>51</v>
      </c>
      <c r="G5143" s="14" t="s">
        <v>127</v>
      </c>
      <c r="H5143" s="14" t="s">
        <v>125</v>
      </c>
      <c r="I5143" s="14" t="s">
        <v>59</v>
      </c>
      <c r="J5143" s="14" t="s">
        <v>200</v>
      </c>
      <c r="K5143" s="14" t="s">
        <v>232</v>
      </c>
      <c r="L5143" s="14" t="s">
        <v>304</v>
      </c>
      <c r="M5143" s="14" t="s">
        <v>1012</v>
      </c>
      <c r="N5143" s="14" t="s">
        <v>1013</v>
      </c>
      <c r="O5143" s="14">
        <v>0.0</v>
      </c>
      <c r="P5143" s="23">
        <v>0.0</v>
      </c>
      <c r="Q5143" s="22" t="str">
        <f t="shared" ref="Q5143:R5143" si="3073">"+0.00%"</f>
        <v>+0.00%</v>
      </c>
      <c r="R5143" s="18" t="str">
        <f t="shared" si="3073"/>
        <v>+0.00%</v>
      </c>
      <c r="S5143" s="14" t="s">
        <v>285</v>
      </c>
    </row>
    <row r="5144">
      <c r="A5144" s="13">
        <v>45901.0</v>
      </c>
      <c r="B5144" s="14" t="s">
        <v>47</v>
      </c>
      <c r="C5144" s="14" t="s">
        <v>48</v>
      </c>
      <c r="D5144" s="14" t="s">
        <v>85</v>
      </c>
      <c r="E5144" s="14" t="s">
        <v>86</v>
      </c>
      <c r="F5144" s="15" t="s">
        <v>51</v>
      </c>
      <c r="G5144" s="14" t="s">
        <v>148</v>
      </c>
      <c r="H5144" s="14" t="s">
        <v>85</v>
      </c>
      <c r="I5144" s="14" t="s">
        <v>59</v>
      </c>
      <c r="J5144" s="14" t="s">
        <v>199</v>
      </c>
      <c r="K5144" s="14" t="s">
        <v>203</v>
      </c>
      <c r="L5144" s="14" t="s">
        <v>601</v>
      </c>
      <c r="M5144" s="14" t="s">
        <v>601</v>
      </c>
      <c r="N5144" s="14" t="s">
        <v>602</v>
      </c>
      <c r="O5144" s="14">
        <v>0.0</v>
      </c>
      <c r="P5144" s="21">
        <v>0.0</v>
      </c>
      <c r="Q5144" s="22" t="str">
        <f t="shared" ref="Q5144:R5144" si="3074">"+0"</f>
        <v>+0</v>
      </c>
      <c r="R5144" s="18" t="str">
        <f t="shared" si="3074"/>
        <v>+0</v>
      </c>
      <c r="S5144" s="14" t="s">
        <v>260</v>
      </c>
    </row>
    <row r="5145">
      <c r="A5145" s="13">
        <v>45901.0</v>
      </c>
      <c r="B5145" s="14" t="s">
        <v>47</v>
      </c>
      <c r="C5145" s="14" t="s">
        <v>48</v>
      </c>
      <c r="D5145" s="14" t="s">
        <v>69</v>
      </c>
      <c r="E5145" s="14" t="s">
        <v>70</v>
      </c>
      <c r="F5145" s="15" t="s">
        <v>51</v>
      </c>
      <c r="G5145" s="14" t="s">
        <v>115</v>
      </c>
      <c r="H5145" s="14" t="s">
        <v>72</v>
      </c>
      <c r="I5145" s="14" t="s">
        <v>54</v>
      </c>
      <c r="J5145" s="14" t="s">
        <v>198</v>
      </c>
      <c r="K5145" s="14" t="s">
        <v>210</v>
      </c>
      <c r="L5145" s="14" t="s">
        <v>264</v>
      </c>
      <c r="M5145" s="14" t="s">
        <v>405</v>
      </c>
      <c r="N5145" s="14" t="s">
        <v>406</v>
      </c>
      <c r="O5145" s="14">
        <v>0.0</v>
      </c>
      <c r="P5145" s="21">
        <v>0.0</v>
      </c>
      <c r="Q5145" s="22" t="str">
        <f t="shared" ref="Q5145:R5145" si="3075">"+0"</f>
        <v>+0</v>
      </c>
      <c r="R5145" s="18" t="str">
        <f t="shared" si="3075"/>
        <v>+0</v>
      </c>
      <c r="S5145" s="14" t="s">
        <v>277</v>
      </c>
    </row>
    <row r="5146">
      <c r="A5146" s="13">
        <v>45901.0</v>
      </c>
      <c r="B5146" s="14" t="s">
        <v>47</v>
      </c>
      <c r="C5146" s="14" t="s">
        <v>48</v>
      </c>
      <c r="D5146" s="14" t="s">
        <v>69</v>
      </c>
      <c r="E5146" s="14" t="s">
        <v>70</v>
      </c>
      <c r="F5146" s="14" t="s">
        <v>71</v>
      </c>
      <c r="G5146" s="14">
        <v>1.00002092E8</v>
      </c>
      <c r="H5146" s="14" t="s">
        <v>72</v>
      </c>
      <c r="I5146" s="14" t="s">
        <v>54</v>
      </c>
      <c r="J5146" s="14" t="s">
        <v>199</v>
      </c>
      <c r="K5146" s="14" t="s">
        <v>206</v>
      </c>
      <c r="L5146" s="14" t="s">
        <v>515</v>
      </c>
      <c r="M5146" s="14" t="s">
        <v>515</v>
      </c>
      <c r="N5146" s="14" t="s">
        <v>516</v>
      </c>
      <c r="O5146" s="14">
        <v>0.0</v>
      </c>
      <c r="P5146" s="21">
        <v>0.0</v>
      </c>
      <c r="Q5146" s="22" t="str">
        <f t="shared" ref="Q5146:R5146" si="3076">"+0"</f>
        <v>+0</v>
      </c>
      <c r="R5146" s="18" t="str">
        <f t="shared" si="3076"/>
        <v>+0</v>
      </c>
      <c r="S5146" s="14" t="s">
        <v>383</v>
      </c>
    </row>
    <row r="5147">
      <c r="A5147" s="13">
        <v>45901.0</v>
      </c>
      <c r="B5147" s="14" t="s">
        <v>47</v>
      </c>
      <c r="C5147" s="14" t="s">
        <v>48</v>
      </c>
      <c r="D5147" s="14" t="s">
        <v>69</v>
      </c>
      <c r="E5147" s="14" t="s">
        <v>70</v>
      </c>
      <c r="F5147" s="15" t="s">
        <v>51</v>
      </c>
      <c r="G5147" s="14" t="s">
        <v>115</v>
      </c>
      <c r="H5147" s="14" t="s">
        <v>72</v>
      </c>
      <c r="I5147" s="14" t="s">
        <v>54</v>
      </c>
      <c r="J5147" s="14" t="s">
        <v>200</v>
      </c>
      <c r="K5147" s="14" t="s">
        <v>215</v>
      </c>
      <c r="L5147" s="14" t="s">
        <v>1322</v>
      </c>
      <c r="M5147" s="14" t="s">
        <v>1853</v>
      </c>
      <c r="N5147" s="14" t="s">
        <v>1854</v>
      </c>
      <c r="O5147" s="14">
        <v>24.0</v>
      </c>
      <c r="P5147" s="23">
        <v>-0.5161</v>
      </c>
      <c r="Q5147" s="22" t="str">
        <f>"-151.61%"</f>
        <v>-151.61%</v>
      </c>
      <c r="R5147" s="18" t="str">
        <f>"-17.57%"</f>
        <v>-17.57%</v>
      </c>
      <c r="S5147" s="14" t="s">
        <v>2433</v>
      </c>
    </row>
    <row r="5148">
      <c r="A5148" s="13">
        <v>45901.0</v>
      </c>
      <c r="B5148" s="14" t="s">
        <v>47</v>
      </c>
      <c r="C5148" s="14" t="s">
        <v>48</v>
      </c>
      <c r="D5148" s="14" t="s">
        <v>77</v>
      </c>
      <c r="E5148" s="14" t="s">
        <v>78</v>
      </c>
      <c r="F5148" s="15" t="s">
        <v>51</v>
      </c>
      <c r="G5148" s="14" t="s">
        <v>128</v>
      </c>
      <c r="H5148" s="14" t="s">
        <v>81</v>
      </c>
      <c r="I5148" s="14" t="s">
        <v>59</v>
      </c>
      <c r="J5148" s="14" t="s">
        <v>200</v>
      </c>
      <c r="K5148" s="14" t="s">
        <v>223</v>
      </c>
      <c r="L5148" s="14" t="s">
        <v>487</v>
      </c>
      <c r="M5148" s="14" t="s">
        <v>670</v>
      </c>
      <c r="N5148" s="14" t="s">
        <v>671</v>
      </c>
      <c r="O5148" s="14">
        <v>0.0</v>
      </c>
      <c r="P5148" s="21">
        <v>0.0</v>
      </c>
      <c r="Q5148" s="22" t="str">
        <f t="shared" ref="Q5148:R5148" si="3077">"+0"</f>
        <v>+0</v>
      </c>
      <c r="R5148" s="18" t="str">
        <f t="shared" si="3077"/>
        <v>+0</v>
      </c>
      <c r="S5148" s="14" t="s">
        <v>260</v>
      </c>
    </row>
    <row r="5149">
      <c r="A5149" s="13">
        <v>45901.0</v>
      </c>
      <c r="B5149" s="14" t="s">
        <v>47</v>
      </c>
      <c r="C5149" s="14" t="s">
        <v>48</v>
      </c>
      <c r="D5149" s="14" t="s">
        <v>158</v>
      </c>
      <c r="E5149" s="14" t="s">
        <v>159</v>
      </c>
      <c r="F5149" s="15" t="s">
        <v>51</v>
      </c>
      <c r="G5149" s="14" t="s">
        <v>160</v>
      </c>
      <c r="H5149" s="14" t="s">
        <v>158</v>
      </c>
      <c r="I5149" s="14" t="s">
        <v>54</v>
      </c>
      <c r="J5149" s="14" t="s">
        <v>198</v>
      </c>
      <c r="K5149" s="14" t="s">
        <v>210</v>
      </c>
      <c r="L5149" s="14" t="s">
        <v>264</v>
      </c>
      <c r="M5149" s="14" t="s">
        <v>867</v>
      </c>
      <c r="N5149" s="14" t="s">
        <v>868</v>
      </c>
      <c r="O5149" s="14">
        <v>0.0</v>
      </c>
      <c r="P5149" s="21">
        <v>0.0</v>
      </c>
      <c r="Q5149" s="22" t="str">
        <f t="shared" ref="Q5149:R5149" si="3078">"+0"</f>
        <v>+0</v>
      </c>
      <c r="R5149" s="18" t="str">
        <f t="shared" si="3078"/>
        <v>+0</v>
      </c>
      <c r="S5149" s="14" t="s">
        <v>277</v>
      </c>
    </row>
    <row r="5150">
      <c r="A5150" s="13">
        <v>45901.0</v>
      </c>
      <c r="B5150" s="14" t="s">
        <v>47</v>
      </c>
      <c r="C5150" s="14" t="s">
        <v>48</v>
      </c>
      <c r="D5150" s="14" t="s">
        <v>77</v>
      </c>
      <c r="E5150" s="14" t="s">
        <v>78</v>
      </c>
      <c r="F5150" s="15" t="s">
        <v>51</v>
      </c>
      <c r="G5150" s="14" t="s">
        <v>128</v>
      </c>
      <c r="H5150" s="14" t="s">
        <v>81</v>
      </c>
      <c r="I5150" s="14" t="s">
        <v>59</v>
      </c>
      <c r="J5150" s="14" t="s">
        <v>200</v>
      </c>
      <c r="K5150" s="14" t="s">
        <v>227</v>
      </c>
      <c r="L5150" s="14" t="s">
        <v>253</v>
      </c>
      <c r="M5150" s="14" t="s">
        <v>811</v>
      </c>
      <c r="N5150" s="14" t="s">
        <v>812</v>
      </c>
      <c r="O5150" s="14">
        <v>100.0</v>
      </c>
      <c r="P5150" s="23">
        <v>1.0</v>
      </c>
      <c r="Q5150" s="22" t="str">
        <f t="shared" ref="Q5150:R5150" si="3079">"+100.00%"</f>
        <v>+100.00%</v>
      </c>
      <c r="R5150" s="18" t="str">
        <f t="shared" si="3079"/>
        <v>+100.00%</v>
      </c>
      <c r="S5150" s="14" t="s">
        <v>398</v>
      </c>
    </row>
    <row r="5151">
      <c r="A5151" s="13">
        <v>45901.0</v>
      </c>
      <c r="B5151" s="14" t="s">
        <v>47</v>
      </c>
      <c r="C5151" s="14" t="s">
        <v>48</v>
      </c>
      <c r="D5151" s="14" t="s">
        <v>108</v>
      </c>
      <c r="E5151" s="14" t="s">
        <v>109</v>
      </c>
      <c r="F5151" s="15" t="s">
        <v>51</v>
      </c>
      <c r="G5151" s="14" t="s">
        <v>110</v>
      </c>
      <c r="H5151" s="14" t="s">
        <v>108</v>
      </c>
      <c r="I5151" s="14" t="s">
        <v>59</v>
      </c>
      <c r="J5151" s="14" t="s">
        <v>198</v>
      </c>
      <c r="K5151" s="14" t="s">
        <v>205</v>
      </c>
      <c r="L5151" s="14" t="s">
        <v>274</v>
      </c>
      <c r="M5151" s="14" t="s">
        <v>767</v>
      </c>
      <c r="N5151" s="14" t="s">
        <v>768</v>
      </c>
      <c r="O5151" s="14">
        <v>100.0</v>
      </c>
      <c r="P5151" s="21">
        <v>1.0</v>
      </c>
      <c r="Q5151" s="22" t="str">
        <f t="shared" ref="Q5151:Q5154" si="3080">"+0"</f>
        <v>+0</v>
      </c>
      <c r="S5151" s="14" t="s">
        <v>281</v>
      </c>
    </row>
    <row r="5152">
      <c r="A5152" s="13">
        <v>45901.0</v>
      </c>
      <c r="B5152" s="14" t="s">
        <v>47</v>
      </c>
      <c r="C5152" s="14" t="s">
        <v>48</v>
      </c>
      <c r="D5152" s="14" t="s">
        <v>158</v>
      </c>
      <c r="E5152" s="14" t="s">
        <v>159</v>
      </c>
      <c r="F5152" s="15" t="s">
        <v>51</v>
      </c>
      <c r="G5152" s="14" t="s">
        <v>160</v>
      </c>
      <c r="H5152" s="14" t="s">
        <v>158</v>
      </c>
      <c r="I5152" s="14" t="s">
        <v>54</v>
      </c>
      <c r="J5152" s="14" t="s">
        <v>198</v>
      </c>
      <c r="K5152" s="14" t="s">
        <v>210</v>
      </c>
      <c r="L5152" s="14" t="s">
        <v>505</v>
      </c>
      <c r="M5152" s="14" t="s">
        <v>880</v>
      </c>
      <c r="N5152" s="14" t="s">
        <v>881</v>
      </c>
      <c r="O5152" s="14">
        <v>0.0</v>
      </c>
      <c r="P5152" s="21">
        <v>0.0</v>
      </c>
      <c r="Q5152" s="22" t="str">
        <f t="shared" si="3080"/>
        <v>+0</v>
      </c>
      <c r="R5152" s="18" t="str">
        <f t="shared" ref="R5152:R5154" si="3081">"+0"</f>
        <v>+0</v>
      </c>
      <c r="S5152" s="14" t="s">
        <v>277</v>
      </c>
    </row>
    <row r="5153">
      <c r="A5153" s="13">
        <v>45901.0</v>
      </c>
      <c r="B5153" s="14" t="s">
        <v>47</v>
      </c>
      <c r="C5153" s="14" t="s">
        <v>48</v>
      </c>
      <c r="D5153" s="14" t="s">
        <v>108</v>
      </c>
      <c r="E5153" s="14" t="s">
        <v>109</v>
      </c>
      <c r="F5153" s="15" t="s">
        <v>51</v>
      </c>
      <c r="G5153" s="14" t="s">
        <v>110</v>
      </c>
      <c r="H5153" s="14" t="s">
        <v>108</v>
      </c>
      <c r="I5153" s="14" t="s">
        <v>59</v>
      </c>
      <c r="J5153" s="14" t="s">
        <v>199</v>
      </c>
      <c r="K5153" s="14" t="s">
        <v>206</v>
      </c>
      <c r="L5153" s="14" t="s">
        <v>295</v>
      </c>
      <c r="M5153" s="14" t="s">
        <v>986</v>
      </c>
      <c r="N5153" s="14" t="s">
        <v>987</v>
      </c>
      <c r="O5153" s="14">
        <v>0.0</v>
      </c>
      <c r="P5153" s="21">
        <v>0.0</v>
      </c>
      <c r="Q5153" s="22" t="str">
        <f t="shared" si="3080"/>
        <v>+0</v>
      </c>
      <c r="R5153" s="18" t="str">
        <f t="shared" si="3081"/>
        <v>+0</v>
      </c>
      <c r="S5153" s="14" t="s">
        <v>260</v>
      </c>
    </row>
    <row r="5154">
      <c r="A5154" s="13">
        <v>45901.0</v>
      </c>
      <c r="B5154" s="14" t="s">
        <v>47</v>
      </c>
      <c r="C5154" s="14" t="s">
        <v>48</v>
      </c>
      <c r="D5154" s="14" t="s">
        <v>60</v>
      </c>
      <c r="E5154" s="14" t="s">
        <v>61</v>
      </c>
      <c r="F5154" s="15" t="s">
        <v>51</v>
      </c>
      <c r="G5154" s="14" t="s">
        <v>62</v>
      </c>
      <c r="H5154" s="14" t="s">
        <v>60</v>
      </c>
      <c r="I5154" s="14" t="s">
        <v>59</v>
      </c>
      <c r="J5154" s="14" t="s">
        <v>199</v>
      </c>
      <c r="K5154" s="14" t="s">
        <v>208</v>
      </c>
      <c r="L5154" s="14" t="s">
        <v>352</v>
      </c>
      <c r="M5154" s="14" t="s">
        <v>352</v>
      </c>
      <c r="N5154" s="14" t="s">
        <v>353</v>
      </c>
      <c r="O5154" s="14">
        <v>85.0</v>
      </c>
      <c r="P5154" s="21">
        <v>3.0</v>
      </c>
      <c r="Q5154" s="22" t="str">
        <f t="shared" si="3080"/>
        <v>+0</v>
      </c>
      <c r="R5154" s="18" t="str">
        <f t="shared" si="3081"/>
        <v>+0</v>
      </c>
      <c r="S5154" s="14" t="s">
        <v>260</v>
      </c>
    </row>
    <row r="5155">
      <c r="A5155" s="13">
        <v>45901.0</v>
      </c>
      <c r="B5155" s="14" t="s">
        <v>47</v>
      </c>
      <c r="C5155" s="14" t="s">
        <v>48</v>
      </c>
      <c r="D5155" s="14" t="s">
        <v>140</v>
      </c>
      <c r="E5155" s="14" t="s">
        <v>141</v>
      </c>
      <c r="F5155" s="15" t="s">
        <v>51</v>
      </c>
      <c r="G5155" s="14" t="s">
        <v>142</v>
      </c>
      <c r="H5155" s="14" t="s">
        <v>140</v>
      </c>
      <c r="I5155" s="14" t="s">
        <v>59</v>
      </c>
      <c r="J5155" s="14" t="s">
        <v>200</v>
      </c>
      <c r="K5155" s="14" t="s">
        <v>213</v>
      </c>
      <c r="L5155" s="14" t="s">
        <v>359</v>
      </c>
      <c r="M5155" s="14" t="s">
        <v>360</v>
      </c>
      <c r="N5155" s="14" t="s">
        <v>361</v>
      </c>
      <c r="O5155" s="14">
        <v>0.0</v>
      </c>
      <c r="P5155" s="23">
        <v>0.0</v>
      </c>
      <c r="Q5155" s="22" t="str">
        <f t="shared" ref="Q5155:R5155" si="3082">"+0.00%"</f>
        <v>+0.00%</v>
      </c>
      <c r="R5155" s="18" t="str">
        <f t="shared" si="3082"/>
        <v>+0.00%</v>
      </c>
      <c r="S5155" s="14" t="s">
        <v>2434</v>
      </c>
    </row>
    <row r="5156">
      <c r="A5156" s="13">
        <v>45901.0</v>
      </c>
      <c r="B5156" s="14" t="s">
        <v>47</v>
      </c>
      <c r="C5156" s="14" t="s">
        <v>48</v>
      </c>
      <c r="D5156" s="14" t="s">
        <v>140</v>
      </c>
      <c r="E5156" s="14" t="s">
        <v>141</v>
      </c>
      <c r="F5156" s="15" t="s">
        <v>51</v>
      </c>
      <c r="G5156" s="14" t="s">
        <v>142</v>
      </c>
      <c r="H5156" s="14" t="s">
        <v>140</v>
      </c>
      <c r="I5156" s="14" t="s">
        <v>59</v>
      </c>
      <c r="J5156" s="14" t="s">
        <v>200</v>
      </c>
      <c r="K5156" s="14" t="s">
        <v>213</v>
      </c>
      <c r="L5156" s="14" t="s">
        <v>440</v>
      </c>
      <c r="M5156" s="14" t="s">
        <v>510</v>
      </c>
      <c r="N5156" s="14" t="s">
        <v>511</v>
      </c>
      <c r="O5156" s="14">
        <v>0.0</v>
      </c>
      <c r="P5156" s="23">
        <v>0.0</v>
      </c>
      <c r="Q5156" s="22" t="str">
        <f t="shared" ref="Q5156:R5156" si="3083">"+0.00%"</f>
        <v>+0.00%</v>
      </c>
      <c r="R5156" s="18" t="str">
        <f t="shared" si="3083"/>
        <v>+0.00%</v>
      </c>
      <c r="S5156" s="14" t="s">
        <v>285</v>
      </c>
    </row>
    <row r="5157">
      <c r="A5157" s="13">
        <v>45901.0</v>
      </c>
      <c r="B5157" s="14" t="s">
        <v>47</v>
      </c>
      <c r="C5157" s="14" t="s">
        <v>48</v>
      </c>
      <c r="D5157" s="14" t="s">
        <v>165</v>
      </c>
      <c r="E5157" s="14" t="s">
        <v>166</v>
      </c>
      <c r="F5157" s="15" t="s">
        <v>51</v>
      </c>
      <c r="G5157" s="14" t="s">
        <v>167</v>
      </c>
      <c r="H5157" s="14" t="s">
        <v>165</v>
      </c>
      <c r="I5157" s="14" t="s">
        <v>54</v>
      </c>
      <c r="J5157" s="14" t="s">
        <v>198</v>
      </c>
      <c r="K5157" s="14" t="s">
        <v>210</v>
      </c>
      <c r="L5157" s="14" t="s">
        <v>264</v>
      </c>
      <c r="M5157" s="14" t="s">
        <v>638</v>
      </c>
      <c r="N5157" s="14" t="s">
        <v>639</v>
      </c>
      <c r="O5157" s="14">
        <v>0.0</v>
      </c>
      <c r="P5157" s="21">
        <v>0.0</v>
      </c>
      <c r="Q5157" s="22" t="str">
        <f t="shared" ref="Q5157:R5157" si="3084">"+0"</f>
        <v>+0</v>
      </c>
      <c r="R5157" s="18" t="str">
        <f t="shared" si="3084"/>
        <v>+0</v>
      </c>
      <c r="S5157" s="14" t="s">
        <v>277</v>
      </c>
    </row>
    <row r="5158">
      <c r="A5158" s="13">
        <v>45901.0</v>
      </c>
      <c r="B5158" s="14" t="s">
        <v>47</v>
      </c>
      <c r="C5158" s="14" t="s">
        <v>48</v>
      </c>
      <c r="D5158" s="14" t="s">
        <v>63</v>
      </c>
      <c r="E5158" s="14" t="s">
        <v>64</v>
      </c>
      <c r="F5158" s="15" t="s">
        <v>51</v>
      </c>
      <c r="G5158" s="14" t="s">
        <v>65</v>
      </c>
      <c r="H5158" s="14" t="s">
        <v>63</v>
      </c>
      <c r="I5158" s="14" t="s">
        <v>54</v>
      </c>
      <c r="J5158" s="14" t="s">
        <v>200</v>
      </c>
      <c r="K5158" s="14" t="s">
        <v>224</v>
      </c>
      <c r="L5158" s="14" t="s">
        <v>427</v>
      </c>
      <c r="M5158" s="14" t="s">
        <v>428</v>
      </c>
      <c r="N5158" s="14" t="s">
        <v>429</v>
      </c>
      <c r="O5158" s="14">
        <v>89.0</v>
      </c>
      <c r="P5158" s="23">
        <v>0.8929</v>
      </c>
      <c r="Q5158" s="22" t="str">
        <f>"-1.19%"</f>
        <v>-1.19%</v>
      </c>
      <c r="R5158" s="18" t="str">
        <f>"-6.17%"</f>
        <v>-6.17%</v>
      </c>
      <c r="S5158" s="14" t="s">
        <v>2435</v>
      </c>
    </row>
    <row r="5159">
      <c r="A5159" s="13">
        <v>45901.0</v>
      </c>
      <c r="B5159" s="14" t="s">
        <v>47</v>
      </c>
      <c r="C5159" s="14" t="s">
        <v>48</v>
      </c>
      <c r="D5159" s="14" t="s">
        <v>118</v>
      </c>
      <c r="E5159" s="14" t="s">
        <v>119</v>
      </c>
      <c r="F5159" s="15" t="s">
        <v>51</v>
      </c>
      <c r="G5159" s="14" t="s">
        <v>120</v>
      </c>
      <c r="H5159" s="14" t="s">
        <v>118</v>
      </c>
      <c r="I5159" s="14" t="s">
        <v>59</v>
      </c>
      <c r="J5159" s="14" t="s">
        <v>200</v>
      </c>
      <c r="K5159" s="14" t="s">
        <v>213</v>
      </c>
      <c r="L5159" s="14" t="s">
        <v>289</v>
      </c>
      <c r="M5159" s="14" t="s">
        <v>984</v>
      </c>
      <c r="N5159" s="14" t="s">
        <v>985</v>
      </c>
      <c r="O5159" s="14">
        <v>0.0</v>
      </c>
      <c r="P5159" s="23">
        <v>0.0</v>
      </c>
      <c r="Q5159" s="22" t="str">
        <f t="shared" ref="Q5159:R5159" si="3085">"+0.00%"</f>
        <v>+0.00%</v>
      </c>
      <c r="R5159" s="18" t="str">
        <f t="shared" si="3085"/>
        <v>+0.00%</v>
      </c>
      <c r="S5159" s="14" t="s">
        <v>285</v>
      </c>
    </row>
    <row r="5160">
      <c r="A5160" s="13">
        <v>45901.0</v>
      </c>
      <c r="B5160" s="14" t="s">
        <v>47</v>
      </c>
      <c r="C5160" s="14" t="s">
        <v>48</v>
      </c>
      <c r="D5160" s="14" t="s">
        <v>91</v>
      </c>
      <c r="E5160" s="14" t="s">
        <v>92</v>
      </c>
      <c r="F5160" s="14" t="s">
        <v>146</v>
      </c>
      <c r="G5160" s="14" t="s">
        <v>147</v>
      </c>
      <c r="H5160" s="14" t="s">
        <v>91</v>
      </c>
      <c r="I5160" s="14" t="s">
        <v>107</v>
      </c>
      <c r="J5160" s="14" t="s">
        <v>199</v>
      </c>
      <c r="K5160" s="14" t="s">
        <v>206</v>
      </c>
      <c r="L5160" s="14" t="s">
        <v>381</v>
      </c>
      <c r="M5160" s="14" t="s">
        <v>381</v>
      </c>
      <c r="N5160" s="14" t="s">
        <v>382</v>
      </c>
      <c r="O5160" s="14">
        <v>0.0</v>
      </c>
      <c r="P5160" s="21">
        <v>0.0</v>
      </c>
      <c r="Q5160" s="22" t="str">
        <f t="shared" ref="Q5160:R5160" si="3086">"+0"</f>
        <v>+0</v>
      </c>
      <c r="R5160" s="18" t="str">
        <f t="shared" si="3086"/>
        <v>+0</v>
      </c>
      <c r="S5160" s="14" t="s">
        <v>383</v>
      </c>
    </row>
    <row r="5161">
      <c r="A5161" s="13">
        <v>45901.0</v>
      </c>
      <c r="B5161" s="14" t="s">
        <v>47</v>
      </c>
      <c r="C5161" s="14" t="s">
        <v>48</v>
      </c>
      <c r="D5161" s="14" t="s">
        <v>91</v>
      </c>
      <c r="E5161" s="14" t="s">
        <v>92</v>
      </c>
      <c r="F5161" s="15" t="s">
        <v>51</v>
      </c>
      <c r="G5161" s="14" t="s">
        <v>163</v>
      </c>
      <c r="H5161" s="14" t="s">
        <v>91</v>
      </c>
      <c r="I5161" s="14" t="s">
        <v>59</v>
      </c>
      <c r="J5161" s="14" t="s">
        <v>200</v>
      </c>
      <c r="K5161" s="14" t="s">
        <v>223</v>
      </c>
      <c r="L5161" s="14" t="s">
        <v>607</v>
      </c>
      <c r="M5161" s="14" t="s">
        <v>1204</v>
      </c>
      <c r="N5161" s="14" t="s">
        <v>1205</v>
      </c>
      <c r="O5161" s="14">
        <v>0.0</v>
      </c>
      <c r="P5161" s="21">
        <v>0.0</v>
      </c>
      <c r="Q5161" s="22" t="str">
        <f t="shared" ref="Q5161:R5161" si="3087">"+0"</f>
        <v>+0</v>
      </c>
      <c r="R5161" s="18" t="str">
        <f t="shared" si="3087"/>
        <v>+0</v>
      </c>
      <c r="S5161" s="14" t="s">
        <v>260</v>
      </c>
    </row>
    <row r="5162">
      <c r="A5162" s="13">
        <v>45901.0</v>
      </c>
      <c r="B5162" s="14" t="s">
        <v>47</v>
      </c>
      <c r="C5162" s="14" t="s">
        <v>48</v>
      </c>
      <c r="D5162" s="14" t="s">
        <v>118</v>
      </c>
      <c r="E5162" s="14" t="s">
        <v>119</v>
      </c>
      <c r="F5162" s="15" t="s">
        <v>51</v>
      </c>
      <c r="G5162" s="14" t="s">
        <v>120</v>
      </c>
      <c r="H5162" s="14" t="s">
        <v>118</v>
      </c>
      <c r="I5162" s="14" t="s">
        <v>59</v>
      </c>
      <c r="J5162" s="14" t="s">
        <v>200</v>
      </c>
      <c r="K5162" s="14" t="s">
        <v>213</v>
      </c>
      <c r="L5162" s="14" t="s">
        <v>571</v>
      </c>
      <c r="M5162" s="14" t="s">
        <v>578</v>
      </c>
      <c r="N5162" s="14" t="s">
        <v>579</v>
      </c>
      <c r="O5162" s="14">
        <v>0.0</v>
      </c>
      <c r="P5162" s="23">
        <v>0.0</v>
      </c>
      <c r="Q5162" s="22" t="str">
        <f t="shared" ref="Q5162:R5162" si="3088">"+0.00%"</f>
        <v>+0.00%</v>
      </c>
      <c r="R5162" s="18" t="str">
        <f t="shared" si="3088"/>
        <v>+0.00%</v>
      </c>
      <c r="S5162" s="14" t="s">
        <v>285</v>
      </c>
    </row>
    <row r="5163">
      <c r="A5163" s="13">
        <v>45901.0</v>
      </c>
      <c r="B5163" s="14" t="s">
        <v>47</v>
      </c>
      <c r="C5163" s="14" t="s">
        <v>48</v>
      </c>
      <c r="D5163" s="14" t="s">
        <v>91</v>
      </c>
      <c r="E5163" s="14" t="s">
        <v>92</v>
      </c>
      <c r="F5163" s="14" t="s">
        <v>71</v>
      </c>
      <c r="G5163" s="14">
        <v>5.10011769E8</v>
      </c>
      <c r="H5163" s="14" t="s">
        <v>91</v>
      </c>
      <c r="I5163" s="14" t="s">
        <v>59</v>
      </c>
      <c r="J5163" s="14" t="s">
        <v>199</v>
      </c>
      <c r="K5163" s="14" t="s">
        <v>206</v>
      </c>
      <c r="L5163" s="14" t="s">
        <v>268</v>
      </c>
      <c r="M5163" s="14" t="s">
        <v>268</v>
      </c>
      <c r="N5163" s="14" t="s">
        <v>269</v>
      </c>
      <c r="O5163" s="14">
        <v>80.0</v>
      </c>
      <c r="P5163" s="21">
        <v>2.0</v>
      </c>
      <c r="Q5163" s="22" t="str">
        <f t="shared" ref="Q5163:R5163" si="3089">"+2"</f>
        <v>+2</v>
      </c>
      <c r="R5163" s="18" t="str">
        <f t="shared" si="3089"/>
        <v>+2</v>
      </c>
      <c r="S5163" s="14" t="s">
        <v>260</v>
      </c>
    </row>
    <row r="5164">
      <c r="A5164" s="13">
        <v>45901.0</v>
      </c>
      <c r="B5164" s="14" t="s">
        <v>47</v>
      </c>
      <c r="C5164" s="14" t="s">
        <v>48</v>
      </c>
      <c r="D5164" s="14" t="s">
        <v>93</v>
      </c>
      <c r="E5164" s="14" t="s">
        <v>94</v>
      </c>
      <c r="F5164" s="15" t="s">
        <v>51</v>
      </c>
      <c r="G5164" s="14" t="s">
        <v>191</v>
      </c>
      <c r="H5164" s="14" t="s">
        <v>95</v>
      </c>
      <c r="I5164" s="14" t="s">
        <v>59</v>
      </c>
      <c r="J5164" s="14" t="s">
        <v>198</v>
      </c>
      <c r="K5164" s="14" t="s">
        <v>205</v>
      </c>
      <c r="L5164" s="14" t="s">
        <v>274</v>
      </c>
      <c r="M5164" s="14" t="s">
        <v>791</v>
      </c>
      <c r="N5164" s="14" t="s">
        <v>792</v>
      </c>
      <c r="O5164" s="14">
        <v>50.0</v>
      </c>
      <c r="P5164" s="21">
        <v>1.0</v>
      </c>
      <c r="Q5164" s="22" t="str">
        <f>"+0"</f>
        <v>+0</v>
      </c>
      <c r="S5164" s="14" t="s">
        <v>260</v>
      </c>
    </row>
    <row r="5165">
      <c r="A5165" s="13">
        <v>45901.0</v>
      </c>
      <c r="B5165" s="14" t="s">
        <v>47</v>
      </c>
      <c r="C5165" s="14" t="s">
        <v>48</v>
      </c>
      <c r="D5165" s="14" t="s">
        <v>82</v>
      </c>
      <c r="E5165" s="14" t="s">
        <v>83</v>
      </c>
      <c r="F5165" s="15" t="s">
        <v>51</v>
      </c>
      <c r="G5165" s="14" t="s">
        <v>84</v>
      </c>
      <c r="H5165" s="14" t="s">
        <v>82</v>
      </c>
      <c r="I5165" s="14" t="s">
        <v>59</v>
      </c>
      <c r="J5165" s="14" t="s">
        <v>200</v>
      </c>
      <c r="K5165" s="14" t="s">
        <v>213</v>
      </c>
      <c r="L5165" s="14" t="s">
        <v>257</v>
      </c>
      <c r="M5165" s="14" t="s">
        <v>493</v>
      </c>
      <c r="N5165" s="14" t="s">
        <v>494</v>
      </c>
      <c r="O5165" s="14">
        <v>42.0</v>
      </c>
      <c r="P5165" s="23">
        <v>-0.1501</v>
      </c>
      <c r="Q5165" s="22" t="str">
        <f>"-5.09%"</f>
        <v>-5.09%</v>
      </c>
      <c r="R5165" s="18" t="str">
        <f>"-2.77%"</f>
        <v>-2.77%</v>
      </c>
      <c r="S5165" s="14" t="s">
        <v>2436</v>
      </c>
    </row>
    <row r="5166">
      <c r="A5166" s="13">
        <v>45901.0</v>
      </c>
      <c r="B5166" s="14" t="s">
        <v>47</v>
      </c>
      <c r="C5166" s="14" t="s">
        <v>48</v>
      </c>
      <c r="D5166" s="14" t="s">
        <v>66</v>
      </c>
      <c r="E5166" s="14" t="s">
        <v>67</v>
      </c>
      <c r="F5166" s="15" t="s">
        <v>51</v>
      </c>
      <c r="G5166" s="14" t="s">
        <v>68</v>
      </c>
      <c r="H5166" s="14" t="s">
        <v>66</v>
      </c>
      <c r="I5166" s="14" t="s">
        <v>59</v>
      </c>
      <c r="J5166" s="14" t="s">
        <v>198</v>
      </c>
      <c r="K5166" s="14" t="s">
        <v>212</v>
      </c>
      <c r="L5166" s="14" t="s">
        <v>344</v>
      </c>
      <c r="M5166" s="14" t="s">
        <v>580</v>
      </c>
      <c r="N5166" s="14" t="s">
        <v>581</v>
      </c>
      <c r="O5166" s="14">
        <v>100.0</v>
      </c>
      <c r="P5166" s="21">
        <v>1.0</v>
      </c>
      <c r="Q5166" s="22" t="str">
        <f>"+1"</f>
        <v>+1</v>
      </c>
      <c r="S5166" s="14" t="s">
        <v>281</v>
      </c>
    </row>
    <row r="5167">
      <c r="A5167" s="13">
        <v>45901.0</v>
      </c>
      <c r="B5167" s="14" t="s">
        <v>47</v>
      </c>
      <c r="C5167" s="14" t="s">
        <v>48</v>
      </c>
      <c r="D5167" s="14" t="s">
        <v>132</v>
      </c>
      <c r="E5167" s="14" t="s">
        <v>133</v>
      </c>
      <c r="F5167" s="15" t="s">
        <v>51</v>
      </c>
      <c r="G5167" s="14" t="s">
        <v>134</v>
      </c>
      <c r="H5167" s="14" t="s">
        <v>135</v>
      </c>
      <c r="I5167" s="14" t="s">
        <v>59</v>
      </c>
      <c r="J5167" s="14" t="s">
        <v>200</v>
      </c>
      <c r="K5167" s="14" t="s">
        <v>213</v>
      </c>
      <c r="L5167" s="14" t="s">
        <v>359</v>
      </c>
      <c r="M5167" s="14" t="s">
        <v>360</v>
      </c>
      <c r="N5167" s="14" t="s">
        <v>361</v>
      </c>
      <c r="O5167" s="14">
        <v>0.0</v>
      </c>
      <c r="P5167" s="23">
        <v>0.0</v>
      </c>
      <c r="Q5167" s="22" t="str">
        <f t="shared" ref="Q5167:R5167" si="3090">"+0.00%"</f>
        <v>+0.00%</v>
      </c>
      <c r="R5167" s="18" t="str">
        <f t="shared" si="3090"/>
        <v>+0.00%</v>
      </c>
      <c r="S5167" s="14" t="s">
        <v>2437</v>
      </c>
    </row>
    <row r="5168">
      <c r="A5168" s="13">
        <v>45901.0</v>
      </c>
      <c r="B5168" s="14" t="s">
        <v>47</v>
      </c>
      <c r="C5168" s="14" t="s">
        <v>48</v>
      </c>
      <c r="D5168" s="14" t="s">
        <v>103</v>
      </c>
      <c r="E5168" s="14" t="s">
        <v>104</v>
      </c>
      <c r="F5168" s="15" t="s">
        <v>51</v>
      </c>
      <c r="G5168" s="14" t="s">
        <v>105</v>
      </c>
      <c r="H5168" s="14" t="s">
        <v>106</v>
      </c>
      <c r="I5168" s="14" t="s">
        <v>59</v>
      </c>
      <c r="J5168" s="14" t="s">
        <v>199</v>
      </c>
      <c r="K5168" s="14" t="s">
        <v>203</v>
      </c>
      <c r="L5168" s="14" t="s">
        <v>736</v>
      </c>
      <c r="M5168" s="14" t="s">
        <v>736</v>
      </c>
      <c r="N5168" s="14" t="s">
        <v>737</v>
      </c>
      <c r="O5168" s="14">
        <v>0.0</v>
      </c>
      <c r="P5168" s="21">
        <v>0.0</v>
      </c>
      <c r="Q5168" s="22" t="str">
        <f t="shared" ref="Q5168:R5168" si="3091">"+0"</f>
        <v>+0</v>
      </c>
      <c r="R5168" s="18" t="str">
        <f t="shared" si="3091"/>
        <v>+0</v>
      </c>
      <c r="S5168" s="14" t="s">
        <v>260</v>
      </c>
    </row>
    <row r="5169">
      <c r="A5169" s="13">
        <v>45901.0</v>
      </c>
      <c r="B5169" s="14" t="s">
        <v>47</v>
      </c>
      <c r="C5169" s="14" t="s">
        <v>48</v>
      </c>
      <c r="D5169" s="14" t="s">
        <v>149</v>
      </c>
      <c r="E5169" s="14" t="s">
        <v>150</v>
      </c>
      <c r="F5169" s="15" t="s">
        <v>51</v>
      </c>
      <c r="G5169" s="14" t="s">
        <v>151</v>
      </c>
      <c r="H5169" s="14" t="s">
        <v>152</v>
      </c>
      <c r="I5169" s="14" t="s">
        <v>54</v>
      </c>
      <c r="J5169" s="14" t="s">
        <v>200</v>
      </c>
      <c r="K5169" s="14" t="s">
        <v>227</v>
      </c>
      <c r="L5169" s="14" t="s">
        <v>328</v>
      </c>
      <c r="M5169" s="14" t="s">
        <v>329</v>
      </c>
      <c r="N5169" s="14" t="s">
        <v>330</v>
      </c>
      <c r="O5169" s="14">
        <v>15.0</v>
      </c>
      <c r="P5169" s="21">
        <v>5.0</v>
      </c>
      <c r="Q5169" s="22" t="str">
        <f t="shared" ref="Q5169:R5169" si="3092">"+1"</f>
        <v>+1</v>
      </c>
      <c r="R5169" s="18" t="str">
        <f t="shared" si="3092"/>
        <v>+1</v>
      </c>
      <c r="S5169" s="14" t="s">
        <v>260</v>
      </c>
    </row>
    <row r="5170">
      <c r="A5170" s="13">
        <v>45901.0</v>
      </c>
      <c r="B5170" s="14" t="s">
        <v>47</v>
      </c>
      <c r="C5170" s="14" t="s">
        <v>48</v>
      </c>
      <c r="D5170" s="14" t="s">
        <v>87</v>
      </c>
      <c r="E5170" s="14" t="s">
        <v>88</v>
      </c>
      <c r="F5170" s="15" t="s">
        <v>51</v>
      </c>
      <c r="G5170" s="14" t="s">
        <v>89</v>
      </c>
      <c r="H5170" s="14" t="s">
        <v>90</v>
      </c>
      <c r="I5170" s="14" t="s">
        <v>59</v>
      </c>
      <c r="J5170" s="14" t="s">
        <v>198</v>
      </c>
      <c r="K5170" s="14" t="s">
        <v>210</v>
      </c>
      <c r="L5170" s="14" t="s">
        <v>264</v>
      </c>
      <c r="M5170" s="14" t="s">
        <v>357</v>
      </c>
      <c r="N5170" s="14" t="s">
        <v>358</v>
      </c>
      <c r="O5170" s="14">
        <v>100.0</v>
      </c>
      <c r="P5170" s="21">
        <v>0.0</v>
      </c>
      <c r="Q5170" s="22" t="str">
        <f t="shared" ref="Q5170:R5170" si="3093">"+0"</f>
        <v>+0</v>
      </c>
      <c r="R5170" s="18" t="str">
        <f t="shared" si="3093"/>
        <v>+0</v>
      </c>
      <c r="S5170" s="14" t="s">
        <v>281</v>
      </c>
    </row>
    <row r="5171">
      <c r="A5171" s="13">
        <v>45901.0</v>
      </c>
      <c r="B5171" s="14" t="s">
        <v>47</v>
      </c>
      <c r="C5171" s="14" t="s">
        <v>48</v>
      </c>
      <c r="D5171" s="14" t="s">
        <v>87</v>
      </c>
      <c r="E5171" s="14" t="s">
        <v>88</v>
      </c>
      <c r="F5171" s="15" t="s">
        <v>51</v>
      </c>
      <c r="G5171" s="14" t="s">
        <v>89</v>
      </c>
      <c r="H5171" s="14" t="s">
        <v>90</v>
      </c>
      <c r="I5171" s="14" t="s">
        <v>59</v>
      </c>
      <c r="J5171" s="14" t="s">
        <v>198</v>
      </c>
      <c r="K5171" s="14" t="s">
        <v>205</v>
      </c>
      <c r="L5171" s="14" t="s">
        <v>274</v>
      </c>
      <c r="M5171" s="14" t="s">
        <v>791</v>
      </c>
      <c r="N5171" s="14" t="s">
        <v>792</v>
      </c>
      <c r="O5171" s="14">
        <v>100.0</v>
      </c>
      <c r="P5171" s="21">
        <v>4.0</v>
      </c>
      <c r="Q5171" s="22" t="str">
        <f t="shared" ref="Q5171:Q5172" si="3094">"+0"</f>
        <v>+0</v>
      </c>
      <c r="S5171" s="14" t="s">
        <v>260</v>
      </c>
    </row>
    <row r="5172">
      <c r="A5172" s="13">
        <v>45901.0</v>
      </c>
      <c r="B5172" s="14" t="s">
        <v>47</v>
      </c>
      <c r="C5172" s="14" t="s">
        <v>48</v>
      </c>
      <c r="D5172" s="14" t="s">
        <v>136</v>
      </c>
      <c r="E5172" s="14" t="s">
        <v>137</v>
      </c>
      <c r="F5172" s="15" t="s">
        <v>51</v>
      </c>
      <c r="G5172" s="14" t="s">
        <v>138</v>
      </c>
      <c r="H5172" s="14" t="s">
        <v>139</v>
      </c>
      <c r="I5172" s="14" t="s">
        <v>59</v>
      </c>
      <c r="J5172" s="14" t="s">
        <v>199</v>
      </c>
      <c r="K5172" s="14" t="s">
        <v>203</v>
      </c>
      <c r="L5172" s="14" t="s">
        <v>725</v>
      </c>
      <c r="M5172" s="14" t="s">
        <v>725</v>
      </c>
      <c r="N5172" s="14" t="s">
        <v>726</v>
      </c>
      <c r="O5172" s="14">
        <v>0.0</v>
      </c>
      <c r="P5172" s="21">
        <v>0.0</v>
      </c>
      <c r="Q5172" s="22" t="str">
        <f t="shared" si="3094"/>
        <v>+0</v>
      </c>
      <c r="R5172" s="18" t="str">
        <f>"+0"</f>
        <v>+0</v>
      </c>
      <c r="S5172" s="14" t="s">
        <v>260</v>
      </c>
    </row>
    <row r="5173">
      <c r="A5173" s="13">
        <v>45901.0</v>
      </c>
      <c r="B5173" s="14" t="s">
        <v>47</v>
      </c>
      <c r="C5173" s="14" t="s">
        <v>48</v>
      </c>
      <c r="D5173" s="14" t="s">
        <v>112</v>
      </c>
      <c r="E5173" s="14" t="s">
        <v>113</v>
      </c>
      <c r="F5173" s="15" t="s">
        <v>51</v>
      </c>
      <c r="G5173" s="14" t="s">
        <v>114</v>
      </c>
      <c r="H5173" s="14" t="s">
        <v>112</v>
      </c>
      <c r="I5173" s="14" t="s">
        <v>59</v>
      </c>
      <c r="J5173" s="14" t="s">
        <v>200</v>
      </c>
      <c r="K5173" s="14" t="s">
        <v>213</v>
      </c>
      <c r="L5173" s="14" t="s">
        <v>257</v>
      </c>
      <c r="M5173" s="14" t="s">
        <v>622</v>
      </c>
      <c r="N5173" s="14" t="s">
        <v>623</v>
      </c>
      <c r="O5173" s="14">
        <v>0.0</v>
      </c>
      <c r="P5173" s="23">
        <v>-1.0</v>
      </c>
      <c r="Q5173" s="22" t="str">
        <f t="shared" ref="Q5173:R5173" si="3095">"+0.00%"</f>
        <v>+0.00%</v>
      </c>
      <c r="R5173" s="18" t="str">
        <f t="shared" si="3095"/>
        <v>+0.00%</v>
      </c>
      <c r="S5173" s="14" t="s">
        <v>2438</v>
      </c>
    </row>
    <row r="5174">
      <c r="A5174" s="13">
        <v>45901.0</v>
      </c>
      <c r="B5174" s="14" t="s">
        <v>47</v>
      </c>
      <c r="C5174" s="14" t="s">
        <v>48</v>
      </c>
      <c r="D5174" s="14" t="s">
        <v>116</v>
      </c>
      <c r="E5174" s="14" t="s">
        <v>117</v>
      </c>
      <c r="F5174" s="14" t="s">
        <v>111</v>
      </c>
      <c r="G5174" s="14">
        <v>5298600.0</v>
      </c>
      <c r="H5174" s="14" t="s">
        <v>116</v>
      </c>
      <c r="I5174" s="14" t="s">
        <v>59</v>
      </c>
      <c r="J5174" s="14" t="s">
        <v>199</v>
      </c>
      <c r="K5174" s="14" t="s">
        <v>208</v>
      </c>
      <c r="L5174" s="14" t="s">
        <v>412</v>
      </c>
      <c r="M5174" s="14" t="s">
        <v>412</v>
      </c>
      <c r="N5174" s="14" t="s">
        <v>413</v>
      </c>
      <c r="O5174" s="14">
        <v>0.0</v>
      </c>
      <c r="P5174" s="21">
        <v>0.0</v>
      </c>
      <c r="Q5174" s="22" t="str">
        <f t="shared" ref="Q5174:R5174" si="3096">"+0"</f>
        <v>+0</v>
      </c>
      <c r="R5174" s="18" t="str">
        <f t="shared" si="3096"/>
        <v>+0</v>
      </c>
      <c r="S5174" s="14" t="s">
        <v>260</v>
      </c>
    </row>
    <row r="5175">
      <c r="A5175" s="13">
        <v>45901.0</v>
      </c>
      <c r="B5175" s="14" t="s">
        <v>47</v>
      </c>
      <c r="C5175" s="14" t="s">
        <v>48</v>
      </c>
      <c r="D5175" s="14" t="s">
        <v>116</v>
      </c>
      <c r="E5175" s="14" t="s">
        <v>117</v>
      </c>
      <c r="F5175" s="15" t="s">
        <v>51</v>
      </c>
      <c r="G5175" s="14" t="s">
        <v>161</v>
      </c>
      <c r="H5175" s="14" t="s">
        <v>116</v>
      </c>
      <c r="I5175" s="14" t="s">
        <v>54</v>
      </c>
      <c r="J5175" s="14" t="s">
        <v>200</v>
      </c>
      <c r="K5175" s="14" t="s">
        <v>201</v>
      </c>
      <c r="L5175" s="14" t="s">
        <v>253</v>
      </c>
      <c r="M5175" s="14" t="s">
        <v>538</v>
      </c>
      <c r="N5175" s="14" t="s">
        <v>539</v>
      </c>
      <c r="O5175" s="14">
        <v>4.0</v>
      </c>
      <c r="P5175" s="23">
        <v>0.0446</v>
      </c>
      <c r="Q5175" s="22" t="str">
        <f>"-0.52%"</f>
        <v>-0.52%</v>
      </c>
      <c r="R5175" s="18" t="str">
        <f>"-1.80%"</f>
        <v>-1.80%</v>
      </c>
      <c r="S5175" s="14" t="s">
        <v>1595</v>
      </c>
    </row>
    <row r="5176">
      <c r="A5176" s="13">
        <v>45901.0</v>
      </c>
      <c r="B5176" s="14" t="s">
        <v>47</v>
      </c>
      <c r="C5176" s="14" t="s">
        <v>48</v>
      </c>
      <c r="D5176" s="14" t="s">
        <v>60</v>
      </c>
      <c r="E5176" s="14" t="s">
        <v>61</v>
      </c>
      <c r="F5176" s="15" t="s">
        <v>51</v>
      </c>
      <c r="G5176" s="14" t="s">
        <v>62</v>
      </c>
      <c r="H5176" s="14" t="s">
        <v>60</v>
      </c>
      <c r="I5176" s="14" t="s">
        <v>59</v>
      </c>
      <c r="J5176" s="14" t="s">
        <v>200</v>
      </c>
      <c r="K5176" s="14" t="s">
        <v>223</v>
      </c>
      <c r="L5176" s="14" t="s">
        <v>286</v>
      </c>
      <c r="M5176" s="14" t="s">
        <v>369</v>
      </c>
      <c r="N5176" s="14" t="s">
        <v>370</v>
      </c>
      <c r="O5176" s="14">
        <v>1.0</v>
      </c>
      <c r="P5176" s="23">
        <v>0.0196</v>
      </c>
      <c r="Q5176" s="22" t="str">
        <f t="shared" ref="Q5176:R5176" si="3097">"+1.96%"</f>
        <v>+1.96%</v>
      </c>
      <c r="R5176" s="18" t="str">
        <f t="shared" si="3097"/>
        <v>+1.96%</v>
      </c>
      <c r="S5176" s="14" t="s">
        <v>371</v>
      </c>
    </row>
    <row r="5177">
      <c r="A5177" s="13">
        <v>45901.0</v>
      </c>
      <c r="B5177" s="14" t="s">
        <v>47</v>
      </c>
      <c r="C5177" s="14" t="s">
        <v>48</v>
      </c>
      <c r="D5177" s="14" t="s">
        <v>60</v>
      </c>
      <c r="E5177" s="14" t="s">
        <v>61</v>
      </c>
      <c r="F5177" s="15" t="s">
        <v>51</v>
      </c>
      <c r="G5177" s="14" t="s">
        <v>62</v>
      </c>
      <c r="H5177" s="14" t="s">
        <v>60</v>
      </c>
      <c r="I5177" s="14" t="s">
        <v>59</v>
      </c>
      <c r="J5177" s="14" t="s">
        <v>199</v>
      </c>
      <c r="K5177" s="14" t="s">
        <v>206</v>
      </c>
      <c r="L5177" s="14" t="s">
        <v>295</v>
      </c>
      <c r="M5177" s="14" t="s">
        <v>651</v>
      </c>
      <c r="N5177" s="14" t="s">
        <v>652</v>
      </c>
      <c r="O5177" s="14">
        <v>0.0</v>
      </c>
      <c r="P5177" s="21">
        <v>0.0</v>
      </c>
      <c r="Q5177" s="22" t="str">
        <f t="shared" ref="Q5177:R5177" si="3098">"+0"</f>
        <v>+0</v>
      </c>
      <c r="R5177" s="18" t="str">
        <f t="shared" si="3098"/>
        <v>+0</v>
      </c>
      <c r="S5177" s="14" t="s">
        <v>260</v>
      </c>
    </row>
    <row r="5178">
      <c r="A5178" s="13">
        <v>45901.0</v>
      </c>
      <c r="B5178" s="14" t="s">
        <v>47</v>
      </c>
      <c r="C5178" s="14" t="s">
        <v>48</v>
      </c>
      <c r="D5178" s="14" t="s">
        <v>49</v>
      </c>
      <c r="E5178" s="14" t="s">
        <v>50</v>
      </c>
      <c r="F5178" s="15" t="s">
        <v>51</v>
      </c>
      <c r="G5178" s="14" t="s">
        <v>52</v>
      </c>
      <c r="H5178" s="14" t="s">
        <v>53</v>
      </c>
      <c r="I5178" s="14" t="s">
        <v>54</v>
      </c>
      <c r="J5178" s="14" t="s">
        <v>198</v>
      </c>
      <c r="K5178" s="14" t="s">
        <v>210</v>
      </c>
      <c r="L5178" s="14" t="s">
        <v>505</v>
      </c>
      <c r="M5178" s="14" t="s">
        <v>1111</v>
      </c>
      <c r="N5178" s="14" t="s">
        <v>1112</v>
      </c>
      <c r="O5178" s="14">
        <v>0.0</v>
      </c>
      <c r="P5178" s="21">
        <v>0.0</v>
      </c>
      <c r="Q5178" s="22" t="str">
        <f t="shared" ref="Q5178:R5178" si="3099">"+0"</f>
        <v>+0</v>
      </c>
      <c r="R5178" s="18" t="str">
        <f t="shared" si="3099"/>
        <v>+0</v>
      </c>
      <c r="S5178" s="14" t="s">
        <v>277</v>
      </c>
    </row>
    <row r="5179">
      <c r="A5179" s="13">
        <v>45901.0</v>
      </c>
      <c r="B5179" s="14" t="s">
        <v>47</v>
      </c>
      <c r="C5179" s="14" t="s">
        <v>48</v>
      </c>
      <c r="D5179" s="14" t="s">
        <v>165</v>
      </c>
      <c r="E5179" s="14" t="s">
        <v>166</v>
      </c>
      <c r="F5179" s="15" t="s">
        <v>51</v>
      </c>
      <c r="G5179" s="14" t="s">
        <v>167</v>
      </c>
      <c r="H5179" s="14" t="s">
        <v>165</v>
      </c>
      <c r="I5179" s="14" t="s">
        <v>54</v>
      </c>
      <c r="J5179" s="14" t="s">
        <v>200</v>
      </c>
      <c r="K5179" s="14" t="s">
        <v>213</v>
      </c>
      <c r="L5179" s="14" t="s">
        <v>257</v>
      </c>
      <c r="M5179" s="14" t="s">
        <v>493</v>
      </c>
      <c r="N5179" s="14" t="s">
        <v>494</v>
      </c>
      <c r="O5179" s="14">
        <v>48.0</v>
      </c>
      <c r="P5179" s="23">
        <v>-0.0322</v>
      </c>
      <c r="Q5179" s="22" t="str">
        <f>"-2.53%"</f>
        <v>-2.53%</v>
      </c>
      <c r="R5179" s="18" t="str">
        <f>"-18.59%"</f>
        <v>-18.59%</v>
      </c>
      <c r="S5179" s="14" t="s">
        <v>968</v>
      </c>
    </row>
    <row r="5180">
      <c r="A5180" s="13">
        <v>45901.0</v>
      </c>
      <c r="B5180" s="14" t="s">
        <v>47</v>
      </c>
      <c r="C5180" s="14" t="s">
        <v>48</v>
      </c>
      <c r="D5180" s="14" t="s">
        <v>87</v>
      </c>
      <c r="E5180" s="14" t="s">
        <v>88</v>
      </c>
      <c r="F5180" s="15" t="s">
        <v>51</v>
      </c>
      <c r="G5180" s="14" t="s">
        <v>89</v>
      </c>
      <c r="H5180" s="14" t="s">
        <v>90</v>
      </c>
      <c r="I5180" s="14" t="s">
        <v>59</v>
      </c>
      <c r="J5180" s="14" t="s">
        <v>200</v>
      </c>
      <c r="K5180" s="14" t="s">
        <v>211</v>
      </c>
      <c r="L5180" s="14" t="s">
        <v>253</v>
      </c>
      <c r="M5180" s="14" t="s">
        <v>1024</v>
      </c>
      <c r="N5180" s="14" t="s">
        <v>1025</v>
      </c>
      <c r="O5180" s="14">
        <v>2.0</v>
      </c>
      <c r="P5180" s="23">
        <v>0.0232</v>
      </c>
      <c r="Q5180" s="22" t="str">
        <f t="shared" ref="Q5180:R5180" si="3100">"+0.00%"</f>
        <v>+0.00%</v>
      </c>
      <c r="R5180" s="18" t="str">
        <f t="shared" si="3100"/>
        <v>+0.00%</v>
      </c>
      <c r="S5180" s="14" t="s">
        <v>2261</v>
      </c>
    </row>
    <row r="5181">
      <c r="A5181" s="13">
        <v>45901.0</v>
      </c>
      <c r="B5181" s="14" t="s">
        <v>47</v>
      </c>
      <c r="C5181" s="14" t="s">
        <v>48</v>
      </c>
      <c r="D5181" s="14" t="s">
        <v>108</v>
      </c>
      <c r="E5181" s="14" t="s">
        <v>109</v>
      </c>
      <c r="F5181" s="15" t="s">
        <v>51</v>
      </c>
      <c r="G5181" s="14" t="s">
        <v>110</v>
      </c>
      <c r="H5181" s="14" t="s">
        <v>108</v>
      </c>
      <c r="I5181" s="14" t="s">
        <v>59</v>
      </c>
      <c r="J5181" s="14" t="s">
        <v>200</v>
      </c>
      <c r="K5181" s="14" t="s">
        <v>213</v>
      </c>
      <c r="L5181" s="14" t="s">
        <v>359</v>
      </c>
      <c r="M5181" s="14" t="s">
        <v>628</v>
      </c>
      <c r="N5181" s="14" t="s">
        <v>629</v>
      </c>
      <c r="O5181" s="14">
        <v>100.0</v>
      </c>
      <c r="P5181" s="21">
        <v>1.0</v>
      </c>
      <c r="Q5181" s="22" t="str">
        <f>"+0"</f>
        <v>+0</v>
      </c>
      <c r="S5181" s="14" t="s">
        <v>260</v>
      </c>
    </row>
    <row r="5182">
      <c r="A5182" s="13">
        <v>45901.0</v>
      </c>
      <c r="B5182" s="14" t="s">
        <v>47</v>
      </c>
      <c r="C5182" s="14" t="s">
        <v>48</v>
      </c>
      <c r="D5182" s="14" t="s">
        <v>87</v>
      </c>
      <c r="E5182" s="14" t="s">
        <v>88</v>
      </c>
      <c r="F5182" s="15" t="s">
        <v>51</v>
      </c>
      <c r="G5182" s="14" t="s">
        <v>89</v>
      </c>
      <c r="H5182" s="14" t="s">
        <v>90</v>
      </c>
      <c r="I5182" s="14" t="s">
        <v>59</v>
      </c>
      <c r="J5182" s="14" t="s">
        <v>200</v>
      </c>
      <c r="K5182" s="14" t="s">
        <v>211</v>
      </c>
      <c r="L5182" s="14" t="s">
        <v>889</v>
      </c>
      <c r="M5182" s="14" t="s">
        <v>2439</v>
      </c>
      <c r="N5182" s="14" t="s">
        <v>2440</v>
      </c>
      <c r="O5182" s="14">
        <v>0.0</v>
      </c>
      <c r="P5182" s="23">
        <v>-1.0</v>
      </c>
      <c r="Q5182" s="22" t="str">
        <f t="shared" ref="Q5182:R5182" si="3101">"+0.00%"</f>
        <v>+0.00%</v>
      </c>
      <c r="R5182" s="18" t="str">
        <f t="shared" si="3101"/>
        <v>+0.00%</v>
      </c>
      <c r="S5182" s="14" t="s">
        <v>336</v>
      </c>
    </row>
    <row r="5183">
      <c r="A5183" s="13">
        <v>45901.0</v>
      </c>
      <c r="B5183" s="14" t="s">
        <v>47</v>
      </c>
      <c r="C5183" s="14" t="s">
        <v>48</v>
      </c>
      <c r="D5183" s="14" t="s">
        <v>192</v>
      </c>
      <c r="E5183" s="14" t="s">
        <v>193</v>
      </c>
      <c r="F5183" s="15" t="s">
        <v>51</v>
      </c>
      <c r="G5183" s="14" t="s">
        <v>194</v>
      </c>
      <c r="H5183" s="14" t="s">
        <v>192</v>
      </c>
      <c r="I5183" s="14" t="s">
        <v>54</v>
      </c>
      <c r="J5183" s="14" t="s">
        <v>198</v>
      </c>
      <c r="K5183" s="14" t="s">
        <v>207</v>
      </c>
      <c r="L5183" s="14" t="s">
        <v>318</v>
      </c>
      <c r="M5183" s="14" t="s">
        <v>319</v>
      </c>
      <c r="N5183" s="14" t="s">
        <v>320</v>
      </c>
      <c r="O5183" s="14">
        <v>100.0</v>
      </c>
      <c r="P5183" s="21">
        <v>1.0</v>
      </c>
      <c r="Q5183" s="22" t="str">
        <f t="shared" ref="Q5183:Q5185" si="3102">"+0"</f>
        <v>+0</v>
      </c>
      <c r="S5183" s="14" t="s">
        <v>281</v>
      </c>
    </row>
    <row r="5184">
      <c r="A5184" s="13">
        <v>45901.0</v>
      </c>
      <c r="B5184" s="14" t="s">
        <v>47</v>
      </c>
      <c r="C5184" s="14" t="s">
        <v>48</v>
      </c>
      <c r="D5184" s="14" t="s">
        <v>93</v>
      </c>
      <c r="E5184" s="14" t="s">
        <v>94</v>
      </c>
      <c r="F5184" s="14" t="s">
        <v>71</v>
      </c>
      <c r="G5184" s="14">
        <v>5.36001438E8</v>
      </c>
      <c r="H5184" s="14" t="s">
        <v>95</v>
      </c>
      <c r="I5184" s="14" t="s">
        <v>59</v>
      </c>
      <c r="J5184" s="14" t="s">
        <v>199</v>
      </c>
      <c r="K5184" s="14" t="s">
        <v>206</v>
      </c>
      <c r="L5184" s="14" t="s">
        <v>295</v>
      </c>
      <c r="M5184" s="14" t="s">
        <v>461</v>
      </c>
      <c r="N5184" s="14" t="s">
        <v>462</v>
      </c>
      <c r="O5184" s="14">
        <v>0.0</v>
      </c>
      <c r="P5184" s="21">
        <v>0.0</v>
      </c>
      <c r="Q5184" s="22" t="str">
        <f t="shared" si="3102"/>
        <v>+0</v>
      </c>
      <c r="R5184" s="18" t="str">
        <f t="shared" ref="R5184:R5185" si="3103">"+0"</f>
        <v>+0</v>
      </c>
      <c r="S5184" s="14" t="s">
        <v>260</v>
      </c>
    </row>
    <row r="5185">
      <c r="A5185" s="13">
        <v>45901.0</v>
      </c>
      <c r="B5185" s="14" t="s">
        <v>47</v>
      </c>
      <c r="C5185" s="14" t="s">
        <v>48</v>
      </c>
      <c r="D5185" s="14" t="s">
        <v>192</v>
      </c>
      <c r="E5185" s="14" t="s">
        <v>193</v>
      </c>
      <c r="F5185" s="15" t="s">
        <v>51</v>
      </c>
      <c r="G5185" s="14" t="s">
        <v>194</v>
      </c>
      <c r="H5185" s="14" t="s">
        <v>192</v>
      </c>
      <c r="I5185" s="14" t="s">
        <v>54</v>
      </c>
      <c r="J5185" s="14" t="s">
        <v>198</v>
      </c>
      <c r="K5185" s="14" t="s">
        <v>210</v>
      </c>
      <c r="L5185" s="14" t="s">
        <v>264</v>
      </c>
      <c r="M5185" s="14" t="s">
        <v>1064</v>
      </c>
      <c r="N5185" s="14" t="s">
        <v>1065</v>
      </c>
      <c r="O5185" s="14">
        <v>0.0</v>
      </c>
      <c r="P5185" s="21">
        <v>0.0</v>
      </c>
      <c r="Q5185" s="22" t="str">
        <f t="shared" si="3102"/>
        <v>+0</v>
      </c>
      <c r="R5185" s="18" t="str">
        <f t="shared" si="3103"/>
        <v>+0</v>
      </c>
      <c r="S5185" s="14" t="s">
        <v>277</v>
      </c>
    </row>
    <row r="5186">
      <c r="A5186" s="13">
        <v>45901.0</v>
      </c>
      <c r="B5186" s="14" t="s">
        <v>47</v>
      </c>
      <c r="C5186" s="14" t="s">
        <v>48</v>
      </c>
      <c r="D5186" s="14" t="s">
        <v>66</v>
      </c>
      <c r="E5186" s="14" t="s">
        <v>67</v>
      </c>
      <c r="F5186" s="15" t="s">
        <v>51</v>
      </c>
      <c r="G5186" s="14" t="s">
        <v>68</v>
      </c>
      <c r="H5186" s="14" t="s">
        <v>66</v>
      </c>
      <c r="I5186" s="14" t="s">
        <v>59</v>
      </c>
      <c r="J5186" s="14" t="s">
        <v>200</v>
      </c>
      <c r="K5186" s="14" t="s">
        <v>223</v>
      </c>
      <c r="L5186" s="14" t="s">
        <v>607</v>
      </c>
      <c r="M5186" s="14" t="s">
        <v>758</v>
      </c>
      <c r="N5186" s="14" t="s">
        <v>759</v>
      </c>
      <c r="O5186" s="14">
        <v>0.0</v>
      </c>
      <c r="P5186" s="23">
        <v>-1.0</v>
      </c>
      <c r="Q5186" s="22" t="str">
        <f t="shared" ref="Q5186:R5186" si="3104">"+0.00%"</f>
        <v>+0.00%</v>
      </c>
      <c r="R5186" s="18" t="str">
        <f t="shared" si="3104"/>
        <v>+0.00%</v>
      </c>
      <c r="S5186" s="14" t="s">
        <v>2441</v>
      </c>
    </row>
    <row r="5187">
      <c r="A5187" s="13">
        <v>45901.0</v>
      </c>
      <c r="B5187" s="14" t="s">
        <v>47</v>
      </c>
      <c r="C5187" s="14" t="s">
        <v>48</v>
      </c>
      <c r="D5187" s="14" t="s">
        <v>143</v>
      </c>
      <c r="E5187" s="14" t="s">
        <v>144</v>
      </c>
      <c r="F5187" s="15" t="s">
        <v>51</v>
      </c>
      <c r="G5187" s="14" t="s">
        <v>145</v>
      </c>
      <c r="H5187" s="14" t="s">
        <v>143</v>
      </c>
      <c r="I5187" s="14" t="s">
        <v>59</v>
      </c>
      <c r="J5187" s="14" t="s">
        <v>199</v>
      </c>
      <c r="K5187" s="14" t="s">
        <v>206</v>
      </c>
      <c r="L5187" s="14" t="s">
        <v>295</v>
      </c>
      <c r="M5187" s="14" t="s">
        <v>461</v>
      </c>
      <c r="N5187" s="14" t="s">
        <v>462</v>
      </c>
      <c r="O5187" s="14">
        <v>0.0</v>
      </c>
      <c r="P5187" s="21">
        <v>0.0</v>
      </c>
      <c r="Q5187" s="22" t="str">
        <f t="shared" ref="Q5187:R5187" si="3105">"+0"</f>
        <v>+0</v>
      </c>
      <c r="R5187" s="18" t="str">
        <f t="shared" si="3105"/>
        <v>+0</v>
      </c>
      <c r="S5187" s="14" t="s">
        <v>260</v>
      </c>
    </row>
    <row r="5188">
      <c r="A5188" s="13">
        <v>45901.0</v>
      </c>
      <c r="B5188" s="14" t="s">
        <v>47</v>
      </c>
      <c r="C5188" s="14" t="s">
        <v>48</v>
      </c>
      <c r="D5188" s="14" t="s">
        <v>143</v>
      </c>
      <c r="E5188" s="14" t="s">
        <v>144</v>
      </c>
      <c r="F5188" s="15" t="s">
        <v>51</v>
      </c>
      <c r="G5188" s="14" t="s">
        <v>145</v>
      </c>
      <c r="H5188" s="14" t="s">
        <v>143</v>
      </c>
      <c r="I5188" s="14" t="s">
        <v>59</v>
      </c>
      <c r="J5188" s="14" t="s">
        <v>200</v>
      </c>
      <c r="K5188" s="14" t="s">
        <v>224</v>
      </c>
      <c r="L5188" s="14" t="s">
        <v>392</v>
      </c>
      <c r="M5188" s="14" t="s">
        <v>826</v>
      </c>
      <c r="N5188" s="14" t="s">
        <v>827</v>
      </c>
      <c r="O5188" s="14">
        <v>0.0</v>
      </c>
      <c r="P5188" s="23">
        <v>0.0</v>
      </c>
      <c r="Q5188" s="22" t="str">
        <f>"+0.00%"</f>
        <v>+0.00%</v>
      </c>
      <c r="S5188" s="14" t="s">
        <v>2442</v>
      </c>
    </row>
    <row r="5189">
      <c r="A5189" s="13">
        <v>45901.0</v>
      </c>
      <c r="B5189" s="14" t="s">
        <v>47</v>
      </c>
      <c r="C5189" s="14" t="s">
        <v>48</v>
      </c>
      <c r="D5189" s="14" t="s">
        <v>149</v>
      </c>
      <c r="E5189" s="14" t="s">
        <v>150</v>
      </c>
      <c r="F5189" s="15" t="s">
        <v>51</v>
      </c>
      <c r="G5189" s="14" t="s">
        <v>151</v>
      </c>
      <c r="H5189" s="14" t="s">
        <v>152</v>
      </c>
      <c r="I5189" s="14" t="s">
        <v>54</v>
      </c>
      <c r="J5189" s="14" t="s">
        <v>198</v>
      </c>
      <c r="K5189" s="14" t="s">
        <v>205</v>
      </c>
      <c r="L5189" s="14" t="s">
        <v>274</v>
      </c>
      <c r="M5189" s="14" t="s">
        <v>767</v>
      </c>
      <c r="N5189" s="14" t="s">
        <v>768</v>
      </c>
      <c r="O5189" s="14">
        <v>0.0</v>
      </c>
      <c r="P5189" s="21">
        <v>0.0</v>
      </c>
      <c r="Q5189" s="22" t="str">
        <f>"+0"</f>
        <v>+0</v>
      </c>
      <c r="S5189" s="14" t="s">
        <v>281</v>
      </c>
    </row>
    <row r="5190">
      <c r="A5190" s="13">
        <v>45901.0</v>
      </c>
      <c r="B5190" s="14" t="s">
        <v>47</v>
      </c>
      <c r="C5190" s="14" t="s">
        <v>48</v>
      </c>
      <c r="D5190" s="14" t="s">
        <v>87</v>
      </c>
      <c r="E5190" s="14" t="s">
        <v>88</v>
      </c>
      <c r="F5190" s="15" t="s">
        <v>51</v>
      </c>
      <c r="G5190" s="14" t="s">
        <v>89</v>
      </c>
      <c r="H5190" s="14" t="s">
        <v>90</v>
      </c>
      <c r="I5190" s="14" t="s">
        <v>59</v>
      </c>
      <c r="J5190" s="14" t="s">
        <v>200</v>
      </c>
      <c r="K5190" s="14" t="s">
        <v>223</v>
      </c>
      <c r="L5190" s="14" t="s">
        <v>591</v>
      </c>
      <c r="M5190" s="14" t="s">
        <v>592</v>
      </c>
      <c r="N5190" s="14" t="s">
        <v>593</v>
      </c>
      <c r="O5190" s="14">
        <v>100.0</v>
      </c>
      <c r="P5190" s="23">
        <v>0.0055</v>
      </c>
      <c r="Q5190" s="22" t="str">
        <f>"+0.01%"</f>
        <v>+0.01%</v>
      </c>
      <c r="R5190" s="18" t="str">
        <f>"+0.55%"</f>
        <v>+0.55%</v>
      </c>
      <c r="S5190" s="14" t="s">
        <v>285</v>
      </c>
    </row>
    <row r="5191">
      <c r="A5191" s="13">
        <v>45901.0</v>
      </c>
      <c r="B5191" s="14" t="s">
        <v>47</v>
      </c>
      <c r="C5191" s="14" t="s">
        <v>48</v>
      </c>
      <c r="D5191" s="14" t="s">
        <v>69</v>
      </c>
      <c r="E5191" s="14" t="s">
        <v>70</v>
      </c>
      <c r="F5191" s="15" t="s">
        <v>51</v>
      </c>
      <c r="G5191" s="14" t="s">
        <v>115</v>
      </c>
      <c r="H5191" s="14" t="s">
        <v>72</v>
      </c>
      <c r="I5191" s="14" t="s">
        <v>54</v>
      </c>
      <c r="J5191" s="14" t="s">
        <v>200</v>
      </c>
      <c r="K5191" s="14" t="s">
        <v>204</v>
      </c>
      <c r="L5191" s="14" t="s">
        <v>253</v>
      </c>
      <c r="M5191" s="14" t="s">
        <v>490</v>
      </c>
      <c r="N5191" s="14" t="s">
        <v>491</v>
      </c>
      <c r="O5191" s="14">
        <v>0.0</v>
      </c>
      <c r="P5191" s="23">
        <v>0.0</v>
      </c>
      <c r="Q5191" s="22" t="str">
        <f t="shared" ref="Q5191:R5191" si="3106">"+0.00%"</f>
        <v>+0.00%</v>
      </c>
      <c r="R5191" s="18" t="str">
        <f t="shared" si="3106"/>
        <v>+0.00%</v>
      </c>
      <c r="S5191" s="14" t="s">
        <v>492</v>
      </c>
    </row>
    <row r="5192">
      <c r="A5192" s="13">
        <v>45901.0</v>
      </c>
      <c r="B5192" s="14" t="s">
        <v>47</v>
      </c>
      <c r="C5192" s="14" t="s">
        <v>48</v>
      </c>
      <c r="D5192" s="14" t="s">
        <v>69</v>
      </c>
      <c r="E5192" s="14" t="s">
        <v>70</v>
      </c>
      <c r="F5192" s="14" t="s">
        <v>71</v>
      </c>
      <c r="G5192" s="14">
        <v>1.00002092E8</v>
      </c>
      <c r="H5192" s="14" t="s">
        <v>72</v>
      </c>
      <c r="I5192" s="14" t="s">
        <v>54</v>
      </c>
      <c r="J5192" s="14" t="s">
        <v>199</v>
      </c>
      <c r="K5192" s="14" t="s">
        <v>203</v>
      </c>
      <c r="L5192" s="14" t="s">
        <v>340</v>
      </c>
      <c r="M5192" s="14" t="s">
        <v>340</v>
      </c>
      <c r="N5192" s="14" t="s">
        <v>341</v>
      </c>
      <c r="O5192" s="14">
        <v>0.0</v>
      </c>
      <c r="P5192" s="21">
        <v>0.0</v>
      </c>
      <c r="Q5192" s="22" t="str">
        <f t="shared" ref="Q5192:R5192" si="3107">"+0"</f>
        <v>+0</v>
      </c>
      <c r="R5192" s="18" t="str">
        <f t="shared" si="3107"/>
        <v>+0</v>
      </c>
      <c r="S5192" s="14" t="s">
        <v>260</v>
      </c>
    </row>
    <row r="5193">
      <c r="A5193" s="13">
        <v>45901.0</v>
      </c>
      <c r="B5193" s="14" t="s">
        <v>47</v>
      </c>
      <c r="C5193" s="14" t="s">
        <v>48</v>
      </c>
      <c r="D5193" s="14" t="s">
        <v>158</v>
      </c>
      <c r="E5193" s="14" t="s">
        <v>159</v>
      </c>
      <c r="F5193" s="15" t="s">
        <v>51</v>
      </c>
      <c r="G5193" s="14" t="s">
        <v>160</v>
      </c>
      <c r="H5193" s="14" t="s">
        <v>158</v>
      </c>
      <c r="I5193" s="14" t="s">
        <v>54</v>
      </c>
      <c r="J5193" s="14" t="s">
        <v>198</v>
      </c>
      <c r="K5193" s="14" t="s">
        <v>210</v>
      </c>
      <c r="L5193" s="14" t="s">
        <v>278</v>
      </c>
      <c r="M5193" s="14" t="s">
        <v>853</v>
      </c>
      <c r="N5193" s="14" t="s">
        <v>854</v>
      </c>
      <c r="O5193" s="14">
        <v>0.0</v>
      </c>
      <c r="P5193" s="21">
        <v>0.0</v>
      </c>
      <c r="Q5193" s="22" t="str">
        <f t="shared" ref="Q5193:R5193" si="3108">"+0"</f>
        <v>+0</v>
      </c>
      <c r="R5193" s="18" t="str">
        <f t="shared" si="3108"/>
        <v>+0</v>
      </c>
      <c r="S5193" s="14" t="s">
        <v>277</v>
      </c>
    </row>
    <row r="5194">
      <c r="A5194" s="13">
        <v>45901.0</v>
      </c>
      <c r="B5194" s="14" t="s">
        <v>47</v>
      </c>
      <c r="C5194" s="14" t="s">
        <v>48</v>
      </c>
      <c r="D5194" s="14" t="s">
        <v>108</v>
      </c>
      <c r="E5194" s="14" t="s">
        <v>109</v>
      </c>
      <c r="F5194" s="14" t="s">
        <v>146</v>
      </c>
      <c r="G5194" s="14" t="s">
        <v>180</v>
      </c>
      <c r="H5194" s="14" t="s">
        <v>108</v>
      </c>
      <c r="I5194" s="14" t="s">
        <v>59</v>
      </c>
      <c r="J5194" s="14" t="s">
        <v>199</v>
      </c>
      <c r="K5194" s="14" t="s">
        <v>206</v>
      </c>
      <c r="L5194" s="14" t="s">
        <v>569</v>
      </c>
      <c r="M5194" s="14" t="s">
        <v>569</v>
      </c>
      <c r="N5194" s="14" t="s">
        <v>570</v>
      </c>
      <c r="O5194" s="14">
        <v>0.0</v>
      </c>
      <c r="P5194" s="21">
        <v>0.0</v>
      </c>
      <c r="Q5194" s="22" t="str">
        <f>"+0"</f>
        <v>+0</v>
      </c>
      <c r="S5194" s="14" t="s">
        <v>383</v>
      </c>
    </row>
    <row r="5195">
      <c r="A5195" s="13">
        <v>45901.0</v>
      </c>
      <c r="B5195" s="14" t="s">
        <v>47</v>
      </c>
      <c r="C5195" s="14" t="s">
        <v>48</v>
      </c>
      <c r="D5195" s="14" t="s">
        <v>108</v>
      </c>
      <c r="E5195" s="14" t="s">
        <v>109</v>
      </c>
      <c r="F5195" s="14" t="s">
        <v>146</v>
      </c>
      <c r="G5195" s="14" t="s">
        <v>180</v>
      </c>
      <c r="H5195" s="14" t="s">
        <v>108</v>
      </c>
      <c r="I5195" s="14" t="s">
        <v>59</v>
      </c>
      <c r="J5195" s="14" t="s">
        <v>200</v>
      </c>
      <c r="K5195" s="14" t="s">
        <v>226</v>
      </c>
      <c r="L5195" s="14" t="s">
        <v>253</v>
      </c>
      <c r="M5195" s="14" t="s">
        <v>1477</v>
      </c>
      <c r="N5195" s="14" t="s">
        <v>1478</v>
      </c>
      <c r="O5195" s="14">
        <v>100.0</v>
      </c>
      <c r="P5195" s="23">
        <v>1.0</v>
      </c>
      <c r="Q5195" s="22" t="str">
        <f>"+0.00%"</f>
        <v>+0.00%</v>
      </c>
      <c r="S5195" s="14" t="s">
        <v>2443</v>
      </c>
    </row>
    <row r="5196">
      <c r="A5196" s="13">
        <v>45901.0</v>
      </c>
      <c r="B5196" s="14" t="s">
        <v>47</v>
      </c>
      <c r="C5196" s="14" t="s">
        <v>48</v>
      </c>
      <c r="D5196" s="14" t="s">
        <v>116</v>
      </c>
      <c r="E5196" s="14" t="s">
        <v>117</v>
      </c>
      <c r="F5196" s="15" t="s">
        <v>51</v>
      </c>
      <c r="G5196" s="14" t="s">
        <v>161</v>
      </c>
      <c r="H5196" s="14" t="s">
        <v>116</v>
      </c>
      <c r="I5196" s="14" t="s">
        <v>54</v>
      </c>
      <c r="J5196" s="14" t="s">
        <v>198</v>
      </c>
      <c r="K5196" s="14" t="s">
        <v>210</v>
      </c>
      <c r="L5196" s="14" t="s">
        <v>264</v>
      </c>
      <c r="M5196" s="14" t="s">
        <v>527</v>
      </c>
      <c r="N5196" s="14" t="s">
        <v>528</v>
      </c>
      <c r="O5196" s="14">
        <v>0.0</v>
      </c>
      <c r="P5196" s="21">
        <v>0.0</v>
      </c>
      <c r="Q5196" s="22" t="str">
        <f t="shared" ref="Q5196:R5196" si="3109">"+0"</f>
        <v>+0</v>
      </c>
      <c r="R5196" s="18" t="str">
        <f t="shared" si="3109"/>
        <v>+0</v>
      </c>
      <c r="S5196" s="14" t="s">
        <v>277</v>
      </c>
    </row>
    <row r="5197">
      <c r="A5197" s="13">
        <v>45901.0</v>
      </c>
      <c r="B5197" s="14" t="s">
        <v>47</v>
      </c>
      <c r="C5197" s="14" t="s">
        <v>48</v>
      </c>
      <c r="D5197" s="14" t="s">
        <v>174</v>
      </c>
      <c r="E5197" s="14" t="s">
        <v>175</v>
      </c>
      <c r="F5197" s="15" t="s">
        <v>51</v>
      </c>
      <c r="G5197" s="14" t="s">
        <v>176</v>
      </c>
      <c r="H5197" s="14" t="s">
        <v>174</v>
      </c>
      <c r="I5197" s="14" t="s">
        <v>59</v>
      </c>
      <c r="J5197" s="14" t="s">
        <v>200</v>
      </c>
      <c r="K5197" s="14" t="s">
        <v>222</v>
      </c>
      <c r="L5197" s="14" t="s">
        <v>337</v>
      </c>
      <c r="M5197" s="14" t="s">
        <v>338</v>
      </c>
      <c r="N5197" s="14" t="s">
        <v>339</v>
      </c>
      <c r="O5197" s="14">
        <v>0.0</v>
      </c>
      <c r="P5197" s="21">
        <v>0.0</v>
      </c>
      <c r="Q5197" s="22" t="str">
        <f t="shared" ref="Q5197:R5197" si="3110">"+0"</f>
        <v>+0</v>
      </c>
      <c r="R5197" s="18" t="str">
        <f t="shared" si="3110"/>
        <v>+0</v>
      </c>
      <c r="S5197" s="14" t="s">
        <v>260</v>
      </c>
    </row>
    <row r="5198">
      <c r="A5198" s="13">
        <v>45901.0</v>
      </c>
      <c r="B5198" s="14" t="s">
        <v>47</v>
      </c>
      <c r="C5198" s="14" t="s">
        <v>48</v>
      </c>
      <c r="D5198" s="14" t="s">
        <v>121</v>
      </c>
      <c r="E5198" s="14" t="s">
        <v>122</v>
      </c>
      <c r="F5198" s="15" t="s">
        <v>51</v>
      </c>
      <c r="G5198" s="14" t="s">
        <v>123</v>
      </c>
      <c r="H5198" s="14" t="s">
        <v>124</v>
      </c>
      <c r="I5198" s="14" t="s">
        <v>59</v>
      </c>
      <c r="J5198" s="14" t="s">
        <v>200</v>
      </c>
      <c r="K5198" s="14" t="s">
        <v>232</v>
      </c>
      <c r="L5198" s="14" t="s">
        <v>607</v>
      </c>
      <c r="M5198" s="14" t="s">
        <v>692</v>
      </c>
      <c r="N5198" s="14" t="s">
        <v>693</v>
      </c>
      <c r="O5198" s="14">
        <v>0.0</v>
      </c>
      <c r="P5198" s="23">
        <v>0.0</v>
      </c>
      <c r="Q5198" s="22" t="str">
        <f t="shared" ref="Q5198:R5198" si="3111">"+0.00%"</f>
        <v>+0.00%</v>
      </c>
      <c r="R5198" s="18" t="str">
        <f t="shared" si="3111"/>
        <v>+0.00%</v>
      </c>
      <c r="S5198" s="14" t="s">
        <v>285</v>
      </c>
    </row>
    <row r="5199">
      <c r="A5199" s="13">
        <v>45901.0</v>
      </c>
      <c r="B5199" s="14" t="s">
        <v>47</v>
      </c>
      <c r="C5199" s="14" t="s">
        <v>48</v>
      </c>
      <c r="D5199" s="14" t="s">
        <v>56</v>
      </c>
      <c r="E5199" s="14" t="s">
        <v>57</v>
      </c>
      <c r="F5199" s="15" t="s">
        <v>51</v>
      </c>
      <c r="G5199" s="14" t="s">
        <v>58</v>
      </c>
      <c r="H5199" s="14" t="s">
        <v>56</v>
      </c>
      <c r="I5199" s="14" t="s">
        <v>59</v>
      </c>
      <c r="J5199" s="14" t="s">
        <v>200</v>
      </c>
      <c r="K5199" s="14" t="s">
        <v>223</v>
      </c>
      <c r="L5199" s="14" t="s">
        <v>289</v>
      </c>
      <c r="M5199" s="14" t="s">
        <v>290</v>
      </c>
      <c r="N5199" s="14" t="s">
        <v>291</v>
      </c>
      <c r="O5199" s="14">
        <v>0.0</v>
      </c>
      <c r="P5199" s="23">
        <v>0.0</v>
      </c>
      <c r="Q5199" s="22" t="str">
        <f t="shared" ref="Q5199:R5199" si="3112">"+0.00%"</f>
        <v>+0.00%</v>
      </c>
      <c r="R5199" s="18" t="str">
        <f t="shared" si="3112"/>
        <v>+0.00%</v>
      </c>
      <c r="S5199" s="14" t="s">
        <v>285</v>
      </c>
    </row>
    <row r="5200">
      <c r="A5200" s="13">
        <v>45901.0</v>
      </c>
      <c r="B5200" s="14" t="s">
        <v>47</v>
      </c>
      <c r="C5200" s="14" t="s">
        <v>48</v>
      </c>
      <c r="D5200" s="14" t="s">
        <v>165</v>
      </c>
      <c r="E5200" s="14" t="s">
        <v>166</v>
      </c>
      <c r="F5200" s="15" t="s">
        <v>51</v>
      </c>
      <c r="G5200" s="14" t="s">
        <v>167</v>
      </c>
      <c r="H5200" s="14" t="s">
        <v>165</v>
      </c>
      <c r="I5200" s="14" t="s">
        <v>54</v>
      </c>
      <c r="J5200" s="14" t="s">
        <v>198</v>
      </c>
      <c r="K5200" s="14" t="s">
        <v>210</v>
      </c>
      <c r="L5200" s="14" t="s">
        <v>264</v>
      </c>
      <c r="M5200" s="14" t="s">
        <v>1596</v>
      </c>
      <c r="N5200" s="14" t="s">
        <v>1597</v>
      </c>
      <c r="O5200" s="14">
        <v>0.0</v>
      </c>
      <c r="P5200" s="21">
        <v>0.0</v>
      </c>
      <c r="Q5200" s="22" t="str">
        <f t="shared" ref="Q5200:R5200" si="3113">"+0"</f>
        <v>+0</v>
      </c>
      <c r="R5200" s="18" t="str">
        <f t="shared" si="3113"/>
        <v>+0</v>
      </c>
      <c r="S5200" s="14" t="s">
        <v>277</v>
      </c>
    </row>
    <row r="5201">
      <c r="A5201" s="13">
        <v>45901.0</v>
      </c>
      <c r="B5201" s="14" t="s">
        <v>47</v>
      </c>
      <c r="C5201" s="14" t="s">
        <v>48</v>
      </c>
      <c r="D5201" s="14" t="s">
        <v>165</v>
      </c>
      <c r="E5201" s="14" t="s">
        <v>166</v>
      </c>
      <c r="F5201" s="15" t="s">
        <v>51</v>
      </c>
      <c r="G5201" s="14" t="s">
        <v>167</v>
      </c>
      <c r="H5201" s="14" t="s">
        <v>165</v>
      </c>
      <c r="I5201" s="14" t="s">
        <v>54</v>
      </c>
      <c r="J5201" s="14" t="s">
        <v>198</v>
      </c>
      <c r="K5201" s="14" t="s">
        <v>210</v>
      </c>
      <c r="L5201" s="14" t="s">
        <v>278</v>
      </c>
      <c r="M5201" s="14" t="s">
        <v>1227</v>
      </c>
      <c r="N5201" s="14" t="s">
        <v>1228</v>
      </c>
      <c r="O5201" s="14">
        <v>0.0</v>
      </c>
      <c r="P5201" s="21">
        <v>0.0</v>
      </c>
      <c r="Q5201" s="22" t="str">
        <f t="shared" ref="Q5201:R5201" si="3114">"+0"</f>
        <v>+0</v>
      </c>
      <c r="R5201" s="18" t="str">
        <f t="shared" si="3114"/>
        <v>+0</v>
      </c>
      <c r="S5201" s="14" t="s">
        <v>277</v>
      </c>
    </row>
    <row r="5202">
      <c r="A5202" s="13">
        <v>45901.0</v>
      </c>
      <c r="B5202" s="14" t="s">
        <v>47</v>
      </c>
      <c r="C5202" s="14" t="s">
        <v>48</v>
      </c>
      <c r="D5202" s="14" t="s">
        <v>165</v>
      </c>
      <c r="E5202" s="14" t="s">
        <v>166</v>
      </c>
      <c r="F5202" s="15" t="s">
        <v>51</v>
      </c>
      <c r="G5202" s="14" t="s">
        <v>167</v>
      </c>
      <c r="H5202" s="14" t="s">
        <v>165</v>
      </c>
      <c r="I5202" s="14" t="s">
        <v>54</v>
      </c>
      <c r="J5202" s="14" t="s">
        <v>199</v>
      </c>
      <c r="K5202" s="14" t="s">
        <v>203</v>
      </c>
      <c r="L5202" s="14" t="s">
        <v>725</v>
      </c>
      <c r="M5202" s="14" t="s">
        <v>725</v>
      </c>
      <c r="N5202" s="14" t="s">
        <v>726</v>
      </c>
      <c r="O5202" s="14">
        <v>100.0</v>
      </c>
      <c r="P5202" s="21">
        <v>4.0</v>
      </c>
      <c r="Q5202" s="22" t="str">
        <f>"+0"</f>
        <v>+0</v>
      </c>
      <c r="R5202" s="18" t="str">
        <f>"+1"</f>
        <v>+1</v>
      </c>
      <c r="S5202" s="14" t="s">
        <v>260</v>
      </c>
    </row>
    <row r="5203">
      <c r="A5203" s="13">
        <v>45901.0</v>
      </c>
      <c r="B5203" s="14" t="s">
        <v>47</v>
      </c>
      <c r="C5203" s="14" t="s">
        <v>48</v>
      </c>
      <c r="D5203" s="14" t="s">
        <v>91</v>
      </c>
      <c r="E5203" s="14" t="s">
        <v>92</v>
      </c>
      <c r="F5203" s="14" t="s">
        <v>146</v>
      </c>
      <c r="G5203" s="14" t="s">
        <v>147</v>
      </c>
      <c r="H5203" s="14" t="s">
        <v>91</v>
      </c>
      <c r="I5203" s="14" t="s">
        <v>107</v>
      </c>
      <c r="J5203" s="14" t="s">
        <v>199</v>
      </c>
      <c r="K5203" s="14" t="s">
        <v>206</v>
      </c>
      <c r="L5203" s="14" t="s">
        <v>295</v>
      </c>
      <c r="M5203" s="14" t="s">
        <v>986</v>
      </c>
      <c r="N5203" s="14" t="s">
        <v>987</v>
      </c>
      <c r="O5203" s="14">
        <v>0.0</v>
      </c>
      <c r="P5203" s="21">
        <v>0.0</v>
      </c>
      <c r="Q5203" s="22" t="str">
        <f t="shared" ref="Q5203:R5203" si="3115">"-6"</f>
        <v>-6</v>
      </c>
      <c r="R5203" s="18" t="str">
        <f t="shared" si="3115"/>
        <v>-6</v>
      </c>
      <c r="S5203" s="14" t="s">
        <v>260</v>
      </c>
    </row>
    <row r="5204">
      <c r="A5204" s="13">
        <v>45901.0</v>
      </c>
      <c r="B5204" s="14" t="s">
        <v>47</v>
      </c>
      <c r="C5204" s="14" t="s">
        <v>48</v>
      </c>
      <c r="D5204" s="14" t="s">
        <v>63</v>
      </c>
      <c r="E5204" s="14" t="s">
        <v>64</v>
      </c>
      <c r="F5204" s="15" t="s">
        <v>51</v>
      </c>
      <c r="G5204" s="14" t="s">
        <v>65</v>
      </c>
      <c r="H5204" s="14" t="s">
        <v>63</v>
      </c>
      <c r="I5204" s="14" t="s">
        <v>54</v>
      </c>
      <c r="J5204" s="14" t="s">
        <v>200</v>
      </c>
      <c r="K5204" s="14" t="s">
        <v>204</v>
      </c>
      <c r="L5204" s="14" t="s">
        <v>253</v>
      </c>
      <c r="M5204" s="14" t="s">
        <v>793</v>
      </c>
      <c r="N5204" s="14" t="s">
        <v>794</v>
      </c>
      <c r="O5204" s="14">
        <v>1.0</v>
      </c>
      <c r="P5204" s="23">
        <v>3.0E-4</v>
      </c>
      <c r="Q5204" s="22" t="str">
        <f>"+0.02%"</f>
        <v>+0.02%</v>
      </c>
      <c r="R5204" s="18" t="str">
        <f>"-0.01%"</f>
        <v>-0.01%</v>
      </c>
      <c r="S5204" s="14" t="s">
        <v>1232</v>
      </c>
    </row>
    <row r="5205">
      <c r="A5205" s="13">
        <v>45901.0</v>
      </c>
      <c r="B5205" s="14" t="s">
        <v>47</v>
      </c>
      <c r="C5205" s="14" t="s">
        <v>48</v>
      </c>
      <c r="D5205" s="14" t="s">
        <v>99</v>
      </c>
      <c r="E5205" s="14" t="s">
        <v>100</v>
      </c>
      <c r="F5205" s="15" t="s">
        <v>51</v>
      </c>
      <c r="G5205" s="14" t="s">
        <v>101</v>
      </c>
      <c r="H5205" s="14" t="s">
        <v>102</v>
      </c>
      <c r="I5205" s="14" t="s">
        <v>54</v>
      </c>
      <c r="J5205" s="14" t="s">
        <v>199</v>
      </c>
      <c r="K5205" s="14" t="s">
        <v>206</v>
      </c>
      <c r="L5205" s="14" t="s">
        <v>295</v>
      </c>
      <c r="M5205" s="14" t="s">
        <v>529</v>
      </c>
      <c r="N5205" s="14" t="s">
        <v>530</v>
      </c>
      <c r="O5205" s="14">
        <v>0.0</v>
      </c>
      <c r="P5205" s="21">
        <v>0.0</v>
      </c>
      <c r="Q5205" s="22" t="str">
        <f t="shared" ref="Q5205:R5205" si="3116">"+0"</f>
        <v>+0</v>
      </c>
      <c r="R5205" s="18" t="str">
        <f t="shared" si="3116"/>
        <v>+0</v>
      </c>
      <c r="S5205" s="14" t="s">
        <v>260</v>
      </c>
    </row>
    <row r="5206">
      <c r="A5206" s="13">
        <v>45901.0</v>
      </c>
      <c r="B5206" s="14" t="s">
        <v>47</v>
      </c>
      <c r="C5206" s="14" t="s">
        <v>48</v>
      </c>
      <c r="D5206" s="14" t="s">
        <v>91</v>
      </c>
      <c r="E5206" s="14" t="s">
        <v>92</v>
      </c>
      <c r="F5206" s="14" t="s">
        <v>71</v>
      </c>
      <c r="G5206" s="14">
        <v>1.00005882E8</v>
      </c>
      <c r="H5206" s="14" t="s">
        <v>91</v>
      </c>
      <c r="I5206" s="14" t="s">
        <v>59</v>
      </c>
      <c r="J5206" s="14" t="s">
        <v>199</v>
      </c>
      <c r="K5206" s="14" t="s">
        <v>203</v>
      </c>
      <c r="L5206" s="14" t="s">
        <v>342</v>
      </c>
      <c r="M5206" s="14" t="s">
        <v>342</v>
      </c>
      <c r="N5206" s="14" t="s">
        <v>343</v>
      </c>
      <c r="O5206" s="14">
        <v>100.0</v>
      </c>
      <c r="P5206" s="21">
        <v>163.0</v>
      </c>
      <c r="Q5206" s="22" t="str">
        <f t="shared" ref="Q5206:R5206" si="3117">"+0"</f>
        <v>+0</v>
      </c>
      <c r="R5206" s="18" t="str">
        <f t="shared" si="3117"/>
        <v>+0</v>
      </c>
      <c r="S5206" s="14" t="s">
        <v>260</v>
      </c>
    </row>
    <row r="5207">
      <c r="A5207" s="13">
        <v>45901.0</v>
      </c>
      <c r="B5207" s="14" t="s">
        <v>47</v>
      </c>
      <c r="C5207" s="14" t="s">
        <v>48</v>
      </c>
      <c r="D5207" s="14" t="s">
        <v>99</v>
      </c>
      <c r="E5207" s="14" t="s">
        <v>100</v>
      </c>
      <c r="F5207" s="15" t="s">
        <v>51</v>
      </c>
      <c r="G5207" s="14" t="s">
        <v>101</v>
      </c>
      <c r="H5207" s="14" t="s">
        <v>102</v>
      </c>
      <c r="I5207" s="14" t="s">
        <v>54</v>
      </c>
      <c r="J5207" s="14" t="s">
        <v>200</v>
      </c>
      <c r="K5207" s="14" t="s">
        <v>227</v>
      </c>
      <c r="L5207" s="14" t="s">
        <v>270</v>
      </c>
      <c r="M5207" s="14" t="s">
        <v>400</v>
      </c>
      <c r="N5207" s="14" t="s">
        <v>401</v>
      </c>
      <c r="O5207" s="14">
        <v>20.0</v>
      </c>
      <c r="P5207" s="21">
        <v>1.0</v>
      </c>
      <c r="Q5207" s="22" t="str">
        <f>"+1"</f>
        <v>+1</v>
      </c>
      <c r="R5207" s="18" t="str">
        <f>"-1"</f>
        <v>-1</v>
      </c>
      <c r="S5207" s="14" t="s">
        <v>260</v>
      </c>
    </row>
    <row r="5208">
      <c r="A5208" s="13">
        <v>45901.0</v>
      </c>
      <c r="B5208" s="14" t="s">
        <v>47</v>
      </c>
      <c r="C5208" s="14" t="s">
        <v>48</v>
      </c>
      <c r="D5208" s="14" t="s">
        <v>91</v>
      </c>
      <c r="E5208" s="14" t="s">
        <v>92</v>
      </c>
      <c r="F5208" s="14" t="s">
        <v>71</v>
      </c>
      <c r="G5208" s="14">
        <v>1.00004432E8</v>
      </c>
      <c r="H5208" s="14" t="s">
        <v>91</v>
      </c>
      <c r="I5208" s="14" t="s">
        <v>59</v>
      </c>
      <c r="J5208" s="14" t="s">
        <v>199</v>
      </c>
      <c r="K5208" s="14" t="s">
        <v>206</v>
      </c>
      <c r="L5208" s="14" t="s">
        <v>295</v>
      </c>
      <c r="M5208" s="14" t="s">
        <v>651</v>
      </c>
      <c r="N5208" s="14" t="s">
        <v>652</v>
      </c>
      <c r="O5208" s="14">
        <v>0.0</v>
      </c>
      <c r="P5208" s="21">
        <v>0.0</v>
      </c>
      <c r="Q5208" s="22" t="str">
        <f t="shared" ref="Q5208:R5208" si="3118">"+0"</f>
        <v>+0</v>
      </c>
      <c r="R5208" s="18" t="str">
        <f t="shared" si="3118"/>
        <v>+0</v>
      </c>
      <c r="S5208" s="14" t="s">
        <v>260</v>
      </c>
    </row>
    <row r="5209">
      <c r="A5209" s="13">
        <v>45901.0</v>
      </c>
      <c r="B5209" s="14" t="s">
        <v>47</v>
      </c>
      <c r="C5209" s="14" t="s">
        <v>48</v>
      </c>
      <c r="D5209" s="14" t="s">
        <v>91</v>
      </c>
      <c r="E5209" s="14" t="s">
        <v>92</v>
      </c>
      <c r="F5209" s="15" t="s">
        <v>51</v>
      </c>
      <c r="G5209" s="14" t="s">
        <v>163</v>
      </c>
      <c r="H5209" s="14" t="s">
        <v>91</v>
      </c>
      <c r="I5209" s="14" t="s">
        <v>59</v>
      </c>
      <c r="J5209" s="14" t="s">
        <v>200</v>
      </c>
      <c r="K5209" s="14" t="s">
        <v>223</v>
      </c>
      <c r="L5209" s="14" t="s">
        <v>710</v>
      </c>
      <c r="M5209" s="14" t="s">
        <v>1302</v>
      </c>
      <c r="N5209" s="14" t="s">
        <v>1303</v>
      </c>
      <c r="O5209" s="14">
        <v>58.0</v>
      </c>
      <c r="P5209" s="23">
        <v>0.5893</v>
      </c>
      <c r="Q5209" s="22" t="str">
        <f>"+13.28%"</f>
        <v>+13.28%</v>
      </c>
      <c r="R5209" s="18" t="str">
        <f>"+3.37%"</f>
        <v>+3.37%</v>
      </c>
      <c r="S5209" s="14" t="s">
        <v>2444</v>
      </c>
    </row>
    <row r="5210">
      <c r="A5210" s="13">
        <v>45901.0</v>
      </c>
      <c r="B5210" s="14" t="s">
        <v>47</v>
      </c>
      <c r="C5210" s="14" t="s">
        <v>48</v>
      </c>
      <c r="D5210" s="14" t="s">
        <v>99</v>
      </c>
      <c r="E5210" s="14" t="s">
        <v>100</v>
      </c>
      <c r="F5210" s="15" t="s">
        <v>51</v>
      </c>
      <c r="G5210" s="14" t="s">
        <v>101</v>
      </c>
      <c r="H5210" s="14" t="s">
        <v>102</v>
      </c>
      <c r="I5210" s="14" t="s">
        <v>54</v>
      </c>
      <c r="J5210" s="14" t="s">
        <v>198</v>
      </c>
      <c r="K5210" s="14" t="s">
        <v>210</v>
      </c>
      <c r="L5210" s="14" t="s">
        <v>264</v>
      </c>
      <c r="M5210" s="14" t="s">
        <v>1409</v>
      </c>
      <c r="N5210" s="14" t="s">
        <v>1410</v>
      </c>
      <c r="O5210" s="14">
        <v>0.0</v>
      </c>
      <c r="P5210" s="21">
        <v>0.0</v>
      </c>
      <c r="Q5210" s="22" t="str">
        <f t="shared" ref="Q5210:R5210" si="3119">"+0"</f>
        <v>+0</v>
      </c>
      <c r="R5210" s="18" t="str">
        <f t="shared" si="3119"/>
        <v>+0</v>
      </c>
      <c r="S5210" s="14" t="s">
        <v>277</v>
      </c>
    </row>
    <row r="5211">
      <c r="A5211" s="13">
        <v>45901.0</v>
      </c>
      <c r="B5211" s="14" t="s">
        <v>47</v>
      </c>
      <c r="C5211" s="14" t="s">
        <v>48</v>
      </c>
      <c r="D5211" s="14" t="s">
        <v>66</v>
      </c>
      <c r="E5211" s="14" t="s">
        <v>67</v>
      </c>
      <c r="F5211" s="15" t="s">
        <v>51</v>
      </c>
      <c r="G5211" s="14" t="s">
        <v>68</v>
      </c>
      <c r="H5211" s="14" t="s">
        <v>66</v>
      </c>
      <c r="I5211" s="14" t="s">
        <v>59</v>
      </c>
      <c r="J5211" s="14" t="s">
        <v>200</v>
      </c>
      <c r="K5211" s="14" t="s">
        <v>223</v>
      </c>
      <c r="L5211" s="14" t="s">
        <v>710</v>
      </c>
      <c r="M5211" s="14" t="s">
        <v>711</v>
      </c>
      <c r="N5211" s="14" t="s">
        <v>712</v>
      </c>
      <c r="O5211" s="14">
        <v>0.0</v>
      </c>
      <c r="P5211" s="23">
        <v>0.0</v>
      </c>
      <c r="Q5211" s="22" t="str">
        <f t="shared" ref="Q5211:R5211" si="3120">"+0.00%"</f>
        <v>+0.00%</v>
      </c>
      <c r="R5211" s="18" t="str">
        <f t="shared" si="3120"/>
        <v>+0.00%</v>
      </c>
      <c r="S5211" s="14" t="s">
        <v>285</v>
      </c>
    </row>
    <row r="5212">
      <c r="A5212" s="13">
        <v>45901.0</v>
      </c>
      <c r="B5212" s="14" t="s">
        <v>47</v>
      </c>
      <c r="C5212" s="14" t="s">
        <v>48</v>
      </c>
      <c r="D5212" s="14" t="s">
        <v>143</v>
      </c>
      <c r="E5212" s="14" t="s">
        <v>144</v>
      </c>
      <c r="F5212" s="15" t="s">
        <v>51</v>
      </c>
      <c r="G5212" s="14" t="s">
        <v>145</v>
      </c>
      <c r="H5212" s="14" t="s">
        <v>143</v>
      </c>
      <c r="I5212" s="14" t="s">
        <v>59</v>
      </c>
      <c r="J5212" s="14" t="s">
        <v>200</v>
      </c>
      <c r="K5212" s="14" t="s">
        <v>232</v>
      </c>
      <c r="L5212" s="14" t="s">
        <v>286</v>
      </c>
      <c r="M5212" s="14" t="s">
        <v>625</v>
      </c>
      <c r="N5212" s="14" t="s">
        <v>626</v>
      </c>
      <c r="O5212" s="14">
        <v>30.0</v>
      </c>
      <c r="P5212" s="23">
        <v>0.3077</v>
      </c>
      <c r="Q5212" s="22" t="str">
        <f>"+17.73%"</f>
        <v>+17.73%</v>
      </c>
      <c r="R5212" s="18" t="str">
        <f>"-11.17%"</f>
        <v>-11.17%</v>
      </c>
      <c r="S5212" s="14" t="s">
        <v>2445</v>
      </c>
    </row>
    <row r="5213">
      <c r="A5213" s="13">
        <v>45901.0</v>
      </c>
      <c r="B5213" s="14" t="s">
        <v>47</v>
      </c>
      <c r="C5213" s="14" t="s">
        <v>48</v>
      </c>
      <c r="D5213" s="14" t="s">
        <v>143</v>
      </c>
      <c r="E5213" s="14" t="s">
        <v>144</v>
      </c>
      <c r="F5213" s="15" t="s">
        <v>51</v>
      </c>
      <c r="G5213" s="14" t="s">
        <v>145</v>
      </c>
      <c r="H5213" s="14" t="s">
        <v>143</v>
      </c>
      <c r="I5213" s="14" t="s">
        <v>59</v>
      </c>
      <c r="J5213" s="14" t="s">
        <v>200</v>
      </c>
      <c r="K5213" s="14" t="s">
        <v>224</v>
      </c>
      <c r="L5213" s="14" t="s">
        <v>427</v>
      </c>
      <c r="M5213" s="14" t="s">
        <v>428</v>
      </c>
      <c r="N5213" s="14" t="s">
        <v>429</v>
      </c>
      <c r="O5213" s="14">
        <v>0.0</v>
      </c>
      <c r="P5213" s="23">
        <v>0.0</v>
      </c>
      <c r="Q5213" s="22" t="str">
        <f>"+0.00%"</f>
        <v>+0.00%</v>
      </c>
      <c r="S5213" s="14" t="s">
        <v>2446</v>
      </c>
    </row>
    <row r="5214">
      <c r="A5214" s="13">
        <v>45901.0</v>
      </c>
      <c r="B5214" s="14" t="s">
        <v>47</v>
      </c>
      <c r="C5214" s="14" t="s">
        <v>48</v>
      </c>
      <c r="D5214" s="14" t="s">
        <v>149</v>
      </c>
      <c r="E5214" s="14" t="s">
        <v>150</v>
      </c>
      <c r="F5214" s="15" t="s">
        <v>51</v>
      </c>
      <c r="G5214" s="14" t="s">
        <v>151</v>
      </c>
      <c r="H5214" s="14" t="s">
        <v>152</v>
      </c>
      <c r="I5214" s="14" t="s">
        <v>54</v>
      </c>
      <c r="J5214" s="14" t="s">
        <v>199</v>
      </c>
      <c r="K5214" s="14" t="s">
        <v>206</v>
      </c>
      <c r="L5214" s="14" t="s">
        <v>295</v>
      </c>
      <c r="M5214" s="14" t="s">
        <v>461</v>
      </c>
      <c r="N5214" s="14" t="s">
        <v>462</v>
      </c>
      <c r="O5214" s="14">
        <v>0.0</v>
      </c>
      <c r="P5214" s="21">
        <v>0.0</v>
      </c>
      <c r="Q5214" s="22" t="str">
        <f t="shared" ref="Q5214:R5214" si="3121">"+0"</f>
        <v>+0</v>
      </c>
      <c r="R5214" s="18" t="str">
        <f t="shared" si="3121"/>
        <v>+0</v>
      </c>
      <c r="S5214" s="14" t="s">
        <v>260</v>
      </c>
    </row>
    <row r="5215">
      <c r="A5215" s="13">
        <v>45901.0</v>
      </c>
      <c r="B5215" s="14" t="s">
        <v>47</v>
      </c>
      <c r="C5215" s="14" t="s">
        <v>48</v>
      </c>
      <c r="D5215" s="14" t="s">
        <v>69</v>
      </c>
      <c r="E5215" s="14" t="s">
        <v>70</v>
      </c>
      <c r="F5215" s="15" t="s">
        <v>51</v>
      </c>
      <c r="G5215" s="14" t="s">
        <v>115</v>
      </c>
      <c r="H5215" s="14" t="s">
        <v>72</v>
      </c>
      <c r="I5215" s="14" t="s">
        <v>54</v>
      </c>
      <c r="J5215" s="14" t="s">
        <v>200</v>
      </c>
      <c r="K5215" s="14" t="s">
        <v>215</v>
      </c>
      <c r="L5215" s="14" t="s">
        <v>253</v>
      </c>
      <c r="M5215" s="14" t="s">
        <v>1285</v>
      </c>
      <c r="N5215" s="14" t="s">
        <v>1286</v>
      </c>
      <c r="O5215" s="14">
        <v>31.0</v>
      </c>
      <c r="P5215" s="23">
        <v>0.3182</v>
      </c>
      <c r="Q5215" s="22" t="str">
        <f>"+0.83%"</f>
        <v>+0.83%</v>
      </c>
      <c r="R5215" s="18" t="str">
        <f>"+17.74%"</f>
        <v>+17.74%</v>
      </c>
      <c r="S5215" s="14" t="s">
        <v>1506</v>
      </c>
    </row>
    <row r="5216">
      <c r="A5216" s="13">
        <v>45901.0</v>
      </c>
      <c r="B5216" s="14" t="s">
        <v>47</v>
      </c>
      <c r="C5216" s="14" t="s">
        <v>48</v>
      </c>
      <c r="D5216" s="14" t="s">
        <v>69</v>
      </c>
      <c r="E5216" s="14" t="s">
        <v>70</v>
      </c>
      <c r="F5216" s="15" t="s">
        <v>51</v>
      </c>
      <c r="G5216" s="14" t="s">
        <v>115</v>
      </c>
      <c r="H5216" s="14" t="s">
        <v>72</v>
      </c>
      <c r="I5216" s="14" t="s">
        <v>54</v>
      </c>
      <c r="J5216" s="14" t="s">
        <v>200</v>
      </c>
      <c r="K5216" s="14" t="s">
        <v>215</v>
      </c>
      <c r="L5216" s="14" t="s">
        <v>548</v>
      </c>
      <c r="M5216" s="14" t="s">
        <v>1250</v>
      </c>
      <c r="N5216" s="14" t="s">
        <v>1251</v>
      </c>
      <c r="O5216" s="14">
        <v>0.0</v>
      </c>
      <c r="P5216" s="23">
        <v>-1.0</v>
      </c>
      <c r="Q5216" s="22" t="str">
        <f t="shared" ref="Q5216:R5216" si="3122">"+0.00%"</f>
        <v>+0.00%</v>
      </c>
      <c r="R5216" s="18" t="str">
        <f t="shared" si="3122"/>
        <v>+0.00%</v>
      </c>
      <c r="S5216" s="14" t="s">
        <v>336</v>
      </c>
    </row>
    <row r="5217">
      <c r="A5217" s="13">
        <v>45901.0</v>
      </c>
      <c r="B5217" s="14" t="s">
        <v>47</v>
      </c>
      <c r="C5217" s="14" t="s">
        <v>48</v>
      </c>
      <c r="D5217" s="14" t="s">
        <v>96</v>
      </c>
      <c r="E5217" s="14" t="s">
        <v>97</v>
      </c>
      <c r="F5217" s="15" t="s">
        <v>51</v>
      </c>
      <c r="G5217" s="14" t="s">
        <v>98</v>
      </c>
      <c r="H5217" s="14" t="s">
        <v>96</v>
      </c>
      <c r="I5217" s="14" t="s">
        <v>59</v>
      </c>
      <c r="J5217" s="14" t="s">
        <v>200</v>
      </c>
      <c r="K5217" s="14" t="s">
        <v>227</v>
      </c>
      <c r="L5217" s="14" t="s">
        <v>270</v>
      </c>
      <c r="M5217" s="14" t="s">
        <v>321</v>
      </c>
      <c r="N5217" s="14" t="s">
        <v>322</v>
      </c>
      <c r="O5217" s="14">
        <v>0.0</v>
      </c>
      <c r="P5217" s="23">
        <v>-1.0</v>
      </c>
      <c r="Q5217" s="22" t="str">
        <f t="shared" ref="Q5217:R5217" si="3123">"+0.00%"</f>
        <v>+0.00%</v>
      </c>
      <c r="R5217" s="18" t="str">
        <f t="shared" si="3123"/>
        <v>+0.00%</v>
      </c>
      <c r="S5217" s="14" t="s">
        <v>323</v>
      </c>
    </row>
    <row r="5218">
      <c r="A5218" s="13">
        <v>45901.0</v>
      </c>
      <c r="B5218" s="14" t="s">
        <v>47</v>
      </c>
      <c r="C5218" s="14" t="s">
        <v>48</v>
      </c>
      <c r="D5218" s="14" t="s">
        <v>174</v>
      </c>
      <c r="E5218" s="14" t="s">
        <v>175</v>
      </c>
      <c r="F5218" s="15" t="s">
        <v>51</v>
      </c>
      <c r="G5218" s="14" t="s">
        <v>176</v>
      </c>
      <c r="H5218" s="14" t="s">
        <v>174</v>
      </c>
      <c r="I5218" s="14" t="s">
        <v>59</v>
      </c>
      <c r="J5218" s="14" t="s">
        <v>200</v>
      </c>
      <c r="K5218" s="14" t="s">
        <v>202</v>
      </c>
      <c r="L5218" s="14" t="s">
        <v>253</v>
      </c>
      <c r="M5218" s="14" t="s">
        <v>347</v>
      </c>
      <c r="N5218" s="14" t="s">
        <v>348</v>
      </c>
      <c r="O5218" s="14">
        <v>11.0</v>
      </c>
      <c r="P5218" s="23">
        <v>0.125</v>
      </c>
      <c r="Q5218" s="22" t="str">
        <f t="shared" ref="Q5218:R5218" si="3124">"+0.00%"</f>
        <v>+0.00%</v>
      </c>
      <c r="R5218" s="18" t="str">
        <f t="shared" si="3124"/>
        <v>+0.00%</v>
      </c>
      <c r="S5218" s="14" t="s">
        <v>2447</v>
      </c>
    </row>
    <row r="5219">
      <c r="A5219" s="13">
        <v>45901.0</v>
      </c>
      <c r="B5219" s="14" t="s">
        <v>47</v>
      </c>
      <c r="C5219" s="14" t="s">
        <v>48</v>
      </c>
      <c r="D5219" s="14" t="s">
        <v>158</v>
      </c>
      <c r="E5219" s="14" t="s">
        <v>159</v>
      </c>
      <c r="F5219" s="15" t="s">
        <v>51</v>
      </c>
      <c r="G5219" s="14" t="s">
        <v>160</v>
      </c>
      <c r="H5219" s="14" t="s">
        <v>158</v>
      </c>
      <c r="I5219" s="14" t="s">
        <v>54</v>
      </c>
      <c r="J5219" s="14" t="s">
        <v>198</v>
      </c>
      <c r="K5219" s="14" t="s">
        <v>210</v>
      </c>
      <c r="L5219" s="14" t="s">
        <v>458</v>
      </c>
      <c r="M5219" s="14" t="s">
        <v>742</v>
      </c>
      <c r="N5219" s="14" t="s">
        <v>743</v>
      </c>
      <c r="O5219" s="14">
        <v>0.0</v>
      </c>
      <c r="P5219" s="21">
        <v>0.0</v>
      </c>
      <c r="Q5219" s="22" t="str">
        <f t="shared" ref="Q5219:R5219" si="3125">"+0"</f>
        <v>+0</v>
      </c>
      <c r="R5219" s="18" t="str">
        <f t="shared" si="3125"/>
        <v>+0</v>
      </c>
      <c r="S5219" s="14" t="s">
        <v>277</v>
      </c>
    </row>
    <row r="5220">
      <c r="A5220" s="13">
        <v>45901.0</v>
      </c>
      <c r="B5220" s="14" t="s">
        <v>47</v>
      </c>
      <c r="C5220" s="14" t="s">
        <v>48</v>
      </c>
      <c r="D5220" s="14" t="s">
        <v>174</v>
      </c>
      <c r="E5220" s="14" t="s">
        <v>175</v>
      </c>
      <c r="F5220" s="15" t="s">
        <v>51</v>
      </c>
      <c r="G5220" s="14" t="s">
        <v>176</v>
      </c>
      <c r="H5220" s="14" t="s">
        <v>174</v>
      </c>
      <c r="I5220" s="14" t="s">
        <v>59</v>
      </c>
      <c r="J5220" s="14" t="s">
        <v>200</v>
      </c>
      <c r="K5220" s="14" t="s">
        <v>227</v>
      </c>
      <c r="L5220" s="14" t="s">
        <v>270</v>
      </c>
      <c r="M5220" s="14" t="s">
        <v>321</v>
      </c>
      <c r="N5220" s="14" t="s">
        <v>322</v>
      </c>
      <c r="O5220" s="14">
        <v>56.0</v>
      </c>
      <c r="P5220" s="23">
        <v>0.1321</v>
      </c>
      <c r="Q5220" s="22" t="str">
        <f>"+6.20%"</f>
        <v>+6.20%</v>
      </c>
      <c r="R5220" s="18" t="str">
        <f>"+5.52%"</f>
        <v>+5.52%</v>
      </c>
      <c r="S5220" s="14" t="s">
        <v>323</v>
      </c>
    </row>
    <row r="5221">
      <c r="A5221" s="13">
        <v>45901.0</v>
      </c>
      <c r="B5221" s="14" t="s">
        <v>47</v>
      </c>
      <c r="C5221" s="14" t="s">
        <v>48</v>
      </c>
      <c r="D5221" s="14" t="s">
        <v>121</v>
      </c>
      <c r="E5221" s="14" t="s">
        <v>122</v>
      </c>
      <c r="F5221" s="15" t="s">
        <v>51</v>
      </c>
      <c r="G5221" s="14" t="s">
        <v>123</v>
      </c>
      <c r="H5221" s="14" t="s">
        <v>124</v>
      </c>
      <c r="I5221" s="14" t="s">
        <v>59</v>
      </c>
      <c r="J5221" s="14" t="s">
        <v>200</v>
      </c>
      <c r="K5221" s="14" t="s">
        <v>232</v>
      </c>
      <c r="L5221" s="14" t="s">
        <v>487</v>
      </c>
      <c r="M5221" s="14" t="s">
        <v>962</v>
      </c>
      <c r="N5221" s="14" t="s">
        <v>963</v>
      </c>
      <c r="O5221" s="14">
        <v>0.0</v>
      </c>
      <c r="P5221" s="23">
        <v>0.0</v>
      </c>
      <c r="Q5221" s="22" t="str">
        <f t="shared" ref="Q5221:R5221" si="3126">"+0.00%"</f>
        <v>+0.00%</v>
      </c>
      <c r="R5221" s="18" t="str">
        <f t="shared" si="3126"/>
        <v>+0.00%</v>
      </c>
      <c r="S5221" s="14" t="s">
        <v>285</v>
      </c>
    </row>
    <row r="5222">
      <c r="A5222" s="13">
        <v>45901.0</v>
      </c>
      <c r="B5222" s="14" t="s">
        <v>47</v>
      </c>
      <c r="C5222" s="14" t="s">
        <v>48</v>
      </c>
      <c r="D5222" s="14" t="s">
        <v>181</v>
      </c>
      <c r="E5222" s="14" t="s">
        <v>182</v>
      </c>
      <c r="F5222" s="15" t="s">
        <v>51</v>
      </c>
      <c r="G5222" s="14" t="s">
        <v>183</v>
      </c>
      <c r="H5222" s="14" t="s">
        <v>181</v>
      </c>
      <c r="I5222" s="14" t="s">
        <v>59</v>
      </c>
      <c r="J5222" s="14" t="s">
        <v>200</v>
      </c>
      <c r="K5222" s="14" t="s">
        <v>232</v>
      </c>
      <c r="L5222" s="14" t="s">
        <v>261</v>
      </c>
      <c r="M5222" s="14" t="s">
        <v>566</v>
      </c>
      <c r="N5222" s="14" t="s">
        <v>567</v>
      </c>
      <c r="O5222" s="14">
        <v>0.0</v>
      </c>
      <c r="P5222" s="23">
        <v>0.0</v>
      </c>
      <c r="Q5222" s="22" t="str">
        <f t="shared" ref="Q5222:R5222" si="3127">"+0.00%"</f>
        <v>+0.00%</v>
      </c>
      <c r="R5222" s="18" t="str">
        <f t="shared" si="3127"/>
        <v>+0.00%</v>
      </c>
      <c r="S5222" s="14" t="s">
        <v>2448</v>
      </c>
    </row>
    <row r="5223">
      <c r="A5223" s="13">
        <v>45901.0</v>
      </c>
      <c r="B5223" s="14" t="s">
        <v>47</v>
      </c>
      <c r="C5223" s="14" t="s">
        <v>48</v>
      </c>
      <c r="D5223" s="14" t="s">
        <v>60</v>
      </c>
      <c r="E5223" s="14" t="s">
        <v>61</v>
      </c>
      <c r="F5223" s="15" t="s">
        <v>51</v>
      </c>
      <c r="G5223" s="14" t="s">
        <v>62</v>
      </c>
      <c r="H5223" s="14" t="s">
        <v>60</v>
      </c>
      <c r="I5223" s="14" t="s">
        <v>59</v>
      </c>
      <c r="J5223" s="14" t="s">
        <v>200</v>
      </c>
      <c r="K5223" s="14" t="s">
        <v>223</v>
      </c>
      <c r="L5223" s="14" t="s">
        <v>289</v>
      </c>
      <c r="M5223" s="14" t="s">
        <v>290</v>
      </c>
      <c r="N5223" s="14" t="s">
        <v>291</v>
      </c>
      <c r="O5223" s="14">
        <v>0.0</v>
      </c>
      <c r="P5223" s="23">
        <v>0.0</v>
      </c>
      <c r="Q5223" s="22" t="str">
        <f t="shared" ref="Q5223:R5223" si="3128">"+0.00%"</f>
        <v>+0.00%</v>
      </c>
      <c r="R5223" s="18" t="str">
        <f t="shared" si="3128"/>
        <v>+0.00%</v>
      </c>
      <c r="S5223" s="14" t="s">
        <v>285</v>
      </c>
    </row>
    <row r="5224">
      <c r="A5224" s="13">
        <v>45901.0</v>
      </c>
      <c r="B5224" s="14" t="s">
        <v>47</v>
      </c>
      <c r="C5224" s="14" t="s">
        <v>48</v>
      </c>
      <c r="D5224" s="14" t="s">
        <v>165</v>
      </c>
      <c r="E5224" s="14" t="s">
        <v>166</v>
      </c>
      <c r="F5224" s="15" t="s">
        <v>51</v>
      </c>
      <c r="G5224" s="14" t="s">
        <v>167</v>
      </c>
      <c r="H5224" s="14" t="s">
        <v>165</v>
      </c>
      <c r="I5224" s="14" t="s">
        <v>54</v>
      </c>
      <c r="J5224" s="14" t="s">
        <v>200</v>
      </c>
      <c r="K5224" s="14" t="s">
        <v>211</v>
      </c>
      <c r="L5224" s="14" t="s">
        <v>253</v>
      </c>
      <c r="M5224" s="14" t="s">
        <v>1381</v>
      </c>
      <c r="N5224" s="14" t="s">
        <v>1382</v>
      </c>
      <c r="O5224" s="14">
        <v>0.0</v>
      </c>
      <c r="P5224" s="23">
        <v>0.0</v>
      </c>
      <c r="Q5224" s="22" t="str">
        <f t="shared" ref="Q5224:R5224" si="3129">"+0.00%"</f>
        <v>+0.00%</v>
      </c>
      <c r="R5224" s="18" t="str">
        <f t="shared" si="3129"/>
        <v>+0.00%</v>
      </c>
      <c r="S5224" s="14" t="s">
        <v>371</v>
      </c>
    </row>
    <row r="5225">
      <c r="A5225" s="13">
        <v>45901.0</v>
      </c>
      <c r="B5225" s="14" t="s">
        <v>47</v>
      </c>
      <c r="C5225" s="14" t="s">
        <v>48</v>
      </c>
      <c r="D5225" s="14" t="s">
        <v>192</v>
      </c>
      <c r="E5225" s="14" t="s">
        <v>193</v>
      </c>
      <c r="F5225" s="15" t="s">
        <v>51</v>
      </c>
      <c r="G5225" s="14" t="s">
        <v>194</v>
      </c>
      <c r="H5225" s="14" t="s">
        <v>192</v>
      </c>
      <c r="I5225" s="14" t="s">
        <v>54</v>
      </c>
      <c r="J5225" s="14" t="s">
        <v>200</v>
      </c>
      <c r="K5225" s="14" t="s">
        <v>223</v>
      </c>
      <c r="L5225" s="14" t="s">
        <v>363</v>
      </c>
      <c r="M5225" s="14" t="s">
        <v>1634</v>
      </c>
      <c r="N5225" s="14" t="s">
        <v>1635</v>
      </c>
      <c r="O5225" s="14">
        <v>0.0</v>
      </c>
      <c r="P5225" s="23">
        <v>0.0</v>
      </c>
      <c r="Q5225" s="22" t="str">
        <f>"-0.04%"</f>
        <v>-0.04%</v>
      </c>
      <c r="R5225" s="18" t="str">
        <f>"+0.00%"</f>
        <v>+0.00%</v>
      </c>
      <c r="S5225" s="14" t="s">
        <v>285</v>
      </c>
    </row>
    <row r="5226">
      <c r="A5226" s="13">
        <v>45901.0</v>
      </c>
      <c r="B5226" s="14" t="s">
        <v>47</v>
      </c>
      <c r="C5226" s="14" t="s">
        <v>48</v>
      </c>
      <c r="D5226" s="14" t="s">
        <v>192</v>
      </c>
      <c r="E5226" s="14" t="s">
        <v>193</v>
      </c>
      <c r="F5226" s="15" t="s">
        <v>51</v>
      </c>
      <c r="G5226" s="14" t="s">
        <v>194</v>
      </c>
      <c r="H5226" s="14" t="s">
        <v>192</v>
      </c>
      <c r="I5226" s="14" t="s">
        <v>54</v>
      </c>
      <c r="J5226" s="14" t="s">
        <v>198</v>
      </c>
      <c r="K5226" s="14" t="s">
        <v>212</v>
      </c>
      <c r="L5226" s="14" t="s">
        <v>249</v>
      </c>
      <c r="M5226" s="14" t="s">
        <v>1406</v>
      </c>
      <c r="N5226" s="14" t="s">
        <v>1407</v>
      </c>
      <c r="O5226" s="14">
        <v>0.0</v>
      </c>
      <c r="P5226" s="21">
        <v>0.0</v>
      </c>
      <c r="Q5226" s="22" t="str">
        <f t="shared" ref="Q5226:R5226" si="3130">"+0"</f>
        <v>+0</v>
      </c>
      <c r="R5226" s="18" t="str">
        <f t="shared" si="3130"/>
        <v>+0</v>
      </c>
      <c r="S5226" s="14" t="s">
        <v>277</v>
      </c>
    </row>
    <row r="5227">
      <c r="A5227" s="13">
        <v>45901.0</v>
      </c>
      <c r="B5227" s="14" t="s">
        <v>47</v>
      </c>
      <c r="C5227" s="14" t="s">
        <v>48</v>
      </c>
      <c r="D5227" s="14" t="s">
        <v>103</v>
      </c>
      <c r="E5227" s="14" t="s">
        <v>104</v>
      </c>
      <c r="F5227" s="15" t="s">
        <v>51</v>
      </c>
      <c r="G5227" s="14" t="s">
        <v>105</v>
      </c>
      <c r="H5227" s="14" t="s">
        <v>106</v>
      </c>
      <c r="I5227" s="14" t="s">
        <v>59</v>
      </c>
      <c r="J5227" s="14" t="s">
        <v>198</v>
      </c>
      <c r="K5227" s="14" t="s">
        <v>205</v>
      </c>
      <c r="L5227" s="14" t="s">
        <v>274</v>
      </c>
      <c r="M5227" s="14" t="s">
        <v>466</v>
      </c>
      <c r="N5227" s="14" t="s">
        <v>467</v>
      </c>
      <c r="O5227" s="14">
        <v>0.0</v>
      </c>
      <c r="P5227" s="21">
        <v>0.0</v>
      </c>
      <c r="Q5227" s="22" t="str">
        <f t="shared" ref="Q5227:Q5230" si="3131">"+0"</f>
        <v>+0</v>
      </c>
      <c r="S5227" s="14" t="s">
        <v>281</v>
      </c>
    </row>
    <row r="5228">
      <c r="A5228" s="13">
        <v>45901.0</v>
      </c>
      <c r="B5228" s="14" t="s">
        <v>47</v>
      </c>
      <c r="C5228" s="14" t="s">
        <v>48</v>
      </c>
      <c r="D5228" s="14" t="s">
        <v>132</v>
      </c>
      <c r="E5228" s="14" t="s">
        <v>133</v>
      </c>
      <c r="F5228" s="15" t="s">
        <v>51</v>
      </c>
      <c r="G5228" s="14" t="s">
        <v>134</v>
      </c>
      <c r="H5228" s="14" t="s">
        <v>135</v>
      </c>
      <c r="I5228" s="14" t="s">
        <v>59</v>
      </c>
      <c r="J5228" s="14" t="s">
        <v>199</v>
      </c>
      <c r="K5228" s="14" t="s">
        <v>206</v>
      </c>
      <c r="L5228" s="14" t="s">
        <v>295</v>
      </c>
      <c r="M5228" s="14" t="s">
        <v>651</v>
      </c>
      <c r="N5228" s="14" t="s">
        <v>652</v>
      </c>
      <c r="O5228" s="14">
        <v>0.0</v>
      </c>
      <c r="P5228" s="21">
        <v>0.0</v>
      </c>
      <c r="Q5228" s="22" t="str">
        <f t="shared" si="3131"/>
        <v>+0</v>
      </c>
      <c r="R5228" s="18" t="str">
        <f t="shared" ref="R5228:R5230" si="3132">"+0"</f>
        <v>+0</v>
      </c>
      <c r="S5228" s="14" t="s">
        <v>260</v>
      </c>
    </row>
    <row r="5229">
      <c r="A5229" s="13">
        <v>45901.0</v>
      </c>
      <c r="B5229" s="14" t="s">
        <v>47</v>
      </c>
      <c r="C5229" s="14" t="s">
        <v>48</v>
      </c>
      <c r="D5229" s="14" t="s">
        <v>73</v>
      </c>
      <c r="E5229" s="14" t="s">
        <v>74</v>
      </c>
      <c r="F5229" s="15" t="s">
        <v>51</v>
      </c>
      <c r="G5229" s="14" t="s">
        <v>75</v>
      </c>
      <c r="H5229" s="14" t="s">
        <v>76</v>
      </c>
      <c r="I5229" s="14" t="s">
        <v>59</v>
      </c>
      <c r="J5229" s="14" t="s">
        <v>200</v>
      </c>
      <c r="K5229" s="14" t="s">
        <v>232</v>
      </c>
      <c r="L5229" s="14" t="s">
        <v>363</v>
      </c>
      <c r="M5229" s="14" t="s">
        <v>842</v>
      </c>
      <c r="N5229" s="14" t="s">
        <v>843</v>
      </c>
      <c r="O5229" s="14">
        <v>100.0</v>
      </c>
      <c r="P5229" s="21">
        <v>17.0</v>
      </c>
      <c r="Q5229" s="22" t="str">
        <f t="shared" si="3131"/>
        <v>+0</v>
      </c>
      <c r="R5229" s="18" t="str">
        <f t="shared" si="3132"/>
        <v>+0</v>
      </c>
      <c r="S5229" s="14" t="s">
        <v>260</v>
      </c>
    </row>
    <row r="5230">
      <c r="A5230" s="13">
        <v>45901.0</v>
      </c>
      <c r="B5230" s="14" t="s">
        <v>47</v>
      </c>
      <c r="C5230" s="14" t="s">
        <v>48</v>
      </c>
      <c r="D5230" s="14" t="s">
        <v>73</v>
      </c>
      <c r="E5230" s="14" t="s">
        <v>74</v>
      </c>
      <c r="F5230" s="15" t="s">
        <v>51</v>
      </c>
      <c r="G5230" s="14" t="s">
        <v>75</v>
      </c>
      <c r="H5230" s="14" t="s">
        <v>76</v>
      </c>
      <c r="I5230" s="14" t="s">
        <v>59</v>
      </c>
      <c r="J5230" s="14" t="s">
        <v>199</v>
      </c>
      <c r="K5230" s="14" t="s">
        <v>203</v>
      </c>
      <c r="L5230" s="14" t="s">
        <v>736</v>
      </c>
      <c r="M5230" s="14" t="s">
        <v>736</v>
      </c>
      <c r="N5230" s="14" t="s">
        <v>737</v>
      </c>
      <c r="O5230" s="14">
        <v>0.0</v>
      </c>
      <c r="P5230" s="21">
        <v>0.0</v>
      </c>
      <c r="Q5230" s="22" t="str">
        <f t="shared" si="3131"/>
        <v>+0</v>
      </c>
      <c r="R5230" s="18" t="str">
        <f t="shared" si="3132"/>
        <v>+0</v>
      </c>
      <c r="S5230" s="14" t="s">
        <v>260</v>
      </c>
    </row>
    <row r="5231">
      <c r="A5231" s="13">
        <v>45901.0</v>
      </c>
      <c r="B5231" s="14" t="s">
        <v>47</v>
      </c>
      <c r="C5231" s="14" t="s">
        <v>48</v>
      </c>
      <c r="D5231" s="14" t="s">
        <v>149</v>
      </c>
      <c r="E5231" s="14" t="s">
        <v>150</v>
      </c>
      <c r="F5231" s="15" t="s">
        <v>51</v>
      </c>
      <c r="G5231" s="14" t="s">
        <v>151</v>
      </c>
      <c r="H5231" s="14" t="s">
        <v>152</v>
      </c>
      <c r="I5231" s="14" t="s">
        <v>54</v>
      </c>
      <c r="J5231" s="14" t="s">
        <v>200</v>
      </c>
      <c r="K5231" s="14" t="s">
        <v>219</v>
      </c>
      <c r="L5231" s="14" t="s">
        <v>253</v>
      </c>
      <c r="M5231" s="14" t="s">
        <v>1614</v>
      </c>
      <c r="N5231" s="14" t="s">
        <v>1615</v>
      </c>
      <c r="O5231" s="14">
        <v>100.0</v>
      </c>
      <c r="P5231" s="23">
        <v>1.0</v>
      </c>
      <c r="Q5231" s="22" t="str">
        <f>"+25.00%"</f>
        <v>+25.00%</v>
      </c>
      <c r="R5231" s="18" t="str">
        <f>"+0.00%"</f>
        <v>+0.00%</v>
      </c>
      <c r="S5231" s="14" t="s">
        <v>285</v>
      </c>
    </row>
    <row r="5232">
      <c r="A5232" s="13">
        <v>45901.0</v>
      </c>
      <c r="B5232" s="14" t="s">
        <v>47</v>
      </c>
      <c r="C5232" s="14" t="s">
        <v>48</v>
      </c>
      <c r="D5232" s="14" t="s">
        <v>129</v>
      </c>
      <c r="E5232" s="14" t="s">
        <v>130</v>
      </c>
      <c r="F5232" s="15" t="s">
        <v>51</v>
      </c>
      <c r="G5232" s="14" t="s">
        <v>131</v>
      </c>
      <c r="H5232" s="14" t="s">
        <v>129</v>
      </c>
      <c r="I5232" s="14" t="s">
        <v>59</v>
      </c>
      <c r="J5232" s="14" t="s">
        <v>200</v>
      </c>
      <c r="K5232" s="14" t="s">
        <v>231</v>
      </c>
      <c r="L5232" s="14" t="s">
        <v>253</v>
      </c>
      <c r="M5232" s="14" t="s">
        <v>366</v>
      </c>
      <c r="N5232" s="14" t="s">
        <v>367</v>
      </c>
      <c r="O5232" s="14">
        <v>70.0</v>
      </c>
      <c r="P5232" s="23">
        <v>0.7039</v>
      </c>
      <c r="Q5232" s="22" t="str">
        <f>"+1.12%"</f>
        <v>+1.12%</v>
      </c>
      <c r="R5232" s="18" t="str">
        <f>"+3.35%"</f>
        <v>+3.35%</v>
      </c>
      <c r="S5232" s="14" t="s">
        <v>2432</v>
      </c>
    </row>
    <row r="5233">
      <c r="A5233" s="13">
        <v>45901.0</v>
      </c>
      <c r="B5233" s="14" t="s">
        <v>47</v>
      </c>
      <c r="C5233" s="14" t="s">
        <v>48</v>
      </c>
      <c r="D5233" s="14" t="s">
        <v>129</v>
      </c>
      <c r="E5233" s="14" t="s">
        <v>130</v>
      </c>
      <c r="F5233" s="15" t="s">
        <v>51</v>
      </c>
      <c r="G5233" s="14" t="s">
        <v>131</v>
      </c>
      <c r="H5233" s="14" t="s">
        <v>129</v>
      </c>
      <c r="I5233" s="14" t="s">
        <v>59</v>
      </c>
      <c r="J5233" s="14" t="s">
        <v>200</v>
      </c>
      <c r="K5233" s="14" t="s">
        <v>231</v>
      </c>
      <c r="L5233" s="14" t="s">
        <v>762</v>
      </c>
      <c r="M5233" s="14" t="s">
        <v>1218</v>
      </c>
      <c r="N5233" s="14" t="s">
        <v>1219</v>
      </c>
      <c r="O5233" s="14">
        <v>0.0</v>
      </c>
      <c r="P5233" s="23">
        <v>0.0</v>
      </c>
      <c r="Q5233" s="22" t="str">
        <f t="shared" ref="Q5233:R5233" si="3133">"+0.00%"</f>
        <v>+0.00%</v>
      </c>
      <c r="R5233" s="18" t="str">
        <f t="shared" si="3133"/>
        <v>+0.00%</v>
      </c>
      <c r="S5233" s="14" t="s">
        <v>1220</v>
      </c>
    </row>
    <row r="5234">
      <c r="A5234" s="13">
        <v>45901.0</v>
      </c>
      <c r="B5234" s="14" t="s">
        <v>47</v>
      </c>
      <c r="C5234" s="14" t="s">
        <v>48</v>
      </c>
      <c r="D5234" s="14" t="s">
        <v>129</v>
      </c>
      <c r="E5234" s="14" t="s">
        <v>130</v>
      </c>
      <c r="F5234" s="15" t="s">
        <v>51</v>
      </c>
      <c r="G5234" s="14" t="s">
        <v>131</v>
      </c>
      <c r="H5234" s="14" t="s">
        <v>129</v>
      </c>
      <c r="I5234" s="14" t="s">
        <v>59</v>
      </c>
      <c r="J5234" s="14" t="s">
        <v>200</v>
      </c>
      <c r="K5234" s="14" t="s">
        <v>213</v>
      </c>
      <c r="L5234" s="14" t="s">
        <v>253</v>
      </c>
      <c r="M5234" s="14" t="s">
        <v>552</v>
      </c>
      <c r="N5234" s="14" t="s">
        <v>553</v>
      </c>
      <c r="O5234" s="14">
        <v>27.0</v>
      </c>
      <c r="P5234" s="23">
        <v>0.2735</v>
      </c>
      <c r="Q5234" s="22" t="str">
        <f>"-0.56%"</f>
        <v>-0.56%</v>
      </c>
      <c r="R5234" s="18" t="str">
        <f>"-1.93%"</f>
        <v>-1.93%</v>
      </c>
      <c r="S5234" s="14" t="s">
        <v>1556</v>
      </c>
    </row>
    <row r="5235">
      <c r="A5235" s="13">
        <v>45901.0</v>
      </c>
      <c r="B5235" s="14" t="s">
        <v>47</v>
      </c>
      <c r="C5235" s="14" t="s">
        <v>48</v>
      </c>
      <c r="D5235" s="14" t="s">
        <v>69</v>
      </c>
      <c r="E5235" s="14" t="s">
        <v>70</v>
      </c>
      <c r="F5235" s="15" t="s">
        <v>51</v>
      </c>
      <c r="G5235" s="14" t="s">
        <v>115</v>
      </c>
      <c r="H5235" s="14" t="s">
        <v>72</v>
      </c>
      <c r="I5235" s="14" t="s">
        <v>54</v>
      </c>
      <c r="J5235" s="14" t="s">
        <v>200</v>
      </c>
      <c r="K5235" s="14" t="s">
        <v>224</v>
      </c>
      <c r="L5235" s="14" t="s">
        <v>964</v>
      </c>
      <c r="M5235" s="14" t="s">
        <v>1288</v>
      </c>
      <c r="N5235" s="14" t="s">
        <v>1289</v>
      </c>
      <c r="O5235" s="14">
        <v>0.0</v>
      </c>
      <c r="P5235" s="23">
        <v>0.0</v>
      </c>
      <c r="Q5235" s="22" t="str">
        <f t="shared" ref="Q5235:R5235" si="3134">"+0.00%"</f>
        <v>+0.00%</v>
      </c>
      <c r="R5235" s="18" t="str">
        <f t="shared" si="3134"/>
        <v>+0.00%</v>
      </c>
      <c r="S5235" s="14" t="s">
        <v>2449</v>
      </c>
    </row>
    <row r="5236">
      <c r="A5236" s="13">
        <v>45901.0</v>
      </c>
      <c r="B5236" s="14" t="s">
        <v>47</v>
      </c>
      <c r="C5236" s="14" t="s">
        <v>48</v>
      </c>
      <c r="D5236" s="14" t="s">
        <v>85</v>
      </c>
      <c r="E5236" s="14" t="s">
        <v>86</v>
      </c>
      <c r="F5236" s="15" t="s">
        <v>51</v>
      </c>
      <c r="G5236" s="14" t="s">
        <v>148</v>
      </c>
      <c r="H5236" s="14" t="s">
        <v>85</v>
      </c>
      <c r="I5236" s="14" t="s">
        <v>59</v>
      </c>
      <c r="J5236" s="14" t="s">
        <v>198</v>
      </c>
      <c r="K5236" s="14" t="s">
        <v>210</v>
      </c>
      <c r="L5236" s="14" t="s">
        <v>278</v>
      </c>
      <c r="M5236" s="14" t="s">
        <v>279</v>
      </c>
      <c r="N5236" s="14" t="s">
        <v>280</v>
      </c>
      <c r="O5236" s="14">
        <v>100.0</v>
      </c>
      <c r="P5236" s="21">
        <v>0.0</v>
      </c>
      <c r="Q5236" s="22" t="str">
        <f t="shared" ref="Q5236:R5236" si="3135">"+0"</f>
        <v>+0</v>
      </c>
      <c r="R5236" s="18" t="str">
        <f t="shared" si="3135"/>
        <v>+0</v>
      </c>
      <c r="S5236" s="14" t="s">
        <v>281</v>
      </c>
    </row>
    <row r="5237">
      <c r="A5237" s="13">
        <v>45901.0</v>
      </c>
      <c r="B5237" s="14" t="s">
        <v>47</v>
      </c>
      <c r="C5237" s="14" t="s">
        <v>48</v>
      </c>
      <c r="D5237" s="14" t="s">
        <v>96</v>
      </c>
      <c r="E5237" s="14" t="s">
        <v>97</v>
      </c>
      <c r="F5237" s="15" t="s">
        <v>51</v>
      </c>
      <c r="G5237" s="14" t="s">
        <v>98</v>
      </c>
      <c r="H5237" s="14" t="s">
        <v>96</v>
      </c>
      <c r="I5237" s="14" t="s">
        <v>59</v>
      </c>
      <c r="J5237" s="14" t="s">
        <v>200</v>
      </c>
      <c r="K5237" s="14" t="s">
        <v>223</v>
      </c>
      <c r="L5237" s="14" t="s">
        <v>286</v>
      </c>
      <c r="M5237" s="14" t="s">
        <v>656</v>
      </c>
      <c r="N5237" s="14" t="s">
        <v>657</v>
      </c>
      <c r="O5237" s="14">
        <v>0.0</v>
      </c>
      <c r="P5237" s="23">
        <v>0.0</v>
      </c>
      <c r="Q5237" s="22" t="str">
        <f t="shared" ref="Q5237:R5237" si="3136">"+0.00%"</f>
        <v>+0.00%</v>
      </c>
      <c r="R5237" s="18" t="str">
        <f t="shared" si="3136"/>
        <v>+0.00%</v>
      </c>
      <c r="S5237" s="14" t="s">
        <v>285</v>
      </c>
    </row>
    <row r="5238">
      <c r="A5238" s="13">
        <v>45901.0</v>
      </c>
      <c r="B5238" s="14" t="s">
        <v>47</v>
      </c>
      <c r="C5238" s="14" t="s">
        <v>48</v>
      </c>
      <c r="D5238" s="14" t="s">
        <v>195</v>
      </c>
      <c r="E5238" s="14" t="s">
        <v>196</v>
      </c>
      <c r="F5238" s="14" t="s">
        <v>111</v>
      </c>
      <c r="G5238" s="14">
        <v>5252823.0</v>
      </c>
      <c r="H5238" s="14" t="s">
        <v>197</v>
      </c>
      <c r="I5238" s="14" t="s">
        <v>59</v>
      </c>
      <c r="J5238" s="14" t="s">
        <v>199</v>
      </c>
      <c r="K5238" s="14" t="s">
        <v>206</v>
      </c>
      <c r="L5238" s="14" t="s">
        <v>433</v>
      </c>
      <c r="M5238" s="14" t="s">
        <v>433</v>
      </c>
      <c r="N5238" s="14" t="s">
        <v>434</v>
      </c>
      <c r="O5238" s="14">
        <v>0.0</v>
      </c>
      <c r="P5238" s="21">
        <v>0.0</v>
      </c>
      <c r="Q5238" s="22" t="str">
        <f t="shared" ref="Q5238:R5238" si="3137">"+0"</f>
        <v>+0</v>
      </c>
      <c r="R5238" s="18" t="str">
        <f t="shared" si="3137"/>
        <v>+0</v>
      </c>
      <c r="S5238" s="14" t="s">
        <v>383</v>
      </c>
    </row>
    <row r="5239">
      <c r="A5239" s="13">
        <v>45901.0</v>
      </c>
      <c r="B5239" s="14" t="s">
        <v>47</v>
      </c>
      <c r="C5239" s="14" t="s">
        <v>48</v>
      </c>
      <c r="D5239" s="14" t="s">
        <v>112</v>
      </c>
      <c r="E5239" s="14" t="s">
        <v>113</v>
      </c>
      <c r="F5239" s="15" t="s">
        <v>51</v>
      </c>
      <c r="G5239" s="14" t="s">
        <v>114</v>
      </c>
      <c r="H5239" s="14" t="s">
        <v>112</v>
      </c>
      <c r="I5239" s="14" t="s">
        <v>59</v>
      </c>
      <c r="J5239" s="14" t="s">
        <v>200</v>
      </c>
      <c r="K5239" s="14" t="s">
        <v>213</v>
      </c>
      <c r="L5239" s="14" t="s">
        <v>257</v>
      </c>
      <c r="M5239" s="14" t="s">
        <v>258</v>
      </c>
      <c r="N5239" s="14" t="s">
        <v>259</v>
      </c>
      <c r="O5239" s="14">
        <v>0.0</v>
      </c>
      <c r="P5239" s="21">
        <v>0.0</v>
      </c>
      <c r="Q5239" s="22" t="str">
        <f t="shared" ref="Q5239:R5239" si="3138">"+0"</f>
        <v>+0</v>
      </c>
      <c r="R5239" s="18" t="str">
        <f t="shared" si="3138"/>
        <v>+0</v>
      </c>
      <c r="S5239" s="14" t="s">
        <v>260</v>
      </c>
    </row>
    <row r="5240">
      <c r="A5240" s="13">
        <v>45901.0</v>
      </c>
      <c r="B5240" s="14" t="s">
        <v>47</v>
      </c>
      <c r="C5240" s="14" t="s">
        <v>48</v>
      </c>
      <c r="D5240" s="14" t="s">
        <v>112</v>
      </c>
      <c r="E5240" s="14" t="s">
        <v>113</v>
      </c>
      <c r="F5240" s="15" t="s">
        <v>51</v>
      </c>
      <c r="G5240" s="14" t="s">
        <v>114</v>
      </c>
      <c r="H5240" s="14" t="s">
        <v>112</v>
      </c>
      <c r="I5240" s="14" t="s">
        <v>59</v>
      </c>
      <c r="J5240" s="14" t="s">
        <v>199</v>
      </c>
      <c r="K5240" s="14" t="s">
        <v>208</v>
      </c>
      <c r="L5240" s="14" t="s">
        <v>352</v>
      </c>
      <c r="M5240" s="14" t="s">
        <v>352</v>
      </c>
      <c r="N5240" s="14" t="s">
        <v>353</v>
      </c>
      <c r="O5240" s="14">
        <v>75.0</v>
      </c>
      <c r="P5240" s="21">
        <v>1.0</v>
      </c>
      <c r="Q5240" s="22" t="str">
        <f t="shared" ref="Q5240:R5240" si="3139">"+0"</f>
        <v>+0</v>
      </c>
      <c r="R5240" s="18" t="str">
        <f t="shared" si="3139"/>
        <v>+0</v>
      </c>
      <c r="S5240" s="14" t="s">
        <v>260</v>
      </c>
    </row>
    <row r="5241">
      <c r="A5241" s="13">
        <v>45901.0</v>
      </c>
      <c r="B5241" s="14" t="s">
        <v>47</v>
      </c>
      <c r="C5241" s="14" t="s">
        <v>48</v>
      </c>
      <c r="D5241" s="14" t="s">
        <v>158</v>
      </c>
      <c r="E5241" s="14" t="s">
        <v>159</v>
      </c>
      <c r="F5241" s="15" t="s">
        <v>51</v>
      </c>
      <c r="G5241" s="14" t="s">
        <v>160</v>
      </c>
      <c r="H5241" s="14" t="s">
        <v>158</v>
      </c>
      <c r="I5241" s="14" t="s">
        <v>54</v>
      </c>
      <c r="J5241" s="14" t="s">
        <v>200</v>
      </c>
      <c r="K5241" s="14" t="s">
        <v>224</v>
      </c>
      <c r="L5241" s="14" t="s">
        <v>392</v>
      </c>
      <c r="M5241" s="14" t="s">
        <v>1424</v>
      </c>
      <c r="N5241" s="14" t="s">
        <v>1425</v>
      </c>
      <c r="O5241" s="14">
        <v>0.0</v>
      </c>
      <c r="P5241" s="17"/>
      <c r="Q5241" s="22"/>
      <c r="S5241" s="14" t="s">
        <v>2383</v>
      </c>
    </row>
    <row r="5242">
      <c r="A5242" s="13">
        <v>45901.0</v>
      </c>
      <c r="B5242" s="14" t="s">
        <v>47</v>
      </c>
      <c r="C5242" s="14" t="s">
        <v>48</v>
      </c>
      <c r="D5242" s="14" t="s">
        <v>108</v>
      </c>
      <c r="E5242" s="14" t="s">
        <v>109</v>
      </c>
      <c r="F5242" s="15" t="s">
        <v>51</v>
      </c>
      <c r="G5242" s="14" t="s">
        <v>110</v>
      </c>
      <c r="H5242" s="14" t="s">
        <v>108</v>
      </c>
      <c r="I5242" s="14" t="s">
        <v>59</v>
      </c>
      <c r="J5242" s="14" t="s">
        <v>200</v>
      </c>
      <c r="K5242" s="14" t="s">
        <v>215</v>
      </c>
      <c r="L5242" s="14" t="s">
        <v>1361</v>
      </c>
      <c r="M5242" s="14" t="s">
        <v>1830</v>
      </c>
      <c r="N5242" s="14" t="s">
        <v>1831</v>
      </c>
      <c r="O5242" s="14">
        <v>0.0</v>
      </c>
      <c r="P5242" s="23">
        <v>-1.0</v>
      </c>
      <c r="Q5242" s="22" t="str">
        <f t="shared" ref="Q5242:R5242" si="3140">"+0.00%"</f>
        <v>+0.00%</v>
      </c>
      <c r="R5242" s="18" t="str">
        <f t="shared" si="3140"/>
        <v>+0.00%</v>
      </c>
      <c r="S5242" s="14" t="s">
        <v>2450</v>
      </c>
    </row>
    <row r="5243">
      <c r="A5243" s="13">
        <v>45901.0</v>
      </c>
      <c r="B5243" s="14" t="s">
        <v>47</v>
      </c>
      <c r="C5243" s="14" t="s">
        <v>48</v>
      </c>
      <c r="D5243" s="14" t="s">
        <v>108</v>
      </c>
      <c r="E5243" s="14" t="s">
        <v>109</v>
      </c>
      <c r="F5243" s="15" t="s">
        <v>51</v>
      </c>
      <c r="G5243" s="14" t="s">
        <v>110</v>
      </c>
      <c r="H5243" s="14" t="s">
        <v>108</v>
      </c>
      <c r="I5243" s="14" t="s">
        <v>59</v>
      </c>
      <c r="J5243" s="14" t="s">
        <v>200</v>
      </c>
      <c r="K5243" s="14" t="s">
        <v>215</v>
      </c>
      <c r="L5243" s="14" t="s">
        <v>1322</v>
      </c>
      <c r="M5243" s="14" t="s">
        <v>1323</v>
      </c>
      <c r="N5243" s="14" t="s">
        <v>1324</v>
      </c>
      <c r="O5243" s="14">
        <v>0.0</v>
      </c>
      <c r="P5243" s="23">
        <v>-1.0</v>
      </c>
      <c r="Q5243" s="22" t="str">
        <f t="shared" ref="Q5243:R5243" si="3141">"+0.00%"</f>
        <v>+0.00%</v>
      </c>
      <c r="R5243" s="18" t="str">
        <f t="shared" si="3141"/>
        <v>+0.00%</v>
      </c>
      <c r="S5243" s="14" t="s">
        <v>2451</v>
      </c>
    </row>
    <row r="5244">
      <c r="A5244" s="13">
        <v>45901.0</v>
      </c>
      <c r="B5244" s="14" t="s">
        <v>47</v>
      </c>
      <c r="C5244" s="14" t="s">
        <v>48</v>
      </c>
      <c r="D5244" s="14" t="s">
        <v>116</v>
      </c>
      <c r="E5244" s="14" t="s">
        <v>117</v>
      </c>
      <c r="F5244" s="15" t="s">
        <v>51</v>
      </c>
      <c r="G5244" s="14" t="s">
        <v>161</v>
      </c>
      <c r="H5244" s="14" t="s">
        <v>116</v>
      </c>
      <c r="I5244" s="14" t="s">
        <v>54</v>
      </c>
      <c r="J5244" s="14" t="s">
        <v>198</v>
      </c>
      <c r="K5244" s="14" t="s">
        <v>210</v>
      </c>
      <c r="L5244" s="14" t="s">
        <v>264</v>
      </c>
      <c r="M5244" s="14" t="s">
        <v>1274</v>
      </c>
      <c r="N5244" s="14" t="s">
        <v>1275</v>
      </c>
      <c r="O5244" s="14">
        <v>0.0</v>
      </c>
      <c r="P5244" s="21">
        <v>0.0</v>
      </c>
      <c r="Q5244" s="22" t="str">
        <f t="shared" ref="Q5244:R5244" si="3142">"+0"</f>
        <v>+0</v>
      </c>
      <c r="R5244" s="18" t="str">
        <f t="shared" si="3142"/>
        <v>+0</v>
      </c>
      <c r="S5244" s="14" t="s">
        <v>277</v>
      </c>
    </row>
    <row r="5245">
      <c r="A5245" s="13">
        <v>45901.0</v>
      </c>
      <c r="B5245" s="14" t="s">
        <v>47</v>
      </c>
      <c r="C5245" s="14" t="s">
        <v>48</v>
      </c>
      <c r="D5245" s="14" t="s">
        <v>60</v>
      </c>
      <c r="E5245" s="14" t="s">
        <v>61</v>
      </c>
      <c r="F5245" s="15" t="s">
        <v>51</v>
      </c>
      <c r="G5245" s="14" t="s">
        <v>62</v>
      </c>
      <c r="H5245" s="14" t="s">
        <v>60</v>
      </c>
      <c r="I5245" s="14" t="s">
        <v>59</v>
      </c>
      <c r="J5245" s="14" t="s">
        <v>200</v>
      </c>
      <c r="K5245" s="14" t="s">
        <v>216</v>
      </c>
      <c r="L5245" s="14" t="s">
        <v>324</v>
      </c>
      <c r="M5245" s="14" t="s">
        <v>325</v>
      </c>
      <c r="N5245" s="14" t="s">
        <v>326</v>
      </c>
      <c r="O5245" s="14">
        <v>50.0</v>
      </c>
      <c r="P5245" s="21">
        <v>7.0</v>
      </c>
      <c r="Q5245" s="22" t="str">
        <f>"+3"</f>
        <v>+3</v>
      </c>
      <c r="R5245" s="18" t="str">
        <f>"-9"</f>
        <v>-9</v>
      </c>
      <c r="S5245" s="14" t="s">
        <v>327</v>
      </c>
    </row>
    <row r="5246">
      <c r="A5246" s="13">
        <v>45901.0</v>
      </c>
      <c r="B5246" s="14" t="s">
        <v>47</v>
      </c>
      <c r="C5246" s="14" t="s">
        <v>48</v>
      </c>
      <c r="D5246" s="14" t="s">
        <v>155</v>
      </c>
      <c r="E5246" s="14" t="s">
        <v>156</v>
      </c>
      <c r="F5246" s="15" t="s">
        <v>51</v>
      </c>
      <c r="G5246" s="14" t="s">
        <v>157</v>
      </c>
      <c r="H5246" s="14" t="s">
        <v>155</v>
      </c>
      <c r="I5246" s="14" t="s">
        <v>59</v>
      </c>
      <c r="J5246" s="14" t="s">
        <v>200</v>
      </c>
      <c r="K5246" s="14" t="s">
        <v>223</v>
      </c>
      <c r="L5246" s="14" t="s">
        <v>375</v>
      </c>
      <c r="M5246" s="14" t="s">
        <v>376</v>
      </c>
      <c r="N5246" s="14" t="s">
        <v>377</v>
      </c>
      <c r="O5246" s="14">
        <v>0.0</v>
      </c>
      <c r="P5246" s="17"/>
      <c r="Q5246" s="22"/>
      <c r="S5246" s="14" t="s">
        <v>2452</v>
      </c>
    </row>
    <row r="5247">
      <c r="A5247" s="13">
        <v>45901.0</v>
      </c>
      <c r="B5247" s="14" t="s">
        <v>47</v>
      </c>
      <c r="C5247" s="14" t="s">
        <v>48</v>
      </c>
      <c r="D5247" s="14" t="s">
        <v>60</v>
      </c>
      <c r="E5247" s="14" t="s">
        <v>61</v>
      </c>
      <c r="F5247" s="15" t="s">
        <v>51</v>
      </c>
      <c r="G5247" s="14" t="s">
        <v>62</v>
      </c>
      <c r="H5247" s="14" t="s">
        <v>60</v>
      </c>
      <c r="I5247" s="14" t="s">
        <v>59</v>
      </c>
      <c r="J5247" s="14" t="s">
        <v>198</v>
      </c>
      <c r="K5247" s="14" t="s">
        <v>212</v>
      </c>
      <c r="L5247" s="14" t="s">
        <v>249</v>
      </c>
      <c r="M5247" s="14" t="s">
        <v>598</v>
      </c>
      <c r="N5247" s="14" t="s">
        <v>599</v>
      </c>
      <c r="O5247" s="14">
        <v>0.0</v>
      </c>
      <c r="P5247" s="21">
        <v>60.0</v>
      </c>
      <c r="Q5247" s="22" t="str">
        <f>"-2"</f>
        <v>-2</v>
      </c>
      <c r="R5247" s="18" t="str">
        <f>"+0"</f>
        <v>+0</v>
      </c>
      <c r="S5247" s="14" t="s">
        <v>1933</v>
      </c>
    </row>
    <row r="5248">
      <c r="A5248" s="13">
        <v>45901.0</v>
      </c>
      <c r="B5248" s="14" t="s">
        <v>47</v>
      </c>
      <c r="C5248" s="14" t="s">
        <v>48</v>
      </c>
      <c r="D5248" s="14" t="s">
        <v>60</v>
      </c>
      <c r="E5248" s="14" t="s">
        <v>61</v>
      </c>
      <c r="F5248" s="15" t="s">
        <v>51</v>
      </c>
      <c r="G5248" s="14" t="s">
        <v>62</v>
      </c>
      <c r="H5248" s="14" t="s">
        <v>60</v>
      </c>
      <c r="I5248" s="14" t="s">
        <v>59</v>
      </c>
      <c r="J5248" s="14" t="s">
        <v>200</v>
      </c>
      <c r="K5248" s="14" t="s">
        <v>223</v>
      </c>
      <c r="L5248" s="14" t="s">
        <v>253</v>
      </c>
      <c r="M5248" s="14" t="s">
        <v>552</v>
      </c>
      <c r="N5248" s="14" t="s">
        <v>553</v>
      </c>
      <c r="O5248" s="14">
        <v>28.0</v>
      </c>
      <c r="P5248" s="23">
        <v>0.2882</v>
      </c>
      <c r="Q5248" s="22" t="str">
        <f>"+5.72%"</f>
        <v>+5.72%</v>
      </c>
      <c r="R5248" s="18" t="str">
        <f>"+0.86%"</f>
        <v>+0.86%</v>
      </c>
      <c r="S5248" s="14" t="s">
        <v>1004</v>
      </c>
    </row>
    <row r="5249">
      <c r="A5249" s="13">
        <v>45901.0</v>
      </c>
      <c r="B5249" s="14" t="s">
        <v>47</v>
      </c>
      <c r="C5249" s="14" t="s">
        <v>48</v>
      </c>
      <c r="D5249" s="14" t="s">
        <v>168</v>
      </c>
      <c r="E5249" s="14" t="s">
        <v>169</v>
      </c>
      <c r="F5249" s="15" t="s">
        <v>51</v>
      </c>
      <c r="G5249" s="14" t="s">
        <v>170</v>
      </c>
      <c r="H5249" s="14" t="s">
        <v>168</v>
      </c>
      <c r="I5249" s="14" t="s">
        <v>59</v>
      </c>
      <c r="J5249" s="14" t="s">
        <v>198</v>
      </c>
      <c r="K5249" s="14" t="s">
        <v>205</v>
      </c>
      <c r="L5249" s="14" t="s">
        <v>274</v>
      </c>
      <c r="M5249" s="14" t="s">
        <v>767</v>
      </c>
      <c r="N5249" s="14" t="s">
        <v>768</v>
      </c>
      <c r="O5249" s="14">
        <v>100.0</v>
      </c>
      <c r="P5249" s="21">
        <v>1.0</v>
      </c>
      <c r="Q5249" s="22" t="str">
        <f t="shared" ref="Q5249:Q5250" si="3143">"+0"</f>
        <v>+0</v>
      </c>
      <c r="S5249" s="14" t="s">
        <v>281</v>
      </c>
    </row>
    <row r="5250">
      <c r="A5250" s="13">
        <v>45901.0</v>
      </c>
      <c r="B5250" s="14" t="s">
        <v>47</v>
      </c>
      <c r="C5250" s="14" t="s">
        <v>48</v>
      </c>
      <c r="D5250" s="14" t="s">
        <v>60</v>
      </c>
      <c r="E5250" s="14" t="s">
        <v>61</v>
      </c>
      <c r="F5250" s="15" t="s">
        <v>51</v>
      </c>
      <c r="G5250" s="14" t="s">
        <v>62</v>
      </c>
      <c r="H5250" s="14" t="s">
        <v>60</v>
      </c>
      <c r="I5250" s="14" t="s">
        <v>59</v>
      </c>
      <c r="J5250" s="14" t="s">
        <v>198</v>
      </c>
      <c r="K5250" s="14" t="s">
        <v>205</v>
      </c>
      <c r="L5250" s="14" t="s">
        <v>274</v>
      </c>
      <c r="M5250" s="14" t="s">
        <v>451</v>
      </c>
      <c r="N5250" s="14" t="s">
        <v>452</v>
      </c>
      <c r="O5250" s="14">
        <v>0.0</v>
      </c>
      <c r="P5250" s="21">
        <v>0.0</v>
      </c>
      <c r="Q5250" s="22" t="str">
        <f t="shared" si="3143"/>
        <v>+0</v>
      </c>
      <c r="S5250" s="14" t="s">
        <v>281</v>
      </c>
    </row>
    <row r="5251">
      <c r="A5251" s="13">
        <v>45901.0</v>
      </c>
      <c r="B5251" s="14" t="s">
        <v>47</v>
      </c>
      <c r="C5251" s="14" t="s">
        <v>48</v>
      </c>
      <c r="D5251" s="14" t="s">
        <v>155</v>
      </c>
      <c r="E5251" s="14" t="s">
        <v>156</v>
      </c>
      <c r="F5251" s="15" t="s">
        <v>51</v>
      </c>
      <c r="G5251" s="14" t="s">
        <v>157</v>
      </c>
      <c r="H5251" s="14" t="s">
        <v>155</v>
      </c>
      <c r="I5251" s="14" t="s">
        <v>59</v>
      </c>
      <c r="J5251" s="14" t="s">
        <v>200</v>
      </c>
      <c r="K5251" s="14" t="s">
        <v>223</v>
      </c>
      <c r="L5251" s="14" t="s">
        <v>440</v>
      </c>
      <c r="M5251" s="14" t="s">
        <v>510</v>
      </c>
      <c r="N5251" s="14" t="s">
        <v>511</v>
      </c>
      <c r="O5251" s="14">
        <v>0.0</v>
      </c>
      <c r="P5251" s="17"/>
      <c r="Q5251" s="22"/>
      <c r="S5251" s="14" t="s">
        <v>285</v>
      </c>
    </row>
    <row r="5252">
      <c r="A5252" s="13">
        <v>45901.0</v>
      </c>
      <c r="B5252" s="14" t="s">
        <v>47</v>
      </c>
      <c r="C5252" s="14" t="s">
        <v>48</v>
      </c>
      <c r="D5252" s="14" t="s">
        <v>49</v>
      </c>
      <c r="E5252" s="14" t="s">
        <v>50</v>
      </c>
      <c r="F5252" s="15" t="s">
        <v>51</v>
      </c>
      <c r="G5252" s="14" t="s">
        <v>52</v>
      </c>
      <c r="H5252" s="14" t="s">
        <v>53</v>
      </c>
      <c r="I5252" s="14" t="s">
        <v>54</v>
      </c>
      <c r="J5252" s="14" t="s">
        <v>200</v>
      </c>
      <c r="K5252" s="14" t="s">
        <v>201</v>
      </c>
      <c r="L5252" s="14" t="s">
        <v>253</v>
      </c>
      <c r="M5252" s="14" t="s">
        <v>585</v>
      </c>
      <c r="N5252" s="14" t="s">
        <v>586</v>
      </c>
      <c r="O5252" s="14">
        <v>32.0</v>
      </c>
      <c r="P5252" s="23">
        <v>0.3281</v>
      </c>
      <c r="Q5252" s="22" t="str">
        <f>"+2.94%"</f>
        <v>+2.94%</v>
      </c>
      <c r="R5252" s="18" t="str">
        <f>"+2.72%"</f>
        <v>+2.72%</v>
      </c>
      <c r="S5252" s="14" t="s">
        <v>1071</v>
      </c>
    </row>
    <row r="5253">
      <c r="A5253" s="13">
        <v>45901.0</v>
      </c>
      <c r="B5253" s="14" t="s">
        <v>47</v>
      </c>
      <c r="C5253" s="14" t="s">
        <v>48</v>
      </c>
      <c r="D5253" s="14" t="s">
        <v>165</v>
      </c>
      <c r="E5253" s="14" t="s">
        <v>166</v>
      </c>
      <c r="F5253" s="15" t="s">
        <v>51</v>
      </c>
      <c r="G5253" s="14" t="s">
        <v>167</v>
      </c>
      <c r="H5253" s="14" t="s">
        <v>165</v>
      </c>
      <c r="I5253" s="14" t="s">
        <v>54</v>
      </c>
      <c r="J5253" s="14" t="s">
        <v>199</v>
      </c>
      <c r="K5253" s="14" t="s">
        <v>203</v>
      </c>
      <c r="L5253" s="14" t="s">
        <v>485</v>
      </c>
      <c r="M5253" s="14" t="s">
        <v>485</v>
      </c>
      <c r="N5253" s="14" t="s">
        <v>486</v>
      </c>
      <c r="O5253" s="14">
        <v>100.0</v>
      </c>
      <c r="P5253" s="21">
        <v>1.0</v>
      </c>
      <c r="Q5253" s="22" t="str">
        <f t="shared" ref="Q5253:R5253" si="3144">"+0"</f>
        <v>+0</v>
      </c>
      <c r="R5253" s="18" t="str">
        <f t="shared" si="3144"/>
        <v>+0</v>
      </c>
      <c r="S5253" s="14" t="s">
        <v>260</v>
      </c>
    </row>
    <row r="5254">
      <c r="A5254" s="13">
        <v>45901.0</v>
      </c>
      <c r="B5254" s="14" t="s">
        <v>47</v>
      </c>
      <c r="C5254" s="14" t="s">
        <v>48</v>
      </c>
      <c r="D5254" s="14" t="s">
        <v>165</v>
      </c>
      <c r="E5254" s="14" t="s">
        <v>166</v>
      </c>
      <c r="F5254" s="15" t="s">
        <v>51</v>
      </c>
      <c r="G5254" s="14" t="s">
        <v>167</v>
      </c>
      <c r="H5254" s="14" t="s">
        <v>165</v>
      </c>
      <c r="I5254" s="14" t="s">
        <v>54</v>
      </c>
      <c r="J5254" s="14" t="s">
        <v>198</v>
      </c>
      <c r="K5254" s="14" t="s">
        <v>205</v>
      </c>
      <c r="L5254" s="14" t="s">
        <v>274</v>
      </c>
      <c r="M5254" s="14" t="s">
        <v>738</v>
      </c>
      <c r="N5254" s="14" t="s">
        <v>739</v>
      </c>
      <c r="O5254" s="14">
        <v>0.0</v>
      </c>
      <c r="P5254" s="21">
        <v>0.0</v>
      </c>
      <c r="Q5254" s="22" t="str">
        <f>"+0"</f>
        <v>+0</v>
      </c>
      <c r="S5254" s="14" t="s">
        <v>281</v>
      </c>
    </row>
    <row r="5255">
      <c r="A5255" s="13">
        <v>45901.0</v>
      </c>
      <c r="B5255" s="14" t="s">
        <v>47</v>
      </c>
      <c r="C5255" s="14" t="s">
        <v>48</v>
      </c>
      <c r="D5255" s="14" t="s">
        <v>49</v>
      </c>
      <c r="E5255" s="14" t="s">
        <v>50</v>
      </c>
      <c r="F5255" s="15" t="s">
        <v>51</v>
      </c>
      <c r="G5255" s="14" t="s">
        <v>52</v>
      </c>
      <c r="H5255" s="14" t="s">
        <v>53</v>
      </c>
      <c r="I5255" s="14" t="s">
        <v>54</v>
      </c>
      <c r="J5255" s="14" t="s">
        <v>200</v>
      </c>
      <c r="K5255" s="14" t="s">
        <v>224</v>
      </c>
      <c r="L5255" s="14" t="s">
        <v>964</v>
      </c>
      <c r="M5255" s="14" t="s">
        <v>965</v>
      </c>
      <c r="N5255" s="14" t="s">
        <v>966</v>
      </c>
      <c r="O5255" s="14">
        <v>0.0</v>
      </c>
      <c r="P5255" s="23">
        <v>0.0</v>
      </c>
      <c r="Q5255" s="22" t="str">
        <f t="shared" ref="Q5255:R5255" si="3145">"+0.00%"</f>
        <v>+0.00%</v>
      </c>
      <c r="R5255" s="18" t="str">
        <f t="shared" si="3145"/>
        <v>+0.00%</v>
      </c>
      <c r="S5255" s="14" t="s">
        <v>2453</v>
      </c>
    </row>
    <row r="5256">
      <c r="A5256" s="13">
        <v>45901.0</v>
      </c>
      <c r="B5256" s="14" t="s">
        <v>47</v>
      </c>
      <c r="C5256" s="14" t="s">
        <v>48</v>
      </c>
      <c r="D5256" s="14" t="s">
        <v>91</v>
      </c>
      <c r="E5256" s="14" t="s">
        <v>92</v>
      </c>
      <c r="F5256" s="14" t="s">
        <v>79</v>
      </c>
      <c r="G5256" s="14" t="s">
        <v>164</v>
      </c>
      <c r="H5256" s="14" t="s">
        <v>91</v>
      </c>
      <c r="I5256" s="14" t="s">
        <v>154</v>
      </c>
      <c r="J5256" s="14" t="s">
        <v>199</v>
      </c>
      <c r="K5256" s="14" t="s">
        <v>203</v>
      </c>
      <c r="L5256" s="14" t="s">
        <v>725</v>
      </c>
      <c r="M5256" s="14" t="s">
        <v>725</v>
      </c>
      <c r="N5256" s="14" t="s">
        <v>726</v>
      </c>
      <c r="O5256" s="14">
        <v>0.0</v>
      </c>
      <c r="P5256" s="21">
        <v>0.0</v>
      </c>
      <c r="Q5256" s="22" t="str">
        <f t="shared" ref="Q5256:R5256" si="3146">"+0"</f>
        <v>+0</v>
      </c>
      <c r="R5256" s="18" t="str">
        <f t="shared" si="3146"/>
        <v>+0</v>
      </c>
      <c r="S5256" s="14" t="s">
        <v>260</v>
      </c>
    </row>
    <row r="5257">
      <c r="A5257" s="13">
        <v>45901.0</v>
      </c>
      <c r="B5257" s="14" t="s">
        <v>47</v>
      </c>
      <c r="C5257" s="14" t="s">
        <v>48</v>
      </c>
      <c r="D5257" s="14" t="s">
        <v>63</v>
      </c>
      <c r="E5257" s="14" t="s">
        <v>64</v>
      </c>
      <c r="F5257" s="15" t="s">
        <v>51</v>
      </c>
      <c r="G5257" s="14" t="s">
        <v>65</v>
      </c>
      <c r="H5257" s="14" t="s">
        <v>63</v>
      </c>
      <c r="I5257" s="14" t="s">
        <v>54</v>
      </c>
      <c r="J5257" s="14" t="s">
        <v>198</v>
      </c>
      <c r="K5257" s="14" t="s">
        <v>205</v>
      </c>
      <c r="L5257" s="14" t="s">
        <v>274</v>
      </c>
      <c r="M5257" s="14" t="s">
        <v>451</v>
      </c>
      <c r="N5257" s="14" t="s">
        <v>452</v>
      </c>
      <c r="O5257" s="14">
        <v>0.0</v>
      </c>
      <c r="P5257" s="21">
        <v>0.0</v>
      </c>
      <c r="Q5257" s="22" t="str">
        <f>"+0"</f>
        <v>+0</v>
      </c>
      <c r="S5257" s="14" t="s">
        <v>281</v>
      </c>
    </row>
    <row r="5258">
      <c r="A5258" s="13">
        <v>45901.0</v>
      </c>
      <c r="B5258" s="14" t="s">
        <v>47</v>
      </c>
      <c r="C5258" s="14" t="s">
        <v>48</v>
      </c>
      <c r="D5258" s="14" t="s">
        <v>91</v>
      </c>
      <c r="E5258" s="14" t="s">
        <v>92</v>
      </c>
      <c r="F5258" s="15" t="s">
        <v>51</v>
      </c>
      <c r="G5258" s="14" t="s">
        <v>163</v>
      </c>
      <c r="H5258" s="14" t="s">
        <v>91</v>
      </c>
      <c r="I5258" s="14" t="s">
        <v>59</v>
      </c>
      <c r="J5258" s="14" t="s">
        <v>198</v>
      </c>
      <c r="K5258" s="14" t="s">
        <v>210</v>
      </c>
      <c r="L5258" s="14" t="s">
        <v>278</v>
      </c>
      <c r="M5258" s="14" t="s">
        <v>839</v>
      </c>
      <c r="N5258" s="14" t="s">
        <v>840</v>
      </c>
      <c r="O5258" s="14">
        <v>0.0</v>
      </c>
      <c r="P5258" s="21">
        <v>3408.0</v>
      </c>
      <c r="Q5258" s="22" t="str">
        <f>"+1,353"</f>
        <v>+1,353</v>
      </c>
      <c r="R5258" s="18" t="str">
        <f>"+1,819"</f>
        <v>+1,819</v>
      </c>
      <c r="S5258" s="14" t="s">
        <v>2454</v>
      </c>
    </row>
    <row r="5259">
      <c r="A5259" s="13">
        <v>45901.0</v>
      </c>
      <c r="B5259" s="14" t="s">
        <v>47</v>
      </c>
      <c r="C5259" s="14" t="s">
        <v>48</v>
      </c>
      <c r="D5259" s="14" t="s">
        <v>91</v>
      </c>
      <c r="E5259" s="14" t="s">
        <v>92</v>
      </c>
      <c r="F5259" s="15" t="s">
        <v>51</v>
      </c>
      <c r="G5259" s="14" t="s">
        <v>163</v>
      </c>
      <c r="H5259" s="14" t="s">
        <v>91</v>
      </c>
      <c r="I5259" s="14" t="s">
        <v>59</v>
      </c>
      <c r="J5259" s="14" t="s">
        <v>200</v>
      </c>
      <c r="K5259" s="14" t="s">
        <v>223</v>
      </c>
      <c r="L5259" s="14" t="s">
        <v>359</v>
      </c>
      <c r="M5259" s="14" t="s">
        <v>360</v>
      </c>
      <c r="N5259" s="14" t="s">
        <v>361</v>
      </c>
      <c r="O5259" s="14">
        <v>0.0</v>
      </c>
      <c r="P5259" s="23">
        <v>0.0</v>
      </c>
      <c r="Q5259" s="22" t="str">
        <f t="shared" ref="Q5259:R5259" si="3147">"+0.00%"</f>
        <v>+0.00%</v>
      </c>
      <c r="R5259" s="18" t="str">
        <f t="shared" si="3147"/>
        <v>+0.00%</v>
      </c>
      <c r="S5259" s="14" t="s">
        <v>2455</v>
      </c>
    </row>
    <row r="5260">
      <c r="A5260" s="13">
        <v>45901.0</v>
      </c>
      <c r="B5260" s="14" t="s">
        <v>47</v>
      </c>
      <c r="C5260" s="14" t="s">
        <v>48</v>
      </c>
      <c r="D5260" s="14" t="s">
        <v>91</v>
      </c>
      <c r="E5260" s="14" t="s">
        <v>92</v>
      </c>
      <c r="F5260" s="15" t="s">
        <v>51</v>
      </c>
      <c r="G5260" s="14" t="s">
        <v>163</v>
      </c>
      <c r="H5260" s="14" t="s">
        <v>91</v>
      </c>
      <c r="I5260" s="14" t="s">
        <v>59</v>
      </c>
      <c r="J5260" s="14" t="s">
        <v>200</v>
      </c>
      <c r="K5260" s="14" t="s">
        <v>211</v>
      </c>
      <c r="L5260" s="14" t="s">
        <v>253</v>
      </c>
      <c r="M5260" s="14" t="s">
        <v>1381</v>
      </c>
      <c r="N5260" s="14" t="s">
        <v>1382</v>
      </c>
      <c r="O5260" s="14">
        <v>0.0</v>
      </c>
      <c r="P5260" s="23">
        <v>0.0</v>
      </c>
      <c r="Q5260" s="22" t="str">
        <f t="shared" ref="Q5260:R5260" si="3148">"+0.00%"</f>
        <v>+0.00%</v>
      </c>
      <c r="R5260" s="18" t="str">
        <f t="shared" si="3148"/>
        <v>+0.00%</v>
      </c>
      <c r="S5260" s="14" t="s">
        <v>371</v>
      </c>
    </row>
    <row r="5261">
      <c r="A5261" s="13">
        <v>45901.0</v>
      </c>
      <c r="B5261" s="14" t="s">
        <v>47</v>
      </c>
      <c r="C5261" s="14" t="s">
        <v>48</v>
      </c>
      <c r="D5261" s="14" t="s">
        <v>91</v>
      </c>
      <c r="E5261" s="14" t="s">
        <v>92</v>
      </c>
      <c r="F5261" s="15" t="s">
        <v>51</v>
      </c>
      <c r="G5261" s="14" t="s">
        <v>163</v>
      </c>
      <c r="H5261" s="14" t="s">
        <v>91</v>
      </c>
      <c r="I5261" s="14" t="s">
        <v>59</v>
      </c>
      <c r="J5261" s="14" t="s">
        <v>200</v>
      </c>
      <c r="K5261" s="14" t="s">
        <v>223</v>
      </c>
      <c r="L5261" s="14" t="s">
        <v>607</v>
      </c>
      <c r="M5261" s="14" t="s">
        <v>932</v>
      </c>
      <c r="N5261" s="14" t="s">
        <v>933</v>
      </c>
      <c r="O5261" s="14">
        <v>0.0</v>
      </c>
      <c r="P5261" s="23">
        <v>0.0</v>
      </c>
      <c r="Q5261" s="22" t="str">
        <f t="shared" ref="Q5261:R5261" si="3149">"+0.00%"</f>
        <v>+0.00%</v>
      </c>
      <c r="R5261" s="18" t="str">
        <f t="shared" si="3149"/>
        <v>+0.00%</v>
      </c>
      <c r="S5261" s="14" t="s">
        <v>285</v>
      </c>
    </row>
    <row r="5262">
      <c r="A5262" s="13">
        <v>45901.0</v>
      </c>
      <c r="B5262" s="14" t="s">
        <v>47</v>
      </c>
      <c r="C5262" s="14" t="s">
        <v>48</v>
      </c>
      <c r="D5262" s="14" t="s">
        <v>63</v>
      </c>
      <c r="E5262" s="14" t="s">
        <v>64</v>
      </c>
      <c r="F5262" s="15" t="s">
        <v>51</v>
      </c>
      <c r="G5262" s="14" t="s">
        <v>65</v>
      </c>
      <c r="H5262" s="14" t="s">
        <v>63</v>
      </c>
      <c r="I5262" s="14" t="s">
        <v>54</v>
      </c>
      <c r="J5262" s="14" t="s">
        <v>200</v>
      </c>
      <c r="K5262" s="14" t="s">
        <v>215</v>
      </c>
      <c r="L5262" s="14" t="s">
        <v>1361</v>
      </c>
      <c r="M5262" s="14" t="s">
        <v>1362</v>
      </c>
      <c r="N5262" s="14" t="s">
        <v>1363</v>
      </c>
      <c r="O5262" s="14">
        <v>62.0</v>
      </c>
      <c r="P5262" s="23">
        <v>0.2432</v>
      </c>
      <c r="Q5262" s="22" t="str">
        <f>"+51.94%"</f>
        <v>+51.94%</v>
      </c>
      <c r="R5262" s="18" t="str">
        <f>"+24.32%"</f>
        <v>+24.32%</v>
      </c>
      <c r="S5262" s="14" t="s">
        <v>2456</v>
      </c>
    </row>
    <row r="5263">
      <c r="A5263" s="13">
        <v>45901.0</v>
      </c>
      <c r="B5263" s="14" t="s">
        <v>47</v>
      </c>
      <c r="C5263" s="14" t="s">
        <v>48</v>
      </c>
      <c r="D5263" s="14" t="s">
        <v>91</v>
      </c>
      <c r="E5263" s="14" t="s">
        <v>92</v>
      </c>
      <c r="F5263" s="14" t="s">
        <v>79</v>
      </c>
      <c r="G5263" s="14" t="s">
        <v>164</v>
      </c>
      <c r="H5263" s="14" t="s">
        <v>91</v>
      </c>
      <c r="I5263" s="14" t="s">
        <v>154</v>
      </c>
      <c r="J5263" s="14" t="s">
        <v>198</v>
      </c>
      <c r="K5263" s="14" t="s">
        <v>210</v>
      </c>
      <c r="L5263" s="14" t="s">
        <v>505</v>
      </c>
      <c r="M5263" s="14" t="s">
        <v>1494</v>
      </c>
      <c r="N5263" s="14" t="s">
        <v>1495</v>
      </c>
      <c r="O5263" s="14">
        <v>100.0</v>
      </c>
      <c r="P5263" s="21">
        <v>0.0</v>
      </c>
      <c r="Q5263" s="22" t="str">
        <f>"+0"</f>
        <v>+0</v>
      </c>
      <c r="S5263" s="14" t="s">
        <v>277</v>
      </c>
    </row>
    <row r="5264">
      <c r="A5264" s="13">
        <v>45901.0</v>
      </c>
      <c r="B5264" s="14" t="s">
        <v>47</v>
      </c>
      <c r="C5264" s="14" t="s">
        <v>48</v>
      </c>
      <c r="D5264" s="14" t="s">
        <v>63</v>
      </c>
      <c r="E5264" s="14" t="s">
        <v>64</v>
      </c>
      <c r="F5264" s="15" t="s">
        <v>51</v>
      </c>
      <c r="G5264" s="14" t="s">
        <v>65</v>
      </c>
      <c r="H5264" s="14" t="s">
        <v>63</v>
      </c>
      <c r="I5264" s="14" t="s">
        <v>54</v>
      </c>
      <c r="J5264" s="14" t="s">
        <v>200</v>
      </c>
      <c r="K5264" s="14" t="s">
        <v>213</v>
      </c>
      <c r="L5264" s="14" t="s">
        <v>571</v>
      </c>
      <c r="M5264" s="14" t="s">
        <v>578</v>
      </c>
      <c r="N5264" s="14" t="s">
        <v>579</v>
      </c>
      <c r="O5264" s="14">
        <v>0.0</v>
      </c>
      <c r="P5264" s="23">
        <v>0.0</v>
      </c>
      <c r="Q5264" s="22" t="str">
        <f t="shared" ref="Q5264:R5264" si="3150">"+0.00%"</f>
        <v>+0.00%</v>
      </c>
      <c r="R5264" s="18" t="str">
        <f t="shared" si="3150"/>
        <v>+0.00%</v>
      </c>
      <c r="S5264" s="14" t="s">
        <v>285</v>
      </c>
    </row>
    <row r="5265">
      <c r="A5265" s="13">
        <v>45901.0</v>
      </c>
      <c r="B5265" s="14" t="s">
        <v>47</v>
      </c>
      <c r="C5265" s="14" t="s">
        <v>48</v>
      </c>
      <c r="D5265" s="14" t="s">
        <v>132</v>
      </c>
      <c r="E5265" s="14" t="s">
        <v>133</v>
      </c>
      <c r="F5265" s="15" t="s">
        <v>51</v>
      </c>
      <c r="G5265" s="14" t="s">
        <v>134</v>
      </c>
      <c r="H5265" s="14" t="s">
        <v>135</v>
      </c>
      <c r="I5265" s="14" t="s">
        <v>59</v>
      </c>
      <c r="J5265" s="14" t="s">
        <v>200</v>
      </c>
      <c r="K5265" s="14" t="s">
        <v>213</v>
      </c>
      <c r="L5265" s="14" t="s">
        <v>307</v>
      </c>
      <c r="M5265" s="14" t="s">
        <v>561</v>
      </c>
      <c r="N5265" s="14" t="s">
        <v>562</v>
      </c>
      <c r="O5265" s="14">
        <v>0.0</v>
      </c>
      <c r="P5265" s="23">
        <v>0.0</v>
      </c>
      <c r="Q5265" s="22" t="str">
        <f t="shared" ref="Q5265:R5265" si="3151">"+0.00%"</f>
        <v>+0.00%</v>
      </c>
      <c r="R5265" s="18" t="str">
        <f t="shared" si="3151"/>
        <v>+0.00%</v>
      </c>
      <c r="S5265" s="14" t="s">
        <v>285</v>
      </c>
    </row>
    <row r="5266">
      <c r="A5266" s="13">
        <v>45901.0</v>
      </c>
      <c r="B5266" s="14" t="s">
        <v>47</v>
      </c>
      <c r="C5266" s="14" t="s">
        <v>48</v>
      </c>
      <c r="D5266" s="14" t="s">
        <v>143</v>
      </c>
      <c r="E5266" s="14" t="s">
        <v>144</v>
      </c>
      <c r="F5266" s="15" t="s">
        <v>51</v>
      </c>
      <c r="G5266" s="14" t="s">
        <v>145</v>
      </c>
      <c r="H5266" s="14" t="s">
        <v>143</v>
      </c>
      <c r="I5266" s="14" t="s">
        <v>59</v>
      </c>
      <c r="J5266" s="14" t="s">
        <v>200</v>
      </c>
      <c r="K5266" s="14" t="s">
        <v>232</v>
      </c>
      <c r="L5266" s="14" t="s">
        <v>607</v>
      </c>
      <c r="M5266" s="14" t="s">
        <v>886</v>
      </c>
      <c r="N5266" s="14" t="s">
        <v>887</v>
      </c>
      <c r="O5266" s="14">
        <v>0.0</v>
      </c>
      <c r="P5266" s="23">
        <v>0.0</v>
      </c>
      <c r="Q5266" s="22" t="str">
        <f t="shared" ref="Q5266:R5266" si="3152">"+0.00%"</f>
        <v>+0.00%</v>
      </c>
      <c r="R5266" s="18" t="str">
        <f t="shared" si="3152"/>
        <v>+0.00%</v>
      </c>
      <c r="S5266" s="14" t="s">
        <v>1123</v>
      </c>
    </row>
    <row r="5267">
      <c r="A5267" s="13">
        <v>45901.0</v>
      </c>
      <c r="B5267" s="14" t="s">
        <v>47</v>
      </c>
      <c r="C5267" s="14" t="s">
        <v>48</v>
      </c>
      <c r="D5267" s="14" t="s">
        <v>149</v>
      </c>
      <c r="E5267" s="14" t="s">
        <v>150</v>
      </c>
      <c r="F5267" s="15" t="s">
        <v>51</v>
      </c>
      <c r="G5267" s="14" t="s">
        <v>151</v>
      </c>
      <c r="H5267" s="14" t="s">
        <v>152</v>
      </c>
      <c r="I5267" s="14" t="s">
        <v>54</v>
      </c>
      <c r="J5267" s="14" t="s">
        <v>199</v>
      </c>
      <c r="K5267" s="14" t="s">
        <v>203</v>
      </c>
      <c r="L5267" s="14" t="s">
        <v>342</v>
      </c>
      <c r="M5267" s="14" t="s">
        <v>342</v>
      </c>
      <c r="N5267" s="14" t="s">
        <v>343</v>
      </c>
      <c r="O5267" s="14">
        <v>100.0</v>
      </c>
      <c r="P5267" s="21">
        <v>6.0</v>
      </c>
      <c r="Q5267" s="22" t="str">
        <f>"+2"</f>
        <v>+2</v>
      </c>
      <c r="R5267" s="18" t="str">
        <f>"+3"</f>
        <v>+3</v>
      </c>
      <c r="S5267" s="14" t="s">
        <v>260</v>
      </c>
    </row>
    <row r="5268">
      <c r="A5268" s="13">
        <v>45901.0</v>
      </c>
      <c r="B5268" s="14" t="s">
        <v>47</v>
      </c>
      <c r="C5268" s="14" t="s">
        <v>48</v>
      </c>
      <c r="D5268" s="14" t="s">
        <v>69</v>
      </c>
      <c r="E5268" s="14" t="s">
        <v>70</v>
      </c>
      <c r="F5268" s="15" t="s">
        <v>51</v>
      </c>
      <c r="G5268" s="14" t="s">
        <v>115</v>
      </c>
      <c r="H5268" s="14" t="s">
        <v>72</v>
      </c>
      <c r="I5268" s="14" t="s">
        <v>54</v>
      </c>
      <c r="J5268" s="14" t="s">
        <v>200</v>
      </c>
      <c r="K5268" s="14" t="s">
        <v>224</v>
      </c>
      <c r="L5268" s="14" t="s">
        <v>427</v>
      </c>
      <c r="M5268" s="14" t="s">
        <v>769</v>
      </c>
      <c r="N5268" s="14" t="s">
        <v>770</v>
      </c>
      <c r="O5268" s="14">
        <v>0.0</v>
      </c>
      <c r="P5268" s="23">
        <v>0.0</v>
      </c>
      <c r="Q5268" s="22" t="str">
        <f t="shared" ref="Q5268:R5268" si="3153">"+0.00%"</f>
        <v>+0.00%</v>
      </c>
      <c r="R5268" s="18" t="str">
        <f t="shared" si="3153"/>
        <v>+0.00%</v>
      </c>
      <c r="S5268" s="14" t="s">
        <v>771</v>
      </c>
    </row>
    <row r="5269">
      <c r="A5269" s="13">
        <v>45901.0</v>
      </c>
      <c r="B5269" s="14" t="s">
        <v>47</v>
      </c>
      <c r="C5269" s="14" t="s">
        <v>48</v>
      </c>
      <c r="D5269" s="14" t="s">
        <v>69</v>
      </c>
      <c r="E5269" s="14" t="s">
        <v>70</v>
      </c>
      <c r="F5269" s="15" t="s">
        <v>51</v>
      </c>
      <c r="G5269" s="14" t="s">
        <v>115</v>
      </c>
      <c r="H5269" s="14" t="s">
        <v>72</v>
      </c>
      <c r="I5269" s="14" t="s">
        <v>54</v>
      </c>
      <c r="J5269" s="14" t="s">
        <v>200</v>
      </c>
      <c r="K5269" s="14" t="s">
        <v>222</v>
      </c>
      <c r="L5269" s="14" t="s">
        <v>1161</v>
      </c>
      <c r="M5269" s="14" t="s">
        <v>1162</v>
      </c>
      <c r="N5269" s="14" t="s">
        <v>1163</v>
      </c>
      <c r="O5269" s="14">
        <v>0.0</v>
      </c>
      <c r="P5269" s="21">
        <v>0.0</v>
      </c>
      <c r="Q5269" s="22" t="str">
        <f t="shared" ref="Q5269:Q5271" si="3154">"+0"</f>
        <v>+0</v>
      </c>
      <c r="R5269" s="18" t="str">
        <f>"-1"</f>
        <v>-1</v>
      </c>
      <c r="S5269" s="14" t="s">
        <v>260</v>
      </c>
    </row>
    <row r="5270">
      <c r="A5270" s="13">
        <v>45901.0</v>
      </c>
      <c r="B5270" s="14" t="s">
        <v>47</v>
      </c>
      <c r="C5270" s="14" t="s">
        <v>48</v>
      </c>
      <c r="D5270" s="14" t="s">
        <v>69</v>
      </c>
      <c r="E5270" s="14" t="s">
        <v>70</v>
      </c>
      <c r="F5270" s="15" t="s">
        <v>51</v>
      </c>
      <c r="G5270" s="14" t="s">
        <v>115</v>
      </c>
      <c r="H5270" s="14" t="s">
        <v>72</v>
      </c>
      <c r="I5270" s="14" t="s">
        <v>54</v>
      </c>
      <c r="J5270" s="14" t="s">
        <v>198</v>
      </c>
      <c r="K5270" s="14" t="s">
        <v>210</v>
      </c>
      <c r="L5270" s="14" t="s">
        <v>505</v>
      </c>
      <c r="M5270" s="14" t="s">
        <v>746</v>
      </c>
      <c r="N5270" s="14" t="s">
        <v>747</v>
      </c>
      <c r="O5270" s="14">
        <v>0.0</v>
      </c>
      <c r="P5270" s="21">
        <v>0.0</v>
      </c>
      <c r="Q5270" s="22" t="str">
        <f t="shared" si="3154"/>
        <v>+0</v>
      </c>
      <c r="R5270" s="18" t="str">
        <f t="shared" ref="R5270:R5271" si="3155">"+0"</f>
        <v>+0</v>
      </c>
      <c r="S5270" s="14" t="s">
        <v>277</v>
      </c>
    </row>
    <row r="5271">
      <c r="A5271" s="13">
        <v>45901.0</v>
      </c>
      <c r="B5271" s="14" t="s">
        <v>47</v>
      </c>
      <c r="C5271" s="14" t="s">
        <v>48</v>
      </c>
      <c r="D5271" s="14" t="s">
        <v>96</v>
      </c>
      <c r="E5271" s="14" t="s">
        <v>97</v>
      </c>
      <c r="F5271" s="15" t="s">
        <v>51</v>
      </c>
      <c r="G5271" s="14" t="s">
        <v>98</v>
      </c>
      <c r="H5271" s="14" t="s">
        <v>96</v>
      </c>
      <c r="I5271" s="14" t="s">
        <v>59</v>
      </c>
      <c r="J5271" s="14" t="s">
        <v>198</v>
      </c>
      <c r="K5271" s="14" t="s">
        <v>210</v>
      </c>
      <c r="L5271" s="14" t="s">
        <v>505</v>
      </c>
      <c r="M5271" s="14" t="s">
        <v>506</v>
      </c>
      <c r="N5271" s="14" t="s">
        <v>507</v>
      </c>
      <c r="O5271" s="14">
        <v>100.0</v>
      </c>
      <c r="P5271" s="21">
        <v>0.0</v>
      </c>
      <c r="Q5271" s="22" t="str">
        <f t="shared" si="3154"/>
        <v>+0</v>
      </c>
      <c r="R5271" s="18" t="str">
        <f t="shared" si="3155"/>
        <v>+0</v>
      </c>
      <c r="S5271" s="14" t="s">
        <v>281</v>
      </c>
    </row>
    <row r="5272">
      <c r="A5272" s="13">
        <v>45901.0</v>
      </c>
      <c r="B5272" s="14" t="s">
        <v>47</v>
      </c>
      <c r="C5272" s="14" t="s">
        <v>48</v>
      </c>
      <c r="D5272" s="14" t="s">
        <v>85</v>
      </c>
      <c r="E5272" s="14" t="s">
        <v>86</v>
      </c>
      <c r="F5272" s="15" t="s">
        <v>51</v>
      </c>
      <c r="G5272" s="14" t="s">
        <v>148</v>
      </c>
      <c r="H5272" s="14" t="s">
        <v>85</v>
      </c>
      <c r="I5272" s="14" t="s">
        <v>59</v>
      </c>
      <c r="J5272" s="14" t="s">
        <v>200</v>
      </c>
      <c r="K5272" s="14" t="s">
        <v>214</v>
      </c>
      <c r="L5272" s="14" t="s">
        <v>253</v>
      </c>
      <c r="M5272" s="14" t="s">
        <v>1165</v>
      </c>
      <c r="N5272" s="14" t="s">
        <v>2457</v>
      </c>
      <c r="O5272" s="14">
        <v>0.0</v>
      </c>
      <c r="P5272" s="23">
        <v>0.0</v>
      </c>
      <c r="Q5272" s="22" t="str">
        <f t="shared" ref="Q5272:R5272" si="3156">"+0.00%"</f>
        <v>+0.00%</v>
      </c>
      <c r="R5272" s="18" t="str">
        <f t="shared" si="3156"/>
        <v>+0.00%</v>
      </c>
      <c r="S5272" s="14" t="s">
        <v>1267</v>
      </c>
    </row>
    <row r="5273">
      <c r="A5273" s="13">
        <v>45901.0</v>
      </c>
      <c r="B5273" s="14" t="s">
        <v>47</v>
      </c>
      <c r="C5273" s="14" t="s">
        <v>48</v>
      </c>
      <c r="D5273" s="14" t="s">
        <v>108</v>
      </c>
      <c r="E5273" s="14" t="s">
        <v>109</v>
      </c>
      <c r="F5273" s="15" t="s">
        <v>51</v>
      </c>
      <c r="G5273" s="14" t="s">
        <v>110</v>
      </c>
      <c r="H5273" s="14" t="s">
        <v>108</v>
      </c>
      <c r="I5273" s="14" t="s">
        <v>59</v>
      </c>
      <c r="J5273" s="14" t="s">
        <v>200</v>
      </c>
      <c r="K5273" s="14" t="s">
        <v>201</v>
      </c>
      <c r="L5273" s="14" t="s">
        <v>253</v>
      </c>
      <c r="M5273" s="14" t="s">
        <v>585</v>
      </c>
      <c r="N5273" s="14" t="s">
        <v>586</v>
      </c>
      <c r="O5273" s="14">
        <v>1.0</v>
      </c>
      <c r="P5273" s="23">
        <v>0.0011</v>
      </c>
      <c r="Q5273" s="22" t="str">
        <f>"-0.05%"</f>
        <v>-0.05%</v>
      </c>
      <c r="S5273" s="14" t="s">
        <v>587</v>
      </c>
    </row>
    <row r="5274">
      <c r="A5274" s="13">
        <v>45901.0</v>
      </c>
      <c r="B5274" s="14" t="s">
        <v>47</v>
      </c>
      <c r="C5274" s="14" t="s">
        <v>48</v>
      </c>
      <c r="D5274" s="14" t="s">
        <v>155</v>
      </c>
      <c r="E5274" s="14" t="s">
        <v>156</v>
      </c>
      <c r="F5274" s="15" t="s">
        <v>51</v>
      </c>
      <c r="G5274" s="14" t="s">
        <v>157</v>
      </c>
      <c r="H5274" s="14" t="s">
        <v>155</v>
      </c>
      <c r="I5274" s="14" t="s">
        <v>59</v>
      </c>
      <c r="J5274" s="14" t="s">
        <v>200</v>
      </c>
      <c r="K5274" s="14" t="s">
        <v>223</v>
      </c>
      <c r="L5274" s="14" t="s">
        <v>257</v>
      </c>
      <c r="M5274" s="14" t="s">
        <v>622</v>
      </c>
      <c r="N5274" s="14" t="s">
        <v>623</v>
      </c>
      <c r="O5274" s="14">
        <v>0.0</v>
      </c>
      <c r="P5274" s="23">
        <v>-1.0</v>
      </c>
      <c r="Q5274" s="22" t="str">
        <f t="shared" ref="Q5274:R5274" si="3157">"+0.00%"</f>
        <v>+0.00%</v>
      </c>
      <c r="R5274" s="18" t="str">
        <f t="shared" si="3157"/>
        <v>+0.00%</v>
      </c>
      <c r="S5274" s="14" t="s">
        <v>587</v>
      </c>
    </row>
    <row r="5275">
      <c r="A5275" s="13">
        <v>45901.0</v>
      </c>
      <c r="B5275" s="14" t="s">
        <v>47</v>
      </c>
      <c r="C5275" s="14" t="s">
        <v>48</v>
      </c>
      <c r="D5275" s="14" t="s">
        <v>168</v>
      </c>
      <c r="E5275" s="14" t="s">
        <v>169</v>
      </c>
      <c r="F5275" s="15" t="s">
        <v>51</v>
      </c>
      <c r="G5275" s="14" t="s">
        <v>170</v>
      </c>
      <c r="H5275" s="14" t="s">
        <v>168</v>
      </c>
      <c r="I5275" s="14" t="s">
        <v>59</v>
      </c>
      <c r="J5275" s="14" t="s">
        <v>198</v>
      </c>
      <c r="K5275" s="14" t="s">
        <v>205</v>
      </c>
      <c r="L5275" s="14" t="s">
        <v>274</v>
      </c>
      <c r="M5275" s="14" t="s">
        <v>448</v>
      </c>
      <c r="N5275" s="14" t="s">
        <v>449</v>
      </c>
      <c r="O5275" s="14">
        <v>100.0</v>
      </c>
      <c r="P5275" s="21">
        <v>5.0</v>
      </c>
      <c r="Q5275" s="22" t="str">
        <f>"+0"</f>
        <v>+0</v>
      </c>
      <c r="S5275" s="14" t="s">
        <v>450</v>
      </c>
    </row>
    <row r="5276">
      <c r="A5276" s="13">
        <v>45901.0</v>
      </c>
      <c r="B5276" s="14" t="s">
        <v>47</v>
      </c>
      <c r="C5276" s="14" t="s">
        <v>48</v>
      </c>
      <c r="D5276" s="14" t="s">
        <v>60</v>
      </c>
      <c r="E5276" s="14" t="s">
        <v>61</v>
      </c>
      <c r="F5276" s="15" t="s">
        <v>51</v>
      </c>
      <c r="G5276" s="14" t="s">
        <v>62</v>
      </c>
      <c r="H5276" s="14" t="s">
        <v>60</v>
      </c>
      <c r="I5276" s="14" t="s">
        <v>59</v>
      </c>
      <c r="J5276" s="14" t="s">
        <v>198</v>
      </c>
      <c r="K5276" s="14" t="s">
        <v>210</v>
      </c>
      <c r="L5276" s="14" t="s">
        <v>278</v>
      </c>
      <c r="M5276" s="14" t="s">
        <v>839</v>
      </c>
      <c r="N5276" s="14" t="s">
        <v>840</v>
      </c>
      <c r="O5276" s="14">
        <v>41.0</v>
      </c>
      <c r="P5276" s="21">
        <v>1450.0</v>
      </c>
      <c r="Q5276" s="22" t="str">
        <f>"-577"</f>
        <v>-577</v>
      </c>
      <c r="R5276" s="18" t="str">
        <f>"+11"</f>
        <v>+11</v>
      </c>
      <c r="S5276" s="14" t="s">
        <v>2458</v>
      </c>
    </row>
    <row r="5277">
      <c r="A5277" s="13">
        <v>45901.0</v>
      </c>
      <c r="B5277" s="14" t="s">
        <v>47</v>
      </c>
      <c r="C5277" s="14" t="s">
        <v>48</v>
      </c>
      <c r="D5277" s="14" t="s">
        <v>118</v>
      </c>
      <c r="E5277" s="14" t="s">
        <v>119</v>
      </c>
      <c r="F5277" s="15" t="s">
        <v>51</v>
      </c>
      <c r="G5277" s="14" t="s">
        <v>120</v>
      </c>
      <c r="H5277" s="14" t="s">
        <v>118</v>
      </c>
      <c r="I5277" s="14" t="s">
        <v>59</v>
      </c>
      <c r="J5277" s="14" t="s">
        <v>200</v>
      </c>
      <c r="K5277" s="14" t="s">
        <v>227</v>
      </c>
      <c r="L5277" s="14" t="s">
        <v>270</v>
      </c>
      <c r="M5277" s="14" t="s">
        <v>417</v>
      </c>
      <c r="N5277" s="14" t="s">
        <v>418</v>
      </c>
      <c r="O5277" s="14">
        <v>0.0</v>
      </c>
      <c r="P5277" s="21">
        <v>0.0</v>
      </c>
      <c r="Q5277" s="22" t="str">
        <f t="shared" ref="Q5277:R5277" si="3158">"+0"</f>
        <v>+0</v>
      </c>
      <c r="R5277" s="18" t="str">
        <f t="shared" si="3158"/>
        <v>+0</v>
      </c>
      <c r="S5277" s="14" t="s">
        <v>260</v>
      </c>
    </row>
    <row r="5278">
      <c r="A5278" s="13">
        <v>45901.0</v>
      </c>
      <c r="B5278" s="14" t="s">
        <v>47</v>
      </c>
      <c r="C5278" s="14" t="s">
        <v>48</v>
      </c>
      <c r="D5278" s="14" t="s">
        <v>91</v>
      </c>
      <c r="E5278" s="14" t="s">
        <v>92</v>
      </c>
      <c r="F5278" s="14" t="s">
        <v>71</v>
      </c>
      <c r="G5278" s="14">
        <v>5.10000484E8</v>
      </c>
      <c r="H5278" s="14" t="s">
        <v>91</v>
      </c>
      <c r="I5278" s="14" t="s">
        <v>54</v>
      </c>
      <c r="J5278" s="14" t="s">
        <v>199</v>
      </c>
      <c r="K5278" s="14" t="s">
        <v>206</v>
      </c>
      <c r="L5278" s="14" t="s">
        <v>381</v>
      </c>
      <c r="M5278" s="14" t="s">
        <v>381</v>
      </c>
      <c r="N5278" s="14" t="s">
        <v>382</v>
      </c>
      <c r="O5278" s="14">
        <v>0.0</v>
      </c>
      <c r="P5278" s="21">
        <v>0.0</v>
      </c>
      <c r="Q5278" s="22" t="str">
        <f t="shared" ref="Q5278:R5278" si="3159">"+0"</f>
        <v>+0</v>
      </c>
      <c r="R5278" s="18" t="str">
        <f t="shared" si="3159"/>
        <v>+0</v>
      </c>
      <c r="S5278" s="14" t="s">
        <v>383</v>
      </c>
    </row>
    <row r="5279">
      <c r="A5279" s="13">
        <v>45901.0</v>
      </c>
      <c r="B5279" s="14" t="s">
        <v>47</v>
      </c>
      <c r="C5279" s="14" t="s">
        <v>48</v>
      </c>
      <c r="D5279" s="14" t="s">
        <v>91</v>
      </c>
      <c r="E5279" s="14" t="s">
        <v>92</v>
      </c>
      <c r="F5279" s="14" t="s">
        <v>71</v>
      </c>
      <c r="G5279" s="14">
        <v>5.10000484E8</v>
      </c>
      <c r="H5279" s="14" t="s">
        <v>91</v>
      </c>
      <c r="I5279" s="14" t="s">
        <v>54</v>
      </c>
      <c r="J5279" s="14" t="s">
        <v>200</v>
      </c>
      <c r="K5279" s="14" t="s">
        <v>230</v>
      </c>
      <c r="L5279" s="14" t="s">
        <v>253</v>
      </c>
      <c r="M5279" s="14" t="s">
        <v>1066</v>
      </c>
      <c r="N5279" s="14" t="s">
        <v>1067</v>
      </c>
      <c r="O5279" s="14">
        <v>100.0</v>
      </c>
      <c r="P5279" s="23">
        <v>1.0</v>
      </c>
      <c r="Q5279" s="22" t="str">
        <f t="shared" ref="Q5279:R5279" si="3160">"+0.00%"</f>
        <v>+0.00%</v>
      </c>
      <c r="R5279" s="18" t="str">
        <f t="shared" si="3160"/>
        <v>+0.00%</v>
      </c>
      <c r="S5279" s="14" t="s">
        <v>1776</v>
      </c>
    </row>
    <row r="5280">
      <c r="A5280" s="13">
        <v>45901.0</v>
      </c>
      <c r="B5280" s="14" t="s">
        <v>47</v>
      </c>
      <c r="C5280" s="14" t="s">
        <v>48</v>
      </c>
      <c r="D5280" s="14" t="s">
        <v>192</v>
      </c>
      <c r="E5280" s="14" t="s">
        <v>193</v>
      </c>
      <c r="F5280" s="15" t="s">
        <v>51</v>
      </c>
      <c r="G5280" s="14" t="s">
        <v>194</v>
      </c>
      <c r="H5280" s="14" t="s">
        <v>192</v>
      </c>
      <c r="I5280" s="14" t="s">
        <v>54</v>
      </c>
      <c r="J5280" s="14" t="s">
        <v>200</v>
      </c>
      <c r="K5280" s="14" t="s">
        <v>231</v>
      </c>
      <c r="L5280" s="14" t="s">
        <v>512</v>
      </c>
      <c r="M5280" s="14" t="s">
        <v>1152</v>
      </c>
      <c r="N5280" s="14" t="s">
        <v>1153</v>
      </c>
      <c r="O5280" s="14">
        <v>0.0</v>
      </c>
      <c r="P5280" s="21">
        <v>0.0</v>
      </c>
      <c r="Q5280" s="22" t="str">
        <f t="shared" ref="Q5280:R5280" si="3161">"+0"</f>
        <v>+0</v>
      </c>
      <c r="R5280" s="18" t="str">
        <f t="shared" si="3161"/>
        <v>+0</v>
      </c>
      <c r="S5280" s="14" t="s">
        <v>260</v>
      </c>
    </row>
    <row r="5281">
      <c r="A5281" s="13">
        <v>45901.0</v>
      </c>
      <c r="B5281" s="14" t="s">
        <v>47</v>
      </c>
      <c r="C5281" s="14" t="s">
        <v>48</v>
      </c>
      <c r="D5281" s="14" t="s">
        <v>192</v>
      </c>
      <c r="E5281" s="14" t="s">
        <v>193</v>
      </c>
      <c r="F5281" s="15" t="s">
        <v>51</v>
      </c>
      <c r="G5281" s="14" t="s">
        <v>194</v>
      </c>
      <c r="H5281" s="14" t="s">
        <v>192</v>
      </c>
      <c r="I5281" s="14" t="s">
        <v>54</v>
      </c>
      <c r="J5281" s="14" t="s">
        <v>199</v>
      </c>
      <c r="K5281" s="14" t="s">
        <v>206</v>
      </c>
      <c r="L5281" s="14" t="s">
        <v>531</v>
      </c>
      <c r="M5281" s="14" t="s">
        <v>531</v>
      </c>
      <c r="N5281" s="14" t="s">
        <v>532</v>
      </c>
      <c r="O5281" s="14">
        <v>100.0</v>
      </c>
      <c r="P5281" s="21">
        <v>18.0</v>
      </c>
      <c r="Q5281" s="22" t="str">
        <f>"+1"</f>
        <v>+1</v>
      </c>
      <c r="R5281" s="18" t="str">
        <f>"+2"</f>
        <v>+2</v>
      </c>
      <c r="S5281" s="14" t="s">
        <v>260</v>
      </c>
    </row>
    <row r="5282">
      <c r="A5282" s="13">
        <v>45901.0</v>
      </c>
      <c r="B5282" s="14" t="s">
        <v>47</v>
      </c>
      <c r="C5282" s="14" t="s">
        <v>48</v>
      </c>
      <c r="D5282" s="14" t="s">
        <v>82</v>
      </c>
      <c r="E5282" s="14" t="s">
        <v>83</v>
      </c>
      <c r="F5282" s="15" t="s">
        <v>51</v>
      </c>
      <c r="G5282" s="14" t="s">
        <v>84</v>
      </c>
      <c r="H5282" s="14" t="s">
        <v>82</v>
      </c>
      <c r="I5282" s="14" t="s">
        <v>59</v>
      </c>
      <c r="J5282" s="14" t="s">
        <v>200</v>
      </c>
      <c r="K5282" s="14" t="s">
        <v>213</v>
      </c>
      <c r="L5282" s="14" t="s">
        <v>676</v>
      </c>
      <c r="M5282" s="14" t="s">
        <v>677</v>
      </c>
      <c r="N5282" s="14" t="s">
        <v>678</v>
      </c>
      <c r="O5282" s="14">
        <v>0.0</v>
      </c>
      <c r="P5282" s="23">
        <v>0.0</v>
      </c>
      <c r="Q5282" s="22" t="str">
        <f t="shared" ref="Q5282:R5282" si="3162">"+0.00%"</f>
        <v>+0.00%</v>
      </c>
      <c r="R5282" s="18" t="str">
        <f t="shared" si="3162"/>
        <v>+0.00%</v>
      </c>
      <c r="S5282" s="14" t="s">
        <v>285</v>
      </c>
    </row>
    <row r="5283">
      <c r="A5283" s="13">
        <v>45901.0</v>
      </c>
      <c r="B5283" s="14" t="s">
        <v>47</v>
      </c>
      <c r="C5283" s="14" t="s">
        <v>48</v>
      </c>
      <c r="D5283" s="14" t="s">
        <v>93</v>
      </c>
      <c r="E5283" s="14" t="s">
        <v>94</v>
      </c>
      <c r="F5283" s="15" t="s">
        <v>51</v>
      </c>
      <c r="G5283" s="14" t="s">
        <v>191</v>
      </c>
      <c r="H5283" s="14" t="s">
        <v>95</v>
      </c>
      <c r="I5283" s="14" t="s">
        <v>59</v>
      </c>
      <c r="J5283" s="14" t="s">
        <v>199</v>
      </c>
      <c r="K5283" s="14" t="s">
        <v>206</v>
      </c>
      <c r="L5283" s="14" t="s">
        <v>515</v>
      </c>
      <c r="M5283" s="14" t="s">
        <v>515</v>
      </c>
      <c r="N5283" s="14" t="s">
        <v>516</v>
      </c>
      <c r="O5283" s="14">
        <v>0.0</v>
      </c>
      <c r="P5283" s="21">
        <v>0.0</v>
      </c>
      <c r="Q5283" s="22" t="str">
        <f t="shared" ref="Q5283:R5283" si="3163">"+0"</f>
        <v>+0</v>
      </c>
      <c r="R5283" s="18" t="str">
        <f t="shared" si="3163"/>
        <v>+0</v>
      </c>
      <c r="S5283" s="14" t="s">
        <v>383</v>
      </c>
    </row>
    <row r="5284">
      <c r="A5284" s="13">
        <v>45901.0</v>
      </c>
      <c r="B5284" s="14" t="s">
        <v>47</v>
      </c>
      <c r="C5284" s="14" t="s">
        <v>48</v>
      </c>
      <c r="D5284" s="14" t="s">
        <v>192</v>
      </c>
      <c r="E5284" s="14" t="s">
        <v>193</v>
      </c>
      <c r="F5284" s="15" t="s">
        <v>51</v>
      </c>
      <c r="G5284" s="14" t="s">
        <v>194</v>
      </c>
      <c r="H5284" s="14" t="s">
        <v>192</v>
      </c>
      <c r="I5284" s="14" t="s">
        <v>54</v>
      </c>
      <c r="J5284" s="14" t="s">
        <v>198</v>
      </c>
      <c r="K5284" s="14" t="s">
        <v>210</v>
      </c>
      <c r="L5284" s="14" t="s">
        <v>505</v>
      </c>
      <c r="M5284" s="14" t="s">
        <v>746</v>
      </c>
      <c r="N5284" s="14" t="s">
        <v>747</v>
      </c>
      <c r="O5284" s="14">
        <v>0.0</v>
      </c>
      <c r="P5284" s="21">
        <v>0.0</v>
      </c>
      <c r="Q5284" s="22" t="str">
        <f t="shared" ref="Q5284:R5284" si="3164">"+0"</f>
        <v>+0</v>
      </c>
      <c r="R5284" s="18" t="str">
        <f t="shared" si="3164"/>
        <v>+0</v>
      </c>
      <c r="S5284" s="14" t="s">
        <v>277</v>
      </c>
    </row>
    <row r="5285">
      <c r="A5285" s="13">
        <v>45901.0</v>
      </c>
      <c r="B5285" s="14" t="s">
        <v>47</v>
      </c>
      <c r="C5285" s="14" t="s">
        <v>48</v>
      </c>
      <c r="D5285" s="14" t="s">
        <v>87</v>
      </c>
      <c r="E5285" s="14" t="s">
        <v>88</v>
      </c>
      <c r="F5285" s="15" t="s">
        <v>51</v>
      </c>
      <c r="G5285" s="14" t="s">
        <v>89</v>
      </c>
      <c r="H5285" s="14" t="s">
        <v>90</v>
      </c>
      <c r="I5285" s="14" t="s">
        <v>59</v>
      </c>
      <c r="J5285" s="14" t="s">
        <v>200</v>
      </c>
      <c r="K5285" s="14" t="s">
        <v>223</v>
      </c>
      <c r="L5285" s="14" t="s">
        <v>261</v>
      </c>
      <c r="M5285" s="14" t="s">
        <v>1338</v>
      </c>
      <c r="N5285" s="14" t="s">
        <v>1339</v>
      </c>
      <c r="O5285" s="14">
        <v>100.0</v>
      </c>
      <c r="P5285" s="23">
        <v>0.0055</v>
      </c>
      <c r="Q5285" s="22" t="str">
        <f t="shared" ref="Q5285:R5285" si="3165">"+0.55%"</f>
        <v>+0.55%</v>
      </c>
      <c r="R5285" s="18" t="str">
        <f t="shared" si="3165"/>
        <v>+0.55%</v>
      </c>
      <c r="S5285" s="14" t="s">
        <v>285</v>
      </c>
    </row>
    <row r="5286">
      <c r="A5286" s="13">
        <v>45901.0</v>
      </c>
      <c r="B5286" s="14" t="s">
        <v>47</v>
      </c>
      <c r="C5286" s="14" t="s">
        <v>48</v>
      </c>
      <c r="D5286" s="14" t="s">
        <v>136</v>
      </c>
      <c r="E5286" s="14" t="s">
        <v>137</v>
      </c>
      <c r="F5286" s="15" t="s">
        <v>51</v>
      </c>
      <c r="G5286" s="14" t="s">
        <v>138</v>
      </c>
      <c r="H5286" s="14" t="s">
        <v>139</v>
      </c>
      <c r="I5286" s="14" t="s">
        <v>59</v>
      </c>
      <c r="J5286" s="14" t="s">
        <v>200</v>
      </c>
      <c r="K5286" s="14" t="s">
        <v>213</v>
      </c>
      <c r="L5286" s="14" t="s">
        <v>571</v>
      </c>
      <c r="M5286" s="14" t="s">
        <v>572</v>
      </c>
      <c r="N5286" s="14" t="s">
        <v>573</v>
      </c>
      <c r="O5286" s="14">
        <v>0.0</v>
      </c>
      <c r="P5286" s="23">
        <v>0.0</v>
      </c>
      <c r="Q5286" s="22" t="str">
        <f t="shared" ref="Q5286:R5286" si="3166">"+0.00%"</f>
        <v>+0.00%</v>
      </c>
      <c r="R5286" s="18" t="str">
        <f t="shared" si="3166"/>
        <v>+0.00%</v>
      </c>
      <c r="S5286" s="14" t="s">
        <v>285</v>
      </c>
    </row>
    <row r="5287">
      <c r="A5287" s="13">
        <v>45901.0</v>
      </c>
      <c r="B5287" s="14" t="s">
        <v>47</v>
      </c>
      <c r="C5287" s="14" t="s">
        <v>48</v>
      </c>
      <c r="D5287" s="14" t="s">
        <v>149</v>
      </c>
      <c r="E5287" s="14" t="s">
        <v>150</v>
      </c>
      <c r="F5287" s="15" t="s">
        <v>51</v>
      </c>
      <c r="G5287" s="14" t="s">
        <v>151</v>
      </c>
      <c r="H5287" s="14" t="s">
        <v>152</v>
      </c>
      <c r="I5287" s="14" t="s">
        <v>54</v>
      </c>
      <c r="J5287" s="14" t="s">
        <v>200</v>
      </c>
      <c r="K5287" s="14" t="s">
        <v>231</v>
      </c>
      <c r="L5287" s="14" t="s">
        <v>512</v>
      </c>
      <c r="M5287" s="14" t="s">
        <v>1399</v>
      </c>
      <c r="N5287" s="14" t="s">
        <v>1400</v>
      </c>
      <c r="O5287" s="14">
        <v>0.0</v>
      </c>
      <c r="P5287" s="21">
        <v>0.0</v>
      </c>
      <c r="Q5287" s="22" t="str">
        <f t="shared" ref="Q5287:R5287" si="3167">"+0"</f>
        <v>+0</v>
      </c>
      <c r="R5287" s="18" t="str">
        <f t="shared" si="3167"/>
        <v>+0</v>
      </c>
      <c r="S5287" s="14" t="s">
        <v>260</v>
      </c>
    </row>
    <row r="5288">
      <c r="A5288" s="13">
        <v>45901.0</v>
      </c>
      <c r="B5288" s="14" t="s">
        <v>47</v>
      </c>
      <c r="C5288" s="14" t="s">
        <v>48</v>
      </c>
      <c r="D5288" s="14" t="s">
        <v>129</v>
      </c>
      <c r="E5288" s="14" t="s">
        <v>130</v>
      </c>
      <c r="F5288" s="15" t="s">
        <v>51</v>
      </c>
      <c r="G5288" s="14" t="s">
        <v>131</v>
      </c>
      <c r="H5288" s="14" t="s">
        <v>129</v>
      </c>
      <c r="I5288" s="14" t="s">
        <v>59</v>
      </c>
      <c r="J5288" s="14" t="s">
        <v>198</v>
      </c>
      <c r="K5288" s="14" t="s">
        <v>207</v>
      </c>
      <c r="L5288" s="14" t="s">
        <v>318</v>
      </c>
      <c r="M5288" s="14" t="s">
        <v>508</v>
      </c>
      <c r="N5288" s="14" t="s">
        <v>509</v>
      </c>
      <c r="O5288" s="14">
        <v>0.0</v>
      </c>
      <c r="P5288" s="21">
        <v>0.0</v>
      </c>
      <c r="Q5288" s="22" t="str">
        <f>"+0"</f>
        <v>+0</v>
      </c>
      <c r="S5288" s="14" t="s">
        <v>281</v>
      </c>
    </row>
    <row r="5289">
      <c r="A5289" s="13">
        <v>45901.0</v>
      </c>
      <c r="B5289" s="14" t="s">
        <v>47</v>
      </c>
      <c r="C5289" s="14" t="s">
        <v>48</v>
      </c>
      <c r="D5289" s="14" t="s">
        <v>149</v>
      </c>
      <c r="E5289" s="14" t="s">
        <v>150</v>
      </c>
      <c r="F5289" s="15" t="s">
        <v>51</v>
      </c>
      <c r="G5289" s="14" t="s">
        <v>151</v>
      </c>
      <c r="H5289" s="14" t="s">
        <v>152</v>
      </c>
      <c r="I5289" s="14" t="s">
        <v>54</v>
      </c>
      <c r="J5289" s="14" t="s">
        <v>200</v>
      </c>
      <c r="K5289" s="14" t="s">
        <v>224</v>
      </c>
      <c r="L5289" s="14" t="s">
        <v>392</v>
      </c>
      <c r="M5289" s="14" t="s">
        <v>1638</v>
      </c>
      <c r="N5289" s="14" t="s">
        <v>1639</v>
      </c>
      <c r="O5289" s="14">
        <v>33.0</v>
      </c>
      <c r="P5289" s="23">
        <v>0.3333</v>
      </c>
      <c r="Q5289" s="22" t="str">
        <f t="shared" ref="Q5289:R5289" si="3168">"-16.67%"</f>
        <v>-16.67%</v>
      </c>
      <c r="R5289" s="18" t="str">
        <f t="shared" si="3168"/>
        <v>-16.67%</v>
      </c>
      <c r="S5289" s="14" t="s">
        <v>2459</v>
      </c>
    </row>
    <row r="5290">
      <c r="A5290" s="13">
        <v>45901.0</v>
      </c>
      <c r="B5290" s="14" t="s">
        <v>47</v>
      </c>
      <c r="C5290" s="14" t="s">
        <v>48</v>
      </c>
      <c r="D5290" s="14" t="s">
        <v>69</v>
      </c>
      <c r="E5290" s="14" t="s">
        <v>70</v>
      </c>
      <c r="F5290" s="14" t="s">
        <v>71</v>
      </c>
      <c r="G5290" s="14">
        <v>1.00002092E8</v>
      </c>
      <c r="H5290" s="14" t="s">
        <v>72</v>
      </c>
      <c r="I5290" s="14" t="s">
        <v>54</v>
      </c>
      <c r="J5290" s="14" t="s">
        <v>199</v>
      </c>
      <c r="K5290" s="14" t="s">
        <v>206</v>
      </c>
      <c r="L5290" s="14" t="s">
        <v>295</v>
      </c>
      <c r="M5290" s="14" t="s">
        <v>986</v>
      </c>
      <c r="N5290" s="14" t="s">
        <v>987</v>
      </c>
      <c r="O5290" s="14">
        <v>0.0</v>
      </c>
      <c r="P5290" s="21">
        <v>0.0</v>
      </c>
      <c r="Q5290" s="22" t="str">
        <f t="shared" ref="Q5290:R5290" si="3169">"-1"</f>
        <v>-1</v>
      </c>
      <c r="R5290" s="18" t="str">
        <f t="shared" si="3169"/>
        <v>-1</v>
      </c>
      <c r="S5290" s="14" t="s">
        <v>260</v>
      </c>
    </row>
    <row r="5291">
      <c r="A5291" s="13">
        <v>45901.0</v>
      </c>
      <c r="B5291" s="14" t="s">
        <v>47</v>
      </c>
      <c r="C5291" s="14" t="s">
        <v>48</v>
      </c>
      <c r="D5291" s="14" t="s">
        <v>85</v>
      </c>
      <c r="E5291" s="14" t="s">
        <v>86</v>
      </c>
      <c r="F5291" s="15" t="s">
        <v>51</v>
      </c>
      <c r="G5291" s="14" t="s">
        <v>148</v>
      </c>
      <c r="H5291" s="14" t="s">
        <v>85</v>
      </c>
      <c r="I5291" s="14" t="s">
        <v>59</v>
      </c>
      <c r="J5291" s="14" t="s">
        <v>200</v>
      </c>
      <c r="K5291" s="14" t="s">
        <v>213</v>
      </c>
      <c r="L5291" s="14" t="s">
        <v>289</v>
      </c>
      <c r="M5291" s="14" t="s">
        <v>331</v>
      </c>
      <c r="N5291" s="14" t="s">
        <v>332</v>
      </c>
      <c r="O5291" s="14">
        <v>0.0</v>
      </c>
      <c r="P5291" s="23">
        <v>0.0</v>
      </c>
      <c r="Q5291" s="22" t="str">
        <f t="shared" ref="Q5291:R5291" si="3170">"+0.00%"</f>
        <v>+0.00%</v>
      </c>
      <c r="R5291" s="18" t="str">
        <f t="shared" si="3170"/>
        <v>+0.00%</v>
      </c>
      <c r="S5291" s="14" t="s">
        <v>285</v>
      </c>
    </row>
    <row r="5292">
      <c r="A5292" s="13">
        <v>45901.0</v>
      </c>
      <c r="B5292" s="14" t="s">
        <v>47</v>
      </c>
      <c r="C5292" s="14" t="s">
        <v>48</v>
      </c>
      <c r="D5292" s="14" t="s">
        <v>69</v>
      </c>
      <c r="E5292" s="14" t="s">
        <v>70</v>
      </c>
      <c r="F5292" s="15" t="s">
        <v>51</v>
      </c>
      <c r="G5292" s="14" t="s">
        <v>115</v>
      </c>
      <c r="H5292" s="14" t="s">
        <v>72</v>
      </c>
      <c r="I5292" s="14" t="s">
        <v>54</v>
      </c>
      <c r="J5292" s="14" t="s">
        <v>200</v>
      </c>
      <c r="K5292" s="14" t="s">
        <v>213</v>
      </c>
      <c r="L5292" s="14" t="s">
        <v>571</v>
      </c>
      <c r="M5292" s="14" t="s">
        <v>578</v>
      </c>
      <c r="N5292" s="14" t="s">
        <v>579</v>
      </c>
      <c r="O5292" s="14">
        <v>100.0</v>
      </c>
      <c r="P5292" s="23">
        <v>7.0E-4</v>
      </c>
      <c r="Q5292" s="22" t="str">
        <f>"+0.01%"</f>
        <v>+0.01%</v>
      </c>
      <c r="R5292" s="18" t="str">
        <f>"-0.00%"</f>
        <v>-0.00%</v>
      </c>
      <c r="S5292" s="14" t="s">
        <v>285</v>
      </c>
    </row>
    <row r="5293">
      <c r="A5293" s="13">
        <v>45901.0</v>
      </c>
      <c r="B5293" s="14" t="s">
        <v>47</v>
      </c>
      <c r="C5293" s="14" t="s">
        <v>48</v>
      </c>
      <c r="D5293" s="14" t="s">
        <v>108</v>
      </c>
      <c r="E5293" s="14" t="s">
        <v>109</v>
      </c>
      <c r="F5293" s="15" t="s">
        <v>51</v>
      </c>
      <c r="G5293" s="14" t="s">
        <v>110</v>
      </c>
      <c r="H5293" s="14" t="s">
        <v>108</v>
      </c>
      <c r="I5293" s="14" t="s">
        <v>59</v>
      </c>
      <c r="J5293" s="14" t="s">
        <v>200</v>
      </c>
      <c r="K5293" s="14" t="s">
        <v>201</v>
      </c>
      <c r="L5293" s="14" t="s">
        <v>253</v>
      </c>
      <c r="M5293" s="14" t="s">
        <v>409</v>
      </c>
      <c r="N5293" s="14" t="s">
        <v>410</v>
      </c>
      <c r="O5293" s="14">
        <v>0.0</v>
      </c>
      <c r="P5293" s="23">
        <v>0.0</v>
      </c>
      <c r="Q5293" s="22" t="str">
        <f>"+0.00%"</f>
        <v>+0.00%</v>
      </c>
      <c r="S5293" s="14" t="s">
        <v>411</v>
      </c>
    </row>
    <row r="5294">
      <c r="A5294" s="13">
        <v>45901.0</v>
      </c>
      <c r="B5294" s="14" t="s">
        <v>47</v>
      </c>
      <c r="C5294" s="14" t="s">
        <v>48</v>
      </c>
      <c r="D5294" s="14" t="s">
        <v>174</v>
      </c>
      <c r="E5294" s="14" t="s">
        <v>175</v>
      </c>
      <c r="F5294" s="15" t="s">
        <v>51</v>
      </c>
      <c r="G5294" s="14" t="s">
        <v>176</v>
      </c>
      <c r="H5294" s="14" t="s">
        <v>174</v>
      </c>
      <c r="I5294" s="14" t="s">
        <v>59</v>
      </c>
      <c r="J5294" s="14" t="s">
        <v>200</v>
      </c>
      <c r="K5294" s="14" t="s">
        <v>213</v>
      </c>
      <c r="L5294" s="14" t="s">
        <v>359</v>
      </c>
      <c r="M5294" s="14" t="s">
        <v>628</v>
      </c>
      <c r="N5294" s="14" t="s">
        <v>629</v>
      </c>
      <c r="O5294" s="14">
        <v>100.0</v>
      </c>
      <c r="P5294" s="21">
        <v>52.0</v>
      </c>
      <c r="Q5294" s="22" t="str">
        <f>"+0"</f>
        <v>+0</v>
      </c>
      <c r="R5294" s="18" t="str">
        <f>"+6"</f>
        <v>+6</v>
      </c>
      <c r="S5294" s="14" t="s">
        <v>260</v>
      </c>
    </row>
    <row r="5295">
      <c r="A5295" s="13">
        <v>45901.0</v>
      </c>
      <c r="B5295" s="14" t="s">
        <v>47</v>
      </c>
      <c r="C5295" s="14" t="s">
        <v>48</v>
      </c>
      <c r="D5295" s="14" t="s">
        <v>116</v>
      </c>
      <c r="E5295" s="14" t="s">
        <v>117</v>
      </c>
      <c r="F5295" s="15" t="s">
        <v>51</v>
      </c>
      <c r="G5295" s="14" t="s">
        <v>161</v>
      </c>
      <c r="H5295" s="14" t="s">
        <v>116</v>
      </c>
      <c r="I5295" s="14" t="s">
        <v>54</v>
      </c>
      <c r="J5295" s="14" t="s">
        <v>200</v>
      </c>
      <c r="K5295" s="14" t="s">
        <v>227</v>
      </c>
      <c r="L5295" s="14" t="s">
        <v>270</v>
      </c>
      <c r="M5295" s="14" t="s">
        <v>400</v>
      </c>
      <c r="N5295" s="14" t="s">
        <v>401</v>
      </c>
      <c r="O5295" s="14">
        <v>19.0</v>
      </c>
      <c r="P5295" s="21">
        <v>4.0</v>
      </c>
      <c r="Q5295" s="22" t="str">
        <f t="shared" ref="Q5295:R5295" si="3171">"+1"</f>
        <v>+1</v>
      </c>
      <c r="R5295" s="18" t="str">
        <f t="shared" si="3171"/>
        <v>+1</v>
      </c>
      <c r="S5295" s="14" t="s">
        <v>260</v>
      </c>
    </row>
    <row r="5296">
      <c r="A5296" s="13">
        <v>45901.0</v>
      </c>
      <c r="B5296" s="14" t="s">
        <v>47</v>
      </c>
      <c r="C5296" s="14" t="s">
        <v>48</v>
      </c>
      <c r="D5296" s="14" t="s">
        <v>112</v>
      </c>
      <c r="E5296" s="14" t="s">
        <v>113</v>
      </c>
      <c r="F5296" s="15" t="s">
        <v>51</v>
      </c>
      <c r="G5296" s="14" t="s">
        <v>114</v>
      </c>
      <c r="H5296" s="14" t="s">
        <v>112</v>
      </c>
      <c r="I5296" s="14" t="s">
        <v>59</v>
      </c>
      <c r="J5296" s="14" t="s">
        <v>200</v>
      </c>
      <c r="K5296" s="14" t="s">
        <v>222</v>
      </c>
      <c r="L5296" s="14" t="s">
        <v>337</v>
      </c>
      <c r="M5296" s="14" t="s">
        <v>1000</v>
      </c>
      <c r="N5296" s="14" t="s">
        <v>1001</v>
      </c>
      <c r="O5296" s="14">
        <v>0.0</v>
      </c>
      <c r="P5296" s="21">
        <v>0.0</v>
      </c>
      <c r="Q5296" s="22" t="str">
        <f t="shared" ref="Q5296:R5296" si="3172">"+0"</f>
        <v>+0</v>
      </c>
      <c r="R5296" s="18" t="str">
        <f t="shared" si="3172"/>
        <v>+0</v>
      </c>
      <c r="S5296" s="14" t="s">
        <v>260</v>
      </c>
    </row>
    <row r="5297">
      <c r="A5297" s="13">
        <v>45901.0</v>
      </c>
      <c r="B5297" s="14" t="s">
        <v>47</v>
      </c>
      <c r="C5297" s="14" t="s">
        <v>48</v>
      </c>
      <c r="D5297" s="14" t="s">
        <v>56</v>
      </c>
      <c r="E5297" s="14" t="s">
        <v>57</v>
      </c>
      <c r="F5297" s="15" t="s">
        <v>51</v>
      </c>
      <c r="G5297" s="14" t="s">
        <v>58</v>
      </c>
      <c r="H5297" s="14" t="s">
        <v>56</v>
      </c>
      <c r="I5297" s="14" t="s">
        <v>59</v>
      </c>
      <c r="J5297" s="14" t="s">
        <v>198</v>
      </c>
      <c r="K5297" s="14" t="s">
        <v>210</v>
      </c>
      <c r="L5297" s="14" t="s">
        <v>505</v>
      </c>
      <c r="M5297" s="14" t="s">
        <v>506</v>
      </c>
      <c r="N5297" s="14" t="s">
        <v>507</v>
      </c>
      <c r="O5297" s="14">
        <v>100.0</v>
      </c>
      <c r="P5297" s="21">
        <v>0.0</v>
      </c>
      <c r="Q5297" s="22" t="str">
        <f t="shared" ref="Q5297:R5297" si="3173">"+0"</f>
        <v>+0</v>
      </c>
      <c r="R5297" s="18" t="str">
        <f t="shared" si="3173"/>
        <v>+0</v>
      </c>
      <c r="S5297" s="14" t="s">
        <v>281</v>
      </c>
    </row>
    <row r="5298">
      <c r="A5298" s="13">
        <v>45901.0</v>
      </c>
      <c r="B5298" s="14" t="s">
        <v>47</v>
      </c>
      <c r="C5298" s="14" t="s">
        <v>48</v>
      </c>
      <c r="D5298" s="14" t="s">
        <v>140</v>
      </c>
      <c r="E5298" s="14" t="s">
        <v>141</v>
      </c>
      <c r="F5298" s="15" t="s">
        <v>51</v>
      </c>
      <c r="G5298" s="14" t="s">
        <v>142</v>
      </c>
      <c r="H5298" s="14" t="s">
        <v>140</v>
      </c>
      <c r="I5298" s="14" t="s">
        <v>59</v>
      </c>
      <c r="J5298" s="14" t="s">
        <v>198</v>
      </c>
      <c r="K5298" s="14" t="s">
        <v>207</v>
      </c>
      <c r="L5298" s="14" t="s">
        <v>318</v>
      </c>
      <c r="M5298" s="14" t="s">
        <v>319</v>
      </c>
      <c r="N5298" s="14" t="s">
        <v>320</v>
      </c>
      <c r="O5298" s="14">
        <v>0.0</v>
      </c>
      <c r="P5298" s="21">
        <v>0.0</v>
      </c>
      <c r="Q5298" s="22" t="str">
        <f t="shared" ref="Q5298:Q5299" si="3174">"+0"</f>
        <v>+0</v>
      </c>
      <c r="S5298" s="14" t="s">
        <v>281</v>
      </c>
    </row>
    <row r="5299">
      <c r="A5299" s="13">
        <v>45901.0</v>
      </c>
      <c r="B5299" s="14" t="s">
        <v>47</v>
      </c>
      <c r="C5299" s="14" t="s">
        <v>48</v>
      </c>
      <c r="D5299" s="14" t="s">
        <v>121</v>
      </c>
      <c r="E5299" s="14" t="s">
        <v>122</v>
      </c>
      <c r="F5299" s="15" t="s">
        <v>51</v>
      </c>
      <c r="G5299" s="14" t="s">
        <v>123</v>
      </c>
      <c r="H5299" s="14" t="s">
        <v>124</v>
      </c>
      <c r="I5299" s="14" t="s">
        <v>59</v>
      </c>
      <c r="J5299" s="14" t="s">
        <v>199</v>
      </c>
      <c r="K5299" s="14" t="s">
        <v>203</v>
      </c>
      <c r="L5299" s="14" t="s">
        <v>736</v>
      </c>
      <c r="M5299" s="14" t="s">
        <v>736</v>
      </c>
      <c r="N5299" s="14" t="s">
        <v>737</v>
      </c>
      <c r="O5299" s="14">
        <v>0.0</v>
      </c>
      <c r="P5299" s="21">
        <v>0.0</v>
      </c>
      <c r="Q5299" s="22" t="str">
        <f t="shared" si="3174"/>
        <v>+0</v>
      </c>
      <c r="R5299" s="18" t="str">
        <f>"+0"</f>
        <v>+0</v>
      </c>
      <c r="S5299" s="14" t="s">
        <v>260</v>
      </c>
    </row>
    <row r="5300">
      <c r="A5300" s="13">
        <v>45901.0</v>
      </c>
      <c r="B5300" s="14" t="s">
        <v>47</v>
      </c>
      <c r="C5300" s="14" t="s">
        <v>48</v>
      </c>
      <c r="D5300" s="14" t="s">
        <v>49</v>
      </c>
      <c r="E5300" s="14" t="s">
        <v>50</v>
      </c>
      <c r="F5300" s="15" t="s">
        <v>51</v>
      </c>
      <c r="G5300" s="14" t="s">
        <v>52</v>
      </c>
      <c r="H5300" s="14" t="s">
        <v>53</v>
      </c>
      <c r="I5300" s="14" t="s">
        <v>54</v>
      </c>
      <c r="J5300" s="14" t="s">
        <v>198</v>
      </c>
      <c r="K5300" s="14" t="s">
        <v>210</v>
      </c>
      <c r="L5300" s="14" t="s">
        <v>278</v>
      </c>
      <c r="M5300" s="14" t="s">
        <v>443</v>
      </c>
      <c r="N5300" s="14" t="s">
        <v>444</v>
      </c>
      <c r="O5300" s="14">
        <v>39.0</v>
      </c>
      <c r="P5300" s="21">
        <v>141.0</v>
      </c>
      <c r="Q5300" s="22" t="str">
        <f>"-13"</f>
        <v>-13</v>
      </c>
      <c r="R5300" s="18" t="str">
        <f>"-65"</f>
        <v>-65</v>
      </c>
      <c r="S5300" s="14" t="s">
        <v>577</v>
      </c>
    </row>
    <row r="5301">
      <c r="A5301" s="13">
        <v>45901.0</v>
      </c>
      <c r="B5301" s="14" t="s">
        <v>47</v>
      </c>
      <c r="C5301" s="14" t="s">
        <v>48</v>
      </c>
      <c r="D5301" s="14" t="s">
        <v>177</v>
      </c>
      <c r="E5301" s="14" t="s">
        <v>178</v>
      </c>
      <c r="F5301" s="14" t="s">
        <v>146</v>
      </c>
      <c r="G5301" s="14" t="s">
        <v>179</v>
      </c>
      <c r="H5301" s="14" t="s">
        <v>177</v>
      </c>
      <c r="I5301" s="14" t="s">
        <v>107</v>
      </c>
      <c r="J5301" s="14" t="s">
        <v>200</v>
      </c>
      <c r="K5301" s="14" t="s">
        <v>226</v>
      </c>
      <c r="L5301" s="14" t="s">
        <v>2460</v>
      </c>
      <c r="M5301" s="14" t="s">
        <v>2461</v>
      </c>
      <c r="N5301" s="14" t="s">
        <v>2462</v>
      </c>
      <c r="O5301" s="14">
        <v>0.0</v>
      </c>
      <c r="P5301" s="23">
        <v>0.0</v>
      </c>
      <c r="Q5301" s="22" t="str">
        <f t="shared" ref="Q5301:R5301" si="3175">"+0.00%"</f>
        <v>+0.00%</v>
      </c>
      <c r="R5301" s="18" t="str">
        <f t="shared" si="3175"/>
        <v>+0.00%</v>
      </c>
      <c r="S5301" s="14" t="s">
        <v>371</v>
      </c>
    </row>
    <row r="5302">
      <c r="A5302" s="13">
        <v>45901.0</v>
      </c>
      <c r="B5302" s="14" t="s">
        <v>47</v>
      </c>
      <c r="C5302" s="14" t="s">
        <v>48</v>
      </c>
      <c r="D5302" s="14" t="s">
        <v>118</v>
      </c>
      <c r="E5302" s="14" t="s">
        <v>119</v>
      </c>
      <c r="F5302" s="15" t="s">
        <v>51</v>
      </c>
      <c r="G5302" s="14" t="s">
        <v>120</v>
      </c>
      <c r="H5302" s="14" t="s">
        <v>118</v>
      </c>
      <c r="I5302" s="14" t="s">
        <v>59</v>
      </c>
      <c r="J5302" s="14" t="s">
        <v>198</v>
      </c>
      <c r="K5302" s="14" t="s">
        <v>210</v>
      </c>
      <c r="L5302" s="14" t="s">
        <v>278</v>
      </c>
      <c r="M5302" s="14" t="s">
        <v>443</v>
      </c>
      <c r="N5302" s="14" t="s">
        <v>444</v>
      </c>
      <c r="O5302" s="14">
        <v>15.0</v>
      </c>
      <c r="P5302" s="21">
        <v>208.0</v>
      </c>
      <c r="Q5302" s="22" t="str">
        <f>"+24"</f>
        <v>+24</v>
      </c>
      <c r="R5302" s="18" t="str">
        <f>"+51"</f>
        <v>+51</v>
      </c>
      <c r="S5302" s="14" t="s">
        <v>1965</v>
      </c>
    </row>
    <row r="5303">
      <c r="A5303" s="13">
        <v>45901.0</v>
      </c>
      <c r="B5303" s="14" t="s">
        <v>47</v>
      </c>
      <c r="C5303" s="14" t="s">
        <v>48</v>
      </c>
      <c r="D5303" s="14" t="s">
        <v>99</v>
      </c>
      <c r="E5303" s="14" t="s">
        <v>100</v>
      </c>
      <c r="F5303" s="15" t="s">
        <v>51</v>
      </c>
      <c r="G5303" s="14" t="s">
        <v>101</v>
      </c>
      <c r="H5303" s="14" t="s">
        <v>102</v>
      </c>
      <c r="I5303" s="14" t="s">
        <v>54</v>
      </c>
      <c r="J5303" s="14" t="s">
        <v>200</v>
      </c>
      <c r="K5303" s="14" t="s">
        <v>213</v>
      </c>
      <c r="L5303" s="14" t="s">
        <v>257</v>
      </c>
      <c r="M5303" s="14" t="s">
        <v>258</v>
      </c>
      <c r="N5303" s="14" t="s">
        <v>259</v>
      </c>
      <c r="O5303" s="14">
        <v>0.0</v>
      </c>
      <c r="P5303" s="21">
        <v>0.0</v>
      </c>
      <c r="Q5303" s="22" t="str">
        <f t="shared" ref="Q5303:R5303" si="3176">"+0"</f>
        <v>+0</v>
      </c>
      <c r="R5303" s="18" t="str">
        <f t="shared" si="3176"/>
        <v>+0</v>
      </c>
      <c r="S5303" s="14" t="s">
        <v>260</v>
      </c>
    </row>
    <row r="5304">
      <c r="A5304" s="13">
        <v>45901.0</v>
      </c>
      <c r="B5304" s="14" t="s">
        <v>47</v>
      </c>
      <c r="C5304" s="14" t="s">
        <v>48</v>
      </c>
      <c r="D5304" s="14" t="s">
        <v>63</v>
      </c>
      <c r="E5304" s="14" t="s">
        <v>64</v>
      </c>
      <c r="F5304" s="15" t="s">
        <v>51</v>
      </c>
      <c r="G5304" s="14" t="s">
        <v>65</v>
      </c>
      <c r="H5304" s="14" t="s">
        <v>63</v>
      </c>
      <c r="I5304" s="14" t="s">
        <v>54</v>
      </c>
      <c r="J5304" s="14" t="s">
        <v>198</v>
      </c>
      <c r="K5304" s="14" t="s">
        <v>210</v>
      </c>
      <c r="L5304" s="14" t="s">
        <v>505</v>
      </c>
      <c r="M5304" s="14" t="s">
        <v>1393</v>
      </c>
      <c r="N5304" s="14" t="s">
        <v>1394</v>
      </c>
      <c r="O5304" s="14">
        <v>0.0</v>
      </c>
      <c r="P5304" s="21">
        <v>0.0</v>
      </c>
      <c r="Q5304" s="22" t="str">
        <f t="shared" ref="Q5304:R5304" si="3177">"+0"</f>
        <v>+0</v>
      </c>
      <c r="R5304" s="18" t="str">
        <f t="shared" si="3177"/>
        <v>+0</v>
      </c>
      <c r="S5304" s="14" t="s">
        <v>277</v>
      </c>
    </row>
    <row r="5305">
      <c r="A5305" s="13">
        <v>45901.0</v>
      </c>
      <c r="B5305" s="14" t="s">
        <v>47</v>
      </c>
      <c r="C5305" s="14" t="s">
        <v>48</v>
      </c>
      <c r="D5305" s="14" t="s">
        <v>63</v>
      </c>
      <c r="E5305" s="14" t="s">
        <v>64</v>
      </c>
      <c r="F5305" s="15" t="s">
        <v>51</v>
      </c>
      <c r="G5305" s="14" t="s">
        <v>65</v>
      </c>
      <c r="H5305" s="14" t="s">
        <v>63</v>
      </c>
      <c r="I5305" s="14" t="s">
        <v>54</v>
      </c>
      <c r="J5305" s="14" t="s">
        <v>199</v>
      </c>
      <c r="K5305" s="14" t="s">
        <v>206</v>
      </c>
      <c r="L5305" s="14" t="s">
        <v>268</v>
      </c>
      <c r="M5305" s="14" t="s">
        <v>268</v>
      </c>
      <c r="N5305" s="14" t="s">
        <v>269</v>
      </c>
      <c r="O5305" s="14">
        <v>100.0</v>
      </c>
      <c r="P5305" s="21">
        <v>6.0</v>
      </c>
      <c r="Q5305" s="22" t="str">
        <f t="shared" ref="Q5305:R5305" si="3178">"+3"</f>
        <v>+3</v>
      </c>
      <c r="R5305" s="18" t="str">
        <f t="shared" si="3178"/>
        <v>+3</v>
      </c>
      <c r="S5305" s="14" t="s">
        <v>260</v>
      </c>
    </row>
    <row r="5306">
      <c r="A5306" s="13">
        <v>45901.0</v>
      </c>
      <c r="B5306" s="14" t="s">
        <v>47</v>
      </c>
      <c r="C5306" s="14" t="s">
        <v>48</v>
      </c>
      <c r="D5306" s="14" t="s">
        <v>66</v>
      </c>
      <c r="E5306" s="14" t="s">
        <v>67</v>
      </c>
      <c r="F5306" s="15" t="s">
        <v>51</v>
      </c>
      <c r="G5306" s="14" t="s">
        <v>68</v>
      </c>
      <c r="H5306" s="14" t="s">
        <v>66</v>
      </c>
      <c r="I5306" s="14" t="s">
        <v>59</v>
      </c>
      <c r="J5306" s="14" t="s">
        <v>200</v>
      </c>
      <c r="K5306" s="14" t="s">
        <v>231</v>
      </c>
      <c r="L5306" s="14" t="s">
        <v>253</v>
      </c>
      <c r="M5306" s="14" t="s">
        <v>389</v>
      </c>
      <c r="N5306" s="14" t="s">
        <v>390</v>
      </c>
      <c r="O5306" s="14">
        <v>0.0</v>
      </c>
      <c r="P5306" s="17"/>
      <c r="Q5306" s="22"/>
      <c r="S5306" s="14" t="s">
        <v>2463</v>
      </c>
    </row>
    <row r="5307">
      <c r="A5307" s="13">
        <v>45901.0</v>
      </c>
      <c r="B5307" s="14" t="s">
        <v>47</v>
      </c>
      <c r="C5307" s="14" t="s">
        <v>48</v>
      </c>
      <c r="D5307" s="14" t="s">
        <v>192</v>
      </c>
      <c r="E5307" s="14" t="s">
        <v>193</v>
      </c>
      <c r="F5307" s="15" t="s">
        <v>51</v>
      </c>
      <c r="G5307" s="14" t="s">
        <v>194</v>
      </c>
      <c r="H5307" s="14" t="s">
        <v>192</v>
      </c>
      <c r="I5307" s="14" t="s">
        <v>54</v>
      </c>
      <c r="J5307" s="14" t="s">
        <v>200</v>
      </c>
      <c r="K5307" s="14" t="s">
        <v>231</v>
      </c>
      <c r="L5307" s="14" t="s">
        <v>512</v>
      </c>
      <c r="M5307" s="14" t="s">
        <v>1651</v>
      </c>
      <c r="N5307" s="14" t="s">
        <v>1652</v>
      </c>
      <c r="O5307" s="14">
        <v>0.0</v>
      </c>
      <c r="P5307" s="21">
        <v>0.0</v>
      </c>
      <c r="Q5307" s="22" t="str">
        <f t="shared" ref="Q5307:R5307" si="3179">"+0"</f>
        <v>+0</v>
      </c>
      <c r="R5307" s="18" t="str">
        <f t="shared" si="3179"/>
        <v>+0</v>
      </c>
      <c r="S5307" s="14" t="s">
        <v>260</v>
      </c>
    </row>
    <row r="5308">
      <c r="A5308" s="13">
        <v>45901.0</v>
      </c>
      <c r="B5308" s="14" t="s">
        <v>47</v>
      </c>
      <c r="C5308" s="14" t="s">
        <v>48</v>
      </c>
      <c r="D5308" s="14" t="s">
        <v>184</v>
      </c>
      <c r="E5308" s="14" t="s">
        <v>185</v>
      </c>
      <c r="F5308" s="15" t="s">
        <v>51</v>
      </c>
      <c r="G5308" s="14" t="s">
        <v>186</v>
      </c>
      <c r="H5308" s="14" t="s">
        <v>187</v>
      </c>
      <c r="I5308" s="14" t="s">
        <v>59</v>
      </c>
      <c r="J5308" s="14" t="s">
        <v>200</v>
      </c>
      <c r="K5308" s="14" t="s">
        <v>224</v>
      </c>
      <c r="L5308" s="14" t="s">
        <v>453</v>
      </c>
      <c r="M5308" s="14" t="s">
        <v>521</v>
      </c>
      <c r="N5308" s="14" t="s">
        <v>522</v>
      </c>
      <c r="O5308" s="14">
        <v>0.0</v>
      </c>
      <c r="P5308" s="17"/>
      <c r="Q5308" s="22"/>
      <c r="S5308" s="14" t="s">
        <v>523</v>
      </c>
    </row>
    <row r="5309">
      <c r="A5309" s="13">
        <v>45901.0</v>
      </c>
      <c r="B5309" s="14" t="s">
        <v>47</v>
      </c>
      <c r="C5309" s="14" t="s">
        <v>48</v>
      </c>
      <c r="D5309" s="14" t="s">
        <v>66</v>
      </c>
      <c r="E5309" s="14" t="s">
        <v>67</v>
      </c>
      <c r="F5309" s="15" t="s">
        <v>51</v>
      </c>
      <c r="G5309" s="14" t="s">
        <v>68</v>
      </c>
      <c r="H5309" s="14" t="s">
        <v>66</v>
      </c>
      <c r="I5309" s="14" t="s">
        <v>59</v>
      </c>
      <c r="J5309" s="14" t="s">
        <v>200</v>
      </c>
      <c r="K5309" s="14" t="s">
        <v>223</v>
      </c>
      <c r="L5309" s="14" t="s">
        <v>286</v>
      </c>
      <c r="M5309" s="14" t="s">
        <v>656</v>
      </c>
      <c r="N5309" s="14" t="s">
        <v>657</v>
      </c>
      <c r="O5309" s="14">
        <v>0.0</v>
      </c>
      <c r="P5309" s="23">
        <v>0.0</v>
      </c>
      <c r="Q5309" s="22" t="str">
        <f t="shared" ref="Q5309:R5309" si="3180">"+0.00%"</f>
        <v>+0.00%</v>
      </c>
      <c r="R5309" s="18" t="str">
        <f t="shared" si="3180"/>
        <v>+0.00%</v>
      </c>
      <c r="S5309" s="14" t="s">
        <v>285</v>
      </c>
    </row>
    <row r="5310">
      <c r="A5310" s="13">
        <v>45901.0</v>
      </c>
      <c r="B5310" s="14" t="s">
        <v>47</v>
      </c>
      <c r="C5310" s="14" t="s">
        <v>48</v>
      </c>
      <c r="D5310" s="14" t="s">
        <v>132</v>
      </c>
      <c r="E5310" s="14" t="s">
        <v>133</v>
      </c>
      <c r="F5310" s="15" t="s">
        <v>51</v>
      </c>
      <c r="G5310" s="14" t="s">
        <v>134</v>
      </c>
      <c r="H5310" s="14" t="s">
        <v>135</v>
      </c>
      <c r="I5310" s="14" t="s">
        <v>59</v>
      </c>
      <c r="J5310" s="14" t="s">
        <v>198</v>
      </c>
      <c r="K5310" s="14" t="s">
        <v>205</v>
      </c>
      <c r="L5310" s="14" t="s">
        <v>274</v>
      </c>
      <c r="M5310" s="14" t="s">
        <v>275</v>
      </c>
      <c r="N5310" s="14" t="s">
        <v>276</v>
      </c>
      <c r="O5310" s="14">
        <v>0.0</v>
      </c>
      <c r="P5310" s="21">
        <v>1.0</v>
      </c>
      <c r="Q5310" s="22" t="str">
        <f t="shared" ref="Q5310:Q5312" si="3181">"+0"</f>
        <v>+0</v>
      </c>
      <c r="S5310" s="14" t="s">
        <v>277</v>
      </c>
    </row>
    <row r="5311">
      <c r="A5311" s="13">
        <v>45901.0</v>
      </c>
      <c r="B5311" s="14" t="s">
        <v>47</v>
      </c>
      <c r="C5311" s="14" t="s">
        <v>48</v>
      </c>
      <c r="D5311" s="14" t="s">
        <v>129</v>
      </c>
      <c r="E5311" s="14" t="s">
        <v>130</v>
      </c>
      <c r="F5311" s="15" t="s">
        <v>51</v>
      </c>
      <c r="G5311" s="14" t="s">
        <v>131</v>
      </c>
      <c r="H5311" s="14" t="s">
        <v>129</v>
      </c>
      <c r="I5311" s="14" t="s">
        <v>59</v>
      </c>
      <c r="J5311" s="14" t="s">
        <v>200</v>
      </c>
      <c r="K5311" s="14" t="s">
        <v>231</v>
      </c>
      <c r="L5311" s="14" t="s">
        <v>512</v>
      </c>
      <c r="M5311" s="14" t="s">
        <v>1152</v>
      </c>
      <c r="N5311" s="14" t="s">
        <v>1153</v>
      </c>
      <c r="O5311" s="14">
        <v>0.0</v>
      </c>
      <c r="P5311" s="21">
        <v>0.0</v>
      </c>
      <c r="Q5311" s="22" t="str">
        <f t="shared" si="3181"/>
        <v>+0</v>
      </c>
      <c r="R5311" s="18" t="str">
        <f t="shared" ref="R5311:R5312" si="3182">"+0"</f>
        <v>+0</v>
      </c>
      <c r="S5311" s="14" t="s">
        <v>260</v>
      </c>
    </row>
    <row r="5312">
      <c r="A5312" s="13">
        <v>45901.0</v>
      </c>
      <c r="B5312" s="14" t="s">
        <v>47</v>
      </c>
      <c r="C5312" s="14" t="s">
        <v>48</v>
      </c>
      <c r="D5312" s="14" t="s">
        <v>149</v>
      </c>
      <c r="E5312" s="14" t="s">
        <v>150</v>
      </c>
      <c r="F5312" s="15" t="s">
        <v>51</v>
      </c>
      <c r="G5312" s="14" t="s">
        <v>151</v>
      </c>
      <c r="H5312" s="14" t="s">
        <v>152</v>
      </c>
      <c r="I5312" s="14" t="s">
        <v>54</v>
      </c>
      <c r="J5312" s="14" t="s">
        <v>198</v>
      </c>
      <c r="K5312" s="14" t="s">
        <v>210</v>
      </c>
      <c r="L5312" s="14" t="s">
        <v>505</v>
      </c>
      <c r="M5312" s="14" t="s">
        <v>1049</v>
      </c>
      <c r="N5312" s="14" t="s">
        <v>1050</v>
      </c>
      <c r="O5312" s="14">
        <v>0.0</v>
      </c>
      <c r="P5312" s="21">
        <v>0.0</v>
      </c>
      <c r="Q5312" s="22" t="str">
        <f t="shared" si="3181"/>
        <v>+0</v>
      </c>
      <c r="R5312" s="18" t="str">
        <f t="shared" si="3182"/>
        <v>+0</v>
      </c>
      <c r="S5312" s="14" t="s">
        <v>277</v>
      </c>
    </row>
    <row r="5313">
      <c r="A5313" s="13">
        <v>45901.0</v>
      </c>
      <c r="B5313" s="14" t="s">
        <v>47</v>
      </c>
      <c r="C5313" s="14" t="s">
        <v>48</v>
      </c>
      <c r="D5313" s="14" t="s">
        <v>171</v>
      </c>
      <c r="E5313" s="14" t="s">
        <v>172</v>
      </c>
      <c r="F5313" s="15" t="s">
        <v>51</v>
      </c>
      <c r="G5313" s="14" t="s">
        <v>173</v>
      </c>
      <c r="H5313" s="14" t="s">
        <v>171</v>
      </c>
      <c r="I5313" s="14" t="s">
        <v>59</v>
      </c>
      <c r="J5313" s="14" t="s">
        <v>200</v>
      </c>
      <c r="K5313" s="14" t="s">
        <v>213</v>
      </c>
      <c r="L5313" s="14" t="s">
        <v>257</v>
      </c>
      <c r="M5313" s="14" t="s">
        <v>493</v>
      </c>
      <c r="N5313" s="14" t="s">
        <v>494</v>
      </c>
      <c r="O5313" s="14">
        <v>0.0</v>
      </c>
      <c r="P5313" s="23">
        <v>-1.0</v>
      </c>
      <c r="Q5313" s="22" t="str">
        <f t="shared" ref="Q5313:R5313" si="3183">"+0.00%"</f>
        <v>+0.00%</v>
      </c>
      <c r="R5313" s="18" t="str">
        <f t="shared" si="3183"/>
        <v>+0.00%</v>
      </c>
      <c r="S5313" s="14" t="s">
        <v>2464</v>
      </c>
    </row>
    <row r="5314">
      <c r="A5314" s="13">
        <v>45901.0</v>
      </c>
      <c r="B5314" s="14" t="s">
        <v>47</v>
      </c>
      <c r="C5314" s="14" t="s">
        <v>48</v>
      </c>
      <c r="D5314" s="14" t="s">
        <v>129</v>
      </c>
      <c r="E5314" s="14" t="s">
        <v>130</v>
      </c>
      <c r="F5314" s="15" t="s">
        <v>51</v>
      </c>
      <c r="G5314" s="14" t="s">
        <v>131</v>
      </c>
      <c r="H5314" s="14" t="s">
        <v>129</v>
      </c>
      <c r="I5314" s="14" t="s">
        <v>59</v>
      </c>
      <c r="J5314" s="14" t="s">
        <v>200</v>
      </c>
      <c r="K5314" s="14" t="s">
        <v>213</v>
      </c>
      <c r="L5314" s="14" t="s">
        <v>289</v>
      </c>
      <c r="M5314" s="14" t="s">
        <v>384</v>
      </c>
      <c r="N5314" s="14" t="s">
        <v>385</v>
      </c>
      <c r="O5314" s="14">
        <v>1.0</v>
      </c>
      <c r="P5314" s="23">
        <v>0.0021</v>
      </c>
      <c r="Q5314" s="22" t="str">
        <f>"+0.02%"</f>
        <v>+0.02%</v>
      </c>
      <c r="R5314" s="18" t="str">
        <f>"+0.21%"</f>
        <v>+0.21%</v>
      </c>
      <c r="S5314" s="14" t="s">
        <v>2465</v>
      </c>
    </row>
    <row r="5315">
      <c r="A5315" s="13">
        <v>45901.0</v>
      </c>
      <c r="B5315" s="14" t="s">
        <v>47</v>
      </c>
      <c r="C5315" s="14" t="s">
        <v>48</v>
      </c>
      <c r="D5315" s="14" t="s">
        <v>149</v>
      </c>
      <c r="E5315" s="14" t="s">
        <v>150</v>
      </c>
      <c r="F5315" s="15" t="s">
        <v>51</v>
      </c>
      <c r="G5315" s="14" t="s">
        <v>151</v>
      </c>
      <c r="H5315" s="14" t="s">
        <v>152</v>
      </c>
      <c r="I5315" s="14" t="s">
        <v>54</v>
      </c>
      <c r="J5315" s="14" t="s">
        <v>200</v>
      </c>
      <c r="K5315" s="14" t="s">
        <v>223</v>
      </c>
      <c r="L5315" s="14" t="s">
        <v>607</v>
      </c>
      <c r="M5315" s="14" t="s">
        <v>758</v>
      </c>
      <c r="N5315" s="14" t="s">
        <v>759</v>
      </c>
      <c r="O5315" s="14">
        <v>0.0</v>
      </c>
      <c r="P5315" s="23">
        <v>-1.0</v>
      </c>
      <c r="Q5315" s="22" t="str">
        <f t="shared" ref="Q5315:R5315" si="3184">"+0.00%"</f>
        <v>+0.00%</v>
      </c>
      <c r="R5315" s="18" t="str">
        <f t="shared" si="3184"/>
        <v>+0.00%</v>
      </c>
      <c r="S5315" s="14" t="s">
        <v>2466</v>
      </c>
    </row>
    <row r="5316">
      <c r="A5316" s="13">
        <v>45901.0</v>
      </c>
      <c r="B5316" s="14" t="s">
        <v>47</v>
      </c>
      <c r="C5316" s="14" t="s">
        <v>48</v>
      </c>
      <c r="D5316" s="14" t="s">
        <v>87</v>
      </c>
      <c r="E5316" s="14" t="s">
        <v>88</v>
      </c>
      <c r="F5316" s="15" t="s">
        <v>51</v>
      </c>
      <c r="G5316" s="14" t="s">
        <v>89</v>
      </c>
      <c r="H5316" s="14" t="s">
        <v>90</v>
      </c>
      <c r="I5316" s="14" t="s">
        <v>59</v>
      </c>
      <c r="J5316" s="14" t="s">
        <v>200</v>
      </c>
      <c r="K5316" s="14" t="s">
        <v>223</v>
      </c>
      <c r="L5316" s="14" t="s">
        <v>253</v>
      </c>
      <c r="M5316" s="14" t="s">
        <v>366</v>
      </c>
      <c r="N5316" s="14" t="s">
        <v>367</v>
      </c>
      <c r="O5316" s="14">
        <v>84.0</v>
      </c>
      <c r="P5316" s="23">
        <v>0.8431</v>
      </c>
      <c r="Q5316" s="22" t="str">
        <f>"+3.53%"</f>
        <v>+3.53%</v>
      </c>
      <c r="R5316" s="18" t="str">
        <f>"+7.45%"</f>
        <v>+7.45%</v>
      </c>
      <c r="S5316" s="14" t="s">
        <v>2467</v>
      </c>
    </row>
    <row r="5317">
      <c r="A5317" s="13">
        <v>45901.0</v>
      </c>
      <c r="B5317" s="14" t="s">
        <v>47</v>
      </c>
      <c r="C5317" s="14" t="s">
        <v>48</v>
      </c>
      <c r="D5317" s="14" t="s">
        <v>69</v>
      </c>
      <c r="E5317" s="14" t="s">
        <v>70</v>
      </c>
      <c r="F5317" s="15" t="s">
        <v>51</v>
      </c>
      <c r="G5317" s="14" t="s">
        <v>115</v>
      </c>
      <c r="H5317" s="14" t="s">
        <v>72</v>
      </c>
      <c r="I5317" s="14" t="s">
        <v>54</v>
      </c>
      <c r="J5317" s="14" t="s">
        <v>200</v>
      </c>
      <c r="K5317" s="14" t="s">
        <v>227</v>
      </c>
      <c r="L5317" s="14" t="s">
        <v>253</v>
      </c>
      <c r="M5317" s="14" t="s">
        <v>254</v>
      </c>
      <c r="N5317" s="14" t="s">
        <v>255</v>
      </c>
      <c r="O5317" s="14">
        <v>14.0</v>
      </c>
      <c r="P5317" s="23">
        <v>0.1478</v>
      </c>
      <c r="Q5317" s="22" t="str">
        <f>"+0.94%"</f>
        <v>+0.94%</v>
      </c>
      <c r="R5317" s="18" t="str">
        <f>"+0.17%"</f>
        <v>+0.17%</v>
      </c>
      <c r="S5317" s="14" t="s">
        <v>399</v>
      </c>
    </row>
    <row r="5318">
      <c r="A5318" s="13">
        <v>45901.0</v>
      </c>
      <c r="B5318" s="14" t="s">
        <v>47</v>
      </c>
      <c r="C5318" s="14" t="s">
        <v>48</v>
      </c>
      <c r="D5318" s="14" t="s">
        <v>96</v>
      </c>
      <c r="E5318" s="14" t="s">
        <v>97</v>
      </c>
      <c r="F5318" s="15" t="s">
        <v>51</v>
      </c>
      <c r="G5318" s="14" t="s">
        <v>98</v>
      </c>
      <c r="H5318" s="14" t="s">
        <v>96</v>
      </c>
      <c r="I5318" s="14" t="s">
        <v>59</v>
      </c>
      <c r="J5318" s="14" t="s">
        <v>200</v>
      </c>
      <c r="K5318" s="14" t="s">
        <v>227</v>
      </c>
      <c r="L5318" s="14" t="s">
        <v>721</v>
      </c>
      <c r="M5318" s="14" t="s">
        <v>748</v>
      </c>
      <c r="N5318" s="14" t="s">
        <v>749</v>
      </c>
      <c r="O5318" s="14">
        <v>0.0</v>
      </c>
      <c r="P5318" s="23">
        <v>-1.0</v>
      </c>
      <c r="Q5318" s="22" t="str">
        <f t="shared" ref="Q5318:R5318" si="3185">"+0.00%"</f>
        <v>+0.00%</v>
      </c>
      <c r="R5318" s="18" t="str">
        <f t="shared" si="3185"/>
        <v>+0.00%</v>
      </c>
      <c r="S5318" s="14" t="s">
        <v>750</v>
      </c>
    </row>
    <row r="5319">
      <c r="A5319" s="13">
        <v>45901.0</v>
      </c>
      <c r="B5319" s="14" t="s">
        <v>47</v>
      </c>
      <c r="C5319" s="14" t="s">
        <v>48</v>
      </c>
      <c r="D5319" s="14" t="s">
        <v>96</v>
      </c>
      <c r="E5319" s="14" t="s">
        <v>97</v>
      </c>
      <c r="F5319" s="15" t="s">
        <v>51</v>
      </c>
      <c r="G5319" s="14" t="s">
        <v>98</v>
      </c>
      <c r="H5319" s="14" t="s">
        <v>96</v>
      </c>
      <c r="I5319" s="14" t="s">
        <v>59</v>
      </c>
      <c r="J5319" s="14" t="s">
        <v>200</v>
      </c>
      <c r="K5319" s="14" t="s">
        <v>223</v>
      </c>
      <c r="L5319" s="14" t="s">
        <v>440</v>
      </c>
      <c r="M5319" s="14" t="s">
        <v>441</v>
      </c>
      <c r="N5319" s="14" t="s">
        <v>442</v>
      </c>
      <c r="O5319" s="14">
        <v>0.0</v>
      </c>
      <c r="P5319" s="23">
        <v>0.0</v>
      </c>
      <c r="Q5319" s="22" t="str">
        <f t="shared" ref="Q5319:R5319" si="3186">"+0.00%"</f>
        <v>+0.00%</v>
      </c>
      <c r="R5319" s="18" t="str">
        <f t="shared" si="3186"/>
        <v>+0.00%</v>
      </c>
      <c r="S5319" s="14" t="s">
        <v>285</v>
      </c>
    </row>
    <row r="5320">
      <c r="A5320" s="13">
        <v>45901.0</v>
      </c>
      <c r="B5320" s="14" t="s">
        <v>47</v>
      </c>
      <c r="C5320" s="14" t="s">
        <v>48</v>
      </c>
      <c r="D5320" s="14" t="s">
        <v>96</v>
      </c>
      <c r="E5320" s="14" t="s">
        <v>97</v>
      </c>
      <c r="F5320" s="15" t="s">
        <v>51</v>
      </c>
      <c r="G5320" s="14" t="s">
        <v>98</v>
      </c>
      <c r="H5320" s="14" t="s">
        <v>96</v>
      </c>
      <c r="I5320" s="14" t="s">
        <v>59</v>
      </c>
      <c r="J5320" s="14" t="s">
        <v>200</v>
      </c>
      <c r="K5320" s="14" t="s">
        <v>223</v>
      </c>
      <c r="L5320" s="14" t="s">
        <v>359</v>
      </c>
      <c r="M5320" s="14" t="s">
        <v>360</v>
      </c>
      <c r="N5320" s="14" t="s">
        <v>361</v>
      </c>
      <c r="O5320" s="14">
        <v>0.0</v>
      </c>
      <c r="P5320" s="23">
        <v>0.0</v>
      </c>
      <c r="Q5320" s="22" t="str">
        <f t="shared" ref="Q5320:R5320" si="3187">"+0.00%"</f>
        <v>+0.00%</v>
      </c>
      <c r="R5320" s="18" t="str">
        <f t="shared" si="3187"/>
        <v>+0.00%</v>
      </c>
      <c r="S5320" s="14" t="s">
        <v>2468</v>
      </c>
    </row>
    <row r="5321">
      <c r="A5321" s="13">
        <v>45901.0</v>
      </c>
      <c r="B5321" s="14" t="s">
        <v>47</v>
      </c>
      <c r="C5321" s="14" t="s">
        <v>48</v>
      </c>
      <c r="D5321" s="14" t="s">
        <v>158</v>
      </c>
      <c r="E5321" s="14" t="s">
        <v>159</v>
      </c>
      <c r="F5321" s="15" t="s">
        <v>51</v>
      </c>
      <c r="G5321" s="14" t="s">
        <v>160</v>
      </c>
      <c r="H5321" s="14" t="s">
        <v>158</v>
      </c>
      <c r="I5321" s="14" t="s">
        <v>54</v>
      </c>
      <c r="J5321" s="14" t="s">
        <v>198</v>
      </c>
      <c r="K5321" s="14" t="s">
        <v>205</v>
      </c>
      <c r="L5321" s="14" t="s">
        <v>274</v>
      </c>
      <c r="M5321" s="14" t="s">
        <v>425</v>
      </c>
      <c r="N5321" s="14" t="s">
        <v>426</v>
      </c>
      <c r="O5321" s="14">
        <v>0.0</v>
      </c>
      <c r="P5321" s="21">
        <v>0.0</v>
      </c>
      <c r="Q5321" s="22" t="str">
        <f t="shared" ref="Q5321:Q5323" si="3188">"+0"</f>
        <v>+0</v>
      </c>
      <c r="S5321" s="14" t="s">
        <v>281</v>
      </c>
    </row>
    <row r="5322">
      <c r="A5322" s="13">
        <v>45901.0</v>
      </c>
      <c r="B5322" s="14" t="s">
        <v>47</v>
      </c>
      <c r="C5322" s="14" t="s">
        <v>48</v>
      </c>
      <c r="D5322" s="14" t="s">
        <v>158</v>
      </c>
      <c r="E5322" s="14" t="s">
        <v>159</v>
      </c>
      <c r="F5322" s="15" t="s">
        <v>51</v>
      </c>
      <c r="G5322" s="14" t="s">
        <v>160</v>
      </c>
      <c r="H5322" s="14" t="s">
        <v>158</v>
      </c>
      <c r="I5322" s="14" t="s">
        <v>54</v>
      </c>
      <c r="J5322" s="14" t="s">
        <v>198</v>
      </c>
      <c r="K5322" s="14" t="s">
        <v>210</v>
      </c>
      <c r="L5322" s="14" t="s">
        <v>458</v>
      </c>
      <c r="M5322" s="14" t="s">
        <v>620</v>
      </c>
      <c r="N5322" s="14" t="s">
        <v>621</v>
      </c>
      <c r="O5322" s="14">
        <v>0.0</v>
      </c>
      <c r="P5322" s="21">
        <v>0.0</v>
      </c>
      <c r="Q5322" s="22" t="str">
        <f t="shared" si="3188"/>
        <v>+0</v>
      </c>
      <c r="R5322" s="18" t="str">
        <f>"+0"</f>
        <v>+0</v>
      </c>
      <c r="S5322" s="14" t="s">
        <v>277</v>
      </c>
    </row>
    <row r="5323">
      <c r="A5323" s="13">
        <v>45901.0</v>
      </c>
      <c r="B5323" s="14" t="s">
        <v>47</v>
      </c>
      <c r="C5323" s="14" t="s">
        <v>48</v>
      </c>
      <c r="D5323" s="14" t="s">
        <v>108</v>
      </c>
      <c r="E5323" s="14" t="s">
        <v>109</v>
      </c>
      <c r="F5323" s="15" t="s">
        <v>51</v>
      </c>
      <c r="G5323" s="14" t="s">
        <v>110</v>
      </c>
      <c r="H5323" s="14" t="s">
        <v>108</v>
      </c>
      <c r="I5323" s="14" t="s">
        <v>59</v>
      </c>
      <c r="J5323" s="14" t="s">
        <v>200</v>
      </c>
      <c r="K5323" s="14" t="s">
        <v>233</v>
      </c>
      <c r="L5323" s="14" t="s">
        <v>292</v>
      </c>
      <c r="M5323" s="14" t="s">
        <v>2469</v>
      </c>
      <c r="N5323" s="14" t="s">
        <v>2470</v>
      </c>
      <c r="O5323" s="14">
        <v>0.0</v>
      </c>
      <c r="P5323" s="21">
        <v>0.0</v>
      </c>
      <c r="Q5323" s="22" t="str">
        <f t="shared" si="3188"/>
        <v>+0</v>
      </c>
      <c r="S5323" s="14" t="s">
        <v>260</v>
      </c>
    </row>
    <row r="5324">
      <c r="A5324" s="13">
        <v>45901.0</v>
      </c>
      <c r="B5324" s="14" t="s">
        <v>47</v>
      </c>
      <c r="C5324" s="14" t="s">
        <v>48</v>
      </c>
      <c r="D5324" s="14" t="s">
        <v>108</v>
      </c>
      <c r="E5324" s="14" t="s">
        <v>109</v>
      </c>
      <c r="F5324" s="15" t="s">
        <v>51</v>
      </c>
      <c r="G5324" s="14" t="s">
        <v>110</v>
      </c>
      <c r="H5324" s="14" t="s">
        <v>108</v>
      </c>
      <c r="I5324" s="14" t="s">
        <v>59</v>
      </c>
      <c r="J5324" s="14" t="s">
        <v>200</v>
      </c>
      <c r="K5324" s="14" t="s">
        <v>213</v>
      </c>
      <c r="L5324" s="14" t="s">
        <v>257</v>
      </c>
      <c r="M5324" s="14" t="s">
        <v>499</v>
      </c>
      <c r="N5324" s="14" t="s">
        <v>500</v>
      </c>
      <c r="O5324" s="14">
        <v>0.0</v>
      </c>
      <c r="P5324" s="23">
        <v>0.0</v>
      </c>
      <c r="Q5324" s="22" t="str">
        <f>"+0.00%"</f>
        <v>+0.00%</v>
      </c>
      <c r="S5324" s="14" t="s">
        <v>2471</v>
      </c>
    </row>
    <row r="5325">
      <c r="A5325" s="13">
        <v>45901.0</v>
      </c>
      <c r="B5325" s="14" t="s">
        <v>47</v>
      </c>
      <c r="C5325" s="14" t="s">
        <v>48</v>
      </c>
      <c r="D5325" s="14" t="s">
        <v>121</v>
      </c>
      <c r="E5325" s="14" t="s">
        <v>122</v>
      </c>
      <c r="F5325" s="15" t="s">
        <v>51</v>
      </c>
      <c r="G5325" s="14" t="s">
        <v>123</v>
      </c>
      <c r="H5325" s="14" t="s">
        <v>124</v>
      </c>
      <c r="I5325" s="14" t="s">
        <v>59</v>
      </c>
      <c r="J5325" s="14" t="s">
        <v>198</v>
      </c>
      <c r="K5325" s="14" t="s">
        <v>207</v>
      </c>
      <c r="L5325" s="14" t="s">
        <v>318</v>
      </c>
      <c r="M5325" s="14" t="s">
        <v>319</v>
      </c>
      <c r="N5325" s="14" t="s">
        <v>320</v>
      </c>
      <c r="O5325" s="14">
        <v>0.0</v>
      </c>
      <c r="P5325" s="21">
        <v>0.0</v>
      </c>
      <c r="Q5325" s="22" t="str">
        <f>"+0"</f>
        <v>+0</v>
      </c>
      <c r="S5325" s="14" t="s">
        <v>281</v>
      </c>
    </row>
    <row r="5326">
      <c r="A5326" s="13">
        <v>45901.0</v>
      </c>
      <c r="B5326" s="14" t="s">
        <v>47</v>
      </c>
      <c r="C5326" s="14" t="s">
        <v>48</v>
      </c>
      <c r="D5326" s="14" t="s">
        <v>60</v>
      </c>
      <c r="E5326" s="14" t="s">
        <v>61</v>
      </c>
      <c r="F5326" s="15" t="s">
        <v>51</v>
      </c>
      <c r="G5326" s="14" t="s">
        <v>62</v>
      </c>
      <c r="H5326" s="14" t="s">
        <v>60</v>
      </c>
      <c r="I5326" s="14" t="s">
        <v>59</v>
      </c>
      <c r="J5326" s="14" t="s">
        <v>200</v>
      </c>
      <c r="K5326" s="14" t="s">
        <v>223</v>
      </c>
      <c r="L5326" s="14" t="s">
        <v>304</v>
      </c>
      <c r="M5326" s="14" t="s">
        <v>877</v>
      </c>
      <c r="N5326" s="14" t="s">
        <v>878</v>
      </c>
      <c r="O5326" s="14">
        <v>0.0</v>
      </c>
      <c r="P5326" s="23">
        <v>0.0</v>
      </c>
      <c r="Q5326" s="22" t="str">
        <f t="shared" ref="Q5326:R5326" si="3189">"+0.00%"</f>
        <v>+0.00%</v>
      </c>
      <c r="R5326" s="18" t="str">
        <f t="shared" si="3189"/>
        <v>+0.00%</v>
      </c>
      <c r="S5326" s="14" t="s">
        <v>2472</v>
      </c>
    </row>
    <row r="5327">
      <c r="A5327" s="13">
        <v>45901.0</v>
      </c>
      <c r="B5327" s="14" t="s">
        <v>47</v>
      </c>
      <c r="C5327" s="14" t="s">
        <v>48</v>
      </c>
      <c r="D5327" s="14" t="s">
        <v>60</v>
      </c>
      <c r="E5327" s="14" t="s">
        <v>61</v>
      </c>
      <c r="F5327" s="15" t="s">
        <v>51</v>
      </c>
      <c r="G5327" s="14" t="s">
        <v>62</v>
      </c>
      <c r="H5327" s="14" t="s">
        <v>60</v>
      </c>
      <c r="I5327" s="14" t="s">
        <v>59</v>
      </c>
      <c r="J5327" s="14" t="s">
        <v>198</v>
      </c>
      <c r="K5327" s="14" t="s">
        <v>205</v>
      </c>
      <c r="L5327" s="14" t="s">
        <v>274</v>
      </c>
      <c r="M5327" s="14" t="s">
        <v>387</v>
      </c>
      <c r="N5327" s="14" t="s">
        <v>388</v>
      </c>
      <c r="O5327" s="14">
        <v>100.0</v>
      </c>
      <c r="P5327" s="21">
        <v>1.0</v>
      </c>
      <c r="Q5327" s="22" t="str">
        <f>"+0"</f>
        <v>+0</v>
      </c>
      <c r="S5327" s="14" t="s">
        <v>281</v>
      </c>
    </row>
    <row r="5328">
      <c r="A5328" s="13">
        <v>45901.0</v>
      </c>
      <c r="B5328" s="14" t="s">
        <v>47</v>
      </c>
      <c r="C5328" s="14" t="s">
        <v>48</v>
      </c>
      <c r="D5328" s="14" t="s">
        <v>165</v>
      </c>
      <c r="E5328" s="14" t="s">
        <v>166</v>
      </c>
      <c r="F5328" s="15" t="s">
        <v>51</v>
      </c>
      <c r="G5328" s="14" t="s">
        <v>167</v>
      </c>
      <c r="H5328" s="14" t="s">
        <v>165</v>
      </c>
      <c r="I5328" s="14" t="s">
        <v>54</v>
      </c>
      <c r="J5328" s="14" t="s">
        <v>200</v>
      </c>
      <c r="K5328" s="14" t="s">
        <v>213</v>
      </c>
      <c r="L5328" s="14" t="s">
        <v>253</v>
      </c>
      <c r="M5328" s="14" t="s">
        <v>366</v>
      </c>
      <c r="N5328" s="14" t="s">
        <v>367</v>
      </c>
      <c r="O5328" s="14">
        <v>89.0</v>
      </c>
      <c r="P5328" s="23">
        <v>0.896</v>
      </c>
      <c r="Q5328" s="22" t="str">
        <f>"+1.43%"</f>
        <v>+1.43%</v>
      </c>
      <c r="R5328" s="18" t="str">
        <f>"-6.10%"</f>
        <v>-6.10%</v>
      </c>
      <c r="S5328" s="14" t="s">
        <v>1022</v>
      </c>
    </row>
    <row r="5329">
      <c r="A5329" s="13">
        <v>45901.0</v>
      </c>
      <c r="B5329" s="14" t="s">
        <v>47</v>
      </c>
      <c r="C5329" s="14" t="s">
        <v>48</v>
      </c>
      <c r="D5329" s="14" t="s">
        <v>91</v>
      </c>
      <c r="E5329" s="14" t="s">
        <v>92</v>
      </c>
      <c r="F5329" s="14" t="s">
        <v>71</v>
      </c>
      <c r="G5329" s="14">
        <v>5.00008613E8</v>
      </c>
      <c r="H5329" s="14" t="s">
        <v>91</v>
      </c>
      <c r="I5329" s="14" t="s">
        <v>59</v>
      </c>
      <c r="J5329" s="14" t="s">
        <v>200</v>
      </c>
      <c r="K5329" s="14" t="s">
        <v>230</v>
      </c>
      <c r="L5329" s="14" t="s">
        <v>253</v>
      </c>
      <c r="M5329" s="14" t="s">
        <v>1066</v>
      </c>
      <c r="N5329" s="14" t="s">
        <v>1067</v>
      </c>
      <c r="O5329" s="14">
        <v>7.0</v>
      </c>
      <c r="P5329" s="23">
        <v>0.0722</v>
      </c>
      <c r="Q5329" s="22" t="str">
        <f>"-1.20%"</f>
        <v>-1.20%</v>
      </c>
      <c r="R5329" s="18" t="str">
        <f>"-5.41%"</f>
        <v>-5.41%</v>
      </c>
      <c r="S5329" s="14" t="s">
        <v>1465</v>
      </c>
    </row>
    <row r="5330">
      <c r="A5330" s="13">
        <v>45901.0</v>
      </c>
      <c r="B5330" s="14" t="s">
        <v>47</v>
      </c>
      <c r="C5330" s="14" t="s">
        <v>48</v>
      </c>
      <c r="D5330" s="14" t="s">
        <v>91</v>
      </c>
      <c r="E5330" s="14" t="s">
        <v>92</v>
      </c>
      <c r="F5330" s="15" t="s">
        <v>51</v>
      </c>
      <c r="G5330" s="14" t="s">
        <v>163</v>
      </c>
      <c r="H5330" s="14" t="s">
        <v>91</v>
      </c>
      <c r="I5330" s="14" t="s">
        <v>59</v>
      </c>
      <c r="J5330" s="14" t="s">
        <v>198</v>
      </c>
      <c r="K5330" s="14" t="s">
        <v>210</v>
      </c>
      <c r="L5330" s="14" t="s">
        <v>264</v>
      </c>
      <c r="M5330" s="14" t="s">
        <v>265</v>
      </c>
      <c r="N5330" s="14" t="s">
        <v>266</v>
      </c>
      <c r="O5330" s="14">
        <v>6.0</v>
      </c>
      <c r="P5330" s="21">
        <v>307.0</v>
      </c>
      <c r="Q5330" s="22" t="str">
        <f>"-184"</f>
        <v>-184</v>
      </c>
      <c r="R5330" s="18" t="str">
        <f>"-479"</f>
        <v>-479</v>
      </c>
      <c r="S5330" s="14" t="s">
        <v>2473</v>
      </c>
    </row>
    <row r="5331">
      <c r="A5331" s="13">
        <v>45901.0</v>
      </c>
      <c r="B5331" s="14" t="s">
        <v>47</v>
      </c>
      <c r="C5331" s="14" t="s">
        <v>48</v>
      </c>
      <c r="D5331" s="14" t="s">
        <v>63</v>
      </c>
      <c r="E5331" s="14" t="s">
        <v>64</v>
      </c>
      <c r="F5331" s="15" t="s">
        <v>51</v>
      </c>
      <c r="G5331" s="14" t="s">
        <v>65</v>
      </c>
      <c r="H5331" s="14" t="s">
        <v>63</v>
      </c>
      <c r="I5331" s="14" t="s">
        <v>54</v>
      </c>
      <c r="J5331" s="14" t="s">
        <v>198</v>
      </c>
      <c r="K5331" s="14" t="s">
        <v>210</v>
      </c>
      <c r="L5331" s="14" t="s">
        <v>278</v>
      </c>
      <c r="M5331" s="14" t="s">
        <v>1227</v>
      </c>
      <c r="N5331" s="14" t="s">
        <v>1228</v>
      </c>
      <c r="O5331" s="14">
        <v>0.0</v>
      </c>
      <c r="P5331" s="21">
        <v>0.0</v>
      </c>
      <c r="Q5331" s="22" t="str">
        <f t="shared" ref="Q5331:R5331" si="3190">"+0"</f>
        <v>+0</v>
      </c>
      <c r="R5331" s="18" t="str">
        <f t="shared" si="3190"/>
        <v>+0</v>
      </c>
      <c r="S5331" s="14" t="s">
        <v>277</v>
      </c>
    </row>
    <row r="5332">
      <c r="A5332" s="13">
        <v>45901.0</v>
      </c>
      <c r="B5332" s="14" t="s">
        <v>47</v>
      </c>
      <c r="C5332" s="14" t="s">
        <v>48</v>
      </c>
      <c r="D5332" s="14" t="s">
        <v>91</v>
      </c>
      <c r="E5332" s="14" t="s">
        <v>92</v>
      </c>
      <c r="F5332" s="15" t="s">
        <v>51</v>
      </c>
      <c r="G5332" s="14" t="s">
        <v>163</v>
      </c>
      <c r="H5332" s="14" t="s">
        <v>91</v>
      </c>
      <c r="I5332" s="14" t="s">
        <v>59</v>
      </c>
      <c r="J5332" s="14" t="s">
        <v>200</v>
      </c>
      <c r="K5332" s="14" t="s">
        <v>223</v>
      </c>
      <c r="L5332" s="14" t="s">
        <v>261</v>
      </c>
      <c r="M5332" s="14" t="s">
        <v>1338</v>
      </c>
      <c r="N5332" s="14" t="s">
        <v>1339</v>
      </c>
      <c r="O5332" s="14">
        <v>0.0</v>
      </c>
      <c r="P5332" s="23">
        <v>0.0</v>
      </c>
      <c r="Q5332" s="22" t="str">
        <f t="shared" ref="Q5332:R5332" si="3191">"+0.00%"</f>
        <v>+0.00%</v>
      </c>
      <c r="R5332" s="18" t="str">
        <f t="shared" si="3191"/>
        <v>+0.00%</v>
      </c>
      <c r="S5332" s="14" t="s">
        <v>285</v>
      </c>
    </row>
    <row r="5333">
      <c r="A5333" s="13">
        <v>45901.0</v>
      </c>
      <c r="B5333" s="14" t="s">
        <v>47</v>
      </c>
      <c r="C5333" s="14" t="s">
        <v>48</v>
      </c>
      <c r="D5333" s="14" t="s">
        <v>99</v>
      </c>
      <c r="E5333" s="14" t="s">
        <v>100</v>
      </c>
      <c r="F5333" s="15" t="s">
        <v>51</v>
      </c>
      <c r="G5333" s="14" t="s">
        <v>101</v>
      </c>
      <c r="H5333" s="14" t="s">
        <v>102</v>
      </c>
      <c r="I5333" s="14" t="s">
        <v>54</v>
      </c>
      <c r="J5333" s="14" t="s">
        <v>200</v>
      </c>
      <c r="K5333" s="14" t="s">
        <v>213</v>
      </c>
      <c r="L5333" s="14" t="s">
        <v>289</v>
      </c>
      <c r="M5333" s="14" t="s">
        <v>984</v>
      </c>
      <c r="N5333" s="14" t="s">
        <v>985</v>
      </c>
      <c r="O5333" s="14">
        <v>0.0</v>
      </c>
      <c r="P5333" s="23">
        <v>0.0</v>
      </c>
      <c r="Q5333" s="22" t="str">
        <f t="shared" ref="Q5333:R5333" si="3192">"+0.00%"</f>
        <v>+0.00%</v>
      </c>
      <c r="R5333" s="18" t="str">
        <f t="shared" si="3192"/>
        <v>+0.00%</v>
      </c>
      <c r="S5333" s="14" t="s">
        <v>285</v>
      </c>
    </row>
    <row r="5334">
      <c r="A5334" s="13">
        <v>45901.0</v>
      </c>
      <c r="B5334" s="14" t="s">
        <v>47</v>
      </c>
      <c r="C5334" s="14" t="s">
        <v>48</v>
      </c>
      <c r="D5334" s="14" t="s">
        <v>91</v>
      </c>
      <c r="E5334" s="14" t="s">
        <v>92</v>
      </c>
      <c r="F5334" s="14" t="s">
        <v>71</v>
      </c>
      <c r="G5334" s="14">
        <v>5.00008343E8</v>
      </c>
      <c r="H5334" s="14" t="s">
        <v>91</v>
      </c>
      <c r="I5334" s="14" t="s">
        <v>59</v>
      </c>
      <c r="J5334" s="14" t="s">
        <v>199</v>
      </c>
      <c r="K5334" s="14" t="s">
        <v>206</v>
      </c>
      <c r="L5334" s="14" t="s">
        <v>268</v>
      </c>
      <c r="M5334" s="14" t="s">
        <v>268</v>
      </c>
      <c r="N5334" s="14" t="s">
        <v>269</v>
      </c>
      <c r="O5334" s="14">
        <v>100.0</v>
      </c>
      <c r="P5334" s="21">
        <v>9.0</v>
      </c>
      <c r="Q5334" s="22" t="str">
        <f t="shared" ref="Q5334:R5334" si="3193">"+5"</f>
        <v>+5</v>
      </c>
      <c r="R5334" s="18" t="str">
        <f t="shared" si="3193"/>
        <v>+5</v>
      </c>
      <c r="S5334" s="14" t="s">
        <v>260</v>
      </c>
    </row>
    <row r="5335">
      <c r="A5335" s="13">
        <v>45901.0</v>
      </c>
      <c r="B5335" s="14" t="s">
        <v>47</v>
      </c>
      <c r="C5335" s="14" t="s">
        <v>48</v>
      </c>
      <c r="D5335" s="14" t="s">
        <v>121</v>
      </c>
      <c r="E5335" s="14" t="s">
        <v>122</v>
      </c>
      <c r="F5335" s="15" t="s">
        <v>51</v>
      </c>
      <c r="G5335" s="14" t="s">
        <v>123</v>
      </c>
      <c r="H5335" s="14" t="s">
        <v>124</v>
      </c>
      <c r="I5335" s="14" t="s">
        <v>59</v>
      </c>
      <c r="J5335" s="14" t="s">
        <v>198</v>
      </c>
      <c r="K5335" s="14" t="s">
        <v>210</v>
      </c>
      <c r="L5335" s="14" t="s">
        <v>264</v>
      </c>
      <c r="M5335" s="14" t="s">
        <v>357</v>
      </c>
      <c r="N5335" s="14" t="s">
        <v>358</v>
      </c>
      <c r="O5335" s="14">
        <v>100.0</v>
      </c>
      <c r="P5335" s="21">
        <v>0.0</v>
      </c>
      <c r="Q5335" s="22" t="str">
        <f t="shared" ref="Q5335:R5335" si="3194">"+0"</f>
        <v>+0</v>
      </c>
      <c r="R5335" s="18" t="str">
        <f t="shared" si="3194"/>
        <v>+0</v>
      </c>
      <c r="S5335" s="14" t="s">
        <v>281</v>
      </c>
    </row>
    <row r="5336">
      <c r="A5336" s="13">
        <v>45901.0</v>
      </c>
      <c r="B5336" s="14" t="s">
        <v>47</v>
      </c>
      <c r="C5336" s="14" t="s">
        <v>48</v>
      </c>
      <c r="D5336" s="14" t="s">
        <v>158</v>
      </c>
      <c r="E5336" s="14" t="s">
        <v>159</v>
      </c>
      <c r="F5336" s="15" t="s">
        <v>51</v>
      </c>
      <c r="G5336" s="14" t="s">
        <v>160</v>
      </c>
      <c r="H5336" s="14" t="s">
        <v>158</v>
      </c>
      <c r="I5336" s="14" t="s">
        <v>54</v>
      </c>
      <c r="J5336" s="14" t="s">
        <v>198</v>
      </c>
      <c r="K5336" s="14" t="s">
        <v>210</v>
      </c>
      <c r="L5336" s="14" t="s">
        <v>505</v>
      </c>
      <c r="M5336" s="14" t="s">
        <v>1020</v>
      </c>
      <c r="N5336" s="14" t="s">
        <v>1021</v>
      </c>
      <c r="O5336" s="14">
        <v>0.0</v>
      </c>
      <c r="P5336" s="21">
        <v>0.0</v>
      </c>
      <c r="Q5336" s="22" t="str">
        <f t="shared" ref="Q5336:R5336" si="3195">"+0"</f>
        <v>+0</v>
      </c>
      <c r="R5336" s="18" t="str">
        <f t="shared" si="3195"/>
        <v>+0</v>
      </c>
      <c r="S5336" s="14" t="s">
        <v>277</v>
      </c>
    </row>
    <row r="5337">
      <c r="A5337" s="13">
        <v>45901.0</v>
      </c>
      <c r="B5337" s="14" t="s">
        <v>47</v>
      </c>
      <c r="C5337" s="14" t="s">
        <v>48</v>
      </c>
      <c r="D5337" s="14" t="s">
        <v>174</v>
      </c>
      <c r="E5337" s="14" t="s">
        <v>175</v>
      </c>
      <c r="F5337" s="15" t="s">
        <v>51</v>
      </c>
      <c r="G5337" s="14" t="s">
        <v>176</v>
      </c>
      <c r="H5337" s="14" t="s">
        <v>174</v>
      </c>
      <c r="I5337" s="14" t="s">
        <v>59</v>
      </c>
      <c r="J5337" s="14" t="s">
        <v>200</v>
      </c>
      <c r="K5337" s="14" t="s">
        <v>222</v>
      </c>
      <c r="L5337" s="14" t="s">
        <v>253</v>
      </c>
      <c r="M5337" s="14" t="s">
        <v>732</v>
      </c>
      <c r="N5337" s="14" t="s">
        <v>733</v>
      </c>
      <c r="O5337" s="14">
        <v>50.0</v>
      </c>
      <c r="P5337" s="21">
        <v>1.0</v>
      </c>
      <c r="Q5337" s="22" t="str">
        <f t="shared" ref="Q5337:R5337" si="3196">"+0"</f>
        <v>+0</v>
      </c>
      <c r="R5337" s="18" t="str">
        <f t="shared" si="3196"/>
        <v>+0</v>
      </c>
      <c r="S5337" s="14" t="s">
        <v>450</v>
      </c>
    </row>
    <row r="5338">
      <c r="A5338" s="13">
        <v>45901.0</v>
      </c>
      <c r="B5338" s="14" t="s">
        <v>47</v>
      </c>
      <c r="C5338" s="14" t="s">
        <v>48</v>
      </c>
      <c r="D5338" s="14" t="s">
        <v>66</v>
      </c>
      <c r="E5338" s="14" t="s">
        <v>67</v>
      </c>
      <c r="F5338" s="15" t="s">
        <v>51</v>
      </c>
      <c r="G5338" s="14" t="s">
        <v>68</v>
      </c>
      <c r="H5338" s="14" t="s">
        <v>66</v>
      </c>
      <c r="I5338" s="14" t="s">
        <v>59</v>
      </c>
      <c r="J5338" s="14" t="s">
        <v>200</v>
      </c>
      <c r="K5338" s="14" t="s">
        <v>231</v>
      </c>
      <c r="L5338" s="14" t="s">
        <v>512</v>
      </c>
      <c r="M5338" s="14" t="s">
        <v>1435</v>
      </c>
      <c r="N5338" s="14" t="s">
        <v>1436</v>
      </c>
      <c r="O5338" s="14">
        <v>0.0</v>
      </c>
      <c r="P5338" s="21">
        <v>0.0</v>
      </c>
      <c r="Q5338" s="22" t="str">
        <f t="shared" ref="Q5338:R5338" si="3197">"+0"</f>
        <v>+0</v>
      </c>
      <c r="R5338" s="18" t="str">
        <f t="shared" si="3197"/>
        <v>+0</v>
      </c>
      <c r="S5338" s="14" t="s">
        <v>260</v>
      </c>
    </row>
    <row r="5339">
      <c r="A5339" s="13">
        <v>45901.0</v>
      </c>
      <c r="B5339" s="14" t="s">
        <v>47</v>
      </c>
      <c r="C5339" s="14" t="s">
        <v>48</v>
      </c>
      <c r="D5339" s="14" t="s">
        <v>93</v>
      </c>
      <c r="E5339" s="14" t="s">
        <v>94</v>
      </c>
      <c r="F5339" s="15" t="s">
        <v>51</v>
      </c>
      <c r="G5339" s="14" t="s">
        <v>191</v>
      </c>
      <c r="H5339" s="14" t="s">
        <v>95</v>
      </c>
      <c r="I5339" s="14" t="s">
        <v>59</v>
      </c>
      <c r="J5339" s="14" t="s">
        <v>200</v>
      </c>
      <c r="K5339" s="14" t="s">
        <v>215</v>
      </c>
      <c r="L5339" s="14" t="s">
        <v>548</v>
      </c>
      <c r="M5339" s="14" t="s">
        <v>1250</v>
      </c>
      <c r="N5339" s="14" t="s">
        <v>1251</v>
      </c>
      <c r="O5339" s="14">
        <v>0.0</v>
      </c>
      <c r="P5339" s="23">
        <v>-1.0</v>
      </c>
      <c r="Q5339" s="22" t="str">
        <f t="shared" ref="Q5339:R5339" si="3198">"+0.00%"</f>
        <v>+0.00%</v>
      </c>
      <c r="R5339" s="18" t="str">
        <f t="shared" si="3198"/>
        <v>+0.00%</v>
      </c>
      <c r="S5339" s="14" t="s">
        <v>336</v>
      </c>
    </row>
    <row r="5340">
      <c r="A5340" s="13">
        <v>45901.0</v>
      </c>
      <c r="B5340" s="14" t="s">
        <v>47</v>
      </c>
      <c r="C5340" s="14" t="s">
        <v>48</v>
      </c>
      <c r="D5340" s="14" t="s">
        <v>73</v>
      </c>
      <c r="E5340" s="14" t="s">
        <v>74</v>
      </c>
      <c r="F5340" s="15" t="s">
        <v>51</v>
      </c>
      <c r="G5340" s="14" t="s">
        <v>75</v>
      </c>
      <c r="H5340" s="14" t="s">
        <v>76</v>
      </c>
      <c r="I5340" s="14" t="s">
        <v>59</v>
      </c>
      <c r="J5340" s="14" t="s">
        <v>200</v>
      </c>
      <c r="K5340" s="14" t="s">
        <v>232</v>
      </c>
      <c r="L5340" s="14" t="s">
        <v>253</v>
      </c>
      <c r="M5340" s="14" t="s">
        <v>552</v>
      </c>
      <c r="N5340" s="14" t="s">
        <v>553</v>
      </c>
      <c r="O5340" s="14">
        <v>100.0</v>
      </c>
      <c r="P5340" s="23">
        <v>1.0</v>
      </c>
      <c r="Q5340" s="22" t="str">
        <f t="shared" ref="Q5340:R5340" si="3199">"+0.00%"</f>
        <v>+0.00%</v>
      </c>
      <c r="R5340" s="18" t="str">
        <f t="shared" si="3199"/>
        <v>+0.00%</v>
      </c>
      <c r="S5340" s="14" t="s">
        <v>1305</v>
      </c>
    </row>
    <row r="5341">
      <c r="A5341" s="13">
        <v>45901.0</v>
      </c>
      <c r="B5341" s="14" t="s">
        <v>47</v>
      </c>
      <c r="C5341" s="14" t="s">
        <v>48</v>
      </c>
      <c r="D5341" s="14" t="s">
        <v>143</v>
      </c>
      <c r="E5341" s="14" t="s">
        <v>144</v>
      </c>
      <c r="F5341" s="15" t="s">
        <v>51</v>
      </c>
      <c r="G5341" s="14" t="s">
        <v>145</v>
      </c>
      <c r="H5341" s="14" t="s">
        <v>143</v>
      </c>
      <c r="I5341" s="14" t="s">
        <v>59</v>
      </c>
      <c r="J5341" s="14" t="s">
        <v>200</v>
      </c>
      <c r="K5341" s="14" t="s">
        <v>224</v>
      </c>
      <c r="L5341" s="14" t="s">
        <v>392</v>
      </c>
      <c r="M5341" s="14" t="s">
        <v>1172</v>
      </c>
      <c r="N5341" s="14" t="s">
        <v>1173</v>
      </c>
      <c r="O5341" s="14">
        <v>100.0</v>
      </c>
      <c r="P5341" s="23">
        <v>1.0</v>
      </c>
      <c r="Q5341" s="22" t="str">
        <f>"+0.00%"</f>
        <v>+0.00%</v>
      </c>
      <c r="S5341" s="14" t="s">
        <v>2474</v>
      </c>
    </row>
    <row r="5342">
      <c r="A5342" s="13">
        <v>45901.0</v>
      </c>
      <c r="B5342" s="14" t="s">
        <v>47</v>
      </c>
      <c r="C5342" s="14" t="s">
        <v>48</v>
      </c>
      <c r="D5342" s="14" t="s">
        <v>132</v>
      </c>
      <c r="E5342" s="14" t="s">
        <v>133</v>
      </c>
      <c r="F5342" s="15" t="s">
        <v>51</v>
      </c>
      <c r="G5342" s="14" t="s">
        <v>134</v>
      </c>
      <c r="H5342" s="14" t="s">
        <v>135</v>
      </c>
      <c r="I5342" s="14" t="s">
        <v>59</v>
      </c>
      <c r="J5342" s="14" t="s">
        <v>198</v>
      </c>
      <c r="K5342" s="14" t="s">
        <v>205</v>
      </c>
      <c r="L5342" s="14" t="s">
        <v>274</v>
      </c>
      <c r="M5342" s="14" t="s">
        <v>767</v>
      </c>
      <c r="N5342" s="14" t="s">
        <v>768</v>
      </c>
      <c r="O5342" s="14">
        <v>100.0</v>
      </c>
      <c r="P5342" s="21">
        <v>1.0</v>
      </c>
      <c r="Q5342" s="22" t="str">
        <f>"+0"</f>
        <v>+0</v>
      </c>
      <c r="S5342" s="14" t="s">
        <v>281</v>
      </c>
    </row>
    <row r="5343">
      <c r="A5343" s="13">
        <v>45901.0</v>
      </c>
      <c r="B5343" s="14" t="s">
        <v>47</v>
      </c>
      <c r="C5343" s="14" t="s">
        <v>48</v>
      </c>
      <c r="D5343" s="14" t="s">
        <v>136</v>
      </c>
      <c r="E5343" s="14" t="s">
        <v>137</v>
      </c>
      <c r="F5343" s="15" t="s">
        <v>51</v>
      </c>
      <c r="G5343" s="14" t="s">
        <v>138</v>
      </c>
      <c r="H5343" s="14" t="s">
        <v>139</v>
      </c>
      <c r="I5343" s="14" t="s">
        <v>59</v>
      </c>
      <c r="J5343" s="14" t="s">
        <v>200</v>
      </c>
      <c r="K5343" s="14" t="s">
        <v>213</v>
      </c>
      <c r="L5343" s="14" t="s">
        <v>257</v>
      </c>
      <c r="M5343" s="14" t="s">
        <v>298</v>
      </c>
      <c r="N5343" s="14" t="s">
        <v>299</v>
      </c>
      <c r="O5343" s="14">
        <v>0.0</v>
      </c>
      <c r="P5343" s="23">
        <v>0.0</v>
      </c>
      <c r="Q5343" s="22" t="str">
        <f t="shared" ref="Q5343:R5343" si="3200">"+0.00%"</f>
        <v>+0.00%</v>
      </c>
      <c r="R5343" s="18" t="str">
        <f t="shared" si="3200"/>
        <v>+0.00%</v>
      </c>
      <c r="S5343" s="14" t="s">
        <v>2475</v>
      </c>
    </row>
    <row r="5344">
      <c r="A5344" s="13">
        <v>45901.0</v>
      </c>
      <c r="B5344" s="14" t="s">
        <v>47</v>
      </c>
      <c r="C5344" s="14" t="s">
        <v>48</v>
      </c>
      <c r="D5344" s="14" t="s">
        <v>87</v>
      </c>
      <c r="E5344" s="14" t="s">
        <v>88</v>
      </c>
      <c r="F5344" s="15" t="s">
        <v>51</v>
      </c>
      <c r="G5344" s="14" t="s">
        <v>89</v>
      </c>
      <c r="H5344" s="14" t="s">
        <v>90</v>
      </c>
      <c r="I5344" s="14" t="s">
        <v>59</v>
      </c>
      <c r="J5344" s="14" t="s">
        <v>200</v>
      </c>
      <c r="K5344" s="14" t="s">
        <v>246</v>
      </c>
      <c r="L5344" s="14" t="s">
        <v>614</v>
      </c>
      <c r="M5344" s="14" t="s">
        <v>2476</v>
      </c>
      <c r="N5344" s="14" t="s">
        <v>2477</v>
      </c>
      <c r="O5344" s="14">
        <v>0.0</v>
      </c>
      <c r="P5344" s="21">
        <v>0.0</v>
      </c>
      <c r="Q5344" s="22" t="str">
        <f t="shared" ref="Q5344:R5344" si="3201">"+0"</f>
        <v>+0</v>
      </c>
      <c r="R5344" s="18" t="str">
        <f t="shared" si="3201"/>
        <v>+0</v>
      </c>
      <c r="S5344" s="14" t="s">
        <v>260</v>
      </c>
    </row>
    <row r="5345">
      <c r="A5345" s="13">
        <v>45901.0</v>
      </c>
      <c r="B5345" s="14" t="s">
        <v>47</v>
      </c>
      <c r="C5345" s="14" t="s">
        <v>48</v>
      </c>
      <c r="D5345" s="14" t="s">
        <v>87</v>
      </c>
      <c r="E5345" s="14" t="s">
        <v>88</v>
      </c>
      <c r="F5345" s="15" t="s">
        <v>51</v>
      </c>
      <c r="G5345" s="14" t="s">
        <v>89</v>
      </c>
      <c r="H5345" s="14" t="s">
        <v>90</v>
      </c>
      <c r="I5345" s="14" t="s">
        <v>59</v>
      </c>
      <c r="J5345" s="14" t="s">
        <v>200</v>
      </c>
      <c r="K5345" s="14" t="s">
        <v>222</v>
      </c>
      <c r="L5345" s="14" t="s">
        <v>301</v>
      </c>
      <c r="M5345" s="14" t="s">
        <v>302</v>
      </c>
      <c r="N5345" s="14" t="s">
        <v>303</v>
      </c>
      <c r="O5345" s="14">
        <v>0.0</v>
      </c>
      <c r="P5345" s="21">
        <v>0.0</v>
      </c>
      <c r="Q5345" s="22" t="str">
        <f t="shared" ref="Q5345:R5345" si="3202">"+0"</f>
        <v>+0</v>
      </c>
      <c r="R5345" s="18" t="str">
        <f t="shared" si="3202"/>
        <v>+0</v>
      </c>
      <c r="S5345" s="14" t="s">
        <v>260</v>
      </c>
    </row>
    <row r="5346">
      <c r="A5346" s="13">
        <v>45901.0</v>
      </c>
      <c r="B5346" s="14" t="s">
        <v>47</v>
      </c>
      <c r="C5346" s="14" t="s">
        <v>48</v>
      </c>
      <c r="D5346" s="14" t="s">
        <v>87</v>
      </c>
      <c r="E5346" s="14" t="s">
        <v>88</v>
      </c>
      <c r="F5346" s="15" t="s">
        <v>51</v>
      </c>
      <c r="G5346" s="14" t="s">
        <v>89</v>
      </c>
      <c r="H5346" s="14" t="s">
        <v>90</v>
      </c>
      <c r="I5346" s="14" t="s">
        <v>59</v>
      </c>
      <c r="J5346" s="14" t="s">
        <v>198</v>
      </c>
      <c r="K5346" s="14" t="s">
        <v>210</v>
      </c>
      <c r="L5346" s="14" t="s">
        <v>278</v>
      </c>
      <c r="M5346" s="14" t="s">
        <v>279</v>
      </c>
      <c r="N5346" s="14" t="s">
        <v>280</v>
      </c>
      <c r="O5346" s="14">
        <v>100.0</v>
      </c>
      <c r="P5346" s="21">
        <v>0.0</v>
      </c>
      <c r="Q5346" s="22" t="str">
        <f t="shared" ref="Q5346:R5346" si="3203">"+0"</f>
        <v>+0</v>
      </c>
      <c r="R5346" s="18" t="str">
        <f t="shared" si="3203"/>
        <v>+0</v>
      </c>
      <c r="S5346" s="14" t="s">
        <v>281</v>
      </c>
    </row>
    <row r="5347">
      <c r="A5347" s="13">
        <v>45901.0</v>
      </c>
      <c r="B5347" s="14" t="s">
        <v>47</v>
      </c>
      <c r="C5347" s="14" t="s">
        <v>48</v>
      </c>
      <c r="D5347" s="14" t="s">
        <v>149</v>
      </c>
      <c r="E5347" s="14" t="s">
        <v>150</v>
      </c>
      <c r="F5347" s="15" t="s">
        <v>51</v>
      </c>
      <c r="G5347" s="14" t="s">
        <v>151</v>
      </c>
      <c r="H5347" s="14" t="s">
        <v>152</v>
      </c>
      <c r="I5347" s="14" t="s">
        <v>54</v>
      </c>
      <c r="J5347" s="14" t="s">
        <v>200</v>
      </c>
      <c r="K5347" s="14" t="s">
        <v>224</v>
      </c>
      <c r="L5347" s="14" t="s">
        <v>427</v>
      </c>
      <c r="M5347" s="14" t="s">
        <v>925</v>
      </c>
      <c r="N5347" s="14" t="s">
        <v>926</v>
      </c>
      <c r="O5347" s="14">
        <v>100.0</v>
      </c>
      <c r="P5347" s="23">
        <v>1.0</v>
      </c>
      <c r="Q5347" s="22" t="str">
        <f t="shared" ref="Q5347:R5347" si="3204">"+0.00%"</f>
        <v>+0.00%</v>
      </c>
      <c r="R5347" s="18" t="str">
        <f t="shared" si="3204"/>
        <v>+0.00%</v>
      </c>
      <c r="S5347" s="14" t="s">
        <v>927</v>
      </c>
    </row>
    <row r="5348">
      <c r="A5348" s="13">
        <v>45901.0</v>
      </c>
      <c r="B5348" s="14" t="s">
        <v>47</v>
      </c>
      <c r="C5348" s="14" t="s">
        <v>48</v>
      </c>
      <c r="D5348" s="14" t="s">
        <v>129</v>
      </c>
      <c r="E5348" s="14" t="s">
        <v>130</v>
      </c>
      <c r="F5348" s="15" t="s">
        <v>51</v>
      </c>
      <c r="G5348" s="14" t="s">
        <v>131</v>
      </c>
      <c r="H5348" s="14" t="s">
        <v>129</v>
      </c>
      <c r="I5348" s="14" t="s">
        <v>59</v>
      </c>
      <c r="J5348" s="14" t="s">
        <v>200</v>
      </c>
      <c r="K5348" s="14" t="s">
        <v>227</v>
      </c>
      <c r="L5348" s="14" t="s">
        <v>270</v>
      </c>
      <c r="M5348" s="14" t="s">
        <v>400</v>
      </c>
      <c r="N5348" s="14" t="s">
        <v>401</v>
      </c>
      <c r="O5348" s="14">
        <v>0.0</v>
      </c>
      <c r="P5348" s="21">
        <v>0.0</v>
      </c>
      <c r="Q5348" s="22" t="str">
        <f>"-2"</f>
        <v>-2</v>
      </c>
      <c r="R5348" s="18" t="str">
        <f>"-5"</f>
        <v>-5</v>
      </c>
      <c r="S5348" s="14" t="s">
        <v>260</v>
      </c>
    </row>
    <row r="5349">
      <c r="A5349" s="13">
        <v>45901.0</v>
      </c>
      <c r="B5349" s="14" t="s">
        <v>47</v>
      </c>
      <c r="C5349" s="14" t="s">
        <v>48</v>
      </c>
      <c r="D5349" s="14" t="s">
        <v>96</v>
      </c>
      <c r="E5349" s="14" t="s">
        <v>97</v>
      </c>
      <c r="F5349" s="15" t="s">
        <v>51</v>
      </c>
      <c r="G5349" s="14" t="s">
        <v>98</v>
      </c>
      <c r="H5349" s="14" t="s">
        <v>96</v>
      </c>
      <c r="I5349" s="14" t="s">
        <v>59</v>
      </c>
      <c r="J5349" s="14" t="s">
        <v>200</v>
      </c>
      <c r="K5349" s="14" t="s">
        <v>223</v>
      </c>
      <c r="L5349" s="14" t="s">
        <v>286</v>
      </c>
      <c r="M5349" s="14" t="s">
        <v>730</v>
      </c>
      <c r="N5349" s="14" t="s">
        <v>731</v>
      </c>
      <c r="O5349" s="14">
        <v>0.0</v>
      </c>
      <c r="P5349" s="23">
        <v>0.0</v>
      </c>
      <c r="Q5349" s="22" t="str">
        <f t="shared" ref="Q5349:R5349" si="3205">"+0.00%"</f>
        <v>+0.00%</v>
      </c>
      <c r="R5349" s="18" t="str">
        <f t="shared" si="3205"/>
        <v>+0.00%</v>
      </c>
      <c r="S5349" s="14" t="s">
        <v>285</v>
      </c>
    </row>
    <row r="5350">
      <c r="A5350" s="13">
        <v>45901.0</v>
      </c>
      <c r="B5350" s="14" t="s">
        <v>47</v>
      </c>
      <c r="C5350" s="14" t="s">
        <v>48</v>
      </c>
      <c r="D5350" s="14" t="s">
        <v>69</v>
      </c>
      <c r="E5350" s="14" t="s">
        <v>70</v>
      </c>
      <c r="F5350" s="15" t="s">
        <v>51</v>
      </c>
      <c r="G5350" s="14" t="s">
        <v>115</v>
      </c>
      <c r="H5350" s="14" t="s">
        <v>72</v>
      </c>
      <c r="I5350" s="14" t="s">
        <v>54</v>
      </c>
      <c r="J5350" s="14" t="s">
        <v>200</v>
      </c>
      <c r="K5350" s="14" t="s">
        <v>222</v>
      </c>
      <c r="L5350" s="14" t="s">
        <v>1158</v>
      </c>
      <c r="M5350" s="14" t="s">
        <v>1572</v>
      </c>
      <c r="N5350" s="14" t="s">
        <v>1573</v>
      </c>
      <c r="O5350" s="14">
        <v>0.0</v>
      </c>
      <c r="P5350" s="21">
        <v>0.0</v>
      </c>
      <c r="Q5350" s="22" t="str">
        <f t="shared" ref="Q5350:R5350" si="3206">"+0"</f>
        <v>+0</v>
      </c>
      <c r="R5350" s="18" t="str">
        <f t="shared" si="3206"/>
        <v>+0</v>
      </c>
      <c r="S5350" s="14" t="s">
        <v>260</v>
      </c>
    </row>
    <row r="5351">
      <c r="A5351" s="13">
        <v>45901.0</v>
      </c>
      <c r="B5351" s="14" t="s">
        <v>47</v>
      </c>
      <c r="C5351" s="14" t="s">
        <v>48</v>
      </c>
      <c r="D5351" s="14" t="s">
        <v>96</v>
      </c>
      <c r="E5351" s="14" t="s">
        <v>97</v>
      </c>
      <c r="F5351" s="15" t="s">
        <v>51</v>
      </c>
      <c r="G5351" s="14" t="s">
        <v>98</v>
      </c>
      <c r="H5351" s="14" t="s">
        <v>96</v>
      </c>
      <c r="I5351" s="14" t="s">
        <v>59</v>
      </c>
      <c r="J5351" s="14" t="s">
        <v>198</v>
      </c>
      <c r="K5351" s="14" t="s">
        <v>205</v>
      </c>
      <c r="L5351" s="14" t="s">
        <v>274</v>
      </c>
      <c r="M5351" s="14" t="s">
        <v>387</v>
      </c>
      <c r="N5351" s="14" t="s">
        <v>388</v>
      </c>
      <c r="O5351" s="14">
        <v>100.0</v>
      </c>
      <c r="P5351" s="21">
        <v>1.0</v>
      </c>
      <c r="Q5351" s="22" t="str">
        <f>"+0"</f>
        <v>+0</v>
      </c>
      <c r="S5351" s="14" t="s">
        <v>281</v>
      </c>
    </row>
    <row r="5352">
      <c r="A5352" s="13">
        <v>45901.0</v>
      </c>
      <c r="B5352" s="14" t="s">
        <v>47</v>
      </c>
      <c r="C5352" s="14" t="s">
        <v>48</v>
      </c>
      <c r="D5352" s="14" t="s">
        <v>96</v>
      </c>
      <c r="E5352" s="14" t="s">
        <v>97</v>
      </c>
      <c r="F5352" s="15" t="s">
        <v>51</v>
      </c>
      <c r="G5352" s="14" t="s">
        <v>98</v>
      </c>
      <c r="H5352" s="14" t="s">
        <v>96</v>
      </c>
      <c r="I5352" s="14" t="s">
        <v>59</v>
      </c>
      <c r="J5352" s="14" t="s">
        <v>200</v>
      </c>
      <c r="K5352" s="14" t="s">
        <v>223</v>
      </c>
      <c r="L5352" s="14" t="s">
        <v>304</v>
      </c>
      <c r="M5352" s="14" t="s">
        <v>662</v>
      </c>
      <c r="N5352" s="14" t="s">
        <v>663</v>
      </c>
      <c r="O5352" s="14">
        <v>0.0</v>
      </c>
      <c r="P5352" s="23">
        <v>-1.0</v>
      </c>
      <c r="Q5352" s="22" t="str">
        <f t="shared" ref="Q5352:R5352" si="3207">"+0.00%"</f>
        <v>+0.00%</v>
      </c>
      <c r="R5352" s="18" t="str">
        <f t="shared" si="3207"/>
        <v>+0.00%</v>
      </c>
      <c r="S5352" s="14" t="s">
        <v>2436</v>
      </c>
    </row>
    <row r="5353">
      <c r="A5353" s="13">
        <v>45901.0</v>
      </c>
      <c r="B5353" s="14" t="s">
        <v>47</v>
      </c>
      <c r="C5353" s="14" t="s">
        <v>48</v>
      </c>
      <c r="D5353" s="14" t="s">
        <v>69</v>
      </c>
      <c r="E5353" s="14" t="s">
        <v>70</v>
      </c>
      <c r="F5353" s="14" t="s">
        <v>71</v>
      </c>
      <c r="G5353" s="14">
        <v>1.00002092E8</v>
      </c>
      <c r="H5353" s="14" t="s">
        <v>72</v>
      </c>
      <c r="I5353" s="14" t="s">
        <v>54</v>
      </c>
      <c r="J5353" s="14" t="s">
        <v>199</v>
      </c>
      <c r="K5353" s="14" t="s">
        <v>208</v>
      </c>
      <c r="L5353" s="14" t="s">
        <v>412</v>
      </c>
      <c r="M5353" s="14" t="s">
        <v>412</v>
      </c>
      <c r="N5353" s="14" t="s">
        <v>413</v>
      </c>
      <c r="O5353" s="14">
        <v>75.0</v>
      </c>
      <c r="P5353" s="21">
        <v>1.0</v>
      </c>
      <c r="Q5353" s="22" t="str">
        <f t="shared" ref="Q5353:R5353" si="3208">"+0"</f>
        <v>+0</v>
      </c>
      <c r="R5353" s="18" t="str">
        <f t="shared" si="3208"/>
        <v>+0</v>
      </c>
      <c r="S5353" s="14" t="s">
        <v>260</v>
      </c>
    </row>
    <row r="5354">
      <c r="A5354" s="13">
        <v>45901.0</v>
      </c>
      <c r="B5354" s="14" t="s">
        <v>47</v>
      </c>
      <c r="C5354" s="14" t="s">
        <v>48</v>
      </c>
      <c r="D5354" s="14" t="s">
        <v>108</v>
      </c>
      <c r="E5354" s="14" t="s">
        <v>109</v>
      </c>
      <c r="F5354" s="14" t="s">
        <v>79</v>
      </c>
      <c r="G5354" s="14" t="s">
        <v>153</v>
      </c>
      <c r="H5354" s="14" t="s">
        <v>108</v>
      </c>
      <c r="I5354" s="14" t="s">
        <v>154</v>
      </c>
      <c r="J5354" s="14" t="s">
        <v>199</v>
      </c>
      <c r="K5354" s="14" t="s">
        <v>206</v>
      </c>
      <c r="L5354" s="14" t="s">
        <v>531</v>
      </c>
      <c r="M5354" s="14" t="s">
        <v>531</v>
      </c>
      <c r="N5354" s="14" t="s">
        <v>532</v>
      </c>
      <c r="O5354" s="14">
        <v>0.0</v>
      </c>
      <c r="P5354" s="21">
        <v>0.0</v>
      </c>
      <c r="Q5354" s="22" t="str">
        <f t="shared" ref="Q5354:Q5356" si="3209">"+0"</f>
        <v>+0</v>
      </c>
      <c r="S5354" s="14" t="s">
        <v>260</v>
      </c>
    </row>
    <row r="5355">
      <c r="A5355" s="13">
        <v>45901.0</v>
      </c>
      <c r="B5355" s="14" t="s">
        <v>47</v>
      </c>
      <c r="C5355" s="14" t="s">
        <v>48</v>
      </c>
      <c r="D5355" s="14" t="s">
        <v>116</v>
      </c>
      <c r="E5355" s="14" t="s">
        <v>117</v>
      </c>
      <c r="F5355" s="14" t="s">
        <v>111</v>
      </c>
      <c r="G5355" s="14">
        <v>5298600.0</v>
      </c>
      <c r="H5355" s="14" t="s">
        <v>116</v>
      </c>
      <c r="I5355" s="14" t="s">
        <v>59</v>
      </c>
      <c r="J5355" s="14" t="s">
        <v>199</v>
      </c>
      <c r="K5355" s="14" t="s">
        <v>206</v>
      </c>
      <c r="L5355" s="14" t="s">
        <v>295</v>
      </c>
      <c r="M5355" s="14" t="s">
        <v>296</v>
      </c>
      <c r="N5355" s="14" t="s">
        <v>297</v>
      </c>
      <c r="O5355" s="14">
        <v>0.0</v>
      </c>
      <c r="P5355" s="21">
        <v>0.0</v>
      </c>
      <c r="Q5355" s="22" t="str">
        <f t="shared" si="3209"/>
        <v>+0</v>
      </c>
      <c r="R5355" s="18" t="str">
        <f t="shared" ref="R5355:R5356" si="3210">"+0"</f>
        <v>+0</v>
      </c>
      <c r="S5355" s="14" t="s">
        <v>260</v>
      </c>
    </row>
    <row r="5356">
      <c r="A5356" s="13">
        <v>45901.0</v>
      </c>
      <c r="B5356" s="14" t="s">
        <v>47</v>
      </c>
      <c r="C5356" s="14" t="s">
        <v>48</v>
      </c>
      <c r="D5356" s="14" t="s">
        <v>77</v>
      </c>
      <c r="E5356" s="14" t="s">
        <v>78</v>
      </c>
      <c r="F5356" s="15" t="s">
        <v>51</v>
      </c>
      <c r="G5356" s="14" t="s">
        <v>128</v>
      </c>
      <c r="H5356" s="14" t="s">
        <v>81</v>
      </c>
      <c r="I5356" s="14" t="s">
        <v>59</v>
      </c>
      <c r="J5356" s="14" t="s">
        <v>200</v>
      </c>
      <c r="K5356" s="14" t="s">
        <v>216</v>
      </c>
      <c r="L5356" s="14" t="s">
        <v>1045</v>
      </c>
      <c r="M5356" s="14" t="s">
        <v>2291</v>
      </c>
      <c r="N5356" s="14" t="s">
        <v>2292</v>
      </c>
      <c r="O5356" s="14">
        <v>0.0</v>
      </c>
      <c r="P5356" s="21">
        <v>0.0</v>
      </c>
      <c r="Q5356" s="22" t="str">
        <f t="shared" si="3209"/>
        <v>+0</v>
      </c>
      <c r="R5356" s="18" t="str">
        <f t="shared" si="3210"/>
        <v>+0</v>
      </c>
      <c r="S5356" s="14" t="s">
        <v>281</v>
      </c>
    </row>
    <row r="5357">
      <c r="A5357" s="13">
        <v>45901.0</v>
      </c>
      <c r="B5357" s="14" t="s">
        <v>47</v>
      </c>
      <c r="C5357" s="14" t="s">
        <v>48</v>
      </c>
      <c r="D5357" s="14" t="s">
        <v>108</v>
      </c>
      <c r="E5357" s="14" t="s">
        <v>109</v>
      </c>
      <c r="F5357" s="15" t="s">
        <v>51</v>
      </c>
      <c r="G5357" s="14" t="s">
        <v>110</v>
      </c>
      <c r="H5357" s="14" t="s">
        <v>108</v>
      </c>
      <c r="I5357" s="14" t="s">
        <v>59</v>
      </c>
      <c r="J5357" s="14" t="s">
        <v>200</v>
      </c>
      <c r="K5357" s="14" t="s">
        <v>213</v>
      </c>
      <c r="L5357" s="14" t="s">
        <v>289</v>
      </c>
      <c r="M5357" s="14" t="s">
        <v>331</v>
      </c>
      <c r="N5357" s="14" t="s">
        <v>332</v>
      </c>
      <c r="O5357" s="14">
        <v>0.0</v>
      </c>
      <c r="P5357" s="23">
        <v>0.0</v>
      </c>
      <c r="Q5357" s="22" t="str">
        <f>"+0.00%"</f>
        <v>+0.00%</v>
      </c>
      <c r="S5357" s="14" t="s">
        <v>285</v>
      </c>
    </row>
    <row r="5358">
      <c r="A5358" s="13">
        <v>45901.0</v>
      </c>
      <c r="B5358" s="14" t="s">
        <v>47</v>
      </c>
      <c r="C5358" s="14" t="s">
        <v>48</v>
      </c>
      <c r="D5358" s="14" t="s">
        <v>174</v>
      </c>
      <c r="E5358" s="14" t="s">
        <v>175</v>
      </c>
      <c r="F5358" s="15" t="s">
        <v>51</v>
      </c>
      <c r="G5358" s="14" t="s">
        <v>176</v>
      </c>
      <c r="H5358" s="14" t="s">
        <v>174</v>
      </c>
      <c r="I5358" s="14" t="s">
        <v>59</v>
      </c>
      <c r="J5358" s="14" t="s">
        <v>200</v>
      </c>
      <c r="K5358" s="14" t="s">
        <v>213</v>
      </c>
      <c r="L5358" s="14" t="s">
        <v>257</v>
      </c>
      <c r="M5358" s="14" t="s">
        <v>493</v>
      </c>
      <c r="N5358" s="14" t="s">
        <v>494</v>
      </c>
      <c r="O5358" s="14">
        <v>50.0</v>
      </c>
      <c r="P5358" s="23">
        <v>0.0199</v>
      </c>
      <c r="Q5358" s="22" t="str">
        <f>"+2.27%"</f>
        <v>+2.27%</v>
      </c>
      <c r="R5358" s="18" t="str">
        <f>"+9.72%"</f>
        <v>+9.72%</v>
      </c>
      <c r="S5358" s="14" t="s">
        <v>2478</v>
      </c>
    </row>
    <row r="5359">
      <c r="A5359" s="13">
        <v>45901.0</v>
      </c>
      <c r="B5359" s="14" t="s">
        <v>47</v>
      </c>
      <c r="C5359" s="14" t="s">
        <v>48</v>
      </c>
      <c r="D5359" s="14" t="s">
        <v>77</v>
      </c>
      <c r="E5359" s="14" t="s">
        <v>78</v>
      </c>
      <c r="F5359" s="15" t="s">
        <v>51</v>
      </c>
      <c r="G5359" s="14" t="s">
        <v>128</v>
      </c>
      <c r="H5359" s="14" t="s">
        <v>81</v>
      </c>
      <c r="I5359" s="14" t="s">
        <v>59</v>
      </c>
      <c r="J5359" s="14" t="s">
        <v>200</v>
      </c>
      <c r="K5359" s="14" t="s">
        <v>223</v>
      </c>
      <c r="L5359" s="14" t="s">
        <v>289</v>
      </c>
      <c r="M5359" s="14" t="s">
        <v>290</v>
      </c>
      <c r="N5359" s="14" t="s">
        <v>291</v>
      </c>
      <c r="O5359" s="14">
        <v>0.0</v>
      </c>
      <c r="P5359" s="23">
        <v>0.0</v>
      </c>
      <c r="Q5359" s="22" t="str">
        <f t="shared" ref="Q5359:R5359" si="3211">"+0.00%"</f>
        <v>+0.00%</v>
      </c>
      <c r="R5359" s="18" t="str">
        <f t="shared" si="3211"/>
        <v>+0.00%</v>
      </c>
      <c r="S5359" s="14" t="s">
        <v>285</v>
      </c>
    </row>
    <row r="5360">
      <c r="A5360" s="13">
        <v>45901.0</v>
      </c>
      <c r="B5360" s="14" t="s">
        <v>47</v>
      </c>
      <c r="C5360" s="14" t="s">
        <v>48</v>
      </c>
      <c r="D5360" s="14" t="s">
        <v>140</v>
      </c>
      <c r="E5360" s="14" t="s">
        <v>141</v>
      </c>
      <c r="F5360" s="15" t="s">
        <v>51</v>
      </c>
      <c r="G5360" s="14" t="s">
        <v>142</v>
      </c>
      <c r="H5360" s="14" t="s">
        <v>140</v>
      </c>
      <c r="I5360" s="14" t="s">
        <v>59</v>
      </c>
      <c r="J5360" s="14" t="s">
        <v>200</v>
      </c>
      <c r="K5360" s="14" t="s">
        <v>213</v>
      </c>
      <c r="L5360" s="14" t="s">
        <v>359</v>
      </c>
      <c r="M5360" s="14" t="s">
        <v>519</v>
      </c>
      <c r="N5360" s="14" t="s">
        <v>520</v>
      </c>
      <c r="O5360" s="14">
        <v>0.0</v>
      </c>
      <c r="P5360" s="21">
        <v>0.0</v>
      </c>
      <c r="Q5360" s="22" t="str">
        <f t="shared" ref="Q5360:R5360" si="3212">"+0"</f>
        <v>+0</v>
      </c>
      <c r="R5360" s="18" t="str">
        <f t="shared" si="3212"/>
        <v>+0</v>
      </c>
      <c r="S5360" s="14" t="s">
        <v>260</v>
      </c>
    </row>
    <row r="5361">
      <c r="A5361" s="13">
        <v>45901.0</v>
      </c>
      <c r="B5361" s="14" t="s">
        <v>47</v>
      </c>
      <c r="C5361" s="14" t="s">
        <v>48</v>
      </c>
      <c r="D5361" s="14" t="s">
        <v>140</v>
      </c>
      <c r="E5361" s="14" t="s">
        <v>141</v>
      </c>
      <c r="F5361" s="15" t="s">
        <v>51</v>
      </c>
      <c r="G5361" s="14" t="s">
        <v>142</v>
      </c>
      <c r="H5361" s="14" t="s">
        <v>140</v>
      </c>
      <c r="I5361" s="14" t="s">
        <v>59</v>
      </c>
      <c r="J5361" s="14" t="s">
        <v>198</v>
      </c>
      <c r="K5361" s="14" t="s">
        <v>205</v>
      </c>
      <c r="L5361" s="14" t="s">
        <v>274</v>
      </c>
      <c r="M5361" s="14" t="s">
        <v>791</v>
      </c>
      <c r="N5361" s="14" t="s">
        <v>792</v>
      </c>
      <c r="O5361" s="14">
        <v>50.0</v>
      </c>
      <c r="P5361" s="21">
        <v>1.0</v>
      </c>
      <c r="Q5361" s="22" t="str">
        <f>"+0"</f>
        <v>+0</v>
      </c>
      <c r="S5361" s="14" t="s">
        <v>260</v>
      </c>
    </row>
    <row r="5362">
      <c r="A5362" s="13">
        <v>45901.0</v>
      </c>
      <c r="B5362" s="14" t="s">
        <v>47</v>
      </c>
      <c r="C5362" s="14" t="s">
        <v>48</v>
      </c>
      <c r="D5362" s="14" t="s">
        <v>168</v>
      </c>
      <c r="E5362" s="14" t="s">
        <v>169</v>
      </c>
      <c r="F5362" s="15" t="s">
        <v>51</v>
      </c>
      <c r="G5362" s="14" t="s">
        <v>170</v>
      </c>
      <c r="H5362" s="14" t="s">
        <v>168</v>
      </c>
      <c r="I5362" s="14" t="s">
        <v>59</v>
      </c>
      <c r="J5362" s="14" t="s">
        <v>200</v>
      </c>
      <c r="K5362" s="14" t="s">
        <v>227</v>
      </c>
      <c r="L5362" s="14" t="s">
        <v>270</v>
      </c>
      <c r="M5362" s="14" t="s">
        <v>271</v>
      </c>
      <c r="N5362" s="14" t="s">
        <v>272</v>
      </c>
      <c r="O5362" s="14">
        <v>0.0</v>
      </c>
      <c r="P5362" s="23">
        <v>-1.0</v>
      </c>
      <c r="Q5362" s="22" t="str">
        <f t="shared" ref="Q5362:R5362" si="3213">"+0.00%"</f>
        <v>+0.00%</v>
      </c>
      <c r="R5362" s="18" t="str">
        <f t="shared" si="3213"/>
        <v>+0.00%</v>
      </c>
      <c r="S5362" s="14" t="s">
        <v>273</v>
      </c>
    </row>
    <row r="5363">
      <c r="A5363" s="13">
        <v>45901.0</v>
      </c>
      <c r="B5363" s="14" t="s">
        <v>47</v>
      </c>
      <c r="C5363" s="14" t="s">
        <v>48</v>
      </c>
      <c r="D5363" s="14" t="s">
        <v>155</v>
      </c>
      <c r="E5363" s="14" t="s">
        <v>156</v>
      </c>
      <c r="F5363" s="15" t="s">
        <v>51</v>
      </c>
      <c r="G5363" s="14" t="s">
        <v>157</v>
      </c>
      <c r="H5363" s="14" t="s">
        <v>155</v>
      </c>
      <c r="I5363" s="14" t="s">
        <v>59</v>
      </c>
      <c r="J5363" s="14" t="s">
        <v>198</v>
      </c>
      <c r="K5363" s="14" t="s">
        <v>210</v>
      </c>
      <c r="L5363" s="14" t="s">
        <v>264</v>
      </c>
      <c r="M5363" s="14" t="s">
        <v>265</v>
      </c>
      <c r="N5363" s="14" t="s">
        <v>266</v>
      </c>
      <c r="O5363" s="14">
        <v>74.0</v>
      </c>
      <c r="P5363" s="21">
        <v>58.0</v>
      </c>
      <c r="Q5363" s="22" t="str">
        <f>"+0"</f>
        <v>+0</v>
      </c>
      <c r="R5363" s="18" t="str">
        <f>"+17"</f>
        <v>+17</v>
      </c>
      <c r="S5363" s="14" t="s">
        <v>1698</v>
      </c>
    </row>
    <row r="5364">
      <c r="A5364" s="13">
        <v>45901.0</v>
      </c>
      <c r="B5364" s="14" t="s">
        <v>47</v>
      </c>
      <c r="C5364" s="14" t="s">
        <v>48</v>
      </c>
      <c r="D5364" s="14" t="s">
        <v>60</v>
      </c>
      <c r="E5364" s="14" t="s">
        <v>61</v>
      </c>
      <c r="F5364" s="15" t="s">
        <v>51</v>
      </c>
      <c r="G5364" s="14" t="s">
        <v>62</v>
      </c>
      <c r="H5364" s="14" t="s">
        <v>60</v>
      </c>
      <c r="I5364" s="14" t="s">
        <v>59</v>
      </c>
      <c r="J5364" s="14" t="s">
        <v>200</v>
      </c>
      <c r="K5364" s="14" t="s">
        <v>223</v>
      </c>
      <c r="L5364" s="14" t="s">
        <v>607</v>
      </c>
      <c r="M5364" s="14" t="s">
        <v>1027</v>
      </c>
      <c r="N5364" s="14" t="s">
        <v>1028</v>
      </c>
      <c r="O5364" s="14">
        <v>0.0</v>
      </c>
      <c r="P5364" s="23">
        <v>-1.0</v>
      </c>
      <c r="Q5364" s="22" t="str">
        <f t="shared" ref="Q5364:R5364" si="3214">"+0.00%"</f>
        <v>+0.00%</v>
      </c>
      <c r="R5364" s="18" t="str">
        <f t="shared" si="3214"/>
        <v>+0.00%</v>
      </c>
      <c r="S5364" s="14" t="s">
        <v>1770</v>
      </c>
    </row>
    <row r="5365">
      <c r="A5365" s="13">
        <v>45901.0</v>
      </c>
      <c r="B5365" s="14" t="s">
        <v>47</v>
      </c>
      <c r="C5365" s="14" t="s">
        <v>48</v>
      </c>
      <c r="D5365" s="14" t="s">
        <v>49</v>
      </c>
      <c r="E5365" s="14" t="s">
        <v>50</v>
      </c>
      <c r="F5365" s="15" t="s">
        <v>51</v>
      </c>
      <c r="G5365" s="14" t="s">
        <v>52</v>
      </c>
      <c r="H5365" s="14" t="s">
        <v>53</v>
      </c>
      <c r="I5365" s="14" t="s">
        <v>54</v>
      </c>
      <c r="J5365" s="14" t="s">
        <v>198</v>
      </c>
      <c r="K5365" s="14" t="s">
        <v>210</v>
      </c>
      <c r="L5365" s="14" t="s">
        <v>264</v>
      </c>
      <c r="M5365" s="14" t="s">
        <v>524</v>
      </c>
      <c r="N5365" s="14" t="s">
        <v>525</v>
      </c>
      <c r="O5365" s="14">
        <v>0.0</v>
      </c>
      <c r="P5365" s="21">
        <v>15.0</v>
      </c>
      <c r="Q5365" s="22" t="str">
        <f>"-522"</f>
        <v>-522</v>
      </c>
      <c r="R5365" s="18" t="str">
        <f>"+12"</f>
        <v>+12</v>
      </c>
      <c r="S5365" s="14" t="s">
        <v>383</v>
      </c>
    </row>
    <row r="5366">
      <c r="A5366" s="13">
        <v>45901.0</v>
      </c>
      <c r="B5366" s="14" t="s">
        <v>47</v>
      </c>
      <c r="C5366" s="14" t="s">
        <v>48</v>
      </c>
      <c r="D5366" s="14" t="s">
        <v>165</v>
      </c>
      <c r="E5366" s="14" t="s">
        <v>166</v>
      </c>
      <c r="F5366" s="15" t="s">
        <v>51</v>
      </c>
      <c r="G5366" s="14" t="s">
        <v>167</v>
      </c>
      <c r="H5366" s="14" t="s">
        <v>165</v>
      </c>
      <c r="I5366" s="14" t="s">
        <v>54</v>
      </c>
      <c r="J5366" s="14" t="s">
        <v>199</v>
      </c>
      <c r="K5366" s="14" t="s">
        <v>203</v>
      </c>
      <c r="L5366" s="14" t="s">
        <v>1088</v>
      </c>
      <c r="M5366" s="14" t="s">
        <v>1089</v>
      </c>
      <c r="N5366" s="14" t="s">
        <v>1090</v>
      </c>
      <c r="O5366" s="14">
        <v>100.0</v>
      </c>
      <c r="P5366" s="21">
        <v>1.0</v>
      </c>
      <c r="Q5366" s="22" t="str">
        <f t="shared" ref="Q5366:R5366" si="3215">"+0"</f>
        <v>+0</v>
      </c>
      <c r="R5366" s="18" t="str">
        <f t="shared" si="3215"/>
        <v>+0</v>
      </c>
      <c r="S5366" s="14" t="s">
        <v>260</v>
      </c>
    </row>
    <row r="5367">
      <c r="A5367" s="13">
        <v>45901.0</v>
      </c>
      <c r="B5367" s="14" t="s">
        <v>47</v>
      </c>
      <c r="C5367" s="14" t="s">
        <v>48</v>
      </c>
      <c r="D5367" s="14" t="s">
        <v>49</v>
      </c>
      <c r="E5367" s="14" t="s">
        <v>50</v>
      </c>
      <c r="F5367" s="15" t="s">
        <v>51</v>
      </c>
      <c r="G5367" s="14" t="s">
        <v>52</v>
      </c>
      <c r="H5367" s="14" t="s">
        <v>53</v>
      </c>
      <c r="I5367" s="14" t="s">
        <v>54</v>
      </c>
      <c r="J5367" s="14" t="s">
        <v>200</v>
      </c>
      <c r="K5367" s="14" t="s">
        <v>224</v>
      </c>
      <c r="L5367" s="14" t="s">
        <v>427</v>
      </c>
      <c r="M5367" s="14" t="s">
        <v>895</v>
      </c>
      <c r="N5367" s="14" t="s">
        <v>896</v>
      </c>
      <c r="O5367" s="14">
        <v>0.0</v>
      </c>
      <c r="P5367" s="23">
        <v>0.0</v>
      </c>
      <c r="Q5367" s="22" t="str">
        <f t="shared" ref="Q5367:R5367" si="3216">"+0.00%"</f>
        <v>+0.00%</v>
      </c>
      <c r="R5367" s="18" t="str">
        <f t="shared" si="3216"/>
        <v>+0.00%</v>
      </c>
      <c r="S5367" s="14" t="s">
        <v>897</v>
      </c>
    </row>
    <row r="5368">
      <c r="A5368" s="13">
        <v>45901.0</v>
      </c>
      <c r="B5368" s="14" t="s">
        <v>47</v>
      </c>
      <c r="C5368" s="14" t="s">
        <v>48</v>
      </c>
      <c r="D5368" s="14" t="s">
        <v>91</v>
      </c>
      <c r="E5368" s="14" t="s">
        <v>92</v>
      </c>
      <c r="F5368" s="14" t="s">
        <v>71</v>
      </c>
      <c r="G5368" s="14">
        <v>5.10000484E8</v>
      </c>
      <c r="H5368" s="14" t="s">
        <v>91</v>
      </c>
      <c r="I5368" s="14" t="s">
        <v>54</v>
      </c>
      <c r="J5368" s="14" t="s">
        <v>199</v>
      </c>
      <c r="K5368" s="14" t="s">
        <v>206</v>
      </c>
      <c r="L5368" s="14" t="s">
        <v>268</v>
      </c>
      <c r="M5368" s="14" t="s">
        <v>268</v>
      </c>
      <c r="N5368" s="14" t="s">
        <v>269</v>
      </c>
      <c r="O5368" s="14">
        <v>100.0</v>
      </c>
      <c r="P5368" s="21">
        <v>9.0</v>
      </c>
      <c r="Q5368" s="22" t="str">
        <f t="shared" ref="Q5368:R5368" si="3217">"+5"</f>
        <v>+5</v>
      </c>
      <c r="R5368" s="18" t="str">
        <f t="shared" si="3217"/>
        <v>+5</v>
      </c>
      <c r="S5368" s="14" t="s">
        <v>260</v>
      </c>
    </row>
    <row r="5369">
      <c r="A5369" s="13">
        <v>45901.0</v>
      </c>
      <c r="B5369" s="14" t="s">
        <v>47</v>
      </c>
      <c r="C5369" s="14" t="s">
        <v>48</v>
      </c>
      <c r="D5369" s="14" t="s">
        <v>63</v>
      </c>
      <c r="E5369" s="14" t="s">
        <v>64</v>
      </c>
      <c r="F5369" s="15" t="s">
        <v>51</v>
      </c>
      <c r="G5369" s="14" t="s">
        <v>65</v>
      </c>
      <c r="H5369" s="14" t="s">
        <v>63</v>
      </c>
      <c r="I5369" s="14" t="s">
        <v>54</v>
      </c>
      <c r="J5369" s="14" t="s">
        <v>199</v>
      </c>
      <c r="K5369" s="14" t="s">
        <v>203</v>
      </c>
      <c r="L5369" s="14" t="s">
        <v>601</v>
      </c>
      <c r="M5369" s="14" t="s">
        <v>601</v>
      </c>
      <c r="N5369" s="14" t="s">
        <v>602</v>
      </c>
      <c r="O5369" s="14">
        <v>0.0</v>
      </c>
      <c r="P5369" s="21">
        <v>0.0</v>
      </c>
      <c r="Q5369" s="22" t="str">
        <f t="shared" ref="Q5369:R5369" si="3218">"+0"</f>
        <v>+0</v>
      </c>
      <c r="R5369" s="18" t="str">
        <f t="shared" si="3218"/>
        <v>+0</v>
      </c>
      <c r="S5369" s="14" t="s">
        <v>260</v>
      </c>
    </row>
    <row r="5370">
      <c r="A5370" s="13">
        <v>45901.0</v>
      </c>
      <c r="B5370" s="14" t="s">
        <v>47</v>
      </c>
      <c r="C5370" s="14" t="s">
        <v>48</v>
      </c>
      <c r="D5370" s="14" t="s">
        <v>63</v>
      </c>
      <c r="E5370" s="14" t="s">
        <v>64</v>
      </c>
      <c r="F5370" s="15" t="s">
        <v>51</v>
      </c>
      <c r="G5370" s="14" t="s">
        <v>65</v>
      </c>
      <c r="H5370" s="14" t="s">
        <v>63</v>
      </c>
      <c r="I5370" s="14" t="s">
        <v>54</v>
      </c>
      <c r="J5370" s="14" t="s">
        <v>198</v>
      </c>
      <c r="K5370" s="14" t="s">
        <v>210</v>
      </c>
      <c r="L5370" s="14" t="s">
        <v>458</v>
      </c>
      <c r="M5370" s="14" t="s">
        <v>459</v>
      </c>
      <c r="N5370" s="14" t="s">
        <v>460</v>
      </c>
      <c r="O5370" s="14">
        <v>100.0</v>
      </c>
      <c r="P5370" s="21">
        <v>0.0</v>
      </c>
      <c r="Q5370" s="22" t="str">
        <f>"-147"</f>
        <v>-147</v>
      </c>
      <c r="R5370" s="18" t="str">
        <f>"-240"</f>
        <v>-240</v>
      </c>
      <c r="S5370" s="14" t="s">
        <v>281</v>
      </c>
    </row>
    <row r="5371">
      <c r="A5371" s="13">
        <v>45901.0</v>
      </c>
      <c r="B5371" s="14" t="s">
        <v>47</v>
      </c>
      <c r="C5371" s="14" t="s">
        <v>48</v>
      </c>
      <c r="D5371" s="14" t="s">
        <v>63</v>
      </c>
      <c r="E5371" s="14" t="s">
        <v>64</v>
      </c>
      <c r="F5371" s="15" t="s">
        <v>51</v>
      </c>
      <c r="G5371" s="14" t="s">
        <v>65</v>
      </c>
      <c r="H5371" s="14" t="s">
        <v>63</v>
      </c>
      <c r="I5371" s="14" t="s">
        <v>54</v>
      </c>
      <c r="J5371" s="14" t="s">
        <v>198</v>
      </c>
      <c r="K5371" s="14" t="s">
        <v>207</v>
      </c>
      <c r="L5371" s="14" t="s">
        <v>648</v>
      </c>
      <c r="M5371" s="14" t="s">
        <v>649</v>
      </c>
      <c r="N5371" s="14" t="s">
        <v>650</v>
      </c>
      <c r="O5371" s="14">
        <v>100.0</v>
      </c>
      <c r="P5371" s="21">
        <v>1.0</v>
      </c>
      <c r="Q5371" s="22" t="str">
        <f>"+0"</f>
        <v>+0</v>
      </c>
      <c r="S5371" s="14" t="s">
        <v>281</v>
      </c>
    </row>
    <row r="5372">
      <c r="A5372" s="13">
        <v>45901.0</v>
      </c>
      <c r="B5372" s="14" t="s">
        <v>47</v>
      </c>
      <c r="C5372" s="14" t="s">
        <v>48</v>
      </c>
      <c r="D5372" s="14" t="s">
        <v>91</v>
      </c>
      <c r="E5372" s="14" t="s">
        <v>92</v>
      </c>
      <c r="F5372" s="15" t="s">
        <v>51</v>
      </c>
      <c r="G5372" s="14" t="s">
        <v>163</v>
      </c>
      <c r="H5372" s="14" t="s">
        <v>91</v>
      </c>
      <c r="I5372" s="14" t="s">
        <v>59</v>
      </c>
      <c r="J5372" s="14" t="s">
        <v>200</v>
      </c>
      <c r="K5372" s="14" t="s">
        <v>223</v>
      </c>
      <c r="L5372" s="14" t="s">
        <v>363</v>
      </c>
      <c r="M5372" s="14" t="s">
        <v>708</v>
      </c>
      <c r="N5372" s="14" t="s">
        <v>709</v>
      </c>
      <c r="O5372" s="14">
        <v>0.0</v>
      </c>
      <c r="P5372" s="23">
        <v>0.0</v>
      </c>
      <c r="Q5372" s="22" t="str">
        <f t="shared" ref="Q5372:R5372" si="3219">"+0.00%"</f>
        <v>+0.00%</v>
      </c>
      <c r="R5372" s="18" t="str">
        <f t="shared" si="3219"/>
        <v>+0.00%</v>
      </c>
      <c r="S5372" s="14" t="s">
        <v>285</v>
      </c>
    </row>
    <row r="5373">
      <c r="A5373" s="13">
        <v>45901.0</v>
      </c>
      <c r="B5373" s="14" t="s">
        <v>47</v>
      </c>
      <c r="C5373" s="14" t="s">
        <v>48</v>
      </c>
      <c r="D5373" s="14" t="s">
        <v>99</v>
      </c>
      <c r="E5373" s="14" t="s">
        <v>100</v>
      </c>
      <c r="F5373" s="15" t="s">
        <v>51</v>
      </c>
      <c r="G5373" s="14" t="s">
        <v>101</v>
      </c>
      <c r="H5373" s="14" t="s">
        <v>102</v>
      </c>
      <c r="I5373" s="14" t="s">
        <v>54</v>
      </c>
      <c r="J5373" s="14" t="s">
        <v>200</v>
      </c>
      <c r="K5373" s="14" t="s">
        <v>213</v>
      </c>
      <c r="L5373" s="14" t="s">
        <v>359</v>
      </c>
      <c r="M5373" s="14" t="s">
        <v>360</v>
      </c>
      <c r="N5373" s="14" t="s">
        <v>361</v>
      </c>
      <c r="O5373" s="14">
        <v>0.0</v>
      </c>
      <c r="P5373" s="23">
        <v>0.0</v>
      </c>
      <c r="Q5373" s="22" t="str">
        <f t="shared" ref="Q5373:R5373" si="3220">"+0.00%"</f>
        <v>+0.00%</v>
      </c>
      <c r="R5373" s="18" t="str">
        <f t="shared" si="3220"/>
        <v>+0.00%</v>
      </c>
      <c r="S5373" s="14" t="s">
        <v>2479</v>
      </c>
    </row>
    <row r="5374">
      <c r="A5374" s="13">
        <v>45901.0</v>
      </c>
      <c r="B5374" s="14" t="s">
        <v>47</v>
      </c>
      <c r="C5374" s="14" t="s">
        <v>48</v>
      </c>
      <c r="D5374" s="14" t="s">
        <v>192</v>
      </c>
      <c r="E5374" s="14" t="s">
        <v>193</v>
      </c>
      <c r="F5374" s="15" t="s">
        <v>51</v>
      </c>
      <c r="G5374" s="14" t="s">
        <v>194</v>
      </c>
      <c r="H5374" s="14" t="s">
        <v>192</v>
      </c>
      <c r="I5374" s="14" t="s">
        <v>54</v>
      </c>
      <c r="J5374" s="14" t="s">
        <v>198</v>
      </c>
      <c r="K5374" s="14" t="s">
        <v>207</v>
      </c>
      <c r="L5374" s="14" t="s">
        <v>318</v>
      </c>
      <c r="M5374" s="14" t="s">
        <v>508</v>
      </c>
      <c r="N5374" s="14" t="s">
        <v>509</v>
      </c>
      <c r="O5374" s="14">
        <v>100.0</v>
      </c>
      <c r="P5374" s="21">
        <v>1.0</v>
      </c>
      <c r="Q5374" s="22" t="str">
        <f t="shared" ref="Q5374:Q5375" si="3221">"+0"</f>
        <v>+0</v>
      </c>
      <c r="S5374" s="14" t="s">
        <v>281</v>
      </c>
    </row>
    <row r="5375">
      <c r="A5375" s="13">
        <v>45901.0</v>
      </c>
      <c r="B5375" s="14" t="s">
        <v>47</v>
      </c>
      <c r="C5375" s="14" t="s">
        <v>48</v>
      </c>
      <c r="D5375" s="14" t="s">
        <v>129</v>
      </c>
      <c r="E5375" s="14" t="s">
        <v>130</v>
      </c>
      <c r="F5375" s="15" t="s">
        <v>51</v>
      </c>
      <c r="G5375" s="14" t="s">
        <v>131</v>
      </c>
      <c r="H5375" s="14" t="s">
        <v>129</v>
      </c>
      <c r="I5375" s="14" t="s">
        <v>59</v>
      </c>
      <c r="J5375" s="14" t="s">
        <v>200</v>
      </c>
      <c r="K5375" s="14" t="s">
        <v>231</v>
      </c>
      <c r="L5375" s="14" t="s">
        <v>372</v>
      </c>
      <c r="M5375" s="14" t="s">
        <v>1279</v>
      </c>
      <c r="N5375" s="14" t="s">
        <v>1280</v>
      </c>
      <c r="O5375" s="14">
        <v>0.0</v>
      </c>
      <c r="P5375" s="21">
        <v>0.0</v>
      </c>
      <c r="Q5375" s="22" t="str">
        <f t="shared" si="3221"/>
        <v>+0</v>
      </c>
      <c r="R5375" s="18" t="str">
        <f>"+0"</f>
        <v>+0</v>
      </c>
      <c r="S5375" s="14" t="s">
        <v>260</v>
      </c>
    </row>
    <row r="5376">
      <c r="A5376" s="13">
        <v>45901.0</v>
      </c>
      <c r="B5376" s="14" t="s">
        <v>47</v>
      </c>
      <c r="C5376" s="14" t="s">
        <v>48</v>
      </c>
      <c r="D5376" s="14" t="s">
        <v>66</v>
      </c>
      <c r="E5376" s="14" t="s">
        <v>67</v>
      </c>
      <c r="F5376" s="15" t="s">
        <v>51</v>
      </c>
      <c r="G5376" s="14" t="s">
        <v>68</v>
      </c>
      <c r="H5376" s="14" t="s">
        <v>66</v>
      </c>
      <c r="I5376" s="14" t="s">
        <v>59</v>
      </c>
      <c r="J5376" s="14" t="s">
        <v>200</v>
      </c>
      <c r="K5376" s="14" t="s">
        <v>231</v>
      </c>
      <c r="L5376" s="14" t="s">
        <v>751</v>
      </c>
      <c r="M5376" s="14" t="s">
        <v>1349</v>
      </c>
      <c r="N5376" s="14" t="s">
        <v>1350</v>
      </c>
      <c r="O5376" s="14">
        <v>0.0</v>
      </c>
      <c r="P5376" s="17"/>
      <c r="Q5376" s="22"/>
      <c r="S5376" s="14" t="s">
        <v>2480</v>
      </c>
    </row>
    <row r="5377">
      <c r="A5377" s="13">
        <v>45901.0</v>
      </c>
      <c r="B5377" s="14" t="s">
        <v>47</v>
      </c>
      <c r="C5377" s="14" t="s">
        <v>48</v>
      </c>
      <c r="D5377" s="14" t="s">
        <v>93</v>
      </c>
      <c r="E5377" s="14" t="s">
        <v>94</v>
      </c>
      <c r="F5377" s="15" t="s">
        <v>51</v>
      </c>
      <c r="G5377" s="14" t="s">
        <v>191</v>
      </c>
      <c r="H5377" s="14" t="s">
        <v>95</v>
      </c>
      <c r="I5377" s="14" t="s">
        <v>59</v>
      </c>
      <c r="J5377" s="14" t="s">
        <v>198</v>
      </c>
      <c r="K5377" s="14" t="s">
        <v>205</v>
      </c>
      <c r="L5377" s="14" t="s">
        <v>274</v>
      </c>
      <c r="M5377" s="14" t="s">
        <v>466</v>
      </c>
      <c r="N5377" s="14" t="s">
        <v>467</v>
      </c>
      <c r="O5377" s="14">
        <v>100.0</v>
      </c>
      <c r="P5377" s="21">
        <v>1.0</v>
      </c>
      <c r="Q5377" s="22" t="str">
        <f>"+0"</f>
        <v>+0</v>
      </c>
      <c r="S5377" s="14" t="s">
        <v>281</v>
      </c>
    </row>
    <row r="5378">
      <c r="A5378" s="13">
        <v>45901.0</v>
      </c>
      <c r="B5378" s="14" t="s">
        <v>47</v>
      </c>
      <c r="C5378" s="14" t="s">
        <v>48</v>
      </c>
      <c r="D5378" s="14" t="s">
        <v>192</v>
      </c>
      <c r="E5378" s="14" t="s">
        <v>193</v>
      </c>
      <c r="F5378" s="15" t="s">
        <v>51</v>
      </c>
      <c r="G5378" s="14" t="s">
        <v>194</v>
      </c>
      <c r="H5378" s="14" t="s">
        <v>192</v>
      </c>
      <c r="I5378" s="14" t="s">
        <v>54</v>
      </c>
      <c r="J5378" s="14" t="s">
        <v>200</v>
      </c>
      <c r="K5378" s="14" t="s">
        <v>231</v>
      </c>
      <c r="L5378" s="14" t="s">
        <v>512</v>
      </c>
      <c r="M5378" s="14" t="s">
        <v>714</v>
      </c>
      <c r="N5378" s="14" t="s">
        <v>715</v>
      </c>
      <c r="O5378" s="14">
        <v>100.0</v>
      </c>
      <c r="P5378" s="21">
        <v>8.0</v>
      </c>
      <c r="Q5378" s="22" t="str">
        <f>"+1"</f>
        <v>+1</v>
      </c>
      <c r="R5378" s="18" t="str">
        <f>"-18"</f>
        <v>-18</v>
      </c>
      <c r="S5378" s="14" t="s">
        <v>260</v>
      </c>
    </row>
    <row r="5379">
      <c r="A5379" s="13">
        <v>45901.0</v>
      </c>
      <c r="B5379" s="14" t="s">
        <v>47</v>
      </c>
      <c r="C5379" s="14" t="s">
        <v>48</v>
      </c>
      <c r="D5379" s="14" t="s">
        <v>66</v>
      </c>
      <c r="E5379" s="14" t="s">
        <v>67</v>
      </c>
      <c r="F5379" s="15" t="s">
        <v>51</v>
      </c>
      <c r="G5379" s="14" t="s">
        <v>68</v>
      </c>
      <c r="H5379" s="14" t="s">
        <v>66</v>
      </c>
      <c r="I5379" s="14" t="s">
        <v>59</v>
      </c>
      <c r="J5379" s="14" t="s">
        <v>200</v>
      </c>
      <c r="K5379" s="14" t="s">
        <v>223</v>
      </c>
      <c r="L5379" s="14" t="s">
        <v>607</v>
      </c>
      <c r="M5379" s="14" t="s">
        <v>1312</v>
      </c>
      <c r="N5379" s="14" t="s">
        <v>1313</v>
      </c>
      <c r="O5379" s="14">
        <v>0.0</v>
      </c>
      <c r="P5379" s="23">
        <v>0.0</v>
      </c>
      <c r="Q5379" s="22" t="str">
        <f t="shared" ref="Q5379:R5379" si="3222">"+0.00%"</f>
        <v>+0.00%</v>
      </c>
      <c r="R5379" s="18" t="str">
        <f t="shared" si="3222"/>
        <v>+0.00%</v>
      </c>
      <c r="S5379" s="14" t="s">
        <v>285</v>
      </c>
    </row>
    <row r="5380">
      <c r="A5380" s="13">
        <v>45901.0</v>
      </c>
      <c r="B5380" s="14" t="s">
        <v>47</v>
      </c>
      <c r="C5380" s="14" t="s">
        <v>48</v>
      </c>
      <c r="D5380" s="14" t="s">
        <v>192</v>
      </c>
      <c r="E5380" s="14" t="s">
        <v>193</v>
      </c>
      <c r="F5380" s="15" t="s">
        <v>51</v>
      </c>
      <c r="G5380" s="14" t="s">
        <v>194</v>
      </c>
      <c r="H5380" s="14" t="s">
        <v>192</v>
      </c>
      <c r="I5380" s="14" t="s">
        <v>54</v>
      </c>
      <c r="J5380" s="14" t="s">
        <v>200</v>
      </c>
      <c r="K5380" s="14" t="s">
        <v>211</v>
      </c>
      <c r="L5380" s="14" t="s">
        <v>991</v>
      </c>
      <c r="M5380" s="14" t="s">
        <v>1649</v>
      </c>
      <c r="N5380" s="14" t="s">
        <v>1650</v>
      </c>
      <c r="O5380" s="14">
        <v>100.0</v>
      </c>
      <c r="P5380" s="23">
        <v>1.0</v>
      </c>
      <c r="Q5380" s="22" t="str">
        <f t="shared" ref="Q5380:Q5381" si="3223">"+0.00%"</f>
        <v>+0.00%</v>
      </c>
      <c r="S5380" s="14" t="s">
        <v>336</v>
      </c>
    </row>
    <row r="5381">
      <c r="A5381" s="13">
        <v>45901.0</v>
      </c>
      <c r="B5381" s="14" t="s">
        <v>47</v>
      </c>
      <c r="C5381" s="14" t="s">
        <v>48</v>
      </c>
      <c r="D5381" s="14" t="s">
        <v>66</v>
      </c>
      <c r="E5381" s="14" t="s">
        <v>67</v>
      </c>
      <c r="F5381" s="15" t="s">
        <v>51</v>
      </c>
      <c r="G5381" s="14" t="s">
        <v>68</v>
      </c>
      <c r="H5381" s="14" t="s">
        <v>66</v>
      </c>
      <c r="I5381" s="14" t="s">
        <v>59</v>
      </c>
      <c r="J5381" s="14" t="s">
        <v>200</v>
      </c>
      <c r="K5381" s="14" t="s">
        <v>223</v>
      </c>
      <c r="L5381" s="14" t="s">
        <v>286</v>
      </c>
      <c r="M5381" s="14" t="s">
        <v>644</v>
      </c>
      <c r="N5381" s="14" t="s">
        <v>645</v>
      </c>
      <c r="O5381" s="14">
        <v>0.0</v>
      </c>
      <c r="P5381" s="23">
        <v>-1.0</v>
      </c>
      <c r="Q5381" s="22" t="str">
        <f t="shared" si="3223"/>
        <v>+0.00%</v>
      </c>
      <c r="R5381" s="18" t="str">
        <f>"-13.10%"</f>
        <v>-13.10%</v>
      </c>
      <c r="S5381" s="14" t="s">
        <v>2481</v>
      </c>
    </row>
    <row r="5382">
      <c r="A5382" s="13">
        <v>45901.0</v>
      </c>
      <c r="B5382" s="14" t="s">
        <v>47</v>
      </c>
      <c r="C5382" s="14" t="s">
        <v>48</v>
      </c>
      <c r="D5382" s="14" t="s">
        <v>149</v>
      </c>
      <c r="E5382" s="14" t="s">
        <v>150</v>
      </c>
      <c r="F5382" s="15" t="s">
        <v>51</v>
      </c>
      <c r="G5382" s="14" t="s">
        <v>151</v>
      </c>
      <c r="H5382" s="14" t="s">
        <v>152</v>
      </c>
      <c r="I5382" s="14" t="s">
        <v>54</v>
      </c>
      <c r="J5382" s="14" t="s">
        <v>200</v>
      </c>
      <c r="K5382" s="14" t="s">
        <v>231</v>
      </c>
      <c r="L5382" s="14" t="s">
        <v>372</v>
      </c>
      <c r="M5382" s="14" t="s">
        <v>2020</v>
      </c>
      <c r="N5382" s="14" t="s">
        <v>2021</v>
      </c>
      <c r="O5382" s="14">
        <v>0.0</v>
      </c>
      <c r="P5382" s="21">
        <v>0.0</v>
      </c>
      <c r="Q5382" s="22" t="str">
        <f t="shared" ref="Q5382:R5382" si="3224">"+0"</f>
        <v>+0</v>
      </c>
      <c r="R5382" s="18" t="str">
        <f t="shared" si="3224"/>
        <v>+0</v>
      </c>
      <c r="S5382" s="14" t="s">
        <v>260</v>
      </c>
    </row>
    <row r="5383">
      <c r="A5383" s="13">
        <v>45901.0</v>
      </c>
      <c r="B5383" s="14" t="s">
        <v>47</v>
      </c>
      <c r="C5383" s="14" t="s">
        <v>48</v>
      </c>
      <c r="D5383" s="14" t="s">
        <v>149</v>
      </c>
      <c r="E5383" s="14" t="s">
        <v>150</v>
      </c>
      <c r="F5383" s="15" t="s">
        <v>51</v>
      </c>
      <c r="G5383" s="14" t="s">
        <v>151</v>
      </c>
      <c r="H5383" s="14" t="s">
        <v>152</v>
      </c>
      <c r="I5383" s="14" t="s">
        <v>54</v>
      </c>
      <c r="J5383" s="14" t="s">
        <v>200</v>
      </c>
      <c r="K5383" s="14" t="s">
        <v>211</v>
      </c>
      <c r="L5383" s="14" t="s">
        <v>889</v>
      </c>
      <c r="M5383" s="14" t="s">
        <v>2439</v>
      </c>
      <c r="N5383" s="14" t="s">
        <v>2440</v>
      </c>
      <c r="O5383" s="14">
        <v>35.0</v>
      </c>
      <c r="P5383" s="23">
        <v>-0.2963</v>
      </c>
      <c r="Q5383" s="22" t="str">
        <f>"+9.63%"</f>
        <v>+9.63%</v>
      </c>
      <c r="R5383" s="18" t="str">
        <f>"-58.69%"</f>
        <v>-58.69%</v>
      </c>
      <c r="S5383" s="14" t="s">
        <v>336</v>
      </c>
    </row>
    <row r="5384">
      <c r="A5384" s="13">
        <v>45901.0</v>
      </c>
      <c r="B5384" s="14" t="s">
        <v>47</v>
      </c>
      <c r="C5384" s="14" t="s">
        <v>48</v>
      </c>
      <c r="D5384" s="14" t="s">
        <v>149</v>
      </c>
      <c r="E5384" s="14" t="s">
        <v>150</v>
      </c>
      <c r="F5384" s="15" t="s">
        <v>51</v>
      </c>
      <c r="G5384" s="14" t="s">
        <v>151</v>
      </c>
      <c r="H5384" s="14" t="s">
        <v>152</v>
      </c>
      <c r="I5384" s="14" t="s">
        <v>54</v>
      </c>
      <c r="J5384" s="14" t="s">
        <v>200</v>
      </c>
      <c r="K5384" s="14" t="s">
        <v>223</v>
      </c>
      <c r="L5384" s="14" t="s">
        <v>422</v>
      </c>
      <c r="M5384" s="14" t="s">
        <v>1197</v>
      </c>
      <c r="N5384" s="14" t="s">
        <v>1198</v>
      </c>
      <c r="O5384" s="14">
        <v>100.0</v>
      </c>
      <c r="P5384" s="23">
        <v>0.0256</v>
      </c>
      <c r="Q5384" s="22" t="str">
        <f>"+0.03%"</f>
        <v>+0.03%</v>
      </c>
      <c r="R5384" s="18" t="str">
        <f>"+0.19%"</f>
        <v>+0.19%</v>
      </c>
      <c r="S5384" s="14" t="s">
        <v>285</v>
      </c>
    </row>
    <row r="5385">
      <c r="A5385" s="13">
        <v>45901.0</v>
      </c>
      <c r="B5385" s="14" t="s">
        <v>47</v>
      </c>
      <c r="C5385" s="14" t="s">
        <v>48</v>
      </c>
      <c r="D5385" s="14" t="s">
        <v>87</v>
      </c>
      <c r="E5385" s="14" t="s">
        <v>88</v>
      </c>
      <c r="F5385" s="15" t="s">
        <v>51</v>
      </c>
      <c r="G5385" s="14" t="s">
        <v>89</v>
      </c>
      <c r="H5385" s="14" t="s">
        <v>90</v>
      </c>
      <c r="I5385" s="14" t="s">
        <v>59</v>
      </c>
      <c r="J5385" s="14" t="s">
        <v>200</v>
      </c>
      <c r="K5385" s="14" t="s">
        <v>246</v>
      </c>
      <c r="L5385" s="14" t="s">
        <v>614</v>
      </c>
      <c r="M5385" s="14" t="s">
        <v>2482</v>
      </c>
      <c r="N5385" s="14" t="s">
        <v>2483</v>
      </c>
      <c r="O5385" s="14">
        <v>0.0</v>
      </c>
      <c r="P5385" s="23">
        <v>-1.0</v>
      </c>
      <c r="Q5385" s="22" t="str">
        <f t="shared" ref="Q5385:R5385" si="3225">"+0.00%"</f>
        <v>+0.00%</v>
      </c>
      <c r="R5385" s="18" t="str">
        <f t="shared" si="3225"/>
        <v>+0.00%</v>
      </c>
      <c r="S5385" s="14" t="s">
        <v>2484</v>
      </c>
    </row>
    <row r="5386">
      <c r="A5386" s="13">
        <v>45901.0</v>
      </c>
      <c r="B5386" s="14" t="s">
        <v>47</v>
      </c>
      <c r="C5386" s="14" t="s">
        <v>48</v>
      </c>
      <c r="D5386" s="14" t="s">
        <v>69</v>
      </c>
      <c r="E5386" s="14" t="s">
        <v>70</v>
      </c>
      <c r="F5386" s="15" t="s">
        <v>51</v>
      </c>
      <c r="G5386" s="14" t="s">
        <v>115</v>
      </c>
      <c r="H5386" s="14" t="s">
        <v>72</v>
      </c>
      <c r="I5386" s="14" t="s">
        <v>54</v>
      </c>
      <c r="J5386" s="14" t="s">
        <v>198</v>
      </c>
      <c r="K5386" s="14" t="s">
        <v>210</v>
      </c>
      <c r="L5386" s="14" t="s">
        <v>264</v>
      </c>
      <c r="M5386" s="14" t="s">
        <v>930</v>
      </c>
      <c r="N5386" s="14" t="s">
        <v>931</v>
      </c>
      <c r="O5386" s="14">
        <v>0.0</v>
      </c>
      <c r="P5386" s="21">
        <v>0.0</v>
      </c>
      <c r="Q5386" s="22" t="str">
        <f t="shared" ref="Q5386:R5386" si="3226">"+0"</f>
        <v>+0</v>
      </c>
      <c r="R5386" s="18" t="str">
        <f t="shared" si="3226"/>
        <v>+0</v>
      </c>
      <c r="S5386" s="14" t="s">
        <v>277</v>
      </c>
    </row>
    <row r="5387">
      <c r="A5387" s="13">
        <v>45901.0</v>
      </c>
      <c r="B5387" s="14" t="s">
        <v>47</v>
      </c>
      <c r="C5387" s="14" t="s">
        <v>48</v>
      </c>
      <c r="D5387" s="14" t="s">
        <v>69</v>
      </c>
      <c r="E5387" s="14" t="s">
        <v>70</v>
      </c>
      <c r="F5387" s="15" t="s">
        <v>51</v>
      </c>
      <c r="G5387" s="14" t="s">
        <v>115</v>
      </c>
      <c r="H5387" s="14" t="s">
        <v>72</v>
      </c>
      <c r="I5387" s="14" t="s">
        <v>54</v>
      </c>
      <c r="J5387" s="14" t="s">
        <v>200</v>
      </c>
      <c r="K5387" s="14" t="s">
        <v>239</v>
      </c>
      <c r="L5387" s="14" t="s">
        <v>253</v>
      </c>
      <c r="M5387" s="14" t="s">
        <v>389</v>
      </c>
      <c r="N5387" s="14" t="s">
        <v>390</v>
      </c>
      <c r="O5387" s="14">
        <v>88.0</v>
      </c>
      <c r="P5387" s="23">
        <v>0.8846</v>
      </c>
      <c r="Q5387" s="22" t="str">
        <f>"+10.68%"</f>
        <v>+10.68%</v>
      </c>
      <c r="R5387" s="18" t="str">
        <f>"+6.64%"</f>
        <v>+6.64%</v>
      </c>
      <c r="S5387" s="14" t="s">
        <v>2485</v>
      </c>
    </row>
    <row r="5388">
      <c r="A5388" s="13">
        <v>45901.0</v>
      </c>
      <c r="B5388" s="14" t="s">
        <v>47</v>
      </c>
      <c r="C5388" s="14" t="s">
        <v>48</v>
      </c>
      <c r="D5388" s="14" t="s">
        <v>85</v>
      </c>
      <c r="E5388" s="14" t="s">
        <v>86</v>
      </c>
      <c r="F5388" s="15" t="s">
        <v>51</v>
      </c>
      <c r="G5388" s="14" t="s">
        <v>148</v>
      </c>
      <c r="H5388" s="14" t="s">
        <v>85</v>
      </c>
      <c r="I5388" s="14" t="s">
        <v>59</v>
      </c>
      <c r="J5388" s="14" t="s">
        <v>198</v>
      </c>
      <c r="K5388" s="14" t="s">
        <v>205</v>
      </c>
      <c r="L5388" s="14" t="s">
        <v>274</v>
      </c>
      <c r="M5388" s="14" t="s">
        <v>575</v>
      </c>
      <c r="N5388" s="14" t="s">
        <v>576</v>
      </c>
      <c r="O5388" s="14">
        <v>100.0</v>
      </c>
      <c r="P5388" s="21">
        <v>90.0</v>
      </c>
      <c r="Q5388" s="22" t="str">
        <f>"+0"</f>
        <v>+0</v>
      </c>
      <c r="S5388" s="14" t="s">
        <v>577</v>
      </c>
    </row>
    <row r="5389">
      <c r="A5389" s="13">
        <v>45901.0</v>
      </c>
      <c r="B5389" s="14" t="s">
        <v>47</v>
      </c>
      <c r="C5389" s="14" t="s">
        <v>48</v>
      </c>
      <c r="D5389" s="14" t="s">
        <v>85</v>
      </c>
      <c r="E5389" s="14" t="s">
        <v>86</v>
      </c>
      <c r="F5389" s="15" t="s">
        <v>51</v>
      </c>
      <c r="G5389" s="14" t="s">
        <v>148</v>
      </c>
      <c r="H5389" s="14" t="s">
        <v>85</v>
      </c>
      <c r="I5389" s="14" t="s">
        <v>59</v>
      </c>
      <c r="J5389" s="14" t="s">
        <v>200</v>
      </c>
      <c r="K5389" s="14" t="s">
        <v>202</v>
      </c>
      <c r="L5389" s="14" t="s">
        <v>253</v>
      </c>
      <c r="M5389" s="14" t="s">
        <v>874</v>
      </c>
      <c r="N5389" s="14" t="s">
        <v>875</v>
      </c>
      <c r="O5389" s="14">
        <v>87.0</v>
      </c>
      <c r="P5389" s="23">
        <v>0.8727</v>
      </c>
      <c r="Q5389" s="22" t="str">
        <f>"+0.37%"</f>
        <v>+0.37%</v>
      </c>
      <c r="R5389" s="18" t="str">
        <f>"+2.06%"</f>
        <v>+2.06%</v>
      </c>
      <c r="S5389" s="14" t="s">
        <v>876</v>
      </c>
    </row>
    <row r="5390">
      <c r="A5390" s="13">
        <v>45901.0</v>
      </c>
      <c r="B5390" s="14" t="s">
        <v>47</v>
      </c>
      <c r="C5390" s="14" t="s">
        <v>48</v>
      </c>
      <c r="D5390" s="14" t="s">
        <v>85</v>
      </c>
      <c r="E5390" s="14" t="s">
        <v>86</v>
      </c>
      <c r="F5390" s="14" t="s">
        <v>71</v>
      </c>
      <c r="G5390" s="14">
        <v>88285.0</v>
      </c>
      <c r="H5390" s="14" t="s">
        <v>85</v>
      </c>
      <c r="I5390" s="14" t="s">
        <v>59</v>
      </c>
      <c r="J5390" s="14" t="s">
        <v>199</v>
      </c>
      <c r="K5390" s="14" t="s">
        <v>206</v>
      </c>
      <c r="L5390" s="14" t="s">
        <v>295</v>
      </c>
      <c r="M5390" s="14" t="s">
        <v>986</v>
      </c>
      <c r="N5390" s="14" t="s">
        <v>987</v>
      </c>
      <c r="O5390" s="14">
        <v>0.0</v>
      </c>
      <c r="P5390" s="21">
        <v>0.0</v>
      </c>
      <c r="Q5390" s="22" t="str">
        <f t="shared" ref="Q5390:R5390" si="3227">"-2"</f>
        <v>-2</v>
      </c>
      <c r="R5390" s="18" t="str">
        <f t="shared" si="3227"/>
        <v>-2</v>
      </c>
      <c r="S5390" s="14" t="s">
        <v>260</v>
      </c>
    </row>
    <row r="5391">
      <c r="A5391" s="13">
        <v>45901.0</v>
      </c>
      <c r="B5391" s="14" t="s">
        <v>47</v>
      </c>
      <c r="C5391" s="14" t="s">
        <v>48</v>
      </c>
      <c r="D5391" s="14" t="s">
        <v>112</v>
      </c>
      <c r="E5391" s="14" t="s">
        <v>113</v>
      </c>
      <c r="F5391" s="15" t="s">
        <v>51</v>
      </c>
      <c r="G5391" s="14" t="s">
        <v>114</v>
      </c>
      <c r="H5391" s="14" t="s">
        <v>112</v>
      </c>
      <c r="I5391" s="14" t="s">
        <v>59</v>
      </c>
      <c r="J5391" s="14" t="s">
        <v>200</v>
      </c>
      <c r="K5391" s="14" t="s">
        <v>213</v>
      </c>
      <c r="L5391" s="14" t="s">
        <v>359</v>
      </c>
      <c r="M5391" s="14" t="s">
        <v>628</v>
      </c>
      <c r="N5391" s="14" t="s">
        <v>629</v>
      </c>
      <c r="O5391" s="14">
        <v>0.0</v>
      </c>
      <c r="P5391" s="21">
        <v>0.0</v>
      </c>
      <c r="Q5391" s="22" t="str">
        <f t="shared" ref="Q5391:R5391" si="3228">"+0"</f>
        <v>+0</v>
      </c>
      <c r="R5391" s="18" t="str">
        <f t="shared" si="3228"/>
        <v>+0</v>
      </c>
      <c r="S5391" s="14" t="s">
        <v>260</v>
      </c>
    </row>
    <row r="5392">
      <c r="A5392" s="13">
        <v>45901.0</v>
      </c>
      <c r="B5392" s="14" t="s">
        <v>47</v>
      </c>
      <c r="C5392" s="14" t="s">
        <v>48</v>
      </c>
      <c r="D5392" s="14" t="s">
        <v>77</v>
      </c>
      <c r="E5392" s="14" t="s">
        <v>78</v>
      </c>
      <c r="F5392" s="14" t="s">
        <v>79</v>
      </c>
      <c r="G5392" s="14" t="s">
        <v>80</v>
      </c>
      <c r="H5392" s="14" t="s">
        <v>81</v>
      </c>
      <c r="J5392" s="14" t="s">
        <v>200</v>
      </c>
      <c r="K5392" s="14" t="s">
        <v>237</v>
      </c>
      <c r="L5392" s="14" t="s">
        <v>333</v>
      </c>
      <c r="M5392" s="14" t="s">
        <v>544</v>
      </c>
      <c r="N5392" s="14" t="s">
        <v>545</v>
      </c>
      <c r="O5392" s="14">
        <v>100.0</v>
      </c>
      <c r="P5392" s="21">
        <v>0.0</v>
      </c>
      <c r="Q5392" s="22" t="str">
        <f t="shared" ref="Q5392:R5392" si="3229">"+0"</f>
        <v>+0</v>
      </c>
      <c r="R5392" s="18" t="str">
        <f t="shared" si="3229"/>
        <v>+0</v>
      </c>
      <c r="S5392" s="14" t="s">
        <v>327</v>
      </c>
    </row>
    <row r="5393">
      <c r="A5393" s="13">
        <v>45901.0</v>
      </c>
      <c r="B5393" s="14" t="s">
        <v>47</v>
      </c>
      <c r="C5393" s="14" t="s">
        <v>48</v>
      </c>
      <c r="D5393" s="14" t="s">
        <v>108</v>
      </c>
      <c r="E5393" s="14" t="s">
        <v>109</v>
      </c>
      <c r="F5393" s="14" t="s">
        <v>79</v>
      </c>
      <c r="G5393" s="14" t="s">
        <v>153</v>
      </c>
      <c r="H5393" s="14" t="s">
        <v>108</v>
      </c>
      <c r="I5393" s="14" t="s">
        <v>154</v>
      </c>
      <c r="J5393" s="14" t="s">
        <v>198</v>
      </c>
      <c r="K5393" s="14" t="s">
        <v>212</v>
      </c>
      <c r="L5393" s="14" t="s">
        <v>249</v>
      </c>
      <c r="M5393" s="14" t="s">
        <v>1188</v>
      </c>
      <c r="N5393" s="14" t="s">
        <v>1189</v>
      </c>
      <c r="O5393" s="14">
        <v>100.0</v>
      </c>
      <c r="P5393" s="21">
        <v>0.0</v>
      </c>
      <c r="Q5393" s="22" t="str">
        <f t="shared" ref="Q5393:Q5397" si="3230">"+0"</f>
        <v>+0</v>
      </c>
      <c r="S5393" s="14" t="s">
        <v>281</v>
      </c>
    </row>
    <row r="5394">
      <c r="A5394" s="13">
        <v>45901.0</v>
      </c>
      <c r="B5394" s="14" t="s">
        <v>47</v>
      </c>
      <c r="C5394" s="14" t="s">
        <v>48</v>
      </c>
      <c r="D5394" s="14" t="s">
        <v>116</v>
      </c>
      <c r="E5394" s="14" t="s">
        <v>117</v>
      </c>
      <c r="F5394" s="15" t="s">
        <v>51</v>
      </c>
      <c r="G5394" s="14" t="s">
        <v>161</v>
      </c>
      <c r="H5394" s="14" t="s">
        <v>116</v>
      </c>
      <c r="I5394" s="14" t="s">
        <v>54</v>
      </c>
      <c r="J5394" s="14" t="s">
        <v>198</v>
      </c>
      <c r="K5394" s="14" t="s">
        <v>205</v>
      </c>
      <c r="L5394" s="14" t="s">
        <v>274</v>
      </c>
      <c r="M5394" s="14" t="s">
        <v>387</v>
      </c>
      <c r="N5394" s="14" t="s">
        <v>388</v>
      </c>
      <c r="O5394" s="14">
        <v>0.0</v>
      </c>
      <c r="P5394" s="21">
        <v>0.0</v>
      </c>
      <c r="Q5394" s="22" t="str">
        <f t="shared" si="3230"/>
        <v>+0</v>
      </c>
      <c r="S5394" s="14" t="s">
        <v>281</v>
      </c>
    </row>
    <row r="5395">
      <c r="A5395" s="13">
        <v>45901.0</v>
      </c>
      <c r="B5395" s="14" t="s">
        <v>47</v>
      </c>
      <c r="C5395" s="14" t="s">
        <v>48</v>
      </c>
      <c r="D5395" s="14" t="s">
        <v>116</v>
      </c>
      <c r="E5395" s="14" t="s">
        <v>117</v>
      </c>
      <c r="F5395" s="15" t="s">
        <v>51</v>
      </c>
      <c r="G5395" s="14" t="s">
        <v>161</v>
      </c>
      <c r="H5395" s="14" t="s">
        <v>116</v>
      </c>
      <c r="I5395" s="14" t="s">
        <v>54</v>
      </c>
      <c r="J5395" s="14" t="s">
        <v>198</v>
      </c>
      <c r="K5395" s="14" t="s">
        <v>212</v>
      </c>
      <c r="L5395" s="14" t="s">
        <v>249</v>
      </c>
      <c r="M5395" s="14" t="s">
        <v>1346</v>
      </c>
      <c r="N5395" s="14" t="s">
        <v>1347</v>
      </c>
      <c r="O5395" s="14">
        <v>0.0</v>
      </c>
      <c r="P5395" s="21">
        <v>0.0</v>
      </c>
      <c r="Q5395" s="22" t="str">
        <f t="shared" si="3230"/>
        <v>+0</v>
      </c>
      <c r="R5395" s="18" t="str">
        <f t="shared" ref="R5395:R5397" si="3231">"+0"</f>
        <v>+0</v>
      </c>
      <c r="S5395" s="14" t="s">
        <v>277</v>
      </c>
    </row>
    <row r="5396">
      <c r="A5396" s="13">
        <v>45901.0</v>
      </c>
      <c r="B5396" s="14" t="s">
        <v>47</v>
      </c>
      <c r="C5396" s="14" t="s">
        <v>48</v>
      </c>
      <c r="D5396" s="14" t="s">
        <v>77</v>
      </c>
      <c r="E5396" s="14" t="s">
        <v>78</v>
      </c>
      <c r="F5396" s="15" t="s">
        <v>51</v>
      </c>
      <c r="G5396" s="14" t="s">
        <v>128</v>
      </c>
      <c r="H5396" s="14" t="s">
        <v>81</v>
      </c>
      <c r="I5396" s="14" t="s">
        <v>59</v>
      </c>
      <c r="J5396" s="14" t="s">
        <v>200</v>
      </c>
      <c r="K5396" s="14" t="s">
        <v>216</v>
      </c>
      <c r="L5396" s="14" t="s">
        <v>799</v>
      </c>
      <c r="M5396" s="14" t="s">
        <v>2486</v>
      </c>
      <c r="N5396" s="14" t="s">
        <v>2487</v>
      </c>
      <c r="O5396" s="14">
        <v>0.0</v>
      </c>
      <c r="P5396" s="21">
        <v>0.0</v>
      </c>
      <c r="Q5396" s="22" t="str">
        <f t="shared" si="3230"/>
        <v>+0</v>
      </c>
      <c r="R5396" s="18" t="str">
        <f t="shared" si="3231"/>
        <v>+0</v>
      </c>
      <c r="S5396" s="14" t="s">
        <v>260</v>
      </c>
    </row>
    <row r="5397">
      <c r="A5397" s="13">
        <v>45901.0</v>
      </c>
      <c r="B5397" s="14" t="s">
        <v>47</v>
      </c>
      <c r="C5397" s="14" t="s">
        <v>48</v>
      </c>
      <c r="D5397" s="14" t="s">
        <v>140</v>
      </c>
      <c r="E5397" s="14" t="s">
        <v>141</v>
      </c>
      <c r="F5397" s="15" t="s">
        <v>51</v>
      </c>
      <c r="G5397" s="14" t="s">
        <v>142</v>
      </c>
      <c r="H5397" s="14" t="s">
        <v>140</v>
      </c>
      <c r="I5397" s="14" t="s">
        <v>59</v>
      </c>
      <c r="J5397" s="14" t="s">
        <v>199</v>
      </c>
      <c r="K5397" s="14" t="s">
        <v>203</v>
      </c>
      <c r="L5397" s="14" t="s">
        <v>340</v>
      </c>
      <c r="M5397" s="14" t="s">
        <v>340</v>
      </c>
      <c r="N5397" s="14" t="s">
        <v>341</v>
      </c>
      <c r="O5397" s="14">
        <v>0.0</v>
      </c>
      <c r="P5397" s="21">
        <v>0.0</v>
      </c>
      <c r="Q5397" s="22" t="str">
        <f t="shared" si="3230"/>
        <v>+0</v>
      </c>
      <c r="R5397" s="18" t="str">
        <f t="shared" si="3231"/>
        <v>+0</v>
      </c>
      <c r="S5397" s="14" t="s">
        <v>260</v>
      </c>
    </row>
    <row r="5398">
      <c r="A5398" s="13">
        <v>45901.0</v>
      </c>
      <c r="B5398" s="14" t="s">
        <v>47</v>
      </c>
      <c r="C5398" s="14" t="s">
        <v>48</v>
      </c>
      <c r="D5398" s="14" t="s">
        <v>60</v>
      </c>
      <c r="E5398" s="14" t="s">
        <v>61</v>
      </c>
      <c r="F5398" s="15" t="s">
        <v>51</v>
      </c>
      <c r="G5398" s="14" t="s">
        <v>62</v>
      </c>
      <c r="H5398" s="14" t="s">
        <v>60</v>
      </c>
      <c r="I5398" s="14" t="s">
        <v>59</v>
      </c>
      <c r="J5398" s="14" t="s">
        <v>200</v>
      </c>
      <c r="K5398" s="14" t="s">
        <v>201</v>
      </c>
      <c r="L5398" s="14" t="s">
        <v>253</v>
      </c>
      <c r="M5398" s="14" t="s">
        <v>538</v>
      </c>
      <c r="N5398" s="14" t="s">
        <v>539</v>
      </c>
      <c r="O5398" s="14">
        <v>1.0</v>
      </c>
      <c r="P5398" s="23">
        <v>5.0E-4</v>
      </c>
      <c r="Q5398" s="22" t="str">
        <f>"+0.00%"</f>
        <v>+0.00%</v>
      </c>
      <c r="R5398" s="18" t="str">
        <f>"+0.01%"</f>
        <v>+0.01%</v>
      </c>
      <c r="S5398" s="14" t="s">
        <v>1667</v>
      </c>
    </row>
    <row r="5399">
      <c r="A5399" s="13">
        <v>45901.0</v>
      </c>
      <c r="B5399" s="14" t="s">
        <v>47</v>
      </c>
      <c r="C5399" s="14" t="s">
        <v>48</v>
      </c>
      <c r="D5399" s="14" t="s">
        <v>155</v>
      </c>
      <c r="E5399" s="14" t="s">
        <v>156</v>
      </c>
      <c r="F5399" s="15" t="s">
        <v>51</v>
      </c>
      <c r="G5399" s="14" t="s">
        <v>157</v>
      </c>
      <c r="H5399" s="14" t="s">
        <v>155</v>
      </c>
      <c r="I5399" s="14" t="s">
        <v>59</v>
      </c>
      <c r="J5399" s="14" t="s">
        <v>200</v>
      </c>
      <c r="K5399" s="14" t="s">
        <v>223</v>
      </c>
      <c r="L5399" s="14" t="s">
        <v>710</v>
      </c>
      <c r="M5399" s="14" t="s">
        <v>1302</v>
      </c>
      <c r="N5399" s="14" t="s">
        <v>1303</v>
      </c>
      <c r="O5399" s="14">
        <v>0.0</v>
      </c>
      <c r="P5399" s="17"/>
      <c r="Q5399" s="22"/>
      <c r="S5399" s="14" t="s">
        <v>2488</v>
      </c>
    </row>
    <row r="5400">
      <c r="A5400" s="13">
        <v>45901.0</v>
      </c>
      <c r="B5400" s="14" t="s">
        <v>47</v>
      </c>
      <c r="C5400" s="14" t="s">
        <v>48</v>
      </c>
      <c r="D5400" s="14" t="s">
        <v>56</v>
      </c>
      <c r="E5400" s="14" t="s">
        <v>57</v>
      </c>
      <c r="F5400" s="15" t="s">
        <v>51</v>
      </c>
      <c r="G5400" s="14" t="s">
        <v>58</v>
      </c>
      <c r="H5400" s="14" t="s">
        <v>56</v>
      </c>
      <c r="I5400" s="14" t="s">
        <v>59</v>
      </c>
      <c r="J5400" s="14" t="s">
        <v>200</v>
      </c>
      <c r="K5400" s="14" t="s">
        <v>223</v>
      </c>
      <c r="L5400" s="14" t="s">
        <v>487</v>
      </c>
      <c r="M5400" s="14" t="s">
        <v>904</v>
      </c>
      <c r="N5400" s="14" t="s">
        <v>905</v>
      </c>
      <c r="O5400" s="14">
        <v>100.0</v>
      </c>
      <c r="P5400" s="21">
        <v>16.0</v>
      </c>
      <c r="Q5400" s="22" t="str">
        <f t="shared" ref="Q5400:Q5401" si="3232">"+0"</f>
        <v>+0</v>
      </c>
      <c r="R5400" s="18" t="str">
        <f>"-2"</f>
        <v>-2</v>
      </c>
      <c r="S5400" s="14" t="s">
        <v>260</v>
      </c>
    </row>
    <row r="5401">
      <c r="A5401" s="13">
        <v>45901.0</v>
      </c>
      <c r="B5401" s="14" t="s">
        <v>47</v>
      </c>
      <c r="C5401" s="14" t="s">
        <v>48</v>
      </c>
      <c r="D5401" s="14" t="s">
        <v>56</v>
      </c>
      <c r="E5401" s="14" t="s">
        <v>57</v>
      </c>
      <c r="F5401" s="15" t="s">
        <v>51</v>
      </c>
      <c r="G5401" s="14" t="s">
        <v>58</v>
      </c>
      <c r="H5401" s="14" t="s">
        <v>56</v>
      </c>
      <c r="I5401" s="14" t="s">
        <v>59</v>
      </c>
      <c r="J5401" s="14" t="s">
        <v>200</v>
      </c>
      <c r="K5401" s="14" t="s">
        <v>223</v>
      </c>
      <c r="L5401" s="14" t="s">
        <v>487</v>
      </c>
      <c r="M5401" s="14" t="s">
        <v>670</v>
      </c>
      <c r="N5401" s="14" t="s">
        <v>671</v>
      </c>
      <c r="O5401" s="14">
        <v>0.0</v>
      </c>
      <c r="P5401" s="21">
        <v>0.0</v>
      </c>
      <c r="Q5401" s="22" t="str">
        <f t="shared" si="3232"/>
        <v>+0</v>
      </c>
      <c r="R5401" s="18" t="str">
        <f>"+0"</f>
        <v>+0</v>
      </c>
      <c r="S5401" s="14" t="s">
        <v>260</v>
      </c>
    </row>
    <row r="5402">
      <c r="A5402" s="13">
        <v>45901.0</v>
      </c>
      <c r="B5402" s="14" t="s">
        <v>47</v>
      </c>
      <c r="C5402" s="14" t="s">
        <v>48</v>
      </c>
      <c r="D5402" s="14" t="s">
        <v>56</v>
      </c>
      <c r="E5402" s="14" t="s">
        <v>57</v>
      </c>
      <c r="F5402" s="15" t="s">
        <v>51</v>
      </c>
      <c r="G5402" s="14" t="s">
        <v>58</v>
      </c>
      <c r="H5402" s="14" t="s">
        <v>56</v>
      </c>
      <c r="I5402" s="14" t="s">
        <v>59</v>
      </c>
      <c r="J5402" s="14" t="s">
        <v>200</v>
      </c>
      <c r="K5402" s="14" t="s">
        <v>223</v>
      </c>
      <c r="L5402" s="14" t="s">
        <v>261</v>
      </c>
      <c r="M5402" s="14" t="s">
        <v>414</v>
      </c>
      <c r="N5402" s="14" t="s">
        <v>415</v>
      </c>
      <c r="O5402" s="14">
        <v>100.0</v>
      </c>
      <c r="P5402" s="23">
        <v>1.0</v>
      </c>
      <c r="Q5402" s="22" t="str">
        <f>"+46.47%"</f>
        <v>+46.47%</v>
      </c>
      <c r="R5402" s="18" t="str">
        <f>"+138.33%"</f>
        <v>+138.33%</v>
      </c>
      <c r="S5402" s="14" t="s">
        <v>2489</v>
      </c>
    </row>
    <row r="5403">
      <c r="A5403" s="13">
        <v>45901.0</v>
      </c>
      <c r="B5403" s="14" t="s">
        <v>47</v>
      </c>
      <c r="C5403" s="14" t="s">
        <v>48</v>
      </c>
      <c r="D5403" s="14" t="s">
        <v>165</v>
      </c>
      <c r="E5403" s="14" t="s">
        <v>166</v>
      </c>
      <c r="F5403" s="15" t="s">
        <v>51</v>
      </c>
      <c r="G5403" s="14" t="s">
        <v>167</v>
      </c>
      <c r="H5403" s="14" t="s">
        <v>165</v>
      </c>
      <c r="I5403" s="14" t="s">
        <v>54</v>
      </c>
      <c r="J5403" s="14" t="s">
        <v>198</v>
      </c>
      <c r="K5403" s="14" t="s">
        <v>210</v>
      </c>
      <c r="L5403" s="14" t="s">
        <v>264</v>
      </c>
      <c r="M5403" s="14" t="s">
        <v>959</v>
      </c>
      <c r="N5403" s="14" t="s">
        <v>960</v>
      </c>
      <c r="O5403" s="14">
        <v>0.0</v>
      </c>
      <c r="P5403" s="21">
        <v>0.0</v>
      </c>
      <c r="Q5403" s="22" t="str">
        <f t="shared" ref="Q5403:R5403" si="3233">"+0"</f>
        <v>+0</v>
      </c>
      <c r="R5403" s="18" t="str">
        <f t="shared" si="3233"/>
        <v>+0</v>
      </c>
      <c r="S5403" s="14" t="s">
        <v>277</v>
      </c>
    </row>
    <row r="5404">
      <c r="A5404" s="13">
        <v>45901.0</v>
      </c>
      <c r="B5404" s="14" t="s">
        <v>47</v>
      </c>
      <c r="C5404" s="14" t="s">
        <v>48</v>
      </c>
      <c r="D5404" s="14" t="s">
        <v>49</v>
      </c>
      <c r="E5404" s="14" t="s">
        <v>50</v>
      </c>
      <c r="F5404" s="15" t="s">
        <v>51</v>
      </c>
      <c r="G5404" s="14" t="s">
        <v>52</v>
      </c>
      <c r="H5404" s="14" t="s">
        <v>53</v>
      </c>
      <c r="I5404" s="14" t="s">
        <v>54</v>
      </c>
      <c r="J5404" s="14" t="s">
        <v>198</v>
      </c>
      <c r="K5404" s="14" t="s">
        <v>210</v>
      </c>
      <c r="L5404" s="14" t="s">
        <v>264</v>
      </c>
      <c r="M5404" s="14" t="s">
        <v>1210</v>
      </c>
      <c r="N5404" s="14" t="s">
        <v>1211</v>
      </c>
      <c r="O5404" s="14">
        <v>0.0</v>
      </c>
      <c r="P5404" s="21">
        <v>0.0</v>
      </c>
      <c r="Q5404" s="22" t="str">
        <f t="shared" ref="Q5404:R5404" si="3234">"+0"</f>
        <v>+0</v>
      </c>
      <c r="R5404" s="18" t="str">
        <f t="shared" si="3234"/>
        <v>+0</v>
      </c>
      <c r="S5404" s="14" t="s">
        <v>277</v>
      </c>
    </row>
    <row r="5405">
      <c r="A5405" s="13">
        <v>45901.0</v>
      </c>
      <c r="B5405" s="14" t="s">
        <v>47</v>
      </c>
      <c r="C5405" s="14" t="s">
        <v>48</v>
      </c>
      <c r="D5405" s="14" t="s">
        <v>165</v>
      </c>
      <c r="E5405" s="14" t="s">
        <v>166</v>
      </c>
      <c r="F5405" s="14" t="s">
        <v>111</v>
      </c>
      <c r="G5405" s="14">
        <v>7116371.0</v>
      </c>
      <c r="H5405" s="14" t="s">
        <v>165</v>
      </c>
      <c r="I5405" s="14" t="s">
        <v>59</v>
      </c>
      <c r="J5405" s="14" t="s">
        <v>199</v>
      </c>
      <c r="K5405" s="14" t="s">
        <v>206</v>
      </c>
      <c r="L5405" s="14" t="s">
        <v>268</v>
      </c>
      <c r="M5405" s="14" t="s">
        <v>268</v>
      </c>
      <c r="N5405" s="14" t="s">
        <v>269</v>
      </c>
      <c r="O5405" s="14">
        <v>100.0</v>
      </c>
      <c r="P5405" s="21">
        <v>10.0</v>
      </c>
      <c r="Q5405" s="22" t="str">
        <f t="shared" ref="Q5405:R5405" si="3235">"+6"</f>
        <v>+6</v>
      </c>
      <c r="R5405" s="18" t="str">
        <f t="shared" si="3235"/>
        <v>+6</v>
      </c>
      <c r="S5405" s="14" t="s">
        <v>260</v>
      </c>
    </row>
    <row r="5406">
      <c r="A5406" s="13">
        <v>45901.0</v>
      </c>
      <c r="B5406" s="14" t="s">
        <v>47</v>
      </c>
      <c r="C5406" s="14" t="s">
        <v>48</v>
      </c>
      <c r="D5406" s="14" t="s">
        <v>165</v>
      </c>
      <c r="E5406" s="14" t="s">
        <v>166</v>
      </c>
      <c r="F5406" s="15" t="s">
        <v>51</v>
      </c>
      <c r="G5406" s="14" t="s">
        <v>167</v>
      </c>
      <c r="H5406" s="14" t="s">
        <v>165</v>
      </c>
      <c r="I5406" s="14" t="s">
        <v>54</v>
      </c>
      <c r="J5406" s="14" t="s">
        <v>199</v>
      </c>
      <c r="K5406" s="14" t="s">
        <v>206</v>
      </c>
      <c r="L5406" s="14" t="s">
        <v>295</v>
      </c>
      <c r="M5406" s="14" t="s">
        <v>986</v>
      </c>
      <c r="N5406" s="14" t="s">
        <v>987</v>
      </c>
      <c r="O5406" s="14">
        <v>0.0</v>
      </c>
      <c r="P5406" s="21">
        <v>0.0</v>
      </c>
      <c r="Q5406" s="22" t="str">
        <f t="shared" ref="Q5406:R5406" si="3236">"+0"</f>
        <v>+0</v>
      </c>
      <c r="R5406" s="18" t="str">
        <f t="shared" si="3236"/>
        <v>+0</v>
      </c>
      <c r="S5406" s="14" t="s">
        <v>260</v>
      </c>
    </row>
    <row r="5407">
      <c r="A5407" s="13">
        <v>45901.0</v>
      </c>
      <c r="B5407" s="14" t="s">
        <v>47</v>
      </c>
      <c r="C5407" s="14" t="s">
        <v>48</v>
      </c>
      <c r="D5407" s="14" t="s">
        <v>49</v>
      </c>
      <c r="E5407" s="14" t="s">
        <v>50</v>
      </c>
      <c r="F5407" s="15" t="s">
        <v>51</v>
      </c>
      <c r="G5407" s="14" t="s">
        <v>52</v>
      </c>
      <c r="H5407" s="14" t="s">
        <v>53</v>
      </c>
      <c r="I5407" s="14" t="s">
        <v>54</v>
      </c>
      <c r="J5407" s="14" t="s">
        <v>198</v>
      </c>
      <c r="K5407" s="14" t="s">
        <v>210</v>
      </c>
      <c r="L5407" s="14" t="s">
        <v>264</v>
      </c>
      <c r="M5407" s="14" t="s">
        <v>265</v>
      </c>
      <c r="N5407" s="14" t="s">
        <v>266</v>
      </c>
      <c r="O5407" s="14">
        <v>57.0</v>
      </c>
      <c r="P5407" s="21">
        <v>120.0</v>
      </c>
      <c r="Q5407" s="22" t="str">
        <f>"-10"</f>
        <v>-10</v>
      </c>
      <c r="R5407" s="18" t="str">
        <f>"-162"</f>
        <v>-162</v>
      </c>
      <c r="S5407" s="14" t="s">
        <v>2490</v>
      </c>
    </row>
    <row r="5408">
      <c r="A5408" s="13">
        <v>45901.0</v>
      </c>
      <c r="B5408" s="14" t="s">
        <v>47</v>
      </c>
      <c r="C5408" s="14" t="s">
        <v>48</v>
      </c>
      <c r="D5408" s="14" t="s">
        <v>63</v>
      </c>
      <c r="E5408" s="14" t="s">
        <v>64</v>
      </c>
      <c r="F5408" s="15" t="s">
        <v>51</v>
      </c>
      <c r="G5408" s="14" t="s">
        <v>65</v>
      </c>
      <c r="H5408" s="14" t="s">
        <v>63</v>
      </c>
      <c r="I5408" s="14" t="s">
        <v>54</v>
      </c>
      <c r="J5408" s="14" t="s">
        <v>199</v>
      </c>
      <c r="K5408" s="14" t="s">
        <v>206</v>
      </c>
      <c r="L5408" s="14" t="s">
        <v>295</v>
      </c>
      <c r="M5408" s="14" t="s">
        <v>461</v>
      </c>
      <c r="N5408" s="14" t="s">
        <v>462</v>
      </c>
      <c r="O5408" s="14">
        <v>0.0</v>
      </c>
      <c r="P5408" s="21">
        <v>0.0</v>
      </c>
      <c r="Q5408" s="22" t="str">
        <f t="shared" ref="Q5408:R5408" si="3237">"+0"</f>
        <v>+0</v>
      </c>
      <c r="R5408" s="18" t="str">
        <f t="shared" si="3237"/>
        <v>+0</v>
      </c>
      <c r="S5408" s="14" t="s">
        <v>260</v>
      </c>
    </row>
    <row r="5409">
      <c r="A5409" s="13">
        <v>45901.0</v>
      </c>
      <c r="B5409" s="14" t="s">
        <v>47</v>
      </c>
      <c r="C5409" s="14" t="s">
        <v>48</v>
      </c>
      <c r="D5409" s="14" t="s">
        <v>91</v>
      </c>
      <c r="E5409" s="14" t="s">
        <v>92</v>
      </c>
      <c r="F5409" s="14" t="s">
        <v>79</v>
      </c>
      <c r="G5409" s="14" t="s">
        <v>164</v>
      </c>
      <c r="H5409" s="14" t="s">
        <v>91</v>
      </c>
      <c r="I5409" s="14" t="s">
        <v>154</v>
      </c>
      <c r="J5409" s="14" t="s">
        <v>199</v>
      </c>
      <c r="K5409" s="14" t="s">
        <v>203</v>
      </c>
      <c r="L5409" s="14" t="s">
        <v>342</v>
      </c>
      <c r="M5409" s="14" t="s">
        <v>342</v>
      </c>
      <c r="N5409" s="14" t="s">
        <v>343</v>
      </c>
      <c r="O5409" s="14">
        <v>100.0</v>
      </c>
      <c r="P5409" s="21">
        <v>163.0</v>
      </c>
      <c r="Q5409" s="22" t="str">
        <f t="shared" ref="Q5409:R5409" si="3238">"+0"</f>
        <v>+0</v>
      </c>
      <c r="R5409" s="18" t="str">
        <f t="shared" si="3238"/>
        <v>+0</v>
      </c>
      <c r="S5409" s="14" t="s">
        <v>260</v>
      </c>
    </row>
    <row r="5410">
      <c r="A5410" s="13">
        <v>45901.0</v>
      </c>
      <c r="B5410" s="14" t="s">
        <v>47</v>
      </c>
      <c r="C5410" s="14" t="s">
        <v>48</v>
      </c>
      <c r="D5410" s="14" t="s">
        <v>91</v>
      </c>
      <c r="E5410" s="14" t="s">
        <v>92</v>
      </c>
      <c r="F5410" s="14" t="s">
        <v>71</v>
      </c>
      <c r="G5410" s="14">
        <v>5.10001669E8</v>
      </c>
      <c r="H5410" s="14" t="s">
        <v>91</v>
      </c>
      <c r="I5410" s="14" t="s">
        <v>107</v>
      </c>
      <c r="J5410" s="14" t="s">
        <v>199</v>
      </c>
      <c r="K5410" s="14" t="s">
        <v>206</v>
      </c>
      <c r="L5410" s="14" t="s">
        <v>268</v>
      </c>
      <c r="M5410" s="14" t="s">
        <v>268</v>
      </c>
      <c r="N5410" s="14" t="s">
        <v>269</v>
      </c>
      <c r="O5410" s="14">
        <v>100.0</v>
      </c>
      <c r="P5410" s="21">
        <v>9.0</v>
      </c>
      <c r="Q5410" s="22" t="str">
        <f t="shared" ref="Q5410:R5410" si="3239">"+5"</f>
        <v>+5</v>
      </c>
      <c r="R5410" s="18" t="str">
        <f t="shared" si="3239"/>
        <v>+5</v>
      </c>
      <c r="S5410" s="14" t="s">
        <v>260</v>
      </c>
    </row>
    <row r="5411">
      <c r="A5411" s="13">
        <v>45901.0</v>
      </c>
      <c r="B5411" s="14" t="s">
        <v>47</v>
      </c>
      <c r="C5411" s="14" t="s">
        <v>48</v>
      </c>
      <c r="D5411" s="14" t="s">
        <v>63</v>
      </c>
      <c r="E5411" s="14" t="s">
        <v>64</v>
      </c>
      <c r="F5411" s="15" t="s">
        <v>51</v>
      </c>
      <c r="G5411" s="14" t="s">
        <v>65</v>
      </c>
      <c r="H5411" s="14" t="s">
        <v>63</v>
      </c>
      <c r="I5411" s="14" t="s">
        <v>54</v>
      </c>
      <c r="J5411" s="14" t="s">
        <v>200</v>
      </c>
      <c r="K5411" s="14" t="s">
        <v>224</v>
      </c>
      <c r="L5411" s="14" t="s">
        <v>427</v>
      </c>
      <c r="M5411" s="14" t="s">
        <v>895</v>
      </c>
      <c r="N5411" s="14" t="s">
        <v>896</v>
      </c>
      <c r="O5411" s="14">
        <v>0.0</v>
      </c>
      <c r="P5411" s="23">
        <v>0.0</v>
      </c>
      <c r="Q5411" s="22" t="str">
        <f t="shared" ref="Q5411:R5411" si="3240">"+0.00%"</f>
        <v>+0.00%</v>
      </c>
      <c r="R5411" s="18" t="str">
        <f t="shared" si="3240"/>
        <v>+0.00%</v>
      </c>
      <c r="S5411" s="14" t="s">
        <v>897</v>
      </c>
    </row>
    <row r="5412">
      <c r="A5412" s="13">
        <v>45901.0</v>
      </c>
      <c r="B5412" s="14" t="s">
        <v>47</v>
      </c>
      <c r="C5412" s="14" t="s">
        <v>48</v>
      </c>
      <c r="D5412" s="14" t="s">
        <v>91</v>
      </c>
      <c r="E5412" s="14" t="s">
        <v>92</v>
      </c>
      <c r="F5412" s="15" t="s">
        <v>51</v>
      </c>
      <c r="G5412" s="14" t="s">
        <v>163</v>
      </c>
      <c r="H5412" s="14" t="s">
        <v>91</v>
      </c>
      <c r="I5412" s="14" t="s">
        <v>59</v>
      </c>
      <c r="J5412" s="14" t="s">
        <v>198</v>
      </c>
      <c r="K5412" s="14" t="s">
        <v>205</v>
      </c>
      <c r="L5412" s="14" t="s">
        <v>274</v>
      </c>
      <c r="M5412" s="14" t="s">
        <v>482</v>
      </c>
      <c r="N5412" s="14" t="s">
        <v>483</v>
      </c>
      <c r="O5412" s="14">
        <v>100.0</v>
      </c>
      <c r="P5412" s="21">
        <v>8.0</v>
      </c>
      <c r="Q5412" s="22" t="str">
        <f>"+0"</f>
        <v>+0</v>
      </c>
      <c r="S5412" s="14" t="s">
        <v>484</v>
      </c>
    </row>
    <row r="5413">
      <c r="A5413" s="13">
        <v>45901.0</v>
      </c>
      <c r="B5413" s="14" t="s">
        <v>47</v>
      </c>
      <c r="C5413" s="14" t="s">
        <v>48</v>
      </c>
      <c r="D5413" s="14" t="s">
        <v>118</v>
      </c>
      <c r="E5413" s="14" t="s">
        <v>119</v>
      </c>
      <c r="F5413" s="15" t="s">
        <v>51</v>
      </c>
      <c r="G5413" s="14" t="s">
        <v>120</v>
      </c>
      <c r="H5413" s="14" t="s">
        <v>118</v>
      </c>
      <c r="I5413" s="14" t="s">
        <v>59</v>
      </c>
      <c r="J5413" s="14" t="s">
        <v>200</v>
      </c>
      <c r="K5413" s="14" t="s">
        <v>213</v>
      </c>
      <c r="L5413" s="14" t="s">
        <v>676</v>
      </c>
      <c r="M5413" s="14" t="s">
        <v>836</v>
      </c>
      <c r="N5413" s="14" t="s">
        <v>837</v>
      </c>
      <c r="O5413" s="14">
        <v>0.0</v>
      </c>
      <c r="P5413" s="23">
        <v>0.0</v>
      </c>
      <c r="Q5413" s="22" t="str">
        <f t="shared" ref="Q5413:R5413" si="3241">"+0.00%"</f>
        <v>+0.00%</v>
      </c>
      <c r="R5413" s="18" t="str">
        <f t="shared" si="3241"/>
        <v>+0.00%</v>
      </c>
      <c r="S5413" s="14" t="s">
        <v>2491</v>
      </c>
    </row>
    <row r="5414">
      <c r="A5414" s="13">
        <v>45901.0</v>
      </c>
      <c r="B5414" s="14" t="s">
        <v>47</v>
      </c>
      <c r="C5414" s="14" t="s">
        <v>48</v>
      </c>
      <c r="D5414" s="14" t="s">
        <v>91</v>
      </c>
      <c r="E5414" s="14" t="s">
        <v>92</v>
      </c>
      <c r="F5414" s="14" t="s">
        <v>146</v>
      </c>
      <c r="G5414" s="14" t="s">
        <v>147</v>
      </c>
      <c r="H5414" s="14" t="s">
        <v>91</v>
      </c>
      <c r="I5414" s="14" t="s">
        <v>107</v>
      </c>
      <c r="J5414" s="14" t="s">
        <v>200</v>
      </c>
      <c r="K5414" s="14" t="s">
        <v>226</v>
      </c>
      <c r="L5414" s="14" t="s">
        <v>2460</v>
      </c>
      <c r="M5414" s="14" t="s">
        <v>2461</v>
      </c>
      <c r="N5414" s="14" t="s">
        <v>2462</v>
      </c>
      <c r="O5414" s="14">
        <v>0.0</v>
      </c>
      <c r="P5414" s="23">
        <v>0.0</v>
      </c>
      <c r="Q5414" s="22" t="str">
        <f t="shared" ref="Q5414:R5414" si="3242">"+0.00%"</f>
        <v>+0.00%</v>
      </c>
      <c r="R5414" s="18" t="str">
        <f t="shared" si="3242"/>
        <v>+0.00%</v>
      </c>
      <c r="S5414" s="14" t="s">
        <v>371</v>
      </c>
    </row>
    <row r="5415">
      <c r="A5415" s="13">
        <v>45901.0</v>
      </c>
      <c r="B5415" s="14" t="s">
        <v>47</v>
      </c>
      <c r="C5415" s="14" t="s">
        <v>48</v>
      </c>
      <c r="D5415" s="14" t="s">
        <v>118</v>
      </c>
      <c r="E5415" s="14" t="s">
        <v>119</v>
      </c>
      <c r="F5415" s="15" t="s">
        <v>51</v>
      </c>
      <c r="G5415" s="14" t="s">
        <v>120</v>
      </c>
      <c r="H5415" s="14" t="s">
        <v>118</v>
      </c>
      <c r="I5415" s="14" t="s">
        <v>59</v>
      </c>
      <c r="J5415" s="14" t="s">
        <v>200</v>
      </c>
      <c r="K5415" s="14" t="s">
        <v>213</v>
      </c>
      <c r="L5415" s="14" t="s">
        <v>289</v>
      </c>
      <c r="M5415" s="14" t="s">
        <v>384</v>
      </c>
      <c r="N5415" s="14" t="s">
        <v>385</v>
      </c>
      <c r="O5415" s="14">
        <v>0.0</v>
      </c>
      <c r="P5415" s="23">
        <v>0.0</v>
      </c>
      <c r="Q5415" s="22" t="str">
        <f t="shared" ref="Q5415:R5415" si="3243">"+0.00%"</f>
        <v>+0.00%</v>
      </c>
      <c r="R5415" s="18" t="str">
        <f t="shared" si="3243"/>
        <v>+0.00%</v>
      </c>
      <c r="S5415" s="14" t="s">
        <v>2492</v>
      </c>
    </row>
    <row r="5416">
      <c r="A5416" s="13">
        <v>45901.0</v>
      </c>
      <c r="B5416" s="14" t="s">
        <v>47</v>
      </c>
      <c r="C5416" s="14" t="s">
        <v>48</v>
      </c>
      <c r="D5416" s="14" t="s">
        <v>192</v>
      </c>
      <c r="E5416" s="14" t="s">
        <v>193</v>
      </c>
      <c r="F5416" s="15" t="s">
        <v>51</v>
      </c>
      <c r="G5416" s="14" t="s">
        <v>194</v>
      </c>
      <c r="H5416" s="14" t="s">
        <v>192</v>
      </c>
      <c r="I5416" s="14" t="s">
        <v>54</v>
      </c>
      <c r="J5416" s="14" t="s">
        <v>200</v>
      </c>
      <c r="K5416" s="14" t="s">
        <v>231</v>
      </c>
      <c r="L5416" s="14" t="s">
        <v>512</v>
      </c>
      <c r="M5416" s="14" t="s">
        <v>1435</v>
      </c>
      <c r="N5416" s="14" t="s">
        <v>1436</v>
      </c>
      <c r="O5416" s="14">
        <v>100.0</v>
      </c>
      <c r="P5416" s="21">
        <v>107.0</v>
      </c>
      <c r="Q5416" s="22" t="str">
        <f>"+106"</f>
        <v>+106</v>
      </c>
      <c r="R5416" s="18" t="str">
        <f>"+107"</f>
        <v>+107</v>
      </c>
      <c r="S5416" s="14" t="s">
        <v>260</v>
      </c>
    </row>
    <row r="5417">
      <c r="A5417" s="13">
        <v>45901.0</v>
      </c>
      <c r="B5417" s="14" t="s">
        <v>47</v>
      </c>
      <c r="C5417" s="14" t="s">
        <v>48</v>
      </c>
      <c r="D5417" s="14" t="s">
        <v>93</v>
      </c>
      <c r="E5417" s="14" t="s">
        <v>94</v>
      </c>
      <c r="F5417" s="15" t="s">
        <v>51</v>
      </c>
      <c r="G5417" s="14" t="s">
        <v>191</v>
      </c>
      <c r="H5417" s="14" t="s">
        <v>95</v>
      </c>
      <c r="I5417" s="14" t="s">
        <v>59</v>
      </c>
      <c r="J5417" s="14" t="s">
        <v>199</v>
      </c>
      <c r="K5417" s="14" t="s">
        <v>206</v>
      </c>
      <c r="L5417" s="14" t="s">
        <v>295</v>
      </c>
      <c r="M5417" s="14" t="s">
        <v>651</v>
      </c>
      <c r="N5417" s="14" t="s">
        <v>652</v>
      </c>
      <c r="O5417" s="14">
        <v>0.0</v>
      </c>
      <c r="P5417" s="21">
        <v>0.0</v>
      </c>
      <c r="Q5417" s="22" t="str">
        <f t="shared" ref="Q5417:R5417" si="3244">"+0"</f>
        <v>+0</v>
      </c>
      <c r="R5417" s="18" t="str">
        <f t="shared" si="3244"/>
        <v>+0</v>
      </c>
      <c r="S5417" s="14" t="s">
        <v>260</v>
      </c>
    </row>
    <row r="5418">
      <c r="A5418" s="13">
        <v>45901.0</v>
      </c>
      <c r="B5418" s="14" t="s">
        <v>47</v>
      </c>
      <c r="C5418" s="14" t="s">
        <v>48</v>
      </c>
      <c r="D5418" s="14" t="s">
        <v>82</v>
      </c>
      <c r="E5418" s="14" t="s">
        <v>83</v>
      </c>
      <c r="F5418" s="15" t="s">
        <v>51</v>
      </c>
      <c r="G5418" s="14" t="s">
        <v>84</v>
      </c>
      <c r="H5418" s="14" t="s">
        <v>82</v>
      </c>
      <c r="I5418" s="14" t="s">
        <v>59</v>
      </c>
      <c r="J5418" s="14" t="s">
        <v>198</v>
      </c>
      <c r="K5418" s="14" t="s">
        <v>205</v>
      </c>
      <c r="L5418" s="14" t="s">
        <v>274</v>
      </c>
      <c r="M5418" s="14" t="s">
        <v>354</v>
      </c>
      <c r="N5418" s="14" t="s">
        <v>355</v>
      </c>
      <c r="O5418" s="14">
        <v>28.0</v>
      </c>
      <c r="P5418" s="21">
        <v>10.0</v>
      </c>
      <c r="Q5418" s="22" t="str">
        <f>"+0"</f>
        <v>+0</v>
      </c>
      <c r="S5418" s="14" t="s">
        <v>356</v>
      </c>
    </row>
    <row r="5419">
      <c r="A5419" s="13">
        <v>45901.0</v>
      </c>
      <c r="B5419" s="14" t="s">
        <v>47</v>
      </c>
      <c r="C5419" s="14" t="s">
        <v>48</v>
      </c>
      <c r="D5419" s="14" t="s">
        <v>192</v>
      </c>
      <c r="E5419" s="14" t="s">
        <v>193</v>
      </c>
      <c r="F5419" s="15" t="s">
        <v>51</v>
      </c>
      <c r="G5419" s="14" t="s">
        <v>194</v>
      </c>
      <c r="H5419" s="14" t="s">
        <v>192</v>
      </c>
      <c r="I5419" s="14" t="s">
        <v>54</v>
      </c>
      <c r="J5419" s="14" t="s">
        <v>200</v>
      </c>
      <c r="K5419" s="14" t="s">
        <v>223</v>
      </c>
      <c r="L5419" s="14" t="s">
        <v>286</v>
      </c>
      <c r="M5419" s="14" t="s">
        <v>1199</v>
      </c>
      <c r="N5419" s="14" t="s">
        <v>1200</v>
      </c>
      <c r="O5419" s="14">
        <v>100.0</v>
      </c>
      <c r="P5419" s="23">
        <v>0.0046</v>
      </c>
      <c r="Q5419" s="22" t="str">
        <f>"-0.11%"</f>
        <v>-0.11%</v>
      </c>
      <c r="R5419" s="18" t="str">
        <f>"-0.25%"</f>
        <v>-0.25%</v>
      </c>
      <c r="S5419" s="14" t="s">
        <v>285</v>
      </c>
    </row>
    <row r="5420">
      <c r="A5420" s="13">
        <v>45901.0</v>
      </c>
      <c r="B5420" s="14" t="s">
        <v>47</v>
      </c>
      <c r="C5420" s="14" t="s">
        <v>48</v>
      </c>
      <c r="D5420" s="14" t="s">
        <v>73</v>
      </c>
      <c r="E5420" s="14" t="s">
        <v>74</v>
      </c>
      <c r="F5420" s="15" t="s">
        <v>51</v>
      </c>
      <c r="G5420" s="14" t="s">
        <v>75</v>
      </c>
      <c r="H5420" s="14" t="s">
        <v>76</v>
      </c>
      <c r="I5420" s="14" t="s">
        <v>59</v>
      </c>
      <c r="J5420" s="14" t="s">
        <v>198</v>
      </c>
      <c r="K5420" s="14" t="s">
        <v>210</v>
      </c>
      <c r="L5420" s="14" t="s">
        <v>278</v>
      </c>
      <c r="M5420" s="14" t="s">
        <v>839</v>
      </c>
      <c r="N5420" s="14" t="s">
        <v>840</v>
      </c>
      <c r="O5420" s="14">
        <v>100.0</v>
      </c>
      <c r="P5420" s="21">
        <v>0.0</v>
      </c>
      <c r="Q5420" s="22" t="str">
        <f t="shared" ref="Q5420:R5420" si="3245">"+0"</f>
        <v>+0</v>
      </c>
      <c r="R5420" s="18" t="str">
        <f t="shared" si="3245"/>
        <v>+0</v>
      </c>
      <c r="S5420" s="14" t="s">
        <v>281</v>
      </c>
    </row>
    <row r="5421">
      <c r="A5421" s="13">
        <v>45901.0</v>
      </c>
      <c r="B5421" s="14" t="s">
        <v>47</v>
      </c>
      <c r="C5421" s="14" t="s">
        <v>48</v>
      </c>
      <c r="D5421" s="14" t="s">
        <v>87</v>
      </c>
      <c r="E5421" s="14" t="s">
        <v>88</v>
      </c>
      <c r="F5421" s="15" t="s">
        <v>51</v>
      </c>
      <c r="G5421" s="14" t="s">
        <v>89</v>
      </c>
      <c r="H5421" s="14" t="s">
        <v>90</v>
      </c>
      <c r="I5421" s="14" t="s">
        <v>59</v>
      </c>
      <c r="J5421" s="14" t="s">
        <v>200</v>
      </c>
      <c r="K5421" s="14" t="s">
        <v>246</v>
      </c>
      <c r="L5421" s="14" t="s">
        <v>220</v>
      </c>
      <c r="M5421" s="14" t="s">
        <v>2493</v>
      </c>
      <c r="N5421" s="14" t="s">
        <v>2494</v>
      </c>
      <c r="O5421" s="14">
        <v>0.0</v>
      </c>
      <c r="P5421" s="21">
        <v>0.0</v>
      </c>
      <c r="Q5421" s="22" t="str">
        <f t="shared" ref="Q5421:R5421" si="3246">"+0"</f>
        <v>+0</v>
      </c>
      <c r="R5421" s="18" t="str">
        <f t="shared" si="3246"/>
        <v>+0</v>
      </c>
      <c r="S5421" s="14" t="s">
        <v>260</v>
      </c>
    </row>
    <row r="5422">
      <c r="A5422" s="13">
        <v>45901.0</v>
      </c>
      <c r="B5422" s="14" t="s">
        <v>47</v>
      </c>
      <c r="C5422" s="14" t="s">
        <v>48</v>
      </c>
      <c r="D5422" s="14" t="s">
        <v>125</v>
      </c>
      <c r="E5422" s="14" t="s">
        <v>126</v>
      </c>
      <c r="F5422" s="15" t="s">
        <v>51</v>
      </c>
      <c r="G5422" s="14" t="s">
        <v>127</v>
      </c>
      <c r="H5422" s="14" t="s">
        <v>125</v>
      </c>
      <c r="I5422" s="14" t="s">
        <v>59</v>
      </c>
      <c r="J5422" s="14" t="s">
        <v>198</v>
      </c>
      <c r="K5422" s="14" t="s">
        <v>205</v>
      </c>
      <c r="L5422" s="14" t="s">
        <v>274</v>
      </c>
      <c r="M5422" s="14" t="s">
        <v>354</v>
      </c>
      <c r="N5422" s="14" t="s">
        <v>355</v>
      </c>
      <c r="O5422" s="14">
        <v>28.0</v>
      </c>
      <c r="P5422" s="21">
        <v>10.0</v>
      </c>
      <c r="Q5422" s="22" t="str">
        <f>"+0"</f>
        <v>+0</v>
      </c>
      <c r="S5422" s="14" t="s">
        <v>356</v>
      </c>
    </row>
    <row r="5423">
      <c r="A5423" s="13">
        <v>45901.0</v>
      </c>
      <c r="B5423" s="14" t="s">
        <v>47</v>
      </c>
      <c r="C5423" s="14" t="s">
        <v>48</v>
      </c>
      <c r="D5423" s="14" t="s">
        <v>85</v>
      </c>
      <c r="E5423" s="14" t="s">
        <v>86</v>
      </c>
      <c r="F5423" s="15" t="s">
        <v>51</v>
      </c>
      <c r="G5423" s="14" t="s">
        <v>148</v>
      </c>
      <c r="H5423" s="14" t="s">
        <v>85</v>
      </c>
      <c r="I5423" s="14" t="s">
        <v>59</v>
      </c>
      <c r="J5423" s="14" t="s">
        <v>200</v>
      </c>
      <c r="K5423" s="14" t="s">
        <v>227</v>
      </c>
      <c r="L5423" s="14" t="s">
        <v>721</v>
      </c>
      <c r="M5423" s="14" t="s">
        <v>748</v>
      </c>
      <c r="N5423" s="14" t="s">
        <v>749</v>
      </c>
      <c r="O5423" s="14">
        <v>0.0</v>
      </c>
      <c r="P5423" s="23">
        <v>-1.0</v>
      </c>
      <c r="Q5423" s="22" t="str">
        <f>"-63.16%"</f>
        <v>-63.16%</v>
      </c>
      <c r="R5423" s="18" t="str">
        <f>"-133.33%"</f>
        <v>-133.33%</v>
      </c>
      <c r="S5423" s="14" t="s">
        <v>750</v>
      </c>
    </row>
    <row r="5424">
      <c r="A5424" s="13">
        <v>45901.0</v>
      </c>
      <c r="B5424" s="14" t="s">
        <v>47</v>
      </c>
      <c r="C5424" s="14" t="s">
        <v>48</v>
      </c>
      <c r="D5424" s="14" t="s">
        <v>85</v>
      </c>
      <c r="E5424" s="14" t="s">
        <v>86</v>
      </c>
      <c r="F5424" s="15" t="s">
        <v>51</v>
      </c>
      <c r="G5424" s="14" t="s">
        <v>148</v>
      </c>
      <c r="H5424" s="14" t="s">
        <v>85</v>
      </c>
      <c r="I5424" s="14" t="s">
        <v>59</v>
      </c>
      <c r="J5424" s="14" t="s">
        <v>198</v>
      </c>
      <c r="K5424" s="14" t="s">
        <v>212</v>
      </c>
      <c r="L5424" s="14" t="s">
        <v>344</v>
      </c>
      <c r="M5424" s="14" t="s">
        <v>580</v>
      </c>
      <c r="N5424" s="14" t="s">
        <v>581</v>
      </c>
      <c r="O5424" s="14">
        <v>100.0</v>
      </c>
      <c r="P5424" s="21">
        <v>1.0</v>
      </c>
      <c r="Q5424" s="22" t="str">
        <f>"+1"</f>
        <v>+1</v>
      </c>
      <c r="S5424" s="14" t="s">
        <v>281</v>
      </c>
    </row>
    <row r="5425">
      <c r="A5425" s="13">
        <v>45901.0</v>
      </c>
      <c r="B5425" s="14" t="s">
        <v>47</v>
      </c>
      <c r="C5425" s="14" t="s">
        <v>48</v>
      </c>
      <c r="D5425" s="14" t="s">
        <v>174</v>
      </c>
      <c r="E5425" s="14" t="s">
        <v>175</v>
      </c>
      <c r="F5425" s="15" t="s">
        <v>51</v>
      </c>
      <c r="G5425" s="14" t="s">
        <v>176</v>
      </c>
      <c r="H5425" s="14" t="s">
        <v>174</v>
      </c>
      <c r="I5425" s="14" t="s">
        <v>59</v>
      </c>
      <c r="J5425" s="14" t="s">
        <v>200</v>
      </c>
      <c r="K5425" s="14" t="s">
        <v>227</v>
      </c>
      <c r="L5425" s="14" t="s">
        <v>721</v>
      </c>
      <c r="M5425" s="14" t="s">
        <v>748</v>
      </c>
      <c r="N5425" s="14" t="s">
        <v>749</v>
      </c>
      <c r="O5425" s="14">
        <v>0.0</v>
      </c>
      <c r="P5425" s="23">
        <v>-1.0</v>
      </c>
      <c r="Q5425" s="22" t="str">
        <f t="shared" ref="Q5425:R5425" si="3247">"+0.00%"</f>
        <v>+0.00%</v>
      </c>
      <c r="R5425" s="18" t="str">
        <f t="shared" si="3247"/>
        <v>+0.00%</v>
      </c>
      <c r="S5425" s="14" t="s">
        <v>750</v>
      </c>
    </row>
    <row r="5426">
      <c r="A5426" s="13">
        <v>45901.0</v>
      </c>
      <c r="B5426" s="14" t="s">
        <v>47</v>
      </c>
      <c r="C5426" s="14" t="s">
        <v>48</v>
      </c>
      <c r="D5426" s="14" t="s">
        <v>116</v>
      </c>
      <c r="E5426" s="14" t="s">
        <v>117</v>
      </c>
      <c r="F5426" s="15" t="s">
        <v>51</v>
      </c>
      <c r="G5426" s="14" t="s">
        <v>161</v>
      </c>
      <c r="H5426" s="14" t="s">
        <v>116</v>
      </c>
      <c r="I5426" s="14" t="s">
        <v>54</v>
      </c>
      <c r="J5426" s="14" t="s">
        <v>199</v>
      </c>
      <c r="K5426" s="14" t="s">
        <v>206</v>
      </c>
      <c r="L5426" s="14" t="s">
        <v>268</v>
      </c>
      <c r="M5426" s="14" t="s">
        <v>268</v>
      </c>
      <c r="N5426" s="14" t="s">
        <v>269</v>
      </c>
      <c r="O5426" s="14">
        <v>80.0</v>
      </c>
      <c r="P5426" s="21">
        <v>2.0</v>
      </c>
      <c r="Q5426" s="22" t="str">
        <f t="shared" ref="Q5426:R5426" si="3248">"+1"</f>
        <v>+1</v>
      </c>
      <c r="R5426" s="18" t="str">
        <f t="shared" si="3248"/>
        <v>+1</v>
      </c>
      <c r="S5426" s="14" t="s">
        <v>260</v>
      </c>
    </row>
    <row r="5427">
      <c r="A5427" s="13">
        <v>45901.0</v>
      </c>
      <c r="B5427" s="14" t="s">
        <v>47</v>
      </c>
      <c r="C5427" s="14" t="s">
        <v>48</v>
      </c>
      <c r="D5427" s="14" t="s">
        <v>60</v>
      </c>
      <c r="E5427" s="14" t="s">
        <v>61</v>
      </c>
      <c r="F5427" s="15" t="s">
        <v>51</v>
      </c>
      <c r="G5427" s="14" t="s">
        <v>62</v>
      </c>
      <c r="H5427" s="14" t="s">
        <v>60</v>
      </c>
      <c r="I5427" s="14" t="s">
        <v>59</v>
      </c>
      <c r="J5427" s="14" t="s">
        <v>200</v>
      </c>
      <c r="K5427" s="14" t="s">
        <v>216</v>
      </c>
      <c r="L5427" s="14" t="s">
        <v>1491</v>
      </c>
      <c r="M5427" s="14" t="s">
        <v>1987</v>
      </c>
      <c r="N5427" s="14" t="s">
        <v>1988</v>
      </c>
      <c r="O5427" s="14">
        <v>0.0</v>
      </c>
      <c r="P5427" s="21">
        <v>0.0</v>
      </c>
      <c r="Q5427" s="22" t="str">
        <f t="shared" ref="Q5427:R5427" si="3249">"+0"</f>
        <v>+0</v>
      </c>
      <c r="R5427" s="18" t="str">
        <f t="shared" si="3249"/>
        <v>+0</v>
      </c>
      <c r="S5427" s="14" t="s">
        <v>327</v>
      </c>
    </row>
    <row r="5428">
      <c r="A5428" s="13">
        <v>45901.0</v>
      </c>
      <c r="B5428" s="14" t="s">
        <v>47</v>
      </c>
      <c r="C5428" s="14" t="s">
        <v>48</v>
      </c>
      <c r="D5428" s="14" t="s">
        <v>155</v>
      </c>
      <c r="E5428" s="14" t="s">
        <v>156</v>
      </c>
      <c r="F5428" s="15" t="s">
        <v>51</v>
      </c>
      <c r="G5428" s="14" t="s">
        <v>157</v>
      </c>
      <c r="H5428" s="14" t="s">
        <v>155</v>
      </c>
      <c r="I5428" s="14" t="s">
        <v>59</v>
      </c>
      <c r="J5428" s="14" t="s">
        <v>198</v>
      </c>
      <c r="K5428" s="14" t="s">
        <v>205</v>
      </c>
      <c r="L5428" s="14" t="s">
        <v>274</v>
      </c>
      <c r="M5428" s="14" t="s">
        <v>696</v>
      </c>
      <c r="N5428" s="14" t="s">
        <v>697</v>
      </c>
      <c r="O5428" s="14">
        <v>100.0</v>
      </c>
      <c r="P5428" s="21">
        <v>1.0</v>
      </c>
      <c r="Q5428" s="22" t="str">
        <f t="shared" ref="Q5428:Q5430" si="3250">"+0"</f>
        <v>+0</v>
      </c>
      <c r="S5428" s="14" t="s">
        <v>281</v>
      </c>
    </row>
    <row r="5429">
      <c r="A5429" s="13">
        <v>45901.0</v>
      </c>
      <c r="B5429" s="14" t="s">
        <v>47</v>
      </c>
      <c r="C5429" s="14" t="s">
        <v>48</v>
      </c>
      <c r="D5429" s="14" t="s">
        <v>56</v>
      </c>
      <c r="E5429" s="14" t="s">
        <v>57</v>
      </c>
      <c r="F5429" s="15" t="s">
        <v>51</v>
      </c>
      <c r="G5429" s="14" t="s">
        <v>58</v>
      </c>
      <c r="H5429" s="14" t="s">
        <v>56</v>
      </c>
      <c r="I5429" s="14" t="s">
        <v>59</v>
      </c>
      <c r="J5429" s="14" t="s">
        <v>198</v>
      </c>
      <c r="K5429" s="14" t="s">
        <v>207</v>
      </c>
      <c r="L5429" s="14" t="s">
        <v>318</v>
      </c>
      <c r="M5429" s="14" t="s">
        <v>319</v>
      </c>
      <c r="N5429" s="14" t="s">
        <v>320</v>
      </c>
      <c r="O5429" s="14">
        <v>0.0</v>
      </c>
      <c r="P5429" s="21">
        <v>0.0</v>
      </c>
      <c r="Q5429" s="22" t="str">
        <f t="shared" si="3250"/>
        <v>+0</v>
      </c>
      <c r="S5429" s="14" t="s">
        <v>281</v>
      </c>
    </row>
    <row r="5430">
      <c r="A5430" s="13">
        <v>45901.0</v>
      </c>
      <c r="B5430" s="14" t="s">
        <v>47</v>
      </c>
      <c r="C5430" s="14" t="s">
        <v>48</v>
      </c>
      <c r="D5430" s="14" t="s">
        <v>60</v>
      </c>
      <c r="E5430" s="14" t="s">
        <v>61</v>
      </c>
      <c r="F5430" s="15" t="s">
        <v>51</v>
      </c>
      <c r="G5430" s="14" t="s">
        <v>62</v>
      </c>
      <c r="H5430" s="14" t="s">
        <v>60</v>
      </c>
      <c r="I5430" s="14" t="s">
        <v>59</v>
      </c>
      <c r="J5430" s="14" t="s">
        <v>198</v>
      </c>
      <c r="K5430" s="14" t="s">
        <v>205</v>
      </c>
      <c r="L5430" s="14" t="s">
        <v>274</v>
      </c>
      <c r="M5430" s="14" t="s">
        <v>425</v>
      </c>
      <c r="N5430" s="14" t="s">
        <v>426</v>
      </c>
      <c r="O5430" s="14">
        <v>0.0</v>
      </c>
      <c r="P5430" s="21">
        <v>0.0</v>
      </c>
      <c r="Q5430" s="22" t="str">
        <f t="shared" si="3250"/>
        <v>+0</v>
      </c>
      <c r="S5430" s="14" t="s">
        <v>281</v>
      </c>
    </row>
    <row r="5431">
      <c r="A5431" s="13">
        <v>45901.0</v>
      </c>
      <c r="B5431" s="14" t="s">
        <v>47</v>
      </c>
      <c r="C5431" s="14" t="s">
        <v>48</v>
      </c>
      <c r="D5431" s="14" t="s">
        <v>165</v>
      </c>
      <c r="E5431" s="14" t="s">
        <v>166</v>
      </c>
      <c r="F5431" s="15" t="s">
        <v>51</v>
      </c>
      <c r="G5431" s="14" t="s">
        <v>167</v>
      </c>
      <c r="H5431" s="14" t="s">
        <v>165</v>
      </c>
      <c r="I5431" s="14" t="s">
        <v>54</v>
      </c>
      <c r="J5431" s="14" t="s">
        <v>198</v>
      </c>
      <c r="K5431" s="14" t="s">
        <v>210</v>
      </c>
      <c r="L5431" s="14" t="s">
        <v>278</v>
      </c>
      <c r="M5431" s="14" t="s">
        <v>443</v>
      </c>
      <c r="N5431" s="14" t="s">
        <v>444</v>
      </c>
      <c r="O5431" s="14">
        <v>33.0</v>
      </c>
      <c r="P5431" s="21">
        <v>159.0</v>
      </c>
      <c r="Q5431" s="22" t="str">
        <f>"-15"</f>
        <v>-15</v>
      </c>
      <c r="R5431" s="18" t="str">
        <f>"+3"</f>
        <v>+3</v>
      </c>
      <c r="S5431" s="14" t="s">
        <v>2495</v>
      </c>
    </row>
    <row r="5432">
      <c r="A5432" s="13">
        <v>45901.0</v>
      </c>
      <c r="B5432" s="14" t="s">
        <v>47</v>
      </c>
      <c r="C5432" s="14" t="s">
        <v>48</v>
      </c>
      <c r="D5432" s="14" t="s">
        <v>165</v>
      </c>
      <c r="E5432" s="14" t="s">
        <v>166</v>
      </c>
      <c r="F5432" s="15" t="s">
        <v>51</v>
      </c>
      <c r="G5432" s="14" t="s">
        <v>167</v>
      </c>
      <c r="H5432" s="14" t="s">
        <v>165</v>
      </c>
      <c r="I5432" s="14" t="s">
        <v>54</v>
      </c>
      <c r="J5432" s="14" t="s">
        <v>200</v>
      </c>
      <c r="K5432" s="14" t="s">
        <v>211</v>
      </c>
      <c r="L5432" s="14" t="s">
        <v>991</v>
      </c>
      <c r="M5432" s="14" t="s">
        <v>1040</v>
      </c>
      <c r="N5432" s="14" t="s">
        <v>1041</v>
      </c>
      <c r="O5432" s="14">
        <v>0.0</v>
      </c>
      <c r="P5432" s="21">
        <v>0.0</v>
      </c>
      <c r="Q5432" s="22" t="str">
        <f t="shared" ref="Q5432:R5432" si="3251">"+0"</f>
        <v>+0</v>
      </c>
      <c r="R5432" s="18" t="str">
        <f t="shared" si="3251"/>
        <v>+0</v>
      </c>
      <c r="S5432" s="14" t="s">
        <v>1042</v>
      </c>
    </row>
    <row r="5433">
      <c r="A5433" s="13">
        <v>45901.0</v>
      </c>
      <c r="B5433" s="14" t="s">
        <v>47</v>
      </c>
      <c r="C5433" s="14" t="s">
        <v>48</v>
      </c>
      <c r="D5433" s="14" t="s">
        <v>118</v>
      </c>
      <c r="E5433" s="14" t="s">
        <v>119</v>
      </c>
      <c r="F5433" s="15" t="s">
        <v>51</v>
      </c>
      <c r="G5433" s="14" t="s">
        <v>120</v>
      </c>
      <c r="H5433" s="14" t="s">
        <v>118</v>
      </c>
      <c r="I5433" s="14" t="s">
        <v>59</v>
      </c>
      <c r="J5433" s="14" t="s">
        <v>200</v>
      </c>
      <c r="K5433" s="14" t="s">
        <v>227</v>
      </c>
      <c r="L5433" s="14" t="s">
        <v>721</v>
      </c>
      <c r="M5433" s="14" t="s">
        <v>722</v>
      </c>
      <c r="N5433" s="14" t="s">
        <v>723</v>
      </c>
      <c r="O5433" s="14">
        <v>45.0</v>
      </c>
      <c r="P5433" s="23">
        <v>-0.0982</v>
      </c>
      <c r="Q5433" s="22" t="str">
        <f>"+21.36%"</f>
        <v>+21.36%</v>
      </c>
      <c r="R5433" s="18" t="str">
        <f>"+6.08%"</f>
        <v>+6.08%</v>
      </c>
      <c r="S5433" s="14" t="s">
        <v>724</v>
      </c>
    </row>
    <row r="5434">
      <c r="A5434" s="13">
        <v>45901.0</v>
      </c>
      <c r="B5434" s="14" t="s">
        <v>47</v>
      </c>
      <c r="C5434" s="14" t="s">
        <v>48</v>
      </c>
      <c r="D5434" s="14" t="s">
        <v>91</v>
      </c>
      <c r="E5434" s="14" t="s">
        <v>92</v>
      </c>
      <c r="F5434" s="14" t="s">
        <v>71</v>
      </c>
      <c r="G5434" s="14">
        <v>5.00008343E8</v>
      </c>
      <c r="H5434" s="14" t="s">
        <v>91</v>
      </c>
      <c r="I5434" s="14" t="s">
        <v>59</v>
      </c>
      <c r="J5434" s="14" t="s">
        <v>199</v>
      </c>
      <c r="K5434" s="14" t="s">
        <v>206</v>
      </c>
      <c r="L5434" s="14" t="s">
        <v>295</v>
      </c>
      <c r="M5434" s="14" t="s">
        <v>651</v>
      </c>
      <c r="N5434" s="14" t="s">
        <v>652</v>
      </c>
      <c r="O5434" s="14">
        <v>0.0</v>
      </c>
      <c r="P5434" s="21">
        <v>0.0</v>
      </c>
      <c r="Q5434" s="22" t="str">
        <f t="shared" ref="Q5434:R5434" si="3252">"+0"</f>
        <v>+0</v>
      </c>
      <c r="R5434" s="18" t="str">
        <f t="shared" si="3252"/>
        <v>+0</v>
      </c>
      <c r="S5434" s="14" t="s">
        <v>260</v>
      </c>
    </row>
    <row r="5435">
      <c r="A5435" s="13">
        <v>45901.0</v>
      </c>
      <c r="B5435" s="14" t="s">
        <v>47</v>
      </c>
      <c r="C5435" s="14" t="s">
        <v>48</v>
      </c>
      <c r="D5435" s="14" t="s">
        <v>192</v>
      </c>
      <c r="E5435" s="14" t="s">
        <v>193</v>
      </c>
      <c r="F5435" s="15" t="s">
        <v>51</v>
      </c>
      <c r="G5435" s="14" t="s">
        <v>194</v>
      </c>
      <c r="H5435" s="14" t="s">
        <v>192</v>
      </c>
      <c r="I5435" s="14" t="s">
        <v>54</v>
      </c>
      <c r="J5435" s="14" t="s">
        <v>200</v>
      </c>
      <c r="K5435" s="14" t="s">
        <v>223</v>
      </c>
      <c r="L5435" s="14" t="s">
        <v>257</v>
      </c>
      <c r="M5435" s="14" t="s">
        <v>298</v>
      </c>
      <c r="N5435" s="14" t="s">
        <v>299</v>
      </c>
      <c r="O5435" s="14">
        <v>1.0</v>
      </c>
      <c r="P5435" s="23">
        <v>0.0065</v>
      </c>
      <c r="Q5435" s="22" t="str">
        <f>"+0.12%"</f>
        <v>+0.12%</v>
      </c>
      <c r="R5435" s="18" t="str">
        <f>"+0.20%"</f>
        <v>+0.20%</v>
      </c>
      <c r="S5435" s="14" t="s">
        <v>300</v>
      </c>
    </row>
    <row r="5436">
      <c r="A5436" s="13">
        <v>45901.0</v>
      </c>
      <c r="B5436" s="14" t="s">
        <v>47</v>
      </c>
      <c r="C5436" s="14" t="s">
        <v>48</v>
      </c>
      <c r="D5436" s="14" t="s">
        <v>192</v>
      </c>
      <c r="E5436" s="14" t="s">
        <v>193</v>
      </c>
      <c r="F5436" s="15" t="s">
        <v>51</v>
      </c>
      <c r="G5436" s="14" t="s">
        <v>194</v>
      </c>
      <c r="H5436" s="14" t="s">
        <v>192</v>
      </c>
      <c r="I5436" s="14" t="s">
        <v>54</v>
      </c>
      <c r="J5436" s="14" t="s">
        <v>200</v>
      </c>
      <c r="K5436" s="14" t="s">
        <v>223</v>
      </c>
      <c r="L5436" s="14" t="s">
        <v>261</v>
      </c>
      <c r="M5436" s="14" t="s">
        <v>808</v>
      </c>
      <c r="N5436" s="14" t="s">
        <v>809</v>
      </c>
      <c r="O5436" s="14">
        <v>20.0</v>
      </c>
      <c r="P5436" s="23">
        <v>0.2035</v>
      </c>
      <c r="Q5436" s="22" t="str">
        <f>"+0.62%"</f>
        <v>+0.62%</v>
      </c>
      <c r="R5436" s="18" t="str">
        <f>"-0.66%"</f>
        <v>-0.66%</v>
      </c>
      <c r="S5436" s="14" t="s">
        <v>2496</v>
      </c>
    </row>
    <row r="5437">
      <c r="A5437" s="13">
        <v>45901.0</v>
      </c>
      <c r="B5437" s="14" t="s">
        <v>47</v>
      </c>
      <c r="C5437" s="14" t="s">
        <v>48</v>
      </c>
      <c r="D5437" s="14" t="s">
        <v>143</v>
      </c>
      <c r="E5437" s="14" t="s">
        <v>144</v>
      </c>
      <c r="F5437" s="15" t="s">
        <v>51</v>
      </c>
      <c r="G5437" s="14" t="s">
        <v>145</v>
      </c>
      <c r="H5437" s="14" t="s">
        <v>143</v>
      </c>
      <c r="I5437" s="14" t="s">
        <v>59</v>
      </c>
      <c r="J5437" s="14" t="s">
        <v>200</v>
      </c>
      <c r="K5437" s="14" t="s">
        <v>232</v>
      </c>
      <c r="L5437" s="14" t="s">
        <v>286</v>
      </c>
      <c r="M5437" s="14" t="s">
        <v>588</v>
      </c>
      <c r="N5437" s="14" t="s">
        <v>589</v>
      </c>
      <c r="O5437" s="14">
        <v>100.0</v>
      </c>
      <c r="P5437" s="23">
        <v>0.3077</v>
      </c>
      <c r="Q5437" s="22" t="str">
        <f>"+17.73%"</f>
        <v>+17.73%</v>
      </c>
      <c r="R5437" s="18" t="str">
        <f>"-4.71%"</f>
        <v>-4.71%</v>
      </c>
      <c r="S5437" s="14" t="s">
        <v>285</v>
      </c>
    </row>
    <row r="5438">
      <c r="A5438" s="13">
        <v>45901.0</v>
      </c>
      <c r="B5438" s="14" t="s">
        <v>47</v>
      </c>
      <c r="C5438" s="14" t="s">
        <v>48</v>
      </c>
      <c r="D5438" s="14" t="s">
        <v>132</v>
      </c>
      <c r="E5438" s="14" t="s">
        <v>133</v>
      </c>
      <c r="F5438" s="15" t="s">
        <v>51</v>
      </c>
      <c r="G5438" s="14" t="s">
        <v>134</v>
      </c>
      <c r="H5438" s="14" t="s">
        <v>135</v>
      </c>
      <c r="I5438" s="14" t="s">
        <v>59</v>
      </c>
      <c r="J5438" s="14" t="s">
        <v>200</v>
      </c>
      <c r="K5438" s="14" t="s">
        <v>213</v>
      </c>
      <c r="L5438" s="14" t="s">
        <v>257</v>
      </c>
      <c r="M5438" s="14" t="s">
        <v>499</v>
      </c>
      <c r="N5438" s="14" t="s">
        <v>500</v>
      </c>
      <c r="O5438" s="14">
        <v>0.0</v>
      </c>
      <c r="P5438" s="23">
        <v>0.0</v>
      </c>
      <c r="Q5438" s="22" t="str">
        <f t="shared" ref="Q5438:R5438" si="3253">"+0.00%"</f>
        <v>+0.00%</v>
      </c>
      <c r="R5438" s="18" t="str">
        <f t="shared" si="3253"/>
        <v>+0.00%</v>
      </c>
      <c r="S5438" s="14" t="s">
        <v>2497</v>
      </c>
    </row>
    <row r="5439">
      <c r="A5439" s="13">
        <v>45901.0</v>
      </c>
      <c r="B5439" s="14" t="s">
        <v>47</v>
      </c>
      <c r="C5439" s="14" t="s">
        <v>48</v>
      </c>
      <c r="D5439" s="14" t="s">
        <v>136</v>
      </c>
      <c r="E5439" s="14" t="s">
        <v>137</v>
      </c>
      <c r="F5439" s="15" t="s">
        <v>51</v>
      </c>
      <c r="G5439" s="14" t="s">
        <v>138</v>
      </c>
      <c r="H5439" s="14" t="s">
        <v>139</v>
      </c>
      <c r="I5439" s="14" t="s">
        <v>59</v>
      </c>
      <c r="J5439" s="14" t="s">
        <v>199</v>
      </c>
      <c r="K5439" s="14" t="s">
        <v>208</v>
      </c>
      <c r="L5439" s="14" t="s">
        <v>412</v>
      </c>
      <c r="M5439" s="14" t="s">
        <v>412</v>
      </c>
      <c r="N5439" s="14" t="s">
        <v>413</v>
      </c>
      <c r="O5439" s="14">
        <v>0.0</v>
      </c>
      <c r="P5439" s="21">
        <v>0.0</v>
      </c>
      <c r="Q5439" s="22" t="str">
        <f t="shared" ref="Q5439:R5439" si="3254">"+0"</f>
        <v>+0</v>
      </c>
      <c r="R5439" s="18" t="str">
        <f t="shared" si="3254"/>
        <v>+0</v>
      </c>
      <c r="S5439" s="14" t="s">
        <v>260</v>
      </c>
    </row>
    <row r="5440">
      <c r="A5440" s="13">
        <v>45901.0</v>
      </c>
      <c r="B5440" s="14" t="s">
        <v>47</v>
      </c>
      <c r="C5440" s="14" t="s">
        <v>48</v>
      </c>
      <c r="D5440" s="14" t="s">
        <v>96</v>
      </c>
      <c r="E5440" s="14" t="s">
        <v>97</v>
      </c>
      <c r="F5440" s="15" t="s">
        <v>51</v>
      </c>
      <c r="G5440" s="14" t="s">
        <v>98</v>
      </c>
      <c r="H5440" s="14" t="s">
        <v>96</v>
      </c>
      <c r="I5440" s="14" t="s">
        <v>59</v>
      </c>
      <c r="J5440" s="14" t="s">
        <v>200</v>
      </c>
      <c r="K5440" s="14" t="s">
        <v>223</v>
      </c>
      <c r="L5440" s="14" t="s">
        <v>253</v>
      </c>
      <c r="M5440" s="14" t="s">
        <v>552</v>
      </c>
      <c r="N5440" s="14" t="s">
        <v>553</v>
      </c>
      <c r="O5440" s="14">
        <v>50.0</v>
      </c>
      <c r="P5440" s="23">
        <v>0.5</v>
      </c>
      <c r="Q5440" s="22" t="str">
        <f>"-1.91%"</f>
        <v>-1.91%</v>
      </c>
      <c r="R5440" s="18" t="str">
        <f>"+10.83%"</f>
        <v>+10.83%</v>
      </c>
      <c r="S5440" s="14" t="s">
        <v>2498</v>
      </c>
    </row>
    <row r="5441">
      <c r="A5441" s="13">
        <v>45901.0</v>
      </c>
      <c r="B5441" s="14" t="s">
        <v>47</v>
      </c>
      <c r="C5441" s="14" t="s">
        <v>48</v>
      </c>
      <c r="D5441" s="14" t="s">
        <v>69</v>
      </c>
      <c r="E5441" s="14" t="s">
        <v>70</v>
      </c>
      <c r="F5441" s="15" t="s">
        <v>51</v>
      </c>
      <c r="G5441" s="14" t="s">
        <v>115</v>
      </c>
      <c r="H5441" s="14" t="s">
        <v>72</v>
      </c>
      <c r="I5441" s="14" t="s">
        <v>54</v>
      </c>
      <c r="J5441" s="14" t="s">
        <v>200</v>
      </c>
      <c r="K5441" s="14" t="s">
        <v>215</v>
      </c>
      <c r="L5441" s="14" t="s">
        <v>1365</v>
      </c>
      <c r="M5441" s="14" t="s">
        <v>1366</v>
      </c>
      <c r="N5441" s="14" t="s">
        <v>1367</v>
      </c>
      <c r="O5441" s="14">
        <v>65.0</v>
      </c>
      <c r="P5441" s="23">
        <v>0.3014</v>
      </c>
      <c r="Q5441" s="22" t="str">
        <f>"+47.48%"</f>
        <v>+47.48%</v>
      </c>
      <c r="R5441" s="18" t="str">
        <f>"+58.30%"</f>
        <v>+58.30%</v>
      </c>
      <c r="S5441" s="14" t="s">
        <v>398</v>
      </c>
    </row>
    <row r="5442">
      <c r="A5442" s="13">
        <v>45901.0</v>
      </c>
      <c r="B5442" s="14" t="s">
        <v>47</v>
      </c>
      <c r="C5442" s="14" t="s">
        <v>48</v>
      </c>
      <c r="D5442" s="14" t="s">
        <v>96</v>
      </c>
      <c r="E5442" s="14" t="s">
        <v>97</v>
      </c>
      <c r="F5442" s="15" t="s">
        <v>51</v>
      </c>
      <c r="G5442" s="14" t="s">
        <v>98</v>
      </c>
      <c r="H5442" s="14" t="s">
        <v>96</v>
      </c>
      <c r="I5442" s="14" t="s">
        <v>59</v>
      </c>
      <c r="J5442" s="14" t="s">
        <v>199</v>
      </c>
      <c r="K5442" s="14" t="s">
        <v>206</v>
      </c>
      <c r="L5442" s="14" t="s">
        <v>268</v>
      </c>
      <c r="M5442" s="14" t="s">
        <v>268</v>
      </c>
      <c r="N5442" s="14" t="s">
        <v>269</v>
      </c>
      <c r="O5442" s="14">
        <v>0.0</v>
      </c>
      <c r="P5442" s="21">
        <v>0.0</v>
      </c>
      <c r="Q5442" s="22" t="str">
        <f t="shared" ref="Q5442:R5442" si="3255">"+0"</f>
        <v>+0</v>
      </c>
      <c r="R5442" s="18" t="str">
        <f t="shared" si="3255"/>
        <v>+0</v>
      </c>
      <c r="S5442" s="14" t="s">
        <v>260</v>
      </c>
    </row>
    <row r="5443">
      <c r="A5443" s="13">
        <v>45901.0</v>
      </c>
      <c r="B5443" s="14" t="s">
        <v>47</v>
      </c>
      <c r="C5443" s="14" t="s">
        <v>48</v>
      </c>
      <c r="D5443" s="14" t="s">
        <v>174</v>
      </c>
      <c r="E5443" s="14" t="s">
        <v>175</v>
      </c>
      <c r="F5443" s="15" t="s">
        <v>51</v>
      </c>
      <c r="G5443" s="14" t="s">
        <v>176</v>
      </c>
      <c r="H5443" s="14" t="s">
        <v>174</v>
      </c>
      <c r="I5443" s="14" t="s">
        <v>59</v>
      </c>
      <c r="J5443" s="14" t="s">
        <v>200</v>
      </c>
      <c r="K5443" s="14" t="s">
        <v>213</v>
      </c>
      <c r="L5443" s="14" t="s">
        <v>571</v>
      </c>
      <c r="M5443" s="14" t="s">
        <v>572</v>
      </c>
      <c r="N5443" s="14" t="s">
        <v>573</v>
      </c>
      <c r="O5443" s="14">
        <v>0.0</v>
      </c>
      <c r="P5443" s="23">
        <v>0.0</v>
      </c>
      <c r="Q5443" s="22" t="str">
        <f t="shared" ref="Q5443:R5443" si="3256">"+0.00%"</f>
        <v>+0.00%</v>
      </c>
      <c r="R5443" s="18" t="str">
        <f t="shared" si="3256"/>
        <v>+0.00%</v>
      </c>
      <c r="S5443" s="14" t="s">
        <v>285</v>
      </c>
    </row>
    <row r="5444">
      <c r="A5444" s="13">
        <v>45901.0</v>
      </c>
      <c r="B5444" s="14" t="s">
        <v>47</v>
      </c>
      <c r="C5444" s="14" t="s">
        <v>48</v>
      </c>
      <c r="D5444" s="14" t="s">
        <v>158</v>
      </c>
      <c r="E5444" s="14" t="s">
        <v>159</v>
      </c>
      <c r="F5444" s="15" t="s">
        <v>51</v>
      </c>
      <c r="G5444" s="14" t="s">
        <v>160</v>
      </c>
      <c r="H5444" s="14" t="s">
        <v>158</v>
      </c>
      <c r="I5444" s="14" t="s">
        <v>54</v>
      </c>
      <c r="J5444" s="14" t="s">
        <v>199</v>
      </c>
      <c r="K5444" s="14" t="s">
        <v>203</v>
      </c>
      <c r="L5444" s="14" t="s">
        <v>736</v>
      </c>
      <c r="M5444" s="14" t="s">
        <v>736</v>
      </c>
      <c r="N5444" s="14" t="s">
        <v>737</v>
      </c>
      <c r="O5444" s="14">
        <v>0.0</v>
      </c>
      <c r="P5444" s="21">
        <v>0.0</v>
      </c>
      <c r="Q5444" s="22" t="str">
        <f t="shared" ref="Q5444:R5444" si="3257">"+0"</f>
        <v>+0</v>
      </c>
      <c r="R5444" s="18" t="str">
        <f t="shared" si="3257"/>
        <v>+0</v>
      </c>
      <c r="S5444" s="14" t="s">
        <v>260</v>
      </c>
    </row>
    <row r="5445">
      <c r="A5445" s="13">
        <v>45901.0</v>
      </c>
      <c r="B5445" s="14" t="s">
        <v>47</v>
      </c>
      <c r="C5445" s="14" t="s">
        <v>48</v>
      </c>
      <c r="D5445" s="14" t="s">
        <v>116</v>
      </c>
      <c r="E5445" s="14" t="s">
        <v>117</v>
      </c>
      <c r="F5445" s="15" t="s">
        <v>51</v>
      </c>
      <c r="G5445" s="14" t="s">
        <v>161</v>
      </c>
      <c r="H5445" s="14" t="s">
        <v>116</v>
      </c>
      <c r="I5445" s="14" t="s">
        <v>54</v>
      </c>
      <c r="J5445" s="14" t="s">
        <v>198</v>
      </c>
      <c r="K5445" s="14" t="s">
        <v>210</v>
      </c>
      <c r="L5445" s="14" t="s">
        <v>264</v>
      </c>
      <c r="M5445" s="14" t="s">
        <v>930</v>
      </c>
      <c r="N5445" s="14" t="s">
        <v>931</v>
      </c>
      <c r="O5445" s="14">
        <v>0.0</v>
      </c>
      <c r="P5445" s="21">
        <v>0.0</v>
      </c>
      <c r="Q5445" s="22" t="str">
        <f t="shared" ref="Q5445:R5445" si="3258">"+0"</f>
        <v>+0</v>
      </c>
      <c r="R5445" s="18" t="str">
        <f t="shared" si="3258"/>
        <v>+0</v>
      </c>
      <c r="S5445" s="14" t="s">
        <v>277</v>
      </c>
    </row>
    <row r="5446">
      <c r="A5446" s="13">
        <v>45901.0</v>
      </c>
      <c r="B5446" s="14" t="s">
        <v>47</v>
      </c>
      <c r="C5446" s="14" t="s">
        <v>48</v>
      </c>
      <c r="D5446" s="14" t="s">
        <v>77</v>
      </c>
      <c r="E5446" s="14" t="s">
        <v>78</v>
      </c>
      <c r="F5446" s="15" t="s">
        <v>51</v>
      </c>
      <c r="G5446" s="14" t="s">
        <v>128</v>
      </c>
      <c r="H5446" s="14" t="s">
        <v>81</v>
      </c>
      <c r="I5446" s="14" t="s">
        <v>59</v>
      </c>
      <c r="J5446" s="14" t="s">
        <v>199</v>
      </c>
      <c r="K5446" s="14" t="s">
        <v>203</v>
      </c>
      <c r="L5446" s="14" t="s">
        <v>342</v>
      </c>
      <c r="M5446" s="14" t="s">
        <v>342</v>
      </c>
      <c r="N5446" s="14" t="s">
        <v>343</v>
      </c>
      <c r="O5446" s="14">
        <v>100.0</v>
      </c>
      <c r="P5446" s="21">
        <v>2.0</v>
      </c>
      <c r="Q5446" s="22" t="str">
        <f t="shared" ref="Q5446:R5446" si="3259">"+0"</f>
        <v>+0</v>
      </c>
      <c r="R5446" s="18" t="str">
        <f t="shared" si="3259"/>
        <v>+0</v>
      </c>
      <c r="S5446" s="14" t="s">
        <v>260</v>
      </c>
    </row>
    <row r="5447">
      <c r="A5447" s="13">
        <v>45901.0</v>
      </c>
      <c r="B5447" s="14" t="s">
        <v>47</v>
      </c>
      <c r="C5447" s="14" t="s">
        <v>48</v>
      </c>
      <c r="D5447" s="14" t="s">
        <v>108</v>
      </c>
      <c r="E5447" s="14" t="s">
        <v>109</v>
      </c>
      <c r="F5447" s="15" t="s">
        <v>51</v>
      </c>
      <c r="G5447" s="14" t="s">
        <v>110</v>
      </c>
      <c r="H5447" s="14" t="s">
        <v>108</v>
      </c>
      <c r="I5447" s="14" t="s">
        <v>59</v>
      </c>
      <c r="J5447" s="14" t="s">
        <v>198</v>
      </c>
      <c r="K5447" s="14" t="s">
        <v>205</v>
      </c>
      <c r="L5447" s="14" t="s">
        <v>274</v>
      </c>
      <c r="M5447" s="14" t="s">
        <v>466</v>
      </c>
      <c r="N5447" s="14" t="s">
        <v>467</v>
      </c>
      <c r="O5447" s="14">
        <v>0.0</v>
      </c>
      <c r="P5447" s="21">
        <v>0.0</v>
      </c>
      <c r="Q5447" s="22" t="str">
        <f t="shared" ref="Q5447:Q5448" si="3260">"+0"</f>
        <v>+0</v>
      </c>
      <c r="S5447" s="14" t="s">
        <v>281</v>
      </c>
    </row>
    <row r="5448">
      <c r="A5448" s="13">
        <v>45901.0</v>
      </c>
      <c r="B5448" s="14" t="s">
        <v>47</v>
      </c>
      <c r="C5448" s="14" t="s">
        <v>48</v>
      </c>
      <c r="D5448" s="14" t="s">
        <v>56</v>
      </c>
      <c r="E5448" s="14" t="s">
        <v>57</v>
      </c>
      <c r="F5448" s="14" t="s">
        <v>71</v>
      </c>
      <c r="G5448" s="14">
        <v>5.36003976E8</v>
      </c>
      <c r="H5448" s="14" t="s">
        <v>56</v>
      </c>
      <c r="I5448" s="14" t="s">
        <v>59</v>
      </c>
      <c r="J5448" s="14" t="s">
        <v>199</v>
      </c>
      <c r="K5448" s="14" t="s">
        <v>208</v>
      </c>
      <c r="L5448" s="14" t="s">
        <v>352</v>
      </c>
      <c r="M5448" s="14" t="s">
        <v>352</v>
      </c>
      <c r="N5448" s="14" t="s">
        <v>353</v>
      </c>
      <c r="O5448" s="14">
        <v>85.0</v>
      </c>
      <c r="P5448" s="21">
        <v>3.0</v>
      </c>
      <c r="Q5448" s="22" t="str">
        <f t="shared" si="3260"/>
        <v>+0</v>
      </c>
      <c r="R5448" s="18" t="str">
        <f>"+0"</f>
        <v>+0</v>
      </c>
      <c r="S5448" s="14" t="s">
        <v>260</v>
      </c>
    </row>
    <row r="5449">
      <c r="A5449" s="13">
        <v>45901.0</v>
      </c>
      <c r="B5449" s="14" t="s">
        <v>47</v>
      </c>
      <c r="C5449" s="14" t="s">
        <v>48</v>
      </c>
      <c r="D5449" s="14" t="s">
        <v>140</v>
      </c>
      <c r="E5449" s="14" t="s">
        <v>141</v>
      </c>
      <c r="F5449" s="15" t="s">
        <v>51</v>
      </c>
      <c r="G5449" s="14" t="s">
        <v>142</v>
      </c>
      <c r="H5449" s="14" t="s">
        <v>140</v>
      </c>
      <c r="I5449" s="14" t="s">
        <v>59</v>
      </c>
      <c r="J5449" s="14" t="s">
        <v>200</v>
      </c>
      <c r="K5449" s="14" t="s">
        <v>201</v>
      </c>
      <c r="L5449" s="14" t="s">
        <v>253</v>
      </c>
      <c r="M5449" s="14" t="s">
        <v>585</v>
      </c>
      <c r="N5449" s="14" t="s">
        <v>586</v>
      </c>
      <c r="O5449" s="14">
        <v>1.0</v>
      </c>
      <c r="P5449" s="23">
        <v>0.0</v>
      </c>
      <c r="Q5449" s="22" t="str">
        <f t="shared" ref="Q5449:R5449" si="3261">"-0.00%"</f>
        <v>-0.00%</v>
      </c>
      <c r="R5449" s="18" t="str">
        <f t="shared" si="3261"/>
        <v>-0.00%</v>
      </c>
      <c r="S5449" s="14" t="s">
        <v>1156</v>
      </c>
    </row>
    <row r="5450">
      <c r="A5450" s="13">
        <v>45901.0</v>
      </c>
      <c r="B5450" s="14" t="s">
        <v>47</v>
      </c>
      <c r="C5450" s="14" t="s">
        <v>48</v>
      </c>
      <c r="D5450" s="14" t="s">
        <v>155</v>
      </c>
      <c r="E5450" s="14" t="s">
        <v>156</v>
      </c>
      <c r="F5450" s="15" t="s">
        <v>51</v>
      </c>
      <c r="G5450" s="14" t="s">
        <v>157</v>
      </c>
      <c r="H5450" s="14" t="s">
        <v>155</v>
      </c>
      <c r="I5450" s="14" t="s">
        <v>59</v>
      </c>
      <c r="J5450" s="14" t="s">
        <v>200</v>
      </c>
      <c r="K5450" s="14" t="s">
        <v>223</v>
      </c>
      <c r="L5450" s="14" t="s">
        <v>286</v>
      </c>
      <c r="M5450" s="14" t="s">
        <v>979</v>
      </c>
      <c r="N5450" s="14" t="s">
        <v>980</v>
      </c>
      <c r="O5450" s="14">
        <v>0.0</v>
      </c>
      <c r="P5450" s="17"/>
      <c r="Q5450" s="22"/>
      <c r="S5450" s="14" t="s">
        <v>2499</v>
      </c>
    </row>
    <row r="5451">
      <c r="A5451" s="13">
        <v>45901.0</v>
      </c>
      <c r="B5451" s="14" t="s">
        <v>47</v>
      </c>
      <c r="C5451" s="14" t="s">
        <v>48</v>
      </c>
      <c r="D5451" s="14" t="s">
        <v>140</v>
      </c>
      <c r="E5451" s="14" t="s">
        <v>141</v>
      </c>
      <c r="F5451" s="15" t="s">
        <v>51</v>
      </c>
      <c r="G5451" s="14" t="s">
        <v>142</v>
      </c>
      <c r="H5451" s="14" t="s">
        <v>140</v>
      </c>
      <c r="I5451" s="14" t="s">
        <v>59</v>
      </c>
      <c r="J5451" s="14" t="s">
        <v>200</v>
      </c>
      <c r="K5451" s="14" t="s">
        <v>204</v>
      </c>
      <c r="L5451" s="14" t="s">
        <v>253</v>
      </c>
      <c r="M5451" s="14" t="s">
        <v>844</v>
      </c>
      <c r="N5451" s="14" t="s">
        <v>845</v>
      </c>
      <c r="O5451" s="14">
        <v>0.0</v>
      </c>
      <c r="P5451" s="17"/>
      <c r="Q5451" s="22"/>
      <c r="S5451" s="14" t="s">
        <v>846</v>
      </c>
    </row>
    <row r="5452">
      <c r="A5452" s="13">
        <v>45901.0</v>
      </c>
      <c r="B5452" s="14" t="s">
        <v>47</v>
      </c>
      <c r="C5452" s="14" t="s">
        <v>48</v>
      </c>
      <c r="D5452" s="14" t="s">
        <v>49</v>
      </c>
      <c r="E5452" s="14" t="s">
        <v>50</v>
      </c>
      <c r="F5452" s="15" t="s">
        <v>51</v>
      </c>
      <c r="G5452" s="14" t="s">
        <v>52</v>
      </c>
      <c r="H5452" s="14" t="s">
        <v>53</v>
      </c>
      <c r="I5452" s="14" t="s">
        <v>54</v>
      </c>
      <c r="J5452" s="14" t="s">
        <v>198</v>
      </c>
      <c r="K5452" s="14" t="s">
        <v>210</v>
      </c>
      <c r="L5452" s="14" t="s">
        <v>458</v>
      </c>
      <c r="M5452" s="14" t="s">
        <v>945</v>
      </c>
      <c r="N5452" s="14" t="s">
        <v>946</v>
      </c>
      <c r="O5452" s="14">
        <v>0.0</v>
      </c>
      <c r="P5452" s="21">
        <v>0.0</v>
      </c>
      <c r="Q5452" s="22" t="str">
        <f t="shared" ref="Q5452:R5452" si="3262">"+0"</f>
        <v>+0</v>
      </c>
      <c r="R5452" s="18" t="str">
        <f t="shared" si="3262"/>
        <v>+0</v>
      </c>
      <c r="S5452" s="14" t="s">
        <v>277</v>
      </c>
    </row>
    <row r="5453">
      <c r="A5453" s="13">
        <v>45901.0</v>
      </c>
      <c r="B5453" s="14" t="s">
        <v>47</v>
      </c>
      <c r="C5453" s="14" t="s">
        <v>48</v>
      </c>
      <c r="D5453" s="14" t="s">
        <v>91</v>
      </c>
      <c r="E5453" s="14" t="s">
        <v>92</v>
      </c>
      <c r="F5453" s="14" t="s">
        <v>71</v>
      </c>
      <c r="G5453" s="14">
        <v>5.10011769E8</v>
      </c>
      <c r="H5453" s="14" t="s">
        <v>91</v>
      </c>
      <c r="I5453" s="14" t="s">
        <v>59</v>
      </c>
      <c r="J5453" s="14" t="s">
        <v>199</v>
      </c>
      <c r="K5453" s="14" t="s">
        <v>206</v>
      </c>
      <c r="L5453" s="14" t="s">
        <v>295</v>
      </c>
      <c r="M5453" s="14" t="s">
        <v>986</v>
      </c>
      <c r="N5453" s="14" t="s">
        <v>987</v>
      </c>
      <c r="O5453" s="14">
        <v>0.0</v>
      </c>
      <c r="P5453" s="21">
        <v>0.0</v>
      </c>
      <c r="Q5453" s="22" t="str">
        <f t="shared" ref="Q5453:R5453" si="3263">"+0"</f>
        <v>+0</v>
      </c>
      <c r="R5453" s="18" t="str">
        <f t="shared" si="3263"/>
        <v>+0</v>
      </c>
      <c r="S5453" s="14" t="s">
        <v>260</v>
      </c>
    </row>
    <row r="5454">
      <c r="A5454" s="13">
        <v>45901.0</v>
      </c>
      <c r="B5454" s="14" t="s">
        <v>47</v>
      </c>
      <c r="C5454" s="14" t="s">
        <v>48</v>
      </c>
      <c r="D5454" s="14" t="s">
        <v>91</v>
      </c>
      <c r="E5454" s="14" t="s">
        <v>92</v>
      </c>
      <c r="F5454" s="15" t="s">
        <v>51</v>
      </c>
      <c r="G5454" s="14" t="s">
        <v>163</v>
      </c>
      <c r="H5454" s="14" t="s">
        <v>91</v>
      </c>
      <c r="I5454" s="14" t="s">
        <v>59</v>
      </c>
      <c r="J5454" s="14" t="s">
        <v>200</v>
      </c>
      <c r="K5454" s="14" t="s">
        <v>223</v>
      </c>
      <c r="L5454" s="14" t="s">
        <v>286</v>
      </c>
      <c r="M5454" s="14" t="s">
        <v>625</v>
      </c>
      <c r="N5454" s="14" t="s">
        <v>626</v>
      </c>
      <c r="O5454" s="14">
        <v>0.0</v>
      </c>
      <c r="P5454" s="23">
        <v>0.0</v>
      </c>
      <c r="Q5454" s="22" t="str">
        <f>"+0.00%"</f>
        <v>+0.00%</v>
      </c>
      <c r="R5454" s="18" t="str">
        <f>"-3.17%"</f>
        <v>-3.17%</v>
      </c>
      <c r="S5454" s="14" t="s">
        <v>2500</v>
      </c>
    </row>
    <row r="5455">
      <c r="A5455" s="13">
        <v>45901.0</v>
      </c>
      <c r="B5455" s="14" t="s">
        <v>47</v>
      </c>
      <c r="C5455" s="14" t="s">
        <v>48</v>
      </c>
      <c r="D5455" s="14" t="s">
        <v>63</v>
      </c>
      <c r="E5455" s="14" t="s">
        <v>64</v>
      </c>
      <c r="F5455" s="15" t="s">
        <v>51</v>
      </c>
      <c r="G5455" s="14" t="s">
        <v>65</v>
      </c>
      <c r="H5455" s="14" t="s">
        <v>63</v>
      </c>
      <c r="I5455" s="14" t="s">
        <v>54</v>
      </c>
      <c r="J5455" s="14" t="s">
        <v>200</v>
      </c>
      <c r="K5455" s="14" t="s">
        <v>213</v>
      </c>
      <c r="L5455" s="14" t="s">
        <v>257</v>
      </c>
      <c r="M5455" s="14" t="s">
        <v>517</v>
      </c>
      <c r="N5455" s="14" t="s">
        <v>518</v>
      </c>
      <c r="O5455" s="14">
        <v>100.0</v>
      </c>
      <c r="P5455" s="21">
        <v>7.0</v>
      </c>
      <c r="Q5455" s="22" t="str">
        <f t="shared" ref="Q5455:R5455" si="3264">"+0"</f>
        <v>+0</v>
      </c>
      <c r="R5455" s="18" t="str">
        <f t="shared" si="3264"/>
        <v>+0</v>
      </c>
      <c r="S5455" s="14" t="s">
        <v>260</v>
      </c>
    </row>
    <row r="5456">
      <c r="A5456" s="13">
        <v>45901.0</v>
      </c>
      <c r="B5456" s="14" t="s">
        <v>47</v>
      </c>
      <c r="C5456" s="14" t="s">
        <v>48</v>
      </c>
      <c r="D5456" s="14" t="s">
        <v>63</v>
      </c>
      <c r="E5456" s="14" t="s">
        <v>64</v>
      </c>
      <c r="F5456" s="15" t="s">
        <v>51</v>
      </c>
      <c r="G5456" s="14" t="s">
        <v>65</v>
      </c>
      <c r="H5456" s="14" t="s">
        <v>63</v>
      </c>
      <c r="I5456" s="14" t="s">
        <v>54</v>
      </c>
      <c r="J5456" s="14" t="s">
        <v>198</v>
      </c>
      <c r="K5456" s="14" t="s">
        <v>210</v>
      </c>
      <c r="L5456" s="14" t="s">
        <v>264</v>
      </c>
      <c r="M5456" s="14" t="s">
        <v>694</v>
      </c>
      <c r="N5456" s="14" t="s">
        <v>695</v>
      </c>
      <c r="O5456" s="14">
        <v>0.0</v>
      </c>
      <c r="P5456" s="21">
        <v>0.0</v>
      </c>
      <c r="Q5456" s="22" t="str">
        <f t="shared" ref="Q5456:R5456" si="3265">"+0"</f>
        <v>+0</v>
      </c>
      <c r="R5456" s="18" t="str">
        <f t="shared" si="3265"/>
        <v>+0</v>
      </c>
      <c r="S5456" s="14" t="s">
        <v>277</v>
      </c>
    </row>
    <row r="5457">
      <c r="A5457" s="13">
        <v>45901.0</v>
      </c>
      <c r="B5457" s="14" t="s">
        <v>47</v>
      </c>
      <c r="C5457" s="14" t="s">
        <v>48</v>
      </c>
      <c r="D5457" s="14" t="s">
        <v>116</v>
      </c>
      <c r="E5457" s="14" t="s">
        <v>117</v>
      </c>
      <c r="F5457" s="15" t="s">
        <v>51</v>
      </c>
      <c r="G5457" s="14" t="s">
        <v>161</v>
      </c>
      <c r="H5457" s="14" t="s">
        <v>116</v>
      </c>
      <c r="I5457" s="14" t="s">
        <v>54</v>
      </c>
      <c r="J5457" s="14" t="s">
        <v>198</v>
      </c>
      <c r="K5457" s="14" t="s">
        <v>210</v>
      </c>
      <c r="L5457" s="14" t="s">
        <v>264</v>
      </c>
      <c r="M5457" s="14" t="s">
        <v>804</v>
      </c>
      <c r="N5457" s="14" t="s">
        <v>805</v>
      </c>
      <c r="O5457" s="14">
        <v>0.0</v>
      </c>
      <c r="P5457" s="21">
        <v>0.0</v>
      </c>
      <c r="Q5457" s="22" t="str">
        <f t="shared" ref="Q5457:R5457" si="3266">"+0"</f>
        <v>+0</v>
      </c>
      <c r="R5457" s="18" t="str">
        <f t="shared" si="3266"/>
        <v>+0</v>
      </c>
      <c r="S5457" s="14" t="s">
        <v>277</v>
      </c>
    </row>
    <row r="5458">
      <c r="A5458" s="13">
        <v>45901.0</v>
      </c>
      <c r="B5458" s="14" t="s">
        <v>47</v>
      </c>
      <c r="C5458" s="14" t="s">
        <v>48</v>
      </c>
      <c r="D5458" s="14" t="s">
        <v>108</v>
      </c>
      <c r="E5458" s="14" t="s">
        <v>109</v>
      </c>
      <c r="F5458" s="15" t="s">
        <v>51</v>
      </c>
      <c r="G5458" s="14" t="s">
        <v>110</v>
      </c>
      <c r="H5458" s="14" t="s">
        <v>108</v>
      </c>
      <c r="I5458" s="14" t="s">
        <v>59</v>
      </c>
      <c r="J5458" s="14" t="s">
        <v>200</v>
      </c>
      <c r="K5458" s="14" t="s">
        <v>213</v>
      </c>
      <c r="L5458" s="14" t="s">
        <v>257</v>
      </c>
      <c r="M5458" s="14" t="s">
        <v>258</v>
      </c>
      <c r="N5458" s="14" t="s">
        <v>259</v>
      </c>
      <c r="O5458" s="14">
        <v>0.0</v>
      </c>
      <c r="P5458" s="21">
        <v>0.0</v>
      </c>
      <c r="Q5458" s="22" t="str">
        <f>"+0"</f>
        <v>+0</v>
      </c>
      <c r="S5458" s="14" t="s">
        <v>260</v>
      </c>
    </row>
    <row r="5459">
      <c r="A5459" s="13">
        <v>45901.0</v>
      </c>
      <c r="B5459" s="14" t="s">
        <v>47</v>
      </c>
      <c r="C5459" s="14" t="s">
        <v>48</v>
      </c>
      <c r="D5459" s="14" t="s">
        <v>63</v>
      </c>
      <c r="E5459" s="14" t="s">
        <v>64</v>
      </c>
      <c r="F5459" s="15" t="s">
        <v>51</v>
      </c>
      <c r="G5459" s="14" t="s">
        <v>65</v>
      </c>
      <c r="H5459" s="14" t="s">
        <v>63</v>
      </c>
      <c r="I5459" s="14" t="s">
        <v>54</v>
      </c>
      <c r="J5459" s="14" t="s">
        <v>198</v>
      </c>
      <c r="K5459" s="14" t="s">
        <v>210</v>
      </c>
      <c r="L5459" s="14" t="s">
        <v>264</v>
      </c>
      <c r="M5459" s="14" t="s">
        <v>1848</v>
      </c>
      <c r="N5459" s="14" t="s">
        <v>1849</v>
      </c>
      <c r="O5459" s="14">
        <v>0.0</v>
      </c>
      <c r="P5459" s="21">
        <v>2161.0</v>
      </c>
      <c r="Q5459" s="22"/>
      <c r="S5459" s="14" t="s">
        <v>2501</v>
      </c>
    </row>
    <row r="5460">
      <c r="A5460" s="13">
        <v>45901.0</v>
      </c>
      <c r="B5460" s="14" t="s">
        <v>47</v>
      </c>
      <c r="C5460" s="14" t="s">
        <v>48</v>
      </c>
      <c r="D5460" s="14" t="s">
        <v>192</v>
      </c>
      <c r="E5460" s="14" t="s">
        <v>193</v>
      </c>
      <c r="F5460" s="15" t="s">
        <v>51</v>
      </c>
      <c r="G5460" s="14" t="s">
        <v>194</v>
      </c>
      <c r="H5460" s="14" t="s">
        <v>192</v>
      </c>
      <c r="I5460" s="14" t="s">
        <v>54</v>
      </c>
      <c r="J5460" s="14" t="s">
        <v>200</v>
      </c>
      <c r="K5460" s="14" t="s">
        <v>223</v>
      </c>
      <c r="L5460" s="14" t="s">
        <v>363</v>
      </c>
      <c r="M5460" s="14" t="s">
        <v>364</v>
      </c>
      <c r="N5460" s="14" t="s">
        <v>365</v>
      </c>
      <c r="O5460" s="14">
        <v>100.0</v>
      </c>
      <c r="P5460" s="23">
        <v>0.0099</v>
      </c>
      <c r="Q5460" s="22" t="str">
        <f>"-0.10%"</f>
        <v>-0.10%</v>
      </c>
      <c r="R5460" s="18" t="str">
        <f>"-0.54%"</f>
        <v>-0.54%</v>
      </c>
      <c r="S5460" s="14" t="s">
        <v>285</v>
      </c>
    </row>
    <row r="5461">
      <c r="A5461" s="13">
        <v>45901.0</v>
      </c>
      <c r="B5461" s="14" t="s">
        <v>47</v>
      </c>
      <c r="C5461" s="14" t="s">
        <v>48</v>
      </c>
      <c r="D5461" s="14" t="s">
        <v>73</v>
      </c>
      <c r="E5461" s="14" t="s">
        <v>74</v>
      </c>
      <c r="F5461" s="15" t="s">
        <v>51</v>
      </c>
      <c r="G5461" s="14" t="s">
        <v>75</v>
      </c>
      <c r="H5461" s="14" t="s">
        <v>76</v>
      </c>
      <c r="I5461" s="14" t="s">
        <v>59</v>
      </c>
      <c r="J5461" s="14" t="s">
        <v>200</v>
      </c>
      <c r="K5461" s="14" t="s">
        <v>232</v>
      </c>
      <c r="L5461" s="14" t="s">
        <v>261</v>
      </c>
      <c r="M5461" s="14" t="s">
        <v>906</v>
      </c>
      <c r="N5461" s="14" t="s">
        <v>907</v>
      </c>
      <c r="O5461" s="14">
        <v>0.0</v>
      </c>
      <c r="P5461" s="23">
        <v>0.0</v>
      </c>
      <c r="Q5461" s="22" t="str">
        <f t="shared" ref="Q5461:R5461" si="3267">"+0.00%"</f>
        <v>+0.00%</v>
      </c>
      <c r="R5461" s="18" t="str">
        <f t="shared" si="3267"/>
        <v>+0.00%</v>
      </c>
      <c r="S5461" s="14" t="s">
        <v>2139</v>
      </c>
    </row>
    <row r="5462">
      <c r="A5462" s="13">
        <v>45901.0</v>
      </c>
      <c r="B5462" s="14" t="s">
        <v>47</v>
      </c>
      <c r="C5462" s="14" t="s">
        <v>48</v>
      </c>
      <c r="D5462" s="14" t="s">
        <v>103</v>
      </c>
      <c r="E5462" s="14" t="s">
        <v>104</v>
      </c>
      <c r="F5462" s="15" t="s">
        <v>51</v>
      </c>
      <c r="G5462" s="14" t="s">
        <v>105</v>
      </c>
      <c r="H5462" s="14" t="s">
        <v>106</v>
      </c>
      <c r="I5462" s="14" t="s">
        <v>59</v>
      </c>
      <c r="J5462" s="14" t="s">
        <v>198</v>
      </c>
      <c r="K5462" s="14" t="s">
        <v>205</v>
      </c>
      <c r="L5462" s="14" t="s">
        <v>274</v>
      </c>
      <c r="M5462" s="14" t="s">
        <v>738</v>
      </c>
      <c r="N5462" s="14" t="s">
        <v>739</v>
      </c>
      <c r="O5462" s="14">
        <v>0.0</v>
      </c>
      <c r="P5462" s="21">
        <v>0.0</v>
      </c>
      <c r="Q5462" s="22" t="str">
        <f>"+0"</f>
        <v>+0</v>
      </c>
      <c r="S5462" s="14" t="s">
        <v>281</v>
      </c>
    </row>
    <row r="5463">
      <c r="A5463" s="13">
        <v>45901.0</v>
      </c>
      <c r="B5463" s="14" t="s">
        <v>47</v>
      </c>
      <c r="C5463" s="14" t="s">
        <v>48</v>
      </c>
      <c r="D5463" s="14" t="s">
        <v>87</v>
      </c>
      <c r="E5463" s="14" t="s">
        <v>88</v>
      </c>
      <c r="F5463" s="15" t="s">
        <v>51</v>
      </c>
      <c r="G5463" s="14" t="s">
        <v>89</v>
      </c>
      <c r="H5463" s="14" t="s">
        <v>90</v>
      </c>
      <c r="I5463" s="14" t="s">
        <v>59</v>
      </c>
      <c r="J5463" s="14" t="s">
        <v>200</v>
      </c>
      <c r="K5463" s="14" t="s">
        <v>223</v>
      </c>
      <c r="L5463" s="14" t="s">
        <v>289</v>
      </c>
      <c r="M5463" s="14" t="s">
        <v>684</v>
      </c>
      <c r="N5463" s="14" t="s">
        <v>685</v>
      </c>
      <c r="O5463" s="14">
        <v>0.0</v>
      </c>
      <c r="P5463" s="23">
        <v>0.0</v>
      </c>
      <c r="Q5463" s="22" t="str">
        <f t="shared" ref="Q5463:R5463" si="3268">"+0.00%"</f>
        <v>+0.00%</v>
      </c>
      <c r="R5463" s="18" t="str">
        <f t="shared" si="3268"/>
        <v>+0.00%</v>
      </c>
      <c r="S5463" s="14" t="s">
        <v>285</v>
      </c>
    </row>
    <row r="5464">
      <c r="A5464" s="13">
        <v>45901.0</v>
      </c>
      <c r="B5464" s="14" t="s">
        <v>47</v>
      </c>
      <c r="C5464" s="14" t="s">
        <v>48</v>
      </c>
      <c r="D5464" s="14" t="s">
        <v>136</v>
      </c>
      <c r="E5464" s="14" t="s">
        <v>137</v>
      </c>
      <c r="F5464" s="15" t="s">
        <v>51</v>
      </c>
      <c r="G5464" s="14" t="s">
        <v>138</v>
      </c>
      <c r="H5464" s="14" t="s">
        <v>139</v>
      </c>
      <c r="I5464" s="14" t="s">
        <v>59</v>
      </c>
      <c r="J5464" s="14" t="s">
        <v>198</v>
      </c>
      <c r="K5464" s="14" t="s">
        <v>212</v>
      </c>
      <c r="L5464" s="14" t="s">
        <v>249</v>
      </c>
      <c r="M5464" s="14" t="s">
        <v>250</v>
      </c>
      <c r="N5464" s="14" t="s">
        <v>251</v>
      </c>
      <c r="O5464" s="14">
        <v>16.0</v>
      </c>
      <c r="P5464" s="21">
        <v>6152318.0</v>
      </c>
      <c r="Q5464" s="22" t="str">
        <f>"-6,523,897"</f>
        <v>-6,523,897</v>
      </c>
      <c r="R5464" s="18" t="str">
        <f>"-9,883,698"</f>
        <v>-9,883,698</v>
      </c>
      <c r="S5464" s="14" t="s">
        <v>2502</v>
      </c>
    </row>
    <row r="5465">
      <c r="A5465" s="13">
        <v>45901.0</v>
      </c>
      <c r="B5465" s="14" t="s">
        <v>47</v>
      </c>
      <c r="C5465" s="14" t="s">
        <v>48</v>
      </c>
      <c r="D5465" s="14" t="s">
        <v>149</v>
      </c>
      <c r="E5465" s="14" t="s">
        <v>150</v>
      </c>
      <c r="F5465" s="15" t="s">
        <v>51</v>
      </c>
      <c r="G5465" s="14" t="s">
        <v>151</v>
      </c>
      <c r="H5465" s="14" t="s">
        <v>152</v>
      </c>
      <c r="I5465" s="14" t="s">
        <v>54</v>
      </c>
      <c r="J5465" s="14" t="s">
        <v>200</v>
      </c>
      <c r="K5465" s="14" t="s">
        <v>223</v>
      </c>
      <c r="L5465" s="14" t="s">
        <v>304</v>
      </c>
      <c r="M5465" s="14" t="s">
        <v>702</v>
      </c>
      <c r="N5465" s="14" t="s">
        <v>703</v>
      </c>
      <c r="O5465" s="14">
        <v>100.0</v>
      </c>
      <c r="P5465" s="23">
        <v>1.0E-4</v>
      </c>
      <c r="Q5465" s="22" t="str">
        <f t="shared" ref="Q5465:R5465" si="3269">"+0.01%"</f>
        <v>+0.01%</v>
      </c>
      <c r="R5465" s="18" t="str">
        <f t="shared" si="3269"/>
        <v>+0.01%</v>
      </c>
      <c r="S5465" s="14" t="s">
        <v>285</v>
      </c>
    </row>
    <row r="5466">
      <c r="A5466" s="13">
        <v>45901.0</v>
      </c>
      <c r="B5466" s="14" t="s">
        <v>47</v>
      </c>
      <c r="C5466" s="14" t="s">
        <v>48</v>
      </c>
      <c r="D5466" s="14" t="s">
        <v>87</v>
      </c>
      <c r="E5466" s="14" t="s">
        <v>88</v>
      </c>
      <c r="F5466" s="15" t="s">
        <v>51</v>
      </c>
      <c r="G5466" s="14" t="s">
        <v>89</v>
      </c>
      <c r="H5466" s="14" t="s">
        <v>90</v>
      </c>
      <c r="I5466" s="14" t="s">
        <v>59</v>
      </c>
      <c r="J5466" s="14" t="s">
        <v>198</v>
      </c>
      <c r="K5466" s="14" t="s">
        <v>205</v>
      </c>
      <c r="L5466" s="14" t="s">
        <v>274</v>
      </c>
      <c r="M5466" s="14" t="s">
        <v>466</v>
      </c>
      <c r="N5466" s="14" t="s">
        <v>467</v>
      </c>
      <c r="O5466" s="14">
        <v>100.0</v>
      </c>
      <c r="P5466" s="21">
        <v>1.0</v>
      </c>
      <c r="Q5466" s="22" t="str">
        <f>"+0"</f>
        <v>+0</v>
      </c>
      <c r="S5466" s="14" t="s">
        <v>281</v>
      </c>
    </row>
    <row r="5467">
      <c r="A5467" s="13">
        <v>45901.0</v>
      </c>
      <c r="B5467" s="14" t="s">
        <v>47</v>
      </c>
      <c r="C5467" s="14" t="s">
        <v>48</v>
      </c>
      <c r="D5467" s="14" t="s">
        <v>149</v>
      </c>
      <c r="E5467" s="14" t="s">
        <v>150</v>
      </c>
      <c r="F5467" s="15" t="s">
        <v>51</v>
      </c>
      <c r="G5467" s="14" t="s">
        <v>151</v>
      </c>
      <c r="H5467" s="14" t="s">
        <v>152</v>
      </c>
      <c r="I5467" s="14" t="s">
        <v>54</v>
      </c>
      <c r="J5467" s="14" t="s">
        <v>200</v>
      </c>
      <c r="K5467" s="14" t="s">
        <v>223</v>
      </c>
      <c r="L5467" s="14" t="s">
        <v>286</v>
      </c>
      <c r="M5467" s="14" t="s">
        <v>979</v>
      </c>
      <c r="N5467" s="14" t="s">
        <v>980</v>
      </c>
      <c r="O5467" s="14">
        <v>73.0</v>
      </c>
      <c r="P5467" s="23">
        <v>0.7387</v>
      </c>
      <c r="Q5467" s="22" t="str">
        <f>"-1.54%"</f>
        <v>-1.54%</v>
      </c>
      <c r="R5467" s="18" t="str">
        <f>"-1.08%"</f>
        <v>-1.08%</v>
      </c>
      <c r="S5467" s="14" t="s">
        <v>2503</v>
      </c>
    </row>
    <row r="5468">
      <c r="A5468" s="13">
        <v>45901.0</v>
      </c>
      <c r="B5468" s="14" t="s">
        <v>47</v>
      </c>
      <c r="C5468" s="14" t="s">
        <v>48</v>
      </c>
      <c r="D5468" s="14" t="s">
        <v>195</v>
      </c>
      <c r="E5468" s="14" t="s">
        <v>196</v>
      </c>
      <c r="F5468" s="14" t="s">
        <v>111</v>
      </c>
      <c r="G5468" s="14">
        <v>5252823.0</v>
      </c>
      <c r="H5468" s="14" t="s">
        <v>197</v>
      </c>
      <c r="I5468" s="14" t="s">
        <v>59</v>
      </c>
      <c r="J5468" s="14" t="s">
        <v>199</v>
      </c>
      <c r="K5468" s="14" t="s">
        <v>203</v>
      </c>
      <c r="L5468" s="14" t="s">
        <v>342</v>
      </c>
      <c r="M5468" s="14" t="s">
        <v>342</v>
      </c>
      <c r="N5468" s="14" t="s">
        <v>343</v>
      </c>
      <c r="O5468" s="14">
        <v>0.0</v>
      </c>
      <c r="P5468" s="21">
        <v>0.0</v>
      </c>
      <c r="Q5468" s="22" t="str">
        <f t="shared" ref="Q5468:R5468" si="3270">"+0"</f>
        <v>+0</v>
      </c>
      <c r="R5468" s="18" t="str">
        <f t="shared" si="3270"/>
        <v>+0</v>
      </c>
      <c r="S5468" s="14" t="s">
        <v>260</v>
      </c>
    </row>
    <row r="5469">
      <c r="A5469" s="13">
        <v>45901.0</v>
      </c>
      <c r="B5469" s="14" t="s">
        <v>47</v>
      </c>
      <c r="C5469" s="14" t="s">
        <v>48</v>
      </c>
      <c r="D5469" s="14" t="s">
        <v>96</v>
      </c>
      <c r="E5469" s="14" t="s">
        <v>97</v>
      </c>
      <c r="F5469" s="15" t="s">
        <v>51</v>
      </c>
      <c r="G5469" s="14" t="s">
        <v>98</v>
      </c>
      <c r="H5469" s="14" t="s">
        <v>96</v>
      </c>
      <c r="I5469" s="14" t="s">
        <v>59</v>
      </c>
      <c r="J5469" s="14" t="s">
        <v>200</v>
      </c>
      <c r="K5469" s="14" t="s">
        <v>223</v>
      </c>
      <c r="L5469" s="14" t="s">
        <v>607</v>
      </c>
      <c r="M5469" s="14" t="s">
        <v>1035</v>
      </c>
      <c r="N5469" s="14" t="s">
        <v>1036</v>
      </c>
      <c r="O5469" s="14">
        <v>0.0</v>
      </c>
      <c r="P5469" s="23">
        <v>0.0</v>
      </c>
      <c r="Q5469" s="22" t="str">
        <f t="shared" ref="Q5469:R5469" si="3271">"+0.00%"</f>
        <v>+0.00%</v>
      </c>
      <c r="R5469" s="18" t="str">
        <f t="shared" si="3271"/>
        <v>+0.00%</v>
      </c>
      <c r="S5469" s="14" t="s">
        <v>2504</v>
      </c>
    </row>
    <row r="5470">
      <c r="A5470" s="13">
        <v>45901.0</v>
      </c>
      <c r="B5470" s="14" t="s">
        <v>47</v>
      </c>
      <c r="C5470" s="14" t="s">
        <v>48</v>
      </c>
      <c r="D5470" s="14" t="s">
        <v>96</v>
      </c>
      <c r="E5470" s="14" t="s">
        <v>97</v>
      </c>
      <c r="F5470" s="15" t="s">
        <v>51</v>
      </c>
      <c r="G5470" s="14" t="s">
        <v>98</v>
      </c>
      <c r="H5470" s="14" t="s">
        <v>96</v>
      </c>
      <c r="I5470" s="14" t="s">
        <v>59</v>
      </c>
      <c r="J5470" s="14" t="s">
        <v>200</v>
      </c>
      <c r="K5470" s="14" t="s">
        <v>223</v>
      </c>
      <c r="L5470" s="14" t="s">
        <v>363</v>
      </c>
      <c r="M5470" s="14" t="s">
        <v>379</v>
      </c>
      <c r="N5470" s="14" t="s">
        <v>380</v>
      </c>
      <c r="O5470" s="14">
        <v>0.0</v>
      </c>
      <c r="P5470" s="21">
        <v>0.0</v>
      </c>
      <c r="Q5470" s="22" t="str">
        <f t="shared" ref="Q5470:R5470" si="3272">"+0"</f>
        <v>+0</v>
      </c>
      <c r="R5470" s="18" t="str">
        <f t="shared" si="3272"/>
        <v>+0</v>
      </c>
      <c r="S5470" s="14" t="s">
        <v>260</v>
      </c>
    </row>
    <row r="5471">
      <c r="A5471" s="13">
        <v>45901.0</v>
      </c>
      <c r="B5471" s="14" t="s">
        <v>47</v>
      </c>
      <c r="C5471" s="14" t="s">
        <v>48</v>
      </c>
      <c r="D5471" s="14" t="s">
        <v>69</v>
      </c>
      <c r="E5471" s="14" t="s">
        <v>70</v>
      </c>
      <c r="F5471" s="14" t="s">
        <v>71</v>
      </c>
      <c r="G5471" s="14">
        <v>1.00002092E8</v>
      </c>
      <c r="H5471" s="14" t="s">
        <v>72</v>
      </c>
      <c r="I5471" s="14" t="s">
        <v>54</v>
      </c>
      <c r="J5471" s="14" t="s">
        <v>200</v>
      </c>
      <c r="K5471" s="14" t="s">
        <v>220</v>
      </c>
      <c r="L5471" s="14" t="s">
        <v>253</v>
      </c>
      <c r="M5471" s="14" t="s">
        <v>1449</v>
      </c>
      <c r="N5471" s="14" t="s">
        <v>1450</v>
      </c>
      <c r="O5471" s="14">
        <v>100.0</v>
      </c>
      <c r="P5471" s="23">
        <v>1.0</v>
      </c>
      <c r="Q5471" s="22" t="str">
        <f>"+0.00%"</f>
        <v>+0.00%</v>
      </c>
      <c r="R5471" s="18" t="str">
        <f>"+12.04%"</f>
        <v>+12.04%</v>
      </c>
      <c r="S5471" s="14" t="s">
        <v>2505</v>
      </c>
    </row>
    <row r="5472">
      <c r="A5472" s="13">
        <v>45901.0</v>
      </c>
      <c r="B5472" s="14" t="s">
        <v>47</v>
      </c>
      <c r="C5472" s="14" t="s">
        <v>48</v>
      </c>
      <c r="D5472" s="14" t="s">
        <v>125</v>
      </c>
      <c r="E5472" s="14" t="s">
        <v>126</v>
      </c>
      <c r="F5472" s="15" t="s">
        <v>51</v>
      </c>
      <c r="G5472" s="14" t="s">
        <v>127</v>
      </c>
      <c r="H5472" s="14" t="s">
        <v>125</v>
      </c>
      <c r="I5472" s="14" t="s">
        <v>59</v>
      </c>
      <c r="J5472" s="14" t="s">
        <v>198</v>
      </c>
      <c r="K5472" s="14" t="s">
        <v>205</v>
      </c>
      <c r="L5472" s="14" t="s">
        <v>274</v>
      </c>
      <c r="M5472" s="14" t="s">
        <v>696</v>
      </c>
      <c r="N5472" s="14" t="s">
        <v>697</v>
      </c>
      <c r="O5472" s="14">
        <v>100.0</v>
      </c>
      <c r="P5472" s="21">
        <v>1.0</v>
      </c>
      <c r="Q5472" s="22" t="str">
        <f>"+0"</f>
        <v>+0</v>
      </c>
      <c r="S5472" s="14" t="s">
        <v>281</v>
      </c>
    </row>
    <row r="5473">
      <c r="A5473" s="13">
        <v>45901.0</v>
      </c>
      <c r="B5473" s="14" t="s">
        <v>47</v>
      </c>
      <c r="C5473" s="14" t="s">
        <v>48</v>
      </c>
      <c r="D5473" s="14" t="s">
        <v>85</v>
      </c>
      <c r="E5473" s="14" t="s">
        <v>86</v>
      </c>
      <c r="F5473" s="14" t="s">
        <v>71</v>
      </c>
      <c r="G5473" s="14">
        <v>88285.0</v>
      </c>
      <c r="H5473" s="14" t="s">
        <v>85</v>
      </c>
      <c r="I5473" s="14" t="s">
        <v>59</v>
      </c>
      <c r="J5473" s="14" t="s">
        <v>200</v>
      </c>
      <c r="K5473" s="14" t="s">
        <v>218</v>
      </c>
      <c r="L5473" s="14" t="s">
        <v>253</v>
      </c>
      <c r="M5473" s="14" t="s">
        <v>1628</v>
      </c>
      <c r="N5473" s="14" t="s">
        <v>1629</v>
      </c>
      <c r="O5473" s="14">
        <v>35.0</v>
      </c>
      <c r="P5473" s="23">
        <v>0.3519</v>
      </c>
      <c r="Q5473" s="22" t="str">
        <f>"-22.15%"</f>
        <v>-22.15%</v>
      </c>
      <c r="R5473" s="18" t="str">
        <f>"-20.84%"</f>
        <v>-20.84%</v>
      </c>
      <c r="S5473" s="14" t="s">
        <v>2506</v>
      </c>
    </row>
    <row r="5474">
      <c r="A5474" s="13">
        <v>45901.0</v>
      </c>
      <c r="B5474" s="14" t="s">
        <v>47</v>
      </c>
      <c r="C5474" s="14" t="s">
        <v>48</v>
      </c>
      <c r="D5474" s="14" t="s">
        <v>112</v>
      </c>
      <c r="E5474" s="14" t="s">
        <v>113</v>
      </c>
      <c r="F5474" s="15" t="s">
        <v>51</v>
      </c>
      <c r="G5474" s="14" t="s">
        <v>114</v>
      </c>
      <c r="H5474" s="14" t="s">
        <v>112</v>
      </c>
      <c r="I5474" s="14" t="s">
        <v>59</v>
      </c>
      <c r="J5474" s="14" t="s">
        <v>198</v>
      </c>
      <c r="K5474" s="14" t="s">
        <v>212</v>
      </c>
      <c r="L5474" s="14" t="s">
        <v>344</v>
      </c>
      <c r="M5474" s="14" t="s">
        <v>580</v>
      </c>
      <c r="N5474" s="14" t="s">
        <v>581</v>
      </c>
      <c r="O5474" s="14">
        <v>100.0</v>
      </c>
      <c r="P5474" s="21">
        <v>1.0</v>
      </c>
      <c r="Q5474" s="22" t="str">
        <f>"+1"</f>
        <v>+1</v>
      </c>
      <c r="S5474" s="14" t="s">
        <v>281</v>
      </c>
    </row>
    <row r="5475">
      <c r="A5475" s="13">
        <v>45901.0</v>
      </c>
      <c r="B5475" s="14" t="s">
        <v>47</v>
      </c>
      <c r="C5475" s="14" t="s">
        <v>48</v>
      </c>
      <c r="D5475" s="14" t="s">
        <v>77</v>
      </c>
      <c r="E5475" s="14" t="s">
        <v>78</v>
      </c>
      <c r="F5475" s="15" t="s">
        <v>51</v>
      </c>
      <c r="G5475" s="14" t="s">
        <v>128</v>
      </c>
      <c r="H5475" s="14" t="s">
        <v>81</v>
      </c>
      <c r="I5475" s="14" t="s">
        <v>59</v>
      </c>
      <c r="J5475" s="14" t="s">
        <v>200</v>
      </c>
      <c r="K5475" s="14" t="s">
        <v>216</v>
      </c>
      <c r="L5475" s="14" t="s">
        <v>1491</v>
      </c>
      <c r="M5475" s="14" t="s">
        <v>1492</v>
      </c>
      <c r="N5475" s="14" t="s">
        <v>1493</v>
      </c>
      <c r="O5475" s="14">
        <v>0.0</v>
      </c>
      <c r="P5475" s="21">
        <v>0.0</v>
      </c>
      <c r="Q5475" s="22" t="str">
        <f t="shared" ref="Q5475:R5475" si="3273">"+0"</f>
        <v>+0</v>
      </c>
      <c r="R5475" s="18" t="str">
        <f t="shared" si="3273"/>
        <v>+0</v>
      </c>
      <c r="S5475" s="14" t="s">
        <v>327</v>
      </c>
    </row>
    <row r="5476">
      <c r="A5476" s="13">
        <v>45901.0</v>
      </c>
      <c r="B5476" s="14" t="s">
        <v>47</v>
      </c>
      <c r="C5476" s="14" t="s">
        <v>48</v>
      </c>
      <c r="D5476" s="14" t="s">
        <v>108</v>
      </c>
      <c r="E5476" s="14" t="s">
        <v>109</v>
      </c>
      <c r="F5476" s="14" t="s">
        <v>146</v>
      </c>
      <c r="G5476" s="14" t="s">
        <v>180</v>
      </c>
      <c r="H5476" s="14" t="s">
        <v>108</v>
      </c>
      <c r="I5476" s="14" t="s">
        <v>59</v>
      </c>
      <c r="J5476" s="14" t="s">
        <v>199</v>
      </c>
      <c r="K5476" s="14" t="s">
        <v>206</v>
      </c>
      <c r="L5476" s="14" t="s">
        <v>381</v>
      </c>
      <c r="M5476" s="14" t="s">
        <v>381</v>
      </c>
      <c r="N5476" s="14" t="s">
        <v>382</v>
      </c>
      <c r="O5476" s="14">
        <v>0.0</v>
      </c>
      <c r="P5476" s="21">
        <v>0.0</v>
      </c>
      <c r="Q5476" s="22" t="str">
        <f t="shared" ref="Q5476:Q5478" si="3274">"+0"</f>
        <v>+0</v>
      </c>
      <c r="S5476" s="14" t="s">
        <v>383</v>
      </c>
    </row>
    <row r="5477">
      <c r="A5477" s="13">
        <v>45901.0</v>
      </c>
      <c r="B5477" s="14" t="s">
        <v>47</v>
      </c>
      <c r="C5477" s="14" t="s">
        <v>48</v>
      </c>
      <c r="D5477" s="14" t="s">
        <v>158</v>
      </c>
      <c r="E5477" s="14" t="s">
        <v>159</v>
      </c>
      <c r="F5477" s="15" t="s">
        <v>51</v>
      </c>
      <c r="G5477" s="14" t="s">
        <v>160</v>
      </c>
      <c r="H5477" s="14" t="s">
        <v>158</v>
      </c>
      <c r="I5477" s="14" t="s">
        <v>54</v>
      </c>
      <c r="J5477" s="14" t="s">
        <v>199</v>
      </c>
      <c r="K5477" s="14" t="s">
        <v>203</v>
      </c>
      <c r="L5477" s="14" t="s">
        <v>1088</v>
      </c>
      <c r="M5477" s="14" t="s">
        <v>1089</v>
      </c>
      <c r="N5477" s="14" t="s">
        <v>1090</v>
      </c>
      <c r="O5477" s="14">
        <v>100.0</v>
      </c>
      <c r="P5477" s="21">
        <v>1.0</v>
      </c>
      <c r="Q5477" s="22" t="str">
        <f t="shared" si="3274"/>
        <v>+0</v>
      </c>
      <c r="R5477" s="18" t="str">
        <f t="shared" ref="R5477:R5478" si="3275">"+0"</f>
        <v>+0</v>
      </c>
      <c r="S5477" s="14" t="s">
        <v>260</v>
      </c>
    </row>
    <row r="5478">
      <c r="A5478" s="13">
        <v>45901.0</v>
      </c>
      <c r="B5478" s="14" t="s">
        <v>47</v>
      </c>
      <c r="C5478" s="14" t="s">
        <v>48</v>
      </c>
      <c r="D5478" s="14" t="s">
        <v>112</v>
      </c>
      <c r="E5478" s="14" t="s">
        <v>113</v>
      </c>
      <c r="F5478" s="15" t="s">
        <v>51</v>
      </c>
      <c r="G5478" s="14" t="s">
        <v>114</v>
      </c>
      <c r="H5478" s="14" t="s">
        <v>112</v>
      </c>
      <c r="I5478" s="14" t="s">
        <v>59</v>
      </c>
      <c r="J5478" s="14" t="s">
        <v>199</v>
      </c>
      <c r="K5478" s="14" t="s">
        <v>203</v>
      </c>
      <c r="L5478" s="14" t="s">
        <v>342</v>
      </c>
      <c r="M5478" s="14" t="s">
        <v>342</v>
      </c>
      <c r="N5478" s="14" t="s">
        <v>343</v>
      </c>
      <c r="O5478" s="14">
        <v>0.0</v>
      </c>
      <c r="P5478" s="21">
        <v>0.0</v>
      </c>
      <c r="Q5478" s="22" t="str">
        <f t="shared" si="3274"/>
        <v>+0</v>
      </c>
      <c r="R5478" s="18" t="str">
        <f t="shared" si="3275"/>
        <v>+0</v>
      </c>
      <c r="S5478" s="14" t="s">
        <v>260</v>
      </c>
    </row>
    <row r="5479">
      <c r="A5479" s="13">
        <v>45901.0</v>
      </c>
      <c r="B5479" s="14" t="s">
        <v>47</v>
      </c>
      <c r="C5479" s="14" t="s">
        <v>48</v>
      </c>
      <c r="D5479" s="14" t="s">
        <v>174</v>
      </c>
      <c r="E5479" s="14" t="s">
        <v>175</v>
      </c>
      <c r="F5479" s="15" t="s">
        <v>51</v>
      </c>
      <c r="G5479" s="14" t="s">
        <v>176</v>
      </c>
      <c r="H5479" s="14" t="s">
        <v>174</v>
      </c>
      <c r="I5479" s="14" t="s">
        <v>59</v>
      </c>
      <c r="J5479" s="14" t="s">
        <v>200</v>
      </c>
      <c r="K5479" s="14" t="s">
        <v>201</v>
      </c>
      <c r="L5479" s="14" t="s">
        <v>253</v>
      </c>
      <c r="M5479" s="14" t="s">
        <v>538</v>
      </c>
      <c r="N5479" s="14" t="s">
        <v>539</v>
      </c>
      <c r="O5479" s="14">
        <v>1.0</v>
      </c>
      <c r="P5479" s="23">
        <v>0.0121</v>
      </c>
      <c r="Q5479" s="22" t="str">
        <f>"+0.04%"</f>
        <v>+0.04%</v>
      </c>
      <c r="R5479" s="18" t="str">
        <f>"+0.05%"</f>
        <v>+0.05%</v>
      </c>
      <c r="S5479" s="14" t="s">
        <v>1667</v>
      </c>
    </row>
    <row r="5480">
      <c r="A5480" s="13">
        <v>45901.0</v>
      </c>
      <c r="B5480" s="14" t="s">
        <v>47</v>
      </c>
      <c r="C5480" s="14" t="s">
        <v>48</v>
      </c>
      <c r="D5480" s="14" t="s">
        <v>174</v>
      </c>
      <c r="E5480" s="14" t="s">
        <v>175</v>
      </c>
      <c r="F5480" s="15" t="s">
        <v>51</v>
      </c>
      <c r="G5480" s="14" t="s">
        <v>176</v>
      </c>
      <c r="H5480" s="14" t="s">
        <v>174</v>
      </c>
      <c r="I5480" s="14" t="s">
        <v>59</v>
      </c>
      <c r="J5480" s="14" t="s">
        <v>199</v>
      </c>
      <c r="K5480" s="14" t="s">
        <v>203</v>
      </c>
      <c r="L5480" s="14" t="s">
        <v>601</v>
      </c>
      <c r="M5480" s="14" t="s">
        <v>601</v>
      </c>
      <c r="N5480" s="14" t="s">
        <v>602</v>
      </c>
      <c r="O5480" s="14">
        <v>0.0</v>
      </c>
      <c r="P5480" s="21">
        <v>0.0</v>
      </c>
      <c r="Q5480" s="22" t="str">
        <f t="shared" ref="Q5480:R5480" si="3276">"+0"</f>
        <v>+0</v>
      </c>
      <c r="R5480" s="18" t="str">
        <f t="shared" si="3276"/>
        <v>+0</v>
      </c>
      <c r="S5480" s="14" t="s">
        <v>260</v>
      </c>
    </row>
    <row r="5481">
      <c r="A5481" s="13">
        <v>45901.0</v>
      </c>
      <c r="B5481" s="14" t="s">
        <v>47</v>
      </c>
      <c r="C5481" s="14" t="s">
        <v>48</v>
      </c>
      <c r="D5481" s="14" t="s">
        <v>60</v>
      </c>
      <c r="E5481" s="14" t="s">
        <v>61</v>
      </c>
      <c r="F5481" s="15" t="s">
        <v>51</v>
      </c>
      <c r="G5481" s="14" t="s">
        <v>62</v>
      </c>
      <c r="H5481" s="14" t="s">
        <v>60</v>
      </c>
      <c r="I5481" s="14" t="s">
        <v>59</v>
      </c>
      <c r="J5481" s="14" t="s">
        <v>200</v>
      </c>
      <c r="K5481" s="14" t="s">
        <v>223</v>
      </c>
      <c r="L5481" s="14" t="s">
        <v>363</v>
      </c>
      <c r="M5481" s="14" t="s">
        <v>1634</v>
      </c>
      <c r="N5481" s="14" t="s">
        <v>1635</v>
      </c>
      <c r="O5481" s="14">
        <v>0.0</v>
      </c>
      <c r="P5481" s="23">
        <v>0.0</v>
      </c>
      <c r="Q5481" s="22" t="str">
        <f t="shared" ref="Q5481:R5481" si="3277">"+0.00%"</f>
        <v>+0.00%</v>
      </c>
      <c r="R5481" s="18" t="str">
        <f t="shared" si="3277"/>
        <v>+0.00%</v>
      </c>
      <c r="S5481" s="14" t="s">
        <v>285</v>
      </c>
    </row>
    <row r="5482">
      <c r="A5482" s="13">
        <v>45901.0</v>
      </c>
      <c r="B5482" s="14" t="s">
        <v>47</v>
      </c>
      <c r="C5482" s="14" t="s">
        <v>48</v>
      </c>
      <c r="D5482" s="14" t="s">
        <v>155</v>
      </c>
      <c r="E5482" s="14" t="s">
        <v>156</v>
      </c>
      <c r="F5482" s="15" t="s">
        <v>51</v>
      </c>
      <c r="G5482" s="14" t="s">
        <v>157</v>
      </c>
      <c r="H5482" s="14" t="s">
        <v>155</v>
      </c>
      <c r="I5482" s="14" t="s">
        <v>59</v>
      </c>
      <c r="J5482" s="14" t="s">
        <v>198</v>
      </c>
      <c r="K5482" s="14" t="s">
        <v>210</v>
      </c>
      <c r="L5482" s="14" t="s">
        <v>458</v>
      </c>
      <c r="M5482" s="14" t="s">
        <v>459</v>
      </c>
      <c r="N5482" s="14" t="s">
        <v>460</v>
      </c>
      <c r="O5482" s="14">
        <v>100.0</v>
      </c>
      <c r="P5482" s="21">
        <v>0.0</v>
      </c>
      <c r="Q5482" s="22" t="str">
        <f t="shared" ref="Q5482:R5482" si="3278">"+0"</f>
        <v>+0</v>
      </c>
      <c r="R5482" s="18" t="str">
        <f t="shared" si="3278"/>
        <v>+0</v>
      </c>
      <c r="S5482" s="14" t="s">
        <v>281</v>
      </c>
    </row>
    <row r="5483">
      <c r="A5483" s="13">
        <v>45901.0</v>
      </c>
      <c r="B5483" s="14" t="s">
        <v>47</v>
      </c>
      <c r="C5483" s="14" t="s">
        <v>48</v>
      </c>
      <c r="D5483" s="14" t="s">
        <v>121</v>
      </c>
      <c r="E5483" s="14" t="s">
        <v>122</v>
      </c>
      <c r="F5483" s="15" t="s">
        <v>51</v>
      </c>
      <c r="G5483" s="14" t="s">
        <v>123</v>
      </c>
      <c r="H5483" s="14" t="s">
        <v>124</v>
      </c>
      <c r="I5483" s="14" t="s">
        <v>59</v>
      </c>
      <c r="J5483" s="14" t="s">
        <v>200</v>
      </c>
      <c r="K5483" s="14" t="s">
        <v>227</v>
      </c>
      <c r="L5483" s="14" t="s">
        <v>270</v>
      </c>
      <c r="M5483" s="14" t="s">
        <v>271</v>
      </c>
      <c r="N5483" s="14" t="s">
        <v>272</v>
      </c>
      <c r="O5483" s="14">
        <v>0.0</v>
      </c>
      <c r="P5483" s="23">
        <v>-1.0</v>
      </c>
      <c r="Q5483" s="22" t="str">
        <f t="shared" ref="Q5483:R5483" si="3279">"+0.00%"</f>
        <v>+0.00%</v>
      </c>
      <c r="R5483" s="18" t="str">
        <f t="shared" si="3279"/>
        <v>+0.00%</v>
      </c>
      <c r="S5483" s="14" t="s">
        <v>273</v>
      </c>
    </row>
    <row r="5484">
      <c r="A5484" s="13">
        <v>45901.0</v>
      </c>
      <c r="B5484" s="14" t="s">
        <v>47</v>
      </c>
      <c r="C5484" s="14" t="s">
        <v>48</v>
      </c>
      <c r="D5484" s="14" t="s">
        <v>49</v>
      </c>
      <c r="E5484" s="14" t="s">
        <v>50</v>
      </c>
      <c r="F5484" s="15" t="s">
        <v>51</v>
      </c>
      <c r="G5484" s="14" t="s">
        <v>52</v>
      </c>
      <c r="H5484" s="14" t="s">
        <v>53</v>
      </c>
      <c r="I5484" s="14" t="s">
        <v>54</v>
      </c>
      <c r="J5484" s="14" t="s">
        <v>200</v>
      </c>
      <c r="K5484" s="14" t="s">
        <v>227</v>
      </c>
      <c r="L5484" s="14" t="s">
        <v>253</v>
      </c>
      <c r="M5484" s="14" t="s">
        <v>849</v>
      </c>
      <c r="N5484" s="14" t="s">
        <v>850</v>
      </c>
      <c r="O5484" s="14">
        <v>40.0</v>
      </c>
      <c r="P5484" s="23">
        <v>0.4</v>
      </c>
      <c r="Q5484" s="22" t="str">
        <f t="shared" ref="Q5484:R5484" si="3280">"+0.00%"</f>
        <v>+0.00%</v>
      </c>
      <c r="R5484" s="18" t="str">
        <f t="shared" si="3280"/>
        <v>+0.00%</v>
      </c>
      <c r="S5484" s="14" t="s">
        <v>851</v>
      </c>
    </row>
    <row r="5485">
      <c r="A5485" s="13">
        <v>45901.0</v>
      </c>
      <c r="B5485" s="14" t="s">
        <v>47</v>
      </c>
      <c r="C5485" s="14" t="s">
        <v>48</v>
      </c>
      <c r="D5485" s="14" t="s">
        <v>49</v>
      </c>
      <c r="E5485" s="14" t="s">
        <v>50</v>
      </c>
      <c r="F5485" s="15" t="s">
        <v>51</v>
      </c>
      <c r="G5485" s="14" t="s">
        <v>52</v>
      </c>
      <c r="H5485" s="14" t="s">
        <v>53</v>
      </c>
      <c r="I5485" s="14" t="s">
        <v>54</v>
      </c>
      <c r="J5485" s="14" t="s">
        <v>198</v>
      </c>
      <c r="K5485" s="14" t="s">
        <v>210</v>
      </c>
      <c r="L5485" s="14" t="s">
        <v>458</v>
      </c>
      <c r="M5485" s="14" t="s">
        <v>1939</v>
      </c>
      <c r="N5485" s="14" t="s">
        <v>1940</v>
      </c>
      <c r="O5485" s="14">
        <v>0.0</v>
      </c>
      <c r="P5485" s="21">
        <v>0.0</v>
      </c>
      <c r="Q5485" s="22" t="str">
        <f t="shared" ref="Q5485:R5485" si="3281">"+0"</f>
        <v>+0</v>
      </c>
      <c r="R5485" s="18" t="str">
        <f t="shared" si="3281"/>
        <v>+0</v>
      </c>
      <c r="S5485" s="14" t="s">
        <v>277</v>
      </c>
    </row>
    <row r="5486">
      <c r="A5486" s="13">
        <v>45901.0</v>
      </c>
      <c r="B5486" s="14" t="s">
        <v>47</v>
      </c>
      <c r="C5486" s="14" t="s">
        <v>48</v>
      </c>
      <c r="D5486" s="14" t="s">
        <v>63</v>
      </c>
      <c r="E5486" s="14" t="s">
        <v>64</v>
      </c>
      <c r="F5486" s="15" t="s">
        <v>51</v>
      </c>
      <c r="G5486" s="14" t="s">
        <v>65</v>
      </c>
      <c r="H5486" s="14" t="s">
        <v>63</v>
      </c>
      <c r="I5486" s="14" t="s">
        <v>54</v>
      </c>
      <c r="J5486" s="14" t="s">
        <v>200</v>
      </c>
      <c r="K5486" s="14" t="s">
        <v>213</v>
      </c>
      <c r="L5486" s="14" t="s">
        <v>676</v>
      </c>
      <c r="M5486" s="14" t="s">
        <v>677</v>
      </c>
      <c r="N5486" s="14" t="s">
        <v>678</v>
      </c>
      <c r="O5486" s="14">
        <v>0.0</v>
      </c>
      <c r="P5486" s="23">
        <v>0.0</v>
      </c>
      <c r="Q5486" s="22" t="str">
        <f t="shared" ref="Q5486:R5486" si="3282">"+0.00%"</f>
        <v>+0.00%</v>
      </c>
      <c r="R5486" s="18" t="str">
        <f t="shared" si="3282"/>
        <v>+0.00%</v>
      </c>
      <c r="S5486" s="14" t="s">
        <v>285</v>
      </c>
    </row>
    <row r="5487">
      <c r="A5487" s="13">
        <v>45901.0</v>
      </c>
      <c r="B5487" s="14" t="s">
        <v>47</v>
      </c>
      <c r="C5487" s="14" t="s">
        <v>48</v>
      </c>
      <c r="D5487" s="14" t="s">
        <v>63</v>
      </c>
      <c r="E5487" s="14" t="s">
        <v>64</v>
      </c>
      <c r="F5487" s="15" t="s">
        <v>51</v>
      </c>
      <c r="G5487" s="14" t="s">
        <v>65</v>
      </c>
      <c r="H5487" s="14" t="s">
        <v>63</v>
      </c>
      <c r="I5487" s="14" t="s">
        <v>54</v>
      </c>
      <c r="J5487" s="14" t="s">
        <v>198</v>
      </c>
      <c r="K5487" s="14" t="s">
        <v>212</v>
      </c>
      <c r="L5487" s="14" t="s">
        <v>344</v>
      </c>
      <c r="M5487" s="14" t="s">
        <v>345</v>
      </c>
      <c r="N5487" s="14" t="s">
        <v>346</v>
      </c>
      <c r="O5487" s="14">
        <v>0.0</v>
      </c>
      <c r="P5487" s="21">
        <v>0.0</v>
      </c>
      <c r="Q5487" s="22" t="str">
        <f t="shared" ref="Q5487:R5487" si="3283">"+0"</f>
        <v>+0</v>
      </c>
      <c r="R5487" s="18" t="str">
        <f t="shared" si="3283"/>
        <v>+0</v>
      </c>
      <c r="S5487" s="14" t="s">
        <v>277</v>
      </c>
    </row>
    <row r="5488">
      <c r="A5488" s="13">
        <v>45901.0</v>
      </c>
      <c r="B5488" s="14" t="s">
        <v>47</v>
      </c>
      <c r="C5488" s="14" t="s">
        <v>48</v>
      </c>
      <c r="D5488" s="14" t="s">
        <v>99</v>
      </c>
      <c r="E5488" s="14" t="s">
        <v>100</v>
      </c>
      <c r="F5488" s="15" t="s">
        <v>51</v>
      </c>
      <c r="G5488" s="14" t="s">
        <v>101</v>
      </c>
      <c r="H5488" s="14" t="s">
        <v>102</v>
      </c>
      <c r="I5488" s="14" t="s">
        <v>54</v>
      </c>
      <c r="J5488" s="14" t="s">
        <v>198</v>
      </c>
      <c r="K5488" s="14" t="s">
        <v>210</v>
      </c>
      <c r="L5488" s="14" t="s">
        <v>264</v>
      </c>
      <c r="M5488" s="14" t="s">
        <v>694</v>
      </c>
      <c r="N5488" s="14" t="s">
        <v>695</v>
      </c>
      <c r="O5488" s="14">
        <v>0.0</v>
      </c>
      <c r="P5488" s="21">
        <v>0.0</v>
      </c>
      <c r="Q5488" s="22" t="str">
        <f t="shared" ref="Q5488:R5488" si="3284">"+0"</f>
        <v>+0</v>
      </c>
      <c r="R5488" s="18" t="str">
        <f t="shared" si="3284"/>
        <v>+0</v>
      </c>
      <c r="S5488" s="14" t="s">
        <v>277</v>
      </c>
    </row>
    <row r="5489">
      <c r="A5489" s="13">
        <v>45901.0</v>
      </c>
      <c r="B5489" s="14" t="s">
        <v>47</v>
      </c>
      <c r="C5489" s="14" t="s">
        <v>48</v>
      </c>
      <c r="D5489" s="14" t="s">
        <v>91</v>
      </c>
      <c r="E5489" s="14" t="s">
        <v>92</v>
      </c>
      <c r="F5489" s="14" t="s">
        <v>71</v>
      </c>
      <c r="G5489" s="14">
        <v>7295600.0</v>
      </c>
      <c r="H5489" s="14" t="s">
        <v>91</v>
      </c>
      <c r="I5489" s="14" t="s">
        <v>54</v>
      </c>
      <c r="J5489" s="14" t="s">
        <v>199</v>
      </c>
      <c r="K5489" s="14" t="s">
        <v>203</v>
      </c>
      <c r="L5489" s="14" t="s">
        <v>340</v>
      </c>
      <c r="M5489" s="14" t="s">
        <v>340</v>
      </c>
      <c r="N5489" s="14" t="s">
        <v>341</v>
      </c>
      <c r="O5489" s="14">
        <v>0.0</v>
      </c>
      <c r="P5489" s="21">
        <v>0.0</v>
      </c>
      <c r="Q5489" s="22" t="str">
        <f>"-1"</f>
        <v>-1</v>
      </c>
      <c r="R5489" s="18" t="str">
        <f>"-3"</f>
        <v>-3</v>
      </c>
      <c r="S5489" s="14" t="s">
        <v>260</v>
      </c>
    </row>
    <row r="5490">
      <c r="A5490" s="13">
        <v>45901.0</v>
      </c>
      <c r="B5490" s="14" t="s">
        <v>47</v>
      </c>
      <c r="C5490" s="14" t="s">
        <v>48</v>
      </c>
      <c r="D5490" s="14" t="s">
        <v>63</v>
      </c>
      <c r="E5490" s="14" t="s">
        <v>64</v>
      </c>
      <c r="F5490" s="15" t="s">
        <v>51</v>
      </c>
      <c r="G5490" s="14" t="s">
        <v>65</v>
      </c>
      <c r="H5490" s="14" t="s">
        <v>63</v>
      </c>
      <c r="I5490" s="14" t="s">
        <v>54</v>
      </c>
      <c r="J5490" s="14" t="s">
        <v>200</v>
      </c>
      <c r="K5490" s="14" t="s">
        <v>222</v>
      </c>
      <c r="L5490" s="14" t="s">
        <v>1161</v>
      </c>
      <c r="M5490" s="14" t="s">
        <v>1181</v>
      </c>
      <c r="N5490" s="14" t="s">
        <v>1182</v>
      </c>
      <c r="O5490" s="14">
        <v>0.0</v>
      </c>
      <c r="P5490" s="21">
        <v>0.0</v>
      </c>
      <c r="Q5490" s="22" t="str">
        <f t="shared" ref="Q5490:R5490" si="3285">"+0"</f>
        <v>+0</v>
      </c>
      <c r="R5490" s="18" t="str">
        <f t="shared" si="3285"/>
        <v>+0</v>
      </c>
      <c r="S5490" s="14" t="s">
        <v>260</v>
      </c>
    </row>
    <row r="5491">
      <c r="A5491" s="13">
        <v>45901.0</v>
      </c>
      <c r="B5491" s="14" t="s">
        <v>47</v>
      </c>
      <c r="C5491" s="14" t="s">
        <v>48</v>
      </c>
      <c r="D5491" s="14" t="s">
        <v>91</v>
      </c>
      <c r="E5491" s="14" t="s">
        <v>92</v>
      </c>
      <c r="F5491" s="14" t="s">
        <v>71</v>
      </c>
      <c r="G5491" s="14">
        <v>5.10000484E8</v>
      </c>
      <c r="H5491" s="14" t="s">
        <v>91</v>
      </c>
      <c r="I5491" s="14" t="s">
        <v>54</v>
      </c>
      <c r="J5491" s="14" t="s">
        <v>199</v>
      </c>
      <c r="K5491" s="14" t="s">
        <v>206</v>
      </c>
      <c r="L5491" s="14" t="s">
        <v>295</v>
      </c>
      <c r="M5491" s="14" t="s">
        <v>529</v>
      </c>
      <c r="N5491" s="14" t="s">
        <v>530</v>
      </c>
      <c r="O5491" s="14">
        <v>100.0</v>
      </c>
      <c r="P5491" s="21">
        <v>20.0</v>
      </c>
      <c r="Q5491" s="22" t="str">
        <f t="shared" ref="Q5491:R5491" si="3286">"+0"</f>
        <v>+0</v>
      </c>
      <c r="R5491" s="18" t="str">
        <f t="shared" si="3286"/>
        <v>+0</v>
      </c>
      <c r="S5491" s="14" t="s">
        <v>260</v>
      </c>
    </row>
    <row r="5492">
      <c r="A5492" s="13">
        <v>45901.0</v>
      </c>
      <c r="B5492" s="14" t="s">
        <v>47</v>
      </c>
      <c r="C5492" s="14" t="s">
        <v>48</v>
      </c>
      <c r="D5492" s="14" t="s">
        <v>192</v>
      </c>
      <c r="E5492" s="14" t="s">
        <v>193</v>
      </c>
      <c r="F5492" s="15" t="s">
        <v>51</v>
      </c>
      <c r="G5492" s="14" t="s">
        <v>194</v>
      </c>
      <c r="H5492" s="14" t="s">
        <v>192</v>
      </c>
      <c r="I5492" s="14" t="s">
        <v>54</v>
      </c>
      <c r="J5492" s="14" t="s">
        <v>198</v>
      </c>
      <c r="K5492" s="14" t="s">
        <v>210</v>
      </c>
      <c r="L5492" s="14" t="s">
        <v>264</v>
      </c>
      <c r="M5492" s="14" t="s">
        <v>1214</v>
      </c>
      <c r="N5492" s="14" t="s">
        <v>1215</v>
      </c>
      <c r="O5492" s="14">
        <v>0.0</v>
      </c>
      <c r="P5492" s="21">
        <v>0.0</v>
      </c>
      <c r="Q5492" s="22" t="str">
        <f t="shared" ref="Q5492:R5492" si="3287">"+0"</f>
        <v>+0</v>
      </c>
      <c r="R5492" s="18" t="str">
        <f t="shared" si="3287"/>
        <v>+0</v>
      </c>
      <c r="S5492" s="14" t="s">
        <v>277</v>
      </c>
    </row>
    <row r="5493">
      <c r="A5493" s="13">
        <v>45901.0</v>
      </c>
      <c r="B5493" s="14" t="s">
        <v>47</v>
      </c>
      <c r="C5493" s="14" t="s">
        <v>48</v>
      </c>
      <c r="D5493" s="14" t="s">
        <v>82</v>
      </c>
      <c r="E5493" s="14" t="s">
        <v>83</v>
      </c>
      <c r="F5493" s="15" t="s">
        <v>51</v>
      </c>
      <c r="G5493" s="14" t="s">
        <v>84</v>
      </c>
      <c r="H5493" s="14" t="s">
        <v>82</v>
      </c>
      <c r="I5493" s="14" t="s">
        <v>59</v>
      </c>
      <c r="J5493" s="14" t="s">
        <v>199</v>
      </c>
      <c r="K5493" s="14" t="s">
        <v>203</v>
      </c>
      <c r="L5493" s="14" t="s">
        <v>431</v>
      </c>
      <c r="M5493" s="14" t="s">
        <v>431</v>
      </c>
      <c r="N5493" s="14" t="s">
        <v>432</v>
      </c>
      <c r="O5493" s="14">
        <v>0.0</v>
      </c>
      <c r="P5493" s="21">
        <v>0.0</v>
      </c>
      <c r="Q5493" s="22" t="str">
        <f t="shared" ref="Q5493:R5493" si="3288">"+0"</f>
        <v>+0</v>
      </c>
      <c r="R5493" s="18" t="str">
        <f t="shared" si="3288"/>
        <v>+0</v>
      </c>
      <c r="S5493" s="14" t="s">
        <v>260</v>
      </c>
    </row>
    <row r="5494">
      <c r="A5494" s="13">
        <v>45901.0</v>
      </c>
      <c r="B5494" s="14" t="s">
        <v>47</v>
      </c>
      <c r="C5494" s="14" t="s">
        <v>48</v>
      </c>
      <c r="D5494" s="14" t="s">
        <v>192</v>
      </c>
      <c r="E5494" s="14" t="s">
        <v>193</v>
      </c>
      <c r="F5494" s="15" t="s">
        <v>51</v>
      </c>
      <c r="G5494" s="14" t="s">
        <v>194</v>
      </c>
      <c r="H5494" s="14" t="s">
        <v>192</v>
      </c>
      <c r="I5494" s="14" t="s">
        <v>54</v>
      </c>
      <c r="J5494" s="14" t="s">
        <v>200</v>
      </c>
      <c r="K5494" s="14" t="s">
        <v>201</v>
      </c>
      <c r="L5494" s="14" t="s">
        <v>253</v>
      </c>
      <c r="M5494" s="14" t="s">
        <v>1411</v>
      </c>
      <c r="N5494" s="14" t="s">
        <v>1412</v>
      </c>
      <c r="O5494" s="14">
        <v>39.0</v>
      </c>
      <c r="P5494" s="23">
        <v>0.3998</v>
      </c>
      <c r="Q5494" s="22" t="str">
        <f>"-1.17%"</f>
        <v>-1.17%</v>
      </c>
      <c r="R5494" s="18" t="str">
        <f>"-28.22%"</f>
        <v>-28.22%</v>
      </c>
      <c r="S5494" s="14" t="s">
        <v>2507</v>
      </c>
    </row>
    <row r="5495">
      <c r="A5495" s="13">
        <v>45901.0</v>
      </c>
      <c r="B5495" s="14" t="s">
        <v>47</v>
      </c>
      <c r="C5495" s="14" t="s">
        <v>48</v>
      </c>
      <c r="D5495" s="14" t="s">
        <v>184</v>
      </c>
      <c r="E5495" s="14" t="s">
        <v>185</v>
      </c>
      <c r="F5495" s="15" t="s">
        <v>51</v>
      </c>
      <c r="G5495" s="14" t="s">
        <v>186</v>
      </c>
      <c r="H5495" s="14" t="s">
        <v>187</v>
      </c>
      <c r="I5495" s="14" t="s">
        <v>59</v>
      </c>
      <c r="J5495" s="14" t="s">
        <v>198</v>
      </c>
      <c r="K5495" s="14" t="s">
        <v>205</v>
      </c>
      <c r="L5495" s="14" t="s">
        <v>274</v>
      </c>
      <c r="M5495" s="14" t="s">
        <v>696</v>
      </c>
      <c r="N5495" s="14" t="s">
        <v>697</v>
      </c>
      <c r="O5495" s="14">
        <v>100.0</v>
      </c>
      <c r="P5495" s="21">
        <v>1.0</v>
      </c>
      <c r="Q5495" s="22" t="str">
        <f t="shared" ref="Q5495:Q5496" si="3289">"+0"</f>
        <v>+0</v>
      </c>
      <c r="S5495" s="14" t="s">
        <v>281</v>
      </c>
    </row>
    <row r="5496">
      <c r="A5496" s="13">
        <v>45901.0</v>
      </c>
      <c r="B5496" s="14" t="s">
        <v>47</v>
      </c>
      <c r="C5496" s="14" t="s">
        <v>48</v>
      </c>
      <c r="D5496" s="14" t="s">
        <v>192</v>
      </c>
      <c r="E5496" s="14" t="s">
        <v>193</v>
      </c>
      <c r="F5496" s="15" t="s">
        <v>51</v>
      </c>
      <c r="G5496" s="14" t="s">
        <v>194</v>
      </c>
      <c r="H5496" s="14" t="s">
        <v>192</v>
      </c>
      <c r="I5496" s="14" t="s">
        <v>54</v>
      </c>
      <c r="J5496" s="14" t="s">
        <v>198</v>
      </c>
      <c r="K5496" s="14" t="s">
        <v>210</v>
      </c>
      <c r="L5496" s="14" t="s">
        <v>458</v>
      </c>
      <c r="M5496" s="14" t="s">
        <v>1230</v>
      </c>
      <c r="N5496" s="14" t="s">
        <v>1231</v>
      </c>
      <c r="O5496" s="14">
        <v>0.0</v>
      </c>
      <c r="P5496" s="21">
        <v>0.0</v>
      </c>
      <c r="Q5496" s="22" t="str">
        <f t="shared" si="3289"/>
        <v>+0</v>
      </c>
      <c r="R5496" s="18" t="str">
        <f>"+0"</f>
        <v>+0</v>
      </c>
      <c r="S5496" s="14" t="s">
        <v>277</v>
      </c>
    </row>
    <row r="5497">
      <c r="A5497" s="13">
        <v>45901.0</v>
      </c>
      <c r="B5497" s="14" t="s">
        <v>47</v>
      </c>
      <c r="C5497" s="14" t="s">
        <v>48</v>
      </c>
      <c r="D5497" s="14" t="s">
        <v>143</v>
      </c>
      <c r="E5497" s="14" t="s">
        <v>144</v>
      </c>
      <c r="F5497" s="15" t="s">
        <v>51</v>
      </c>
      <c r="G5497" s="14" t="s">
        <v>145</v>
      </c>
      <c r="H5497" s="14" t="s">
        <v>143</v>
      </c>
      <c r="I5497" s="14" t="s">
        <v>59</v>
      </c>
      <c r="J5497" s="14" t="s">
        <v>200</v>
      </c>
      <c r="K5497" s="14" t="s">
        <v>224</v>
      </c>
      <c r="L5497" s="14" t="s">
        <v>453</v>
      </c>
      <c r="M5497" s="14" t="s">
        <v>555</v>
      </c>
      <c r="N5497" s="14" t="s">
        <v>556</v>
      </c>
      <c r="O5497" s="14">
        <v>0.0</v>
      </c>
      <c r="P5497" s="23">
        <v>0.0</v>
      </c>
      <c r="Q5497" s="22" t="str">
        <f t="shared" ref="Q5497:Q5498" si="3290">"+0.00%"</f>
        <v>+0.00%</v>
      </c>
      <c r="S5497" s="14" t="s">
        <v>557</v>
      </c>
    </row>
    <row r="5498">
      <c r="A5498" s="13">
        <v>45901.0</v>
      </c>
      <c r="B5498" s="14" t="s">
        <v>47</v>
      </c>
      <c r="C5498" s="14" t="s">
        <v>48</v>
      </c>
      <c r="D5498" s="14" t="s">
        <v>143</v>
      </c>
      <c r="E5498" s="14" t="s">
        <v>144</v>
      </c>
      <c r="F5498" s="15" t="s">
        <v>51</v>
      </c>
      <c r="G5498" s="14" t="s">
        <v>145</v>
      </c>
      <c r="H5498" s="14" t="s">
        <v>143</v>
      </c>
      <c r="I5498" s="14" t="s">
        <v>59</v>
      </c>
      <c r="J5498" s="14" t="s">
        <v>200</v>
      </c>
      <c r="K5498" s="14" t="s">
        <v>219</v>
      </c>
      <c r="L5498" s="14" t="s">
        <v>253</v>
      </c>
      <c r="M5498" s="14" t="s">
        <v>1614</v>
      </c>
      <c r="N5498" s="14" t="s">
        <v>1615</v>
      </c>
      <c r="O5498" s="14">
        <v>100.0</v>
      </c>
      <c r="P5498" s="23">
        <v>1.0</v>
      </c>
      <c r="Q5498" s="22" t="str">
        <f t="shared" si="3290"/>
        <v>+0.00%</v>
      </c>
      <c r="R5498" s="18" t="str">
        <f>"+0.00%"</f>
        <v>+0.00%</v>
      </c>
      <c r="S5498" s="14" t="s">
        <v>285</v>
      </c>
    </row>
    <row r="5499">
      <c r="A5499" s="13">
        <v>45901.0</v>
      </c>
      <c r="B5499" s="14" t="s">
        <v>47</v>
      </c>
      <c r="C5499" s="14" t="s">
        <v>48</v>
      </c>
      <c r="D5499" s="14" t="s">
        <v>149</v>
      </c>
      <c r="E5499" s="14" t="s">
        <v>150</v>
      </c>
      <c r="F5499" s="15" t="s">
        <v>51</v>
      </c>
      <c r="G5499" s="14" t="s">
        <v>151</v>
      </c>
      <c r="H5499" s="14" t="s">
        <v>152</v>
      </c>
      <c r="I5499" s="14" t="s">
        <v>54</v>
      </c>
      <c r="J5499" s="14" t="s">
        <v>198</v>
      </c>
      <c r="K5499" s="14" t="s">
        <v>210</v>
      </c>
      <c r="L5499" s="14" t="s">
        <v>264</v>
      </c>
      <c r="M5499" s="14" t="s">
        <v>524</v>
      </c>
      <c r="N5499" s="14" t="s">
        <v>525</v>
      </c>
      <c r="O5499" s="14">
        <v>0.0</v>
      </c>
      <c r="P5499" s="21">
        <v>32.0</v>
      </c>
      <c r="Q5499" s="22" t="str">
        <f>"-40"</f>
        <v>-40</v>
      </c>
      <c r="R5499" s="18" t="str">
        <f>"+19"</f>
        <v>+19</v>
      </c>
      <c r="S5499" s="14" t="s">
        <v>2508</v>
      </c>
    </row>
    <row r="5500">
      <c r="A5500" s="13">
        <v>45901.0</v>
      </c>
      <c r="B5500" s="14" t="s">
        <v>47</v>
      </c>
      <c r="C5500" s="14" t="s">
        <v>48</v>
      </c>
      <c r="D5500" s="14" t="s">
        <v>136</v>
      </c>
      <c r="E5500" s="14" t="s">
        <v>137</v>
      </c>
      <c r="F5500" s="15" t="s">
        <v>51</v>
      </c>
      <c r="G5500" s="14" t="s">
        <v>138</v>
      </c>
      <c r="H5500" s="14" t="s">
        <v>139</v>
      </c>
      <c r="I5500" s="14" t="s">
        <v>59</v>
      </c>
      <c r="J5500" s="14" t="s">
        <v>199</v>
      </c>
      <c r="K5500" s="14" t="s">
        <v>206</v>
      </c>
      <c r="L5500" s="14" t="s">
        <v>531</v>
      </c>
      <c r="M5500" s="14" t="s">
        <v>531</v>
      </c>
      <c r="N5500" s="14" t="s">
        <v>532</v>
      </c>
      <c r="O5500" s="14">
        <v>0.0</v>
      </c>
      <c r="P5500" s="21">
        <v>0.0</v>
      </c>
      <c r="Q5500" s="22" t="str">
        <f t="shared" ref="Q5500:R5500" si="3291">"+0"</f>
        <v>+0</v>
      </c>
      <c r="R5500" s="18" t="str">
        <f t="shared" si="3291"/>
        <v>+0</v>
      </c>
      <c r="S5500" s="14" t="s">
        <v>260</v>
      </c>
    </row>
    <row r="5501">
      <c r="A5501" s="13">
        <v>45901.0</v>
      </c>
      <c r="B5501" s="14" t="s">
        <v>47</v>
      </c>
      <c r="C5501" s="14" t="s">
        <v>48</v>
      </c>
      <c r="D5501" s="14" t="s">
        <v>136</v>
      </c>
      <c r="E5501" s="14" t="s">
        <v>137</v>
      </c>
      <c r="F5501" s="15" t="s">
        <v>51</v>
      </c>
      <c r="G5501" s="14" t="s">
        <v>138</v>
      </c>
      <c r="H5501" s="14" t="s">
        <v>139</v>
      </c>
      <c r="I5501" s="14" t="s">
        <v>59</v>
      </c>
      <c r="J5501" s="14" t="s">
        <v>200</v>
      </c>
      <c r="K5501" s="14" t="s">
        <v>227</v>
      </c>
      <c r="L5501" s="14" t="s">
        <v>253</v>
      </c>
      <c r="M5501" s="14" t="s">
        <v>811</v>
      </c>
      <c r="N5501" s="14" t="s">
        <v>812</v>
      </c>
      <c r="O5501" s="14">
        <v>100.0</v>
      </c>
      <c r="P5501" s="23">
        <v>1.0</v>
      </c>
      <c r="Q5501" s="22" t="str">
        <f t="shared" ref="Q5501:R5501" si="3292">"+0.00%"</f>
        <v>+0.00%</v>
      </c>
      <c r="R5501" s="18" t="str">
        <f t="shared" si="3292"/>
        <v>+0.00%</v>
      </c>
      <c r="S5501" s="14" t="s">
        <v>813</v>
      </c>
    </row>
    <row r="5502">
      <c r="A5502" s="13">
        <v>45901.0</v>
      </c>
      <c r="B5502" s="14" t="s">
        <v>47</v>
      </c>
      <c r="C5502" s="14" t="s">
        <v>48</v>
      </c>
      <c r="D5502" s="14" t="s">
        <v>171</v>
      </c>
      <c r="E5502" s="14" t="s">
        <v>172</v>
      </c>
      <c r="F5502" s="15" t="s">
        <v>51</v>
      </c>
      <c r="G5502" s="14" t="s">
        <v>173</v>
      </c>
      <c r="H5502" s="14" t="s">
        <v>171</v>
      </c>
      <c r="I5502" s="14" t="s">
        <v>59</v>
      </c>
      <c r="J5502" s="14" t="s">
        <v>200</v>
      </c>
      <c r="K5502" s="14" t="s">
        <v>213</v>
      </c>
      <c r="L5502" s="14" t="s">
        <v>307</v>
      </c>
      <c r="M5502" s="14" t="s">
        <v>533</v>
      </c>
      <c r="N5502" s="14" t="s">
        <v>534</v>
      </c>
      <c r="O5502" s="14">
        <v>0.0</v>
      </c>
      <c r="P5502" s="23">
        <v>0.0</v>
      </c>
      <c r="Q5502" s="22" t="str">
        <f t="shared" ref="Q5502:R5502" si="3293">"+0.00%"</f>
        <v>+0.00%</v>
      </c>
      <c r="R5502" s="18" t="str">
        <f t="shared" si="3293"/>
        <v>+0.00%</v>
      </c>
      <c r="S5502" s="14" t="s">
        <v>1310</v>
      </c>
    </row>
    <row r="5503">
      <c r="A5503" s="13">
        <v>45901.0</v>
      </c>
      <c r="B5503" s="14" t="s">
        <v>47</v>
      </c>
      <c r="C5503" s="14" t="s">
        <v>48</v>
      </c>
      <c r="D5503" s="14" t="s">
        <v>149</v>
      </c>
      <c r="E5503" s="14" t="s">
        <v>150</v>
      </c>
      <c r="F5503" s="15" t="s">
        <v>51</v>
      </c>
      <c r="G5503" s="14" t="s">
        <v>151</v>
      </c>
      <c r="H5503" s="14" t="s">
        <v>152</v>
      </c>
      <c r="I5503" s="14" t="s">
        <v>54</v>
      </c>
      <c r="J5503" s="14" t="s">
        <v>198</v>
      </c>
      <c r="K5503" s="14" t="s">
        <v>210</v>
      </c>
      <c r="L5503" s="14" t="s">
        <v>264</v>
      </c>
      <c r="M5503" s="14" t="s">
        <v>694</v>
      </c>
      <c r="N5503" s="14" t="s">
        <v>695</v>
      </c>
      <c r="O5503" s="14">
        <v>0.0</v>
      </c>
      <c r="P5503" s="21">
        <v>0.0</v>
      </c>
      <c r="Q5503" s="22" t="str">
        <f t="shared" ref="Q5503:R5503" si="3294">"+0"</f>
        <v>+0</v>
      </c>
      <c r="R5503" s="18" t="str">
        <f t="shared" si="3294"/>
        <v>+0</v>
      </c>
      <c r="S5503" s="14" t="s">
        <v>277</v>
      </c>
    </row>
    <row r="5504">
      <c r="A5504" s="13">
        <v>45901.0</v>
      </c>
      <c r="B5504" s="14" t="s">
        <v>47</v>
      </c>
      <c r="C5504" s="14" t="s">
        <v>48</v>
      </c>
      <c r="D5504" s="14" t="s">
        <v>96</v>
      </c>
      <c r="E5504" s="14" t="s">
        <v>97</v>
      </c>
      <c r="F5504" s="15" t="s">
        <v>51</v>
      </c>
      <c r="G5504" s="14" t="s">
        <v>98</v>
      </c>
      <c r="H5504" s="14" t="s">
        <v>96</v>
      </c>
      <c r="I5504" s="14" t="s">
        <v>59</v>
      </c>
      <c r="J5504" s="14" t="s">
        <v>198</v>
      </c>
      <c r="K5504" s="14" t="s">
        <v>210</v>
      </c>
      <c r="L5504" s="14" t="s">
        <v>458</v>
      </c>
      <c r="M5504" s="14" t="s">
        <v>459</v>
      </c>
      <c r="N5504" s="14" t="s">
        <v>460</v>
      </c>
      <c r="O5504" s="14">
        <v>100.0</v>
      </c>
      <c r="P5504" s="21">
        <v>0.0</v>
      </c>
      <c r="Q5504" s="22" t="str">
        <f t="shared" ref="Q5504:R5504" si="3295">"+0"</f>
        <v>+0</v>
      </c>
      <c r="R5504" s="18" t="str">
        <f t="shared" si="3295"/>
        <v>+0</v>
      </c>
      <c r="S5504" s="14" t="s">
        <v>281</v>
      </c>
    </row>
    <row r="5505">
      <c r="A5505" s="13">
        <v>45901.0</v>
      </c>
      <c r="B5505" s="14" t="s">
        <v>47</v>
      </c>
      <c r="C5505" s="14" t="s">
        <v>48</v>
      </c>
      <c r="D5505" s="14" t="s">
        <v>195</v>
      </c>
      <c r="E5505" s="14" t="s">
        <v>196</v>
      </c>
      <c r="F5505" s="14" t="s">
        <v>111</v>
      </c>
      <c r="G5505" s="14">
        <v>5252823.0</v>
      </c>
      <c r="H5505" s="14" t="s">
        <v>197</v>
      </c>
      <c r="I5505" s="14" t="s">
        <v>59</v>
      </c>
      <c r="J5505" s="14" t="s">
        <v>200</v>
      </c>
      <c r="K5505" s="14" t="s">
        <v>221</v>
      </c>
      <c r="L5505" s="14" t="s">
        <v>253</v>
      </c>
      <c r="M5505" s="14" t="s">
        <v>1768</v>
      </c>
      <c r="N5505" s="14" t="s">
        <v>1769</v>
      </c>
      <c r="O5505" s="14">
        <v>88.0</v>
      </c>
      <c r="P5505" s="23">
        <v>0.882</v>
      </c>
      <c r="Q5505" s="22" t="str">
        <f>"+0.00%"</f>
        <v>+0.00%</v>
      </c>
      <c r="R5505" s="18" t="str">
        <f>"-1.68%"</f>
        <v>-1.68%</v>
      </c>
      <c r="S5505" s="14" t="s">
        <v>2509</v>
      </c>
    </row>
    <row r="5506">
      <c r="A5506" s="13">
        <v>45901.0</v>
      </c>
      <c r="B5506" s="14" t="s">
        <v>47</v>
      </c>
      <c r="C5506" s="14" t="s">
        <v>48</v>
      </c>
      <c r="D5506" s="14" t="s">
        <v>69</v>
      </c>
      <c r="E5506" s="14" t="s">
        <v>70</v>
      </c>
      <c r="F5506" s="14" t="s">
        <v>71</v>
      </c>
      <c r="G5506" s="14">
        <v>1.00002092E8</v>
      </c>
      <c r="H5506" s="14" t="s">
        <v>72</v>
      </c>
      <c r="I5506" s="14" t="s">
        <v>54</v>
      </c>
      <c r="J5506" s="14" t="s">
        <v>199</v>
      </c>
      <c r="K5506" s="14" t="s">
        <v>206</v>
      </c>
      <c r="L5506" s="14" t="s">
        <v>295</v>
      </c>
      <c r="M5506" s="14" t="s">
        <v>529</v>
      </c>
      <c r="N5506" s="14" t="s">
        <v>530</v>
      </c>
      <c r="O5506" s="14">
        <v>100.0</v>
      </c>
      <c r="P5506" s="21">
        <v>20.0</v>
      </c>
      <c r="Q5506" s="22" t="str">
        <f t="shared" ref="Q5506:R5506" si="3296">"+0"</f>
        <v>+0</v>
      </c>
      <c r="R5506" s="18" t="str">
        <f t="shared" si="3296"/>
        <v>+0</v>
      </c>
      <c r="S5506" s="14" t="s">
        <v>260</v>
      </c>
    </row>
    <row r="5507">
      <c r="A5507" s="13">
        <v>45901.0</v>
      </c>
      <c r="B5507" s="14" t="s">
        <v>47</v>
      </c>
      <c r="C5507" s="14" t="s">
        <v>48</v>
      </c>
      <c r="D5507" s="14" t="s">
        <v>96</v>
      </c>
      <c r="E5507" s="14" t="s">
        <v>97</v>
      </c>
      <c r="F5507" s="15" t="s">
        <v>51</v>
      </c>
      <c r="G5507" s="14" t="s">
        <v>98</v>
      </c>
      <c r="H5507" s="14" t="s">
        <v>96</v>
      </c>
      <c r="I5507" s="14" t="s">
        <v>59</v>
      </c>
      <c r="J5507" s="14" t="s">
        <v>200</v>
      </c>
      <c r="K5507" s="14" t="s">
        <v>223</v>
      </c>
      <c r="L5507" s="14" t="s">
        <v>307</v>
      </c>
      <c r="M5507" s="14" t="s">
        <v>533</v>
      </c>
      <c r="N5507" s="14" t="s">
        <v>534</v>
      </c>
      <c r="O5507" s="14">
        <v>0.0</v>
      </c>
      <c r="P5507" s="23">
        <v>0.0</v>
      </c>
      <c r="Q5507" s="22" t="str">
        <f t="shared" ref="Q5507:R5507" si="3297">"+0.00%"</f>
        <v>+0.00%</v>
      </c>
      <c r="R5507" s="18" t="str">
        <f t="shared" si="3297"/>
        <v>+0.00%</v>
      </c>
      <c r="S5507" s="14" t="s">
        <v>2510</v>
      </c>
    </row>
    <row r="5508">
      <c r="A5508" s="13">
        <v>45901.0</v>
      </c>
      <c r="B5508" s="14" t="s">
        <v>47</v>
      </c>
      <c r="C5508" s="14" t="s">
        <v>48</v>
      </c>
      <c r="D5508" s="14" t="s">
        <v>116</v>
      </c>
      <c r="E5508" s="14" t="s">
        <v>117</v>
      </c>
      <c r="F5508" s="15" t="s">
        <v>51</v>
      </c>
      <c r="G5508" s="14" t="s">
        <v>161</v>
      </c>
      <c r="H5508" s="14" t="s">
        <v>116</v>
      </c>
      <c r="I5508" s="14" t="s">
        <v>54</v>
      </c>
      <c r="J5508" s="14" t="s">
        <v>198</v>
      </c>
      <c r="K5508" s="14" t="s">
        <v>210</v>
      </c>
      <c r="L5508" s="14" t="s">
        <v>264</v>
      </c>
      <c r="M5508" s="14" t="s">
        <v>1214</v>
      </c>
      <c r="N5508" s="14" t="s">
        <v>1215</v>
      </c>
      <c r="O5508" s="14">
        <v>0.0</v>
      </c>
      <c r="P5508" s="21">
        <v>0.0</v>
      </c>
      <c r="Q5508" s="22" t="str">
        <f t="shared" ref="Q5508:R5508" si="3298">"+0"</f>
        <v>+0</v>
      </c>
      <c r="R5508" s="18" t="str">
        <f t="shared" si="3298"/>
        <v>+0</v>
      </c>
      <c r="S5508" s="14" t="s">
        <v>277</v>
      </c>
    </row>
    <row r="5509">
      <c r="A5509" s="13">
        <v>45901.0</v>
      </c>
      <c r="B5509" s="14" t="s">
        <v>47</v>
      </c>
      <c r="C5509" s="14" t="s">
        <v>48</v>
      </c>
      <c r="D5509" s="14" t="s">
        <v>108</v>
      </c>
      <c r="E5509" s="14" t="s">
        <v>109</v>
      </c>
      <c r="F5509" s="15" t="s">
        <v>51</v>
      </c>
      <c r="G5509" s="14" t="s">
        <v>110</v>
      </c>
      <c r="H5509" s="14" t="s">
        <v>108</v>
      </c>
      <c r="I5509" s="14" t="s">
        <v>59</v>
      </c>
      <c r="J5509" s="14" t="s">
        <v>198</v>
      </c>
      <c r="K5509" s="14" t="s">
        <v>205</v>
      </c>
      <c r="L5509" s="14" t="s">
        <v>274</v>
      </c>
      <c r="M5509" s="14" t="s">
        <v>275</v>
      </c>
      <c r="N5509" s="14" t="s">
        <v>276</v>
      </c>
      <c r="O5509" s="14">
        <v>0.0</v>
      </c>
      <c r="P5509" s="21">
        <v>1.0</v>
      </c>
      <c r="Q5509" s="22" t="str">
        <f t="shared" ref="Q5509:Q5510" si="3299">"+0"</f>
        <v>+0</v>
      </c>
      <c r="S5509" s="14" t="s">
        <v>277</v>
      </c>
    </row>
    <row r="5510">
      <c r="A5510" s="13">
        <v>45901.0</v>
      </c>
      <c r="B5510" s="14" t="s">
        <v>47</v>
      </c>
      <c r="C5510" s="14" t="s">
        <v>48</v>
      </c>
      <c r="D5510" s="14" t="s">
        <v>158</v>
      </c>
      <c r="E5510" s="14" t="s">
        <v>159</v>
      </c>
      <c r="F5510" s="15" t="s">
        <v>51</v>
      </c>
      <c r="G5510" s="14" t="s">
        <v>160</v>
      </c>
      <c r="H5510" s="14" t="s">
        <v>158</v>
      </c>
      <c r="I5510" s="14" t="s">
        <v>54</v>
      </c>
      <c r="J5510" s="14" t="s">
        <v>198</v>
      </c>
      <c r="K5510" s="14" t="s">
        <v>212</v>
      </c>
      <c r="L5510" s="14" t="s">
        <v>249</v>
      </c>
      <c r="M5510" s="14" t="s">
        <v>1346</v>
      </c>
      <c r="N5510" s="14" t="s">
        <v>1347</v>
      </c>
      <c r="O5510" s="14">
        <v>0.0</v>
      </c>
      <c r="P5510" s="21">
        <v>0.0</v>
      </c>
      <c r="Q5510" s="22" t="str">
        <f t="shared" si="3299"/>
        <v>+0</v>
      </c>
      <c r="R5510" s="18" t="str">
        <f>"+0"</f>
        <v>+0</v>
      </c>
      <c r="S5510" s="14" t="s">
        <v>277</v>
      </c>
    </row>
    <row r="5511">
      <c r="A5511" s="13">
        <v>45901.0</v>
      </c>
      <c r="B5511" s="14" t="s">
        <v>47</v>
      </c>
      <c r="C5511" s="14" t="s">
        <v>48</v>
      </c>
      <c r="D5511" s="14" t="s">
        <v>56</v>
      </c>
      <c r="E5511" s="14" t="s">
        <v>57</v>
      </c>
      <c r="F5511" s="15" t="s">
        <v>51</v>
      </c>
      <c r="G5511" s="14" t="s">
        <v>58</v>
      </c>
      <c r="H5511" s="14" t="s">
        <v>56</v>
      </c>
      <c r="I5511" s="14" t="s">
        <v>59</v>
      </c>
      <c r="J5511" s="14" t="s">
        <v>200</v>
      </c>
      <c r="K5511" s="14" t="s">
        <v>223</v>
      </c>
      <c r="L5511" s="14" t="s">
        <v>487</v>
      </c>
      <c r="M5511" s="14" t="s">
        <v>788</v>
      </c>
      <c r="N5511" s="14" t="s">
        <v>789</v>
      </c>
      <c r="O5511" s="14">
        <v>100.0</v>
      </c>
      <c r="P5511" s="23">
        <v>0.08</v>
      </c>
      <c r="Q5511" s="22" t="str">
        <f>"-17.00%"</f>
        <v>-17.00%</v>
      </c>
      <c r="R5511" s="18" t="str">
        <f>"-8.67%"</f>
        <v>-8.67%</v>
      </c>
      <c r="S5511" s="14" t="s">
        <v>285</v>
      </c>
    </row>
    <row r="5512">
      <c r="A5512" s="13">
        <v>45901.0</v>
      </c>
      <c r="B5512" s="14" t="s">
        <v>47</v>
      </c>
      <c r="C5512" s="14" t="s">
        <v>48</v>
      </c>
      <c r="D5512" s="14" t="s">
        <v>56</v>
      </c>
      <c r="E5512" s="14" t="s">
        <v>57</v>
      </c>
      <c r="F5512" s="14" t="s">
        <v>71</v>
      </c>
      <c r="G5512" s="14">
        <v>5.36003976E8</v>
      </c>
      <c r="H5512" s="14" t="s">
        <v>56</v>
      </c>
      <c r="I5512" s="14" t="s">
        <v>59</v>
      </c>
      <c r="J5512" s="14" t="s">
        <v>199</v>
      </c>
      <c r="K5512" s="14" t="s">
        <v>203</v>
      </c>
      <c r="L5512" s="14" t="s">
        <v>340</v>
      </c>
      <c r="M5512" s="14" t="s">
        <v>340</v>
      </c>
      <c r="N5512" s="14" t="s">
        <v>341</v>
      </c>
      <c r="O5512" s="14">
        <v>0.0</v>
      </c>
      <c r="P5512" s="21">
        <v>0.0</v>
      </c>
      <c r="Q5512" s="22" t="str">
        <f t="shared" ref="Q5512:R5512" si="3300">"+0"</f>
        <v>+0</v>
      </c>
      <c r="R5512" s="18" t="str">
        <f t="shared" si="3300"/>
        <v>+0</v>
      </c>
      <c r="S5512" s="14" t="s">
        <v>260</v>
      </c>
    </row>
    <row r="5513">
      <c r="A5513" s="13">
        <v>45901.0</v>
      </c>
      <c r="B5513" s="14" t="s">
        <v>47</v>
      </c>
      <c r="C5513" s="14" t="s">
        <v>48</v>
      </c>
      <c r="D5513" s="14" t="s">
        <v>56</v>
      </c>
      <c r="E5513" s="14" t="s">
        <v>57</v>
      </c>
      <c r="F5513" s="15" t="s">
        <v>51</v>
      </c>
      <c r="G5513" s="14" t="s">
        <v>58</v>
      </c>
      <c r="H5513" s="14" t="s">
        <v>56</v>
      </c>
      <c r="I5513" s="14" t="s">
        <v>59</v>
      </c>
      <c r="J5513" s="14" t="s">
        <v>200</v>
      </c>
      <c r="K5513" s="14" t="s">
        <v>223</v>
      </c>
      <c r="L5513" s="14" t="s">
        <v>286</v>
      </c>
      <c r="M5513" s="14" t="s">
        <v>625</v>
      </c>
      <c r="N5513" s="14" t="s">
        <v>626</v>
      </c>
      <c r="O5513" s="14">
        <v>72.0</v>
      </c>
      <c r="P5513" s="23">
        <v>0.72</v>
      </c>
      <c r="Q5513" s="22" t="str">
        <f>"+17.00%"</f>
        <v>+17.00%</v>
      </c>
      <c r="R5513" s="18" t="str">
        <f>"+17.83%"</f>
        <v>+17.83%</v>
      </c>
      <c r="S5513" s="14" t="s">
        <v>2511</v>
      </c>
    </row>
    <row r="5514">
      <c r="A5514" s="13">
        <v>45901.0</v>
      </c>
      <c r="B5514" s="14" t="s">
        <v>47</v>
      </c>
      <c r="C5514" s="14" t="s">
        <v>48</v>
      </c>
      <c r="D5514" s="14" t="s">
        <v>165</v>
      </c>
      <c r="E5514" s="14" t="s">
        <v>166</v>
      </c>
      <c r="F5514" s="14" t="s">
        <v>111</v>
      </c>
      <c r="G5514" s="14">
        <v>7116371.0</v>
      </c>
      <c r="H5514" s="14" t="s">
        <v>165</v>
      </c>
      <c r="I5514" s="14" t="s">
        <v>59</v>
      </c>
      <c r="J5514" s="14" t="s">
        <v>199</v>
      </c>
      <c r="K5514" s="14" t="s">
        <v>206</v>
      </c>
      <c r="L5514" s="14" t="s">
        <v>295</v>
      </c>
      <c r="M5514" s="14" t="s">
        <v>651</v>
      </c>
      <c r="N5514" s="14" t="s">
        <v>652</v>
      </c>
      <c r="O5514" s="14">
        <v>0.0</v>
      </c>
      <c r="P5514" s="21">
        <v>0.0</v>
      </c>
      <c r="Q5514" s="22" t="str">
        <f t="shared" ref="Q5514:R5514" si="3301">"+0"</f>
        <v>+0</v>
      </c>
      <c r="R5514" s="18" t="str">
        <f t="shared" si="3301"/>
        <v>+0</v>
      </c>
      <c r="S5514" s="14" t="s">
        <v>260</v>
      </c>
    </row>
    <row r="5515">
      <c r="A5515" s="13">
        <v>45901.0</v>
      </c>
      <c r="B5515" s="14" t="s">
        <v>47</v>
      </c>
      <c r="C5515" s="14" t="s">
        <v>48</v>
      </c>
      <c r="D5515" s="14" t="s">
        <v>165</v>
      </c>
      <c r="E5515" s="14" t="s">
        <v>166</v>
      </c>
      <c r="F5515" s="15" t="s">
        <v>51</v>
      </c>
      <c r="G5515" s="14" t="s">
        <v>167</v>
      </c>
      <c r="H5515" s="14" t="s">
        <v>165</v>
      </c>
      <c r="I5515" s="14" t="s">
        <v>54</v>
      </c>
      <c r="J5515" s="14" t="s">
        <v>198</v>
      </c>
      <c r="K5515" s="14" t="s">
        <v>210</v>
      </c>
      <c r="L5515" s="14" t="s">
        <v>264</v>
      </c>
      <c r="M5515" s="14" t="s">
        <v>527</v>
      </c>
      <c r="N5515" s="14" t="s">
        <v>528</v>
      </c>
      <c r="O5515" s="14">
        <v>0.0</v>
      </c>
      <c r="P5515" s="21">
        <v>0.0</v>
      </c>
      <c r="Q5515" s="22" t="str">
        <f>"-3"</f>
        <v>-3</v>
      </c>
      <c r="R5515" s="18" t="str">
        <f>"+0"</f>
        <v>+0</v>
      </c>
      <c r="S5515" s="14" t="s">
        <v>277</v>
      </c>
    </row>
    <row r="5516">
      <c r="A5516" s="13">
        <v>45901.0</v>
      </c>
      <c r="B5516" s="14" t="s">
        <v>47</v>
      </c>
      <c r="C5516" s="14" t="s">
        <v>48</v>
      </c>
      <c r="D5516" s="14" t="s">
        <v>165</v>
      </c>
      <c r="E5516" s="14" t="s">
        <v>166</v>
      </c>
      <c r="F5516" s="15" t="s">
        <v>51</v>
      </c>
      <c r="G5516" s="14" t="s">
        <v>167</v>
      </c>
      <c r="H5516" s="14" t="s">
        <v>165</v>
      </c>
      <c r="I5516" s="14" t="s">
        <v>54</v>
      </c>
      <c r="J5516" s="14" t="s">
        <v>198</v>
      </c>
      <c r="K5516" s="14" t="s">
        <v>210</v>
      </c>
      <c r="L5516" s="14" t="s">
        <v>264</v>
      </c>
      <c r="M5516" s="14" t="s">
        <v>1802</v>
      </c>
      <c r="N5516" s="14" t="s">
        <v>1803</v>
      </c>
      <c r="O5516" s="14">
        <v>0.0</v>
      </c>
      <c r="P5516" s="21">
        <v>0.0</v>
      </c>
      <c r="Q5516" s="22" t="str">
        <f t="shared" ref="Q5516:R5516" si="3302">"+0"</f>
        <v>+0</v>
      </c>
      <c r="R5516" s="18" t="str">
        <f t="shared" si="3302"/>
        <v>+0</v>
      </c>
      <c r="S5516" s="14" t="s">
        <v>277</v>
      </c>
    </row>
    <row r="5517">
      <c r="A5517" s="13">
        <v>45901.0</v>
      </c>
      <c r="B5517" s="14" t="s">
        <v>47</v>
      </c>
      <c r="C5517" s="14" t="s">
        <v>48</v>
      </c>
      <c r="D5517" s="14" t="s">
        <v>99</v>
      </c>
      <c r="E5517" s="14" t="s">
        <v>100</v>
      </c>
      <c r="F5517" s="15" t="s">
        <v>51</v>
      </c>
      <c r="G5517" s="14" t="s">
        <v>101</v>
      </c>
      <c r="H5517" s="14" t="s">
        <v>102</v>
      </c>
      <c r="I5517" s="14" t="s">
        <v>54</v>
      </c>
      <c r="J5517" s="14" t="s">
        <v>198</v>
      </c>
      <c r="K5517" s="14" t="s">
        <v>205</v>
      </c>
      <c r="L5517" s="14" t="s">
        <v>274</v>
      </c>
      <c r="M5517" s="14" t="s">
        <v>354</v>
      </c>
      <c r="N5517" s="14" t="s">
        <v>355</v>
      </c>
      <c r="O5517" s="14">
        <v>28.0</v>
      </c>
      <c r="P5517" s="21">
        <v>10.0</v>
      </c>
      <c r="Q5517" s="22" t="str">
        <f t="shared" ref="Q5517:Q5518" si="3303">"+0"</f>
        <v>+0</v>
      </c>
      <c r="S5517" s="14" t="s">
        <v>356</v>
      </c>
    </row>
    <row r="5518">
      <c r="A5518" s="13">
        <v>45901.0</v>
      </c>
      <c r="B5518" s="14" t="s">
        <v>47</v>
      </c>
      <c r="C5518" s="14" t="s">
        <v>48</v>
      </c>
      <c r="D5518" s="14" t="s">
        <v>118</v>
      </c>
      <c r="E5518" s="14" t="s">
        <v>119</v>
      </c>
      <c r="F5518" s="15" t="s">
        <v>51</v>
      </c>
      <c r="G5518" s="14" t="s">
        <v>120</v>
      </c>
      <c r="H5518" s="14" t="s">
        <v>118</v>
      </c>
      <c r="I5518" s="14" t="s">
        <v>59</v>
      </c>
      <c r="J5518" s="14" t="s">
        <v>199</v>
      </c>
      <c r="K5518" s="14" t="s">
        <v>203</v>
      </c>
      <c r="L5518" s="14" t="s">
        <v>342</v>
      </c>
      <c r="M5518" s="14" t="s">
        <v>342</v>
      </c>
      <c r="N5518" s="14" t="s">
        <v>343</v>
      </c>
      <c r="O5518" s="14">
        <v>0.0</v>
      </c>
      <c r="P5518" s="21">
        <v>0.0</v>
      </c>
      <c r="Q5518" s="22" t="str">
        <f t="shared" si="3303"/>
        <v>+0</v>
      </c>
      <c r="R5518" s="18" t="str">
        <f>"+0"</f>
        <v>+0</v>
      </c>
      <c r="S5518" s="14" t="s">
        <v>260</v>
      </c>
    </row>
    <row r="5519">
      <c r="A5519" s="13">
        <v>45901.0</v>
      </c>
      <c r="B5519" s="14" t="s">
        <v>47</v>
      </c>
      <c r="C5519" s="14" t="s">
        <v>48</v>
      </c>
      <c r="D5519" s="14" t="s">
        <v>91</v>
      </c>
      <c r="E5519" s="14" t="s">
        <v>92</v>
      </c>
      <c r="F5519" s="14" t="s">
        <v>71</v>
      </c>
      <c r="G5519" s="14">
        <v>5.00008613E8</v>
      </c>
      <c r="H5519" s="14" t="s">
        <v>91</v>
      </c>
      <c r="I5519" s="14" t="s">
        <v>59</v>
      </c>
      <c r="J5519" s="14" t="s">
        <v>200</v>
      </c>
      <c r="K5519" s="14" t="s">
        <v>220</v>
      </c>
      <c r="L5519" s="14" t="s">
        <v>253</v>
      </c>
      <c r="M5519" s="14" t="s">
        <v>1317</v>
      </c>
      <c r="N5519" s="14" t="s">
        <v>1318</v>
      </c>
      <c r="O5519" s="14">
        <v>1.0</v>
      </c>
      <c r="P5519" s="23">
        <v>0.0024</v>
      </c>
      <c r="Q5519" s="22" t="str">
        <f>"+0.13%"</f>
        <v>+0.13%</v>
      </c>
      <c r="R5519" s="18" t="str">
        <f>"-0.34%"</f>
        <v>-0.34%</v>
      </c>
      <c r="S5519" s="14" t="s">
        <v>1429</v>
      </c>
    </row>
    <row r="5520">
      <c r="A5520" s="13">
        <v>45901.0</v>
      </c>
      <c r="B5520" s="14" t="s">
        <v>47</v>
      </c>
      <c r="C5520" s="14" t="s">
        <v>48</v>
      </c>
      <c r="D5520" s="14" t="s">
        <v>177</v>
      </c>
      <c r="E5520" s="14" t="s">
        <v>178</v>
      </c>
      <c r="F5520" s="14" t="s">
        <v>146</v>
      </c>
      <c r="G5520" s="14" t="s">
        <v>179</v>
      </c>
      <c r="H5520" s="14" t="s">
        <v>177</v>
      </c>
      <c r="I5520" s="14" t="s">
        <v>107</v>
      </c>
      <c r="J5520" s="14" t="s">
        <v>199</v>
      </c>
      <c r="K5520" s="14" t="s">
        <v>206</v>
      </c>
      <c r="L5520" s="14" t="s">
        <v>433</v>
      </c>
      <c r="M5520" s="14" t="s">
        <v>433</v>
      </c>
      <c r="N5520" s="14" t="s">
        <v>434</v>
      </c>
      <c r="O5520" s="14">
        <v>0.0</v>
      </c>
      <c r="P5520" s="21">
        <v>0.0</v>
      </c>
      <c r="Q5520" s="22" t="str">
        <f t="shared" ref="Q5520:R5520" si="3304">"+0"</f>
        <v>+0</v>
      </c>
      <c r="R5520" s="18" t="str">
        <f t="shared" si="3304"/>
        <v>+0</v>
      </c>
      <c r="S5520" s="14" t="s">
        <v>383</v>
      </c>
    </row>
    <row r="5521">
      <c r="A5521" s="13">
        <v>45901.0</v>
      </c>
      <c r="B5521" s="14" t="s">
        <v>47</v>
      </c>
      <c r="C5521" s="14" t="s">
        <v>48</v>
      </c>
      <c r="D5521" s="14" t="s">
        <v>91</v>
      </c>
      <c r="E5521" s="14" t="s">
        <v>92</v>
      </c>
      <c r="F5521" s="15" t="s">
        <v>51</v>
      </c>
      <c r="G5521" s="14" t="s">
        <v>163</v>
      </c>
      <c r="H5521" s="14" t="s">
        <v>91</v>
      </c>
      <c r="I5521" s="14" t="s">
        <v>59</v>
      </c>
      <c r="J5521" s="14" t="s">
        <v>200</v>
      </c>
      <c r="K5521" s="14" t="s">
        <v>223</v>
      </c>
      <c r="L5521" s="14" t="s">
        <v>304</v>
      </c>
      <c r="M5521" s="14" t="s">
        <v>702</v>
      </c>
      <c r="N5521" s="14" t="s">
        <v>703</v>
      </c>
      <c r="O5521" s="14">
        <v>0.0</v>
      </c>
      <c r="P5521" s="23">
        <v>0.0</v>
      </c>
      <c r="Q5521" s="22" t="str">
        <f t="shared" ref="Q5521:R5521" si="3305">"+0.00%"</f>
        <v>+0.00%</v>
      </c>
      <c r="R5521" s="18" t="str">
        <f t="shared" si="3305"/>
        <v>+0.00%</v>
      </c>
      <c r="S5521" s="14" t="s">
        <v>285</v>
      </c>
    </row>
    <row r="5522">
      <c r="A5522" s="13">
        <v>45901.0</v>
      </c>
      <c r="B5522" s="14" t="s">
        <v>47</v>
      </c>
      <c r="C5522" s="14" t="s">
        <v>48</v>
      </c>
      <c r="D5522" s="14" t="s">
        <v>82</v>
      </c>
      <c r="E5522" s="14" t="s">
        <v>83</v>
      </c>
      <c r="F5522" s="15" t="s">
        <v>51</v>
      </c>
      <c r="G5522" s="14" t="s">
        <v>84</v>
      </c>
      <c r="H5522" s="14" t="s">
        <v>82</v>
      </c>
      <c r="I5522" s="14" t="s">
        <v>59</v>
      </c>
      <c r="J5522" s="14" t="s">
        <v>200</v>
      </c>
      <c r="K5522" s="14" t="s">
        <v>227</v>
      </c>
      <c r="L5522" s="14" t="s">
        <v>253</v>
      </c>
      <c r="M5522" s="14" t="s">
        <v>849</v>
      </c>
      <c r="N5522" s="14" t="s">
        <v>850</v>
      </c>
      <c r="O5522" s="14">
        <v>0.0</v>
      </c>
      <c r="P5522" s="23">
        <v>0.0</v>
      </c>
      <c r="Q5522" s="22" t="str">
        <f t="shared" ref="Q5522:R5522" si="3306">"+0.00%"</f>
        <v>+0.00%</v>
      </c>
      <c r="R5522" s="18" t="str">
        <f t="shared" si="3306"/>
        <v>+0.00%</v>
      </c>
      <c r="S5522" s="14" t="s">
        <v>2512</v>
      </c>
    </row>
    <row r="5523">
      <c r="A5523" s="13">
        <v>45901.0</v>
      </c>
      <c r="B5523" s="14" t="s">
        <v>47</v>
      </c>
      <c r="C5523" s="14" t="s">
        <v>48</v>
      </c>
      <c r="D5523" s="14" t="s">
        <v>82</v>
      </c>
      <c r="E5523" s="14" t="s">
        <v>83</v>
      </c>
      <c r="F5523" s="15" t="s">
        <v>51</v>
      </c>
      <c r="G5523" s="14" t="s">
        <v>84</v>
      </c>
      <c r="H5523" s="14" t="s">
        <v>82</v>
      </c>
      <c r="I5523" s="14" t="s">
        <v>59</v>
      </c>
      <c r="J5523" s="14" t="s">
        <v>198</v>
      </c>
      <c r="K5523" s="14" t="s">
        <v>205</v>
      </c>
      <c r="L5523" s="14" t="s">
        <v>274</v>
      </c>
      <c r="M5523" s="14" t="s">
        <v>387</v>
      </c>
      <c r="N5523" s="14" t="s">
        <v>388</v>
      </c>
      <c r="O5523" s="14">
        <v>0.0</v>
      </c>
      <c r="P5523" s="21">
        <v>0.0</v>
      </c>
      <c r="Q5523" s="22" t="str">
        <f t="shared" ref="Q5523:Q5524" si="3307">"+0"</f>
        <v>+0</v>
      </c>
      <c r="S5523" s="14" t="s">
        <v>281</v>
      </c>
    </row>
    <row r="5524">
      <c r="A5524" s="13">
        <v>45901.0</v>
      </c>
      <c r="B5524" s="14" t="s">
        <v>47</v>
      </c>
      <c r="C5524" s="14" t="s">
        <v>48</v>
      </c>
      <c r="D5524" s="14" t="s">
        <v>184</v>
      </c>
      <c r="E5524" s="14" t="s">
        <v>185</v>
      </c>
      <c r="F5524" s="15" t="s">
        <v>51</v>
      </c>
      <c r="G5524" s="14" t="s">
        <v>186</v>
      </c>
      <c r="H5524" s="14" t="s">
        <v>187</v>
      </c>
      <c r="I5524" s="14" t="s">
        <v>59</v>
      </c>
      <c r="J5524" s="14" t="s">
        <v>198</v>
      </c>
      <c r="K5524" s="14" t="s">
        <v>205</v>
      </c>
      <c r="L5524" s="14" t="s">
        <v>274</v>
      </c>
      <c r="M5524" s="14" t="s">
        <v>482</v>
      </c>
      <c r="N5524" s="14" t="s">
        <v>483</v>
      </c>
      <c r="O5524" s="14">
        <v>100.0</v>
      </c>
      <c r="P5524" s="21">
        <v>14.0</v>
      </c>
      <c r="Q5524" s="22" t="str">
        <f t="shared" si="3307"/>
        <v>+0</v>
      </c>
      <c r="S5524" s="14" t="s">
        <v>484</v>
      </c>
    </row>
    <row r="5525">
      <c r="A5525" s="13">
        <v>45901.0</v>
      </c>
      <c r="B5525" s="14" t="s">
        <v>47</v>
      </c>
      <c r="C5525" s="14" t="s">
        <v>48</v>
      </c>
      <c r="D5525" s="14" t="s">
        <v>103</v>
      </c>
      <c r="E5525" s="14" t="s">
        <v>104</v>
      </c>
      <c r="F5525" s="15" t="s">
        <v>51</v>
      </c>
      <c r="G5525" s="14" t="s">
        <v>105</v>
      </c>
      <c r="H5525" s="14" t="s">
        <v>106</v>
      </c>
      <c r="I5525" s="14" t="s">
        <v>59</v>
      </c>
      <c r="J5525" s="14" t="s">
        <v>200</v>
      </c>
      <c r="K5525" s="14" t="s">
        <v>232</v>
      </c>
      <c r="L5525" s="14" t="s">
        <v>487</v>
      </c>
      <c r="M5525" s="14" t="s">
        <v>1015</v>
      </c>
      <c r="N5525" s="14" t="s">
        <v>1016</v>
      </c>
      <c r="O5525" s="14">
        <v>100.0</v>
      </c>
      <c r="P5525" s="23">
        <v>0.0909</v>
      </c>
      <c r="Q5525" s="22" t="str">
        <f>"-19.48%"</f>
        <v>-19.48%</v>
      </c>
      <c r="R5525" s="18" t="str">
        <f>"-3.41%"</f>
        <v>-3.41%</v>
      </c>
      <c r="S5525" s="14" t="s">
        <v>285</v>
      </c>
    </row>
    <row r="5526">
      <c r="A5526" s="13">
        <v>45901.0</v>
      </c>
      <c r="B5526" s="14" t="s">
        <v>47</v>
      </c>
      <c r="C5526" s="14" t="s">
        <v>48</v>
      </c>
      <c r="D5526" s="14" t="s">
        <v>103</v>
      </c>
      <c r="E5526" s="14" t="s">
        <v>104</v>
      </c>
      <c r="F5526" s="15" t="s">
        <v>51</v>
      </c>
      <c r="G5526" s="14" t="s">
        <v>105</v>
      </c>
      <c r="H5526" s="14" t="s">
        <v>106</v>
      </c>
      <c r="I5526" s="14" t="s">
        <v>59</v>
      </c>
      <c r="J5526" s="14" t="s">
        <v>198</v>
      </c>
      <c r="K5526" s="14" t="s">
        <v>205</v>
      </c>
      <c r="L5526" s="14" t="s">
        <v>274</v>
      </c>
      <c r="M5526" s="14" t="s">
        <v>425</v>
      </c>
      <c r="N5526" s="14" t="s">
        <v>426</v>
      </c>
      <c r="O5526" s="14">
        <v>0.0</v>
      </c>
      <c r="P5526" s="21">
        <v>0.0</v>
      </c>
      <c r="Q5526" s="22" t="str">
        <f t="shared" ref="Q5526:Q5527" si="3308">"+0"</f>
        <v>+0</v>
      </c>
      <c r="S5526" s="14" t="s">
        <v>281</v>
      </c>
    </row>
    <row r="5527">
      <c r="A5527" s="13">
        <v>45901.0</v>
      </c>
      <c r="B5527" s="14" t="s">
        <v>47</v>
      </c>
      <c r="C5527" s="14" t="s">
        <v>48</v>
      </c>
      <c r="D5527" s="14" t="s">
        <v>73</v>
      </c>
      <c r="E5527" s="14" t="s">
        <v>74</v>
      </c>
      <c r="F5527" s="15" t="s">
        <v>51</v>
      </c>
      <c r="G5527" s="14" t="s">
        <v>75</v>
      </c>
      <c r="H5527" s="14" t="s">
        <v>76</v>
      </c>
      <c r="I5527" s="14" t="s">
        <v>59</v>
      </c>
      <c r="J5527" s="14" t="s">
        <v>198</v>
      </c>
      <c r="K5527" s="14" t="s">
        <v>205</v>
      </c>
      <c r="L5527" s="14" t="s">
        <v>274</v>
      </c>
      <c r="M5527" s="14" t="s">
        <v>275</v>
      </c>
      <c r="N5527" s="14" t="s">
        <v>276</v>
      </c>
      <c r="O5527" s="14">
        <v>0.0</v>
      </c>
      <c r="P5527" s="21">
        <v>1.0</v>
      </c>
      <c r="Q5527" s="22" t="str">
        <f t="shared" si="3308"/>
        <v>+0</v>
      </c>
      <c r="S5527" s="14" t="s">
        <v>277</v>
      </c>
    </row>
    <row r="5528">
      <c r="A5528" s="13">
        <v>45901.0</v>
      </c>
      <c r="B5528" s="14" t="s">
        <v>47</v>
      </c>
      <c r="C5528" s="14" t="s">
        <v>48</v>
      </c>
      <c r="D5528" s="14" t="s">
        <v>149</v>
      </c>
      <c r="E5528" s="14" t="s">
        <v>150</v>
      </c>
      <c r="F5528" s="15" t="s">
        <v>51</v>
      </c>
      <c r="G5528" s="14" t="s">
        <v>151</v>
      </c>
      <c r="H5528" s="14" t="s">
        <v>152</v>
      </c>
      <c r="I5528" s="14" t="s">
        <v>54</v>
      </c>
      <c r="J5528" s="14" t="s">
        <v>200</v>
      </c>
      <c r="K5528" s="14" t="s">
        <v>223</v>
      </c>
      <c r="L5528" s="14" t="s">
        <v>289</v>
      </c>
      <c r="M5528" s="14" t="s">
        <v>290</v>
      </c>
      <c r="N5528" s="14" t="s">
        <v>291</v>
      </c>
      <c r="O5528" s="14">
        <v>0.0</v>
      </c>
      <c r="P5528" s="23">
        <v>0.0</v>
      </c>
      <c r="Q5528" s="22" t="str">
        <f>"-0.01%"</f>
        <v>-0.01%</v>
      </c>
      <c r="R5528" s="18" t="str">
        <f>"+0.00%"</f>
        <v>+0.00%</v>
      </c>
      <c r="S5528" s="14" t="s">
        <v>285</v>
      </c>
    </row>
    <row r="5529">
      <c r="A5529" s="13">
        <v>45901.0</v>
      </c>
      <c r="B5529" s="14" t="s">
        <v>47</v>
      </c>
      <c r="C5529" s="14" t="s">
        <v>48</v>
      </c>
      <c r="D5529" s="14" t="s">
        <v>87</v>
      </c>
      <c r="E5529" s="14" t="s">
        <v>88</v>
      </c>
      <c r="F5529" s="15" t="s">
        <v>51</v>
      </c>
      <c r="G5529" s="14" t="s">
        <v>89</v>
      </c>
      <c r="H5529" s="14" t="s">
        <v>90</v>
      </c>
      <c r="I5529" s="14" t="s">
        <v>59</v>
      </c>
      <c r="J5529" s="14" t="s">
        <v>200</v>
      </c>
      <c r="K5529" s="14" t="s">
        <v>223</v>
      </c>
      <c r="L5529" s="14" t="s">
        <v>286</v>
      </c>
      <c r="M5529" s="14" t="s">
        <v>369</v>
      </c>
      <c r="N5529" s="14" t="s">
        <v>370</v>
      </c>
      <c r="O5529" s="14">
        <v>1.0</v>
      </c>
      <c r="P5529" s="23">
        <v>0.0055</v>
      </c>
      <c r="Q5529" s="22" t="str">
        <f>"+0.55%"</f>
        <v>+0.55%</v>
      </c>
      <c r="R5529" s="18" t="str">
        <f>"-0.62%"</f>
        <v>-0.62%</v>
      </c>
      <c r="S5529" s="14" t="s">
        <v>371</v>
      </c>
    </row>
    <row r="5530">
      <c r="A5530" s="13">
        <v>45901.0</v>
      </c>
      <c r="B5530" s="14" t="s">
        <v>47</v>
      </c>
      <c r="C5530" s="14" t="s">
        <v>48</v>
      </c>
      <c r="D5530" s="14" t="s">
        <v>87</v>
      </c>
      <c r="E5530" s="14" t="s">
        <v>88</v>
      </c>
      <c r="F5530" s="15" t="s">
        <v>51</v>
      </c>
      <c r="G5530" s="14" t="s">
        <v>89</v>
      </c>
      <c r="H5530" s="14" t="s">
        <v>90</v>
      </c>
      <c r="I5530" s="14" t="s">
        <v>59</v>
      </c>
      <c r="J5530" s="14" t="s">
        <v>198</v>
      </c>
      <c r="K5530" s="14" t="s">
        <v>205</v>
      </c>
      <c r="L5530" s="14" t="s">
        <v>274</v>
      </c>
      <c r="M5530" s="14" t="s">
        <v>451</v>
      </c>
      <c r="N5530" s="14" t="s">
        <v>452</v>
      </c>
      <c r="O5530" s="14">
        <v>0.0</v>
      </c>
      <c r="P5530" s="21">
        <v>0.0</v>
      </c>
      <c r="Q5530" s="22" t="str">
        <f>"+0"</f>
        <v>+0</v>
      </c>
      <c r="S5530" s="14" t="s">
        <v>281</v>
      </c>
    </row>
    <row r="5531">
      <c r="A5531" s="13">
        <v>45901.0</v>
      </c>
      <c r="B5531" s="14" t="s">
        <v>47</v>
      </c>
      <c r="C5531" s="14" t="s">
        <v>48</v>
      </c>
      <c r="D5531" s="14" t="s">
        <v>129</v>
      </c>
      <c r="E5531" s="14" t="s">
        <v>130</v>
      </c>
      <c r="F5531" s="15" t="s">
        <v>51</v>
      </c>
      <c r="G5531" s="14" t="s">
        <v>131</v>
      </c>
      <c r="H5531" s="14" t="s">
        <v>129</v>
      </c>
      <c r="I5531" s="14" t="s">
        <v>59</v>
      </c>
      <c r="J5531" s="14" t="s">
        <v>198</v>
      </c>
      <c r="K5531" s="14" t="s">
        <v>212</v>
      </c>
      <c r="L5531" s="14" t="s">
        <v>249</v>
      </c>
      <c r="M5531" s="14" t="s">
        <v>598</v>
      </c>
      <c r="N5531" s="14" t="s">
        <v>599</v>
      </c>
      <c r="O5531" s="14">
        <v>0.0</v>
      </c>
      <c r="P5531" s="21">
        <v>60.0</v>
      </c>
      <c r="Q5531" s="22" t="str">
        <f>"-2"</f>
        <v>-2</v>
      </c>
      <c r="R5531" s="18" t="str">
        <f>"+0"</f>
        <v>+0</v>
      </c>
      <c r="S5531" s="14" t="s">
        <v>1933</v>
      </c>
    </row>
    <row r="5532">
      <c r="A5532" s="13">
        <v>45901.0</v>
      </c>
      <c r="B5532" s="14" t="s">
        <v>47</v>
      </c>
      <c r="C5532" s="14" t="s">
        <v>48</v>
      </c>
      <c r="D5532" s="14" t="s">
        <v>69</v>
      </c>
      <c r="E5532" s="14" t="s">
        <v>70</v>
      </c>
      <c r="F5532" s="14" t="s">
        <v>71</v>
      </c>
      <c r="G5532" s="14">
        <v>1.00002092E8</v>
      </c>
      <c r="H5532" s="14" t="s">
        <v>72</v>
      </c>
      <c r="I5532" s="14" t="s">
        <v>54</v>
      </c>
      <c r="J5532" s="14" t="s">
        <v>199</v>
      </c>
      <c r="K5532" s="14" t="s">
        <v>203</v>
      </c>
      <c r="L5532" s="14" t="s">
        <v>1083</v>
      </c>
      <c r="M5532" s="14" t="s">
        <v>1083</v>
      </c>
      <c r="N5532" s="14" t="s">
        <v>1084</v>
      </c>
      <c r="O5532" s="14">
        <v>100.0</v>
      </c>
      <c r="P5532" s="21">
        <v>1.0</v>
      </c>
      <c r="Q5532" s="22" t="str">
        <f t="shared" ref="Q5532:R5532" si="3309">"+0"</f>
        <v>+0</v>
      </c>
      <c r="R5532" s="18" t="str">
        <f t="shared" si="3309"/>
        <v>+0</v>
      </c>
      <c r="S5532" s="14" t="s">
        <v>260</v>
      </c>
    </row>
    <row r="5533">
      <c r="A5533" s="13">
        <v>45901.0</v>
      </c>
      <c r="B5533" s="14" t="s">
        <v>47</v>
      </c>
      <c r="C5533" s="14" t="s">
        <v>48</v>
      </c>
      <c r="D5533" s="14" t="s">
        <v>69</v>
      </c>
      <c r="E5533" s="14" t="s">
        <v>70</v>
      </c>
      <c r="F5533" s="15" t="s">
        <v>51</v>
      </c>
      <c r="G5533" s="14" t="s">
        <v>115</v>
      </c>
      <c r="H5533" s="14" t="s">
        <v>72</v>
      </c>
      <c r="I5533" s="14" t="s">
        <v>54</v>
      </c>
      <c r="J5533" s="14" t="s">
        <v>198</v>
      </c>
      <c r="K5533" s="14" t="s">
        <v>210</v>
      </c>
      <c r="L5533" s="14" t="s">
        <v>505</v>
      </c>
      <c r="M5533" s="14" t="s">
        <v>1049</v>
      </c>
      <c r="N5533" s="14" t="s">
        <v>1050</v>
      </c>
      <c r="O5533" s="14">
        <v>0.0</v>
      </c>
      <c r="P5533" s="21">
        <v>0.0</v>
      </c>
      <c r="Q5533" s="22" t="str">
        <f t="shared" ref="Q5533:R5533" si="3310">"+0"</f>
        <v>+0</v>
      </c>
      <c r="R5533" s="18" t="str">
        <f t="shared" si="3310"/>
        <v>+0</v>
      </c>
      <c r="S5533" s="14" t="s">
        <v>277</v>
      </c>
    </row>
    <row r="5534">
      <c r="A5534" s="13">
        <v>45901.0</v>
      </c>
      <c r="B5534" s="14" t="s">
        <v>47</v>
      </c>
      <c r="C5534" s="14" t="s">
        <v>48</v>
      </c>
      <c r="D5534" s="14" t="s">
        <v>125</v>
      </c>
      <c r="E5534" s="14" t="s">
        <v>126</v>
      </c>
      <c r="F5534" s="15" t="s">
        <v>51</v>
      </c>
      <c r="G5534" s="14" t="s">
        <v>127</v>
      </c>
      <c r="H5534" s="14" t="s">
        <v>125</v>
      </c>
      <c r="I5534" s="14" t="s">
        <v>59</v>
      </c>
      <c r="J5534" s="14" t="s">
        <v>200</v>
      </c>
      <c r="K5534" s="14" t="s">
        <v>232</v>
      </c>
      <c r="L5534" s="14" t="s">
        <v>487</v>
      </c>
      <c r="M5534" s="14" t="s">
        <v>488</v>
      </c>
      <c r="N5534" s="14" t="s">
        <v>489</v>
      </c>
      <c r="O5534" s="14">
        <v>0.0</v>
      </c>
      <c r="P5534" s="21">
        <v>0.0</v>
      </c>
      <c r="Q5534" s="22" t="str">
        <f t="shared" ref="Q5534:R5534" si="3311">"+0"</f>
        <v>+0</v>
      </c>
      <c r="R5534" s="18" t="str">
        <f t="shared" si="3311"/>
        <v>+0</v>
      </c>
      <c r="S5534" s="14" t="s">
        <v>260</v>
      </c>
    </row>
    <row r="5535">
      <c r="A5535" s="13">
        <v>45901.0</v>
      </c>
      <c r="B5535" s="14" t="s">
        <v>47</v>
      </c>
      <c r="C5535" s="14" t="s">
        <v>48</v>
      </c>
      <c r="D5535" s="14" t="s">
        <v>125</v>
      </c>
      <c r="E5535" s="14" t="s">
        <v>126</v>
      </c>
      <c r="F5535" s="15" t="s">
        <v>51</v>
      </c>
      <c r="G5535" s="14" t="s">
        <v>127</v>
      </c>
      <c r="H5535" s="14" t="s">
        <v>125</v>
      </c>
      <c r="I5535" s="14" t="s">
        <v>59</v>
      </c>
      <c r="J5535" s="14" t="s">
        <v>200</v>
      </c>
      <c r="K5535" s="14" t="s">
        <v>232</v>
      </c>
      <c r="L5535" s="14" t="s">
        <v>282</v>
      </c>
      <c r="M5535" s="14" t="s">
        <v>283</v>
      </c>
      <c r="N5535" s="14" t="s">
        <v>284</v>
      </c>
      <c r="O5535" s="14">
        <v>0.0</v>
      </c>
      <c r="P5535" s="23">
        <v>0.0</v>
      </c>
      <c r="Q5535" s="22" t="str">
        <f t="shared" ref="Q5535:R5535" si="3312">"+0.00%"</f>
        <v>+0.00%</v>
      </c>
      <c r="R5535" s="18" t="str">
        <f t="shared" si="3312"/>
        <v>+0.00%</v>
      </c>
      <c r="S5535" s="14" t="s">
        <v>285</v>
      </c>
    </row>
    <row r="5536">
      <c r="A5536" s="13">
        <v>45901.0</v>
      </c>
      <c r="B5536" s="14" t="s">
        <v>47</v>
      </c>
      <c r="C5536" s="14" t="s">
        <v>48</v>
      </c>
      <c r="D5536" s="14" t="s">
        <v>85</v>
      </c>
      <c r="E5536" s="14" t="s">
        <v>86</v>
      </c>
      <c r="F5536" s="15" t="s">
        <v>51</v>
      </c>
      <c r="G5536" s="14" t="s">
        <v>148</v>
      </c>
      <c r="H5536" s="14" t="s">
        <v>85</v>
      </c>
      <c r="I5536" s="14" t="s">
        <v>59</v>
      </c>
      <c r="J5536" s="14" t="s">
        <v>200</v>
      </c>
      <c r="K5536" s="14" t="s">
        <v>214</v>
      </c>
      <c r="L5536" s="14" t="s">
        <v>253</v>
      </c>
      <c r="M5536" s="14" t="s">
        <v>366</v>
      </c>
      <c r="N5536" s="14" t="s">
        <v>367</v>
      </c>
      <c r="O5536" s="14">
        <v>57.0</v>
      </c>
      <c r="P5536" s="23">
        <v>0.57</v>
      </c>
      <c r="Q5536" s="22" t="str">
        <f t="shared" ref="Q5536:R5536" si="3313">"+0.00%"</f>
        <v>+0.00%</v>
      </c>
      <c r="R5536" s="18" t="str">
        <f t="shared" si="3313"/>
        <v>+0.00%</v>
      </c>
      <c r="S5536" s="14" t="s">
        <v>2371</v>
      </c>
    </row>
    <row r="5537">
      <c r="A5537" s="13">
        <v>45901.0</v>
      </c>
      <c r="B5537" s="14" t="s">
        <v>47</v>
      </c>
      <c r="C5537" s="14" t="s">
        <v>48</v>
      </c>
      <c r="D5537" s="14" t="s">
        <v>125</v>
      </c>
      <c r="E5537" s="14" t="s">
        <v>126</v>
      </c>
      <c r="F5537" s="15" t="s">
        <v>51</v>
      </c>
      <c r="G5537" s="14" t="s">
        <v>127</v>
      </c>
      <c r="H5537" s="14" t="s">
        <v>125</v>
      </c>
      <c r="I5537" s="14" t="s">
        <v>59</v>
      </c>
      <c r="J5537" s="14" t="s">
        <v>200</v>
      </c>
      <c r="K5537" s="14" t="s">
        <v>224</v>
      </c>
      <c r="L5537" s="14" t="s">
        <v>453</v>
      </c>
      <c r="M5537" s="14" t="s">
        <v>521</v>
      </c>
      <c r="N5537" s="14" t="s">
        <v>522</v>
      </c>
      <c r="O5537" s="14">
        <v>0.0</v>
      </c>
      <c r="P5537" s="17"/>
      <c r="Q5537" s="22"/>
      <c r="S5537" s="14" t="s">
        <v>523</v>
      </c>
    </row>
    <row r="5538">
      <c r="A5538" s="13">
        <v>45901.0</v>
      </c>
      <c r="B5538" s="14" t="s">
        <v>47</v>
      </c>
      <c r="C5538" s="14" t="s">
        <v>48</v>
      </c>
      <c r="D5538" s="14" t="s">
        <v>116</v>
      </c>
      <c r="E5538" s="14" t="s">
        <v>117</v>
      </c>
      <c r="F5538" s="15" t="s">
        <v>51</v>
      </c>
      <c r="G5538" s="14" t="s">
        <v>161</v>
      </c>
      <c r="H5538" s="14" t="s">
        <v>116</v>
      </c>
      <c r="I5538" s="14" t="s">
        <v>54</v>
      </c>
      <c r="J5538" s="14" t="s">
        <v>200</v>
      </c>
      <c r="K5538" s="14" t="s">
        <v>214</v>
      </c>
      <c r="L5538" s="14" t="s">
        <v>253</v>
      </c>
      <c r="M5538" s="14" t="s">
        <v>389</v>
      </c>
      <c r="N5538" s="14" t="s">
        <v>390</v>
      </c>
      <c r="O5538" s="14">
        <v>82.0</v>
      </c>
      <c r="P5538" s="23">
        <v>0.819</v>
      </c>
      <c r="Q5538" s="22" t="str">
        <f>"-2.00%"</f>
        <v>-2.00%</v>
      </c>
      <c r="R5538" s="18" t="str">
        <f>"-9.74%"</f>
        <v>-9.74%</v>
      </c>
      <c r="S5538" s="14" t="s">
        <v>2513</v>
      </c>
    </row>
    <row r="5539">
      <c r="A5539" s="13">
        <v>45901.0</v>
      </c>
      <c r="B5539" s="14" t="s">
        <v>47</v>
      </c>
      <c r="C5539" s="14" t="s">
        <v>48</v>
      </c>
      <c r="D5539" s="14" t="s">
        <v>108</v>
      </c>
      <c r="E5539" s="14" t="s">
        <v>109</v>
      </c>
      <c r="F5539" s="15" t="s">
        <v>51</v>
      </c>
      <c r="G5539" s="14" t="s">
        <v>110</v>
      </c>
      <c r="H5539" s="14" t="s">
        <v>108</v>
      </c>
      <c r="I5539" s="14" t="s">
        <v>59</v>
      </c>
      <c r="J5539" s="14" t="s">
        <v>200</v>
      </c>
      <c r="K5539" s="14" t="s">
        <v>215</v>
      </c>
      <c r="L5539" s="14" t="s">
        <v>1322</v>
      </c>
      <c r="M5539" s="14" t="s">
        <v>2232</v>
      </c>
      <c r="N5539" s="14" t="s">
        <v>2233</v>
      </c>
      <c r="O5539" s="14">
        <v>0.0</v>
      </c>
      <c r="P5539" s="23">
        <v>-1.0</v>
      </c>
      <c r="Q5539" s="22" t="str">
        <f t="shared" ref="Q5539:R5539" si="3314">"+0.00%"</f>
        <v>+0.00%</v>
      </c>
      <c r="R5539" s="18" t="str">
        <f t="shared" si="3314"/>
        <v>+0.00%</v>
      </c>
      <c r="S5539" s="14" t="s">
        <v>2514</v>
      </c>
    </row>
    <row r="5540">
      <c r="A5540" s="13">
        <v>45901.0</v>
      </c>
      <c r="B5540" s="14" t="s">
        <v>47</v>
      </c>
      <c r="C5540" s="14" t="s">
        <v>48</v>
      </c>
      <c r="D5540" s="14" t="s">
        <v>158</v>
      </c>
      <c r="E5540" s="14" t="s">
        <v>159</v>
      </c>
      <c r="F5540" s="15" t="s">
        <v>51</v>
      </c>
      <c r="G5540" s="14" t="s">
        <v>160</v>
      </c>
      <c r="H5540" s="14" t="s">
        <v>158</v>
      </c>
      <c r="I5540" s="14" t="s">
        <v>54</v>
      </c>
      <c r="J5540" s="14" t="s">
        <v>200</v>
      </c>
      <c r="K5540" s="14" t="s">
        <v>222</v>
      </c>
      <c r="L5540" s="14" t="s">
        <v>1161</v>
      </c>
      <c r="M5540" s="14" t="s">
        <v>1181</v>
      </c>
      <c r="N5540" s="14" t="s">
        <v>1182</v>
      </c>
      <c r="O5540" s="14">
        <v>0.0</v>
      </c>
      <c r="P5540" s="21">
        <v>0.0</v>
      </c>
      <c r="Q5540" s="22" t="str">
        <f t="shared" ref="Q5540:R5540" si="3315">"+0"</f>
        <v>+0</v>
      </c>
      <c r="R5540" s="18" t="str">
        <f t="shared" si="3315"/>
        <v>+0</v>
      </c>
      <c r="S5540" s="14" t="s">
        <v>260</v>
      </c>
    </row>
    <row r="5541">
      <c r="A5541" s="13">
        <v>45901.0</v>
      </c>
      <c r="B5541" s="14" t="s">
        <v>47</v>
      </c>
      <c r="C5541" s="14" t="s">
        <v>48</v>
      </c>
      <c r="D5541" s="14" t="s">
        <v>158</v>
      </c>
      <c r="E5541" s="14" t="s">
        <v>159</v>
      </c>
      <c r="F5541" s="15" t="s">
        <v>51</v>
      </c>
      <c r="G5541" s="14" t="s">
        <v>160</v>
      </c>
      <c r="H5541" s="14" t="s">
        <v>158</v>
      </c>
      <c r="I5541" s="14" t="s">
        <v>54</v>
      </c>
      <c r="J5541" s="14" t="s">
        <v>198</v>
      </c>
      <c r="K5541" s="14" t="s">
        <v>210</v>
      </c>
      <c r="L5541" s="14" t="s">
        <v>458</v>
      </c>
      <c r="M5541" s="14" t="s">
        <v>744</v>
      </c>
      <c r="N5541" s="14" t="s">
        <v>745</v>
      </c>
      <c r="O5541" s="14">
        <v>0.0</v>
      </c>
      <c r="P5541" s="21">
        <v>0.0</v>
      </c>
      <c r="Q5541" s="22" t="str">
        <f t="shared" ref="Q5541:R5541" si="3316">"+0"</f>
        <v>+0</v>
      </c>
      <c r="R5541" s="18" t="str">
        <f t="shared" si="3316"/>
        <v>+0</v>
      </c>
      <c r="S5541" s="14" t="s">
        <v>277</v>
      </c>
    </row>
    <row r="5542">
      <c r="A5542" s="13">
        <v>45901.0</v>
      </c>
      <c r="B5542" s="14" t="s">
        <v>47</v>
      </c>
      <c r="C5542" s="14" t="s">
        <v>48</v>
      </c>
      <c r="D5542" s="14" t="s">
        <v>174</v>
      </c>
      <c r="E5542" s="14" t="s">
        <v>175</v>
      </c>
      <c r="F5542" s="15" t="s">
        <v>51</v>
      </c>
      <c r="G5542" s="14" t="s">
        <v>176</v>
      </c>
      <c r="H5542" s="14" t="s">
        <v>174</v>
      </c>
      <c r="I5542" s="14" t="s">
        <v>59</v>
      </c>
      <c r="J5542" s="14" t="s">
        <v>200</v>
      </c>
      <c r="K5542" s="14" t="s">
        <v>222</v>
      </c>
      <c r="L5542" s="14" t="s">
        <v>337</v>
      </c>
      <c r="M5542" s="14" t="s">
        <v>734</v>
      </c>
      <c r="N5542" s="14" t="s">
        <v>735</v>
      </c>
      <c r="O5542" s="14">
        <v>0.0</v>
      </c>
      <c r="P5542" s="21">
        <v>0.0</v>
      </c>
      <c r="Q5542" s="22" t="str">
        <f t="shared" ref="Q5542:R5542" si="3317">"+0"</f>
        <v>+0</v>
      </c>
      <c r="R5542" s="18" t="str">
        <f t="shared" si="3317"/>
        <v>+0</v>
      </c>
      <c r="S5542" s="14" t="s">
        <v>260</v>
      </c>
    </row>
    <row r="5543">
      <c r="A5543" s="13">
        <v>45901.0</v>
      </c>
      <c r="B5543" s="14" t="s">
        <v>47</v>
      </c>
      <c r="C5543" s="14" t="s">
        <v>48</v>
      </c>
      <c r="D5543" s="14" t="s">
        <v>108</v>
      </c>
      <c r="E5543" s="14" t="s">
        <v>109</v>
      </c>
      <c r="F5543" s="15" t="s">
        <v>51</v>
      </c>
      <c r="G5543" s="14" t="s">
        <v>110</v>
      </c>
      <c r="H5543" s="14" t="s">
        <v>108</v>
      </c>
      <c r="I5543" s="14" t="s">
        <v>59</v>
      </c>
      <c r="J5543" s="14" t="s">
        <v>200</v>
      </c>
      <c r="K5543" s="14" t="s">
        <v>227</v>
      </c>
      <c r="L5543" s="14" t="s">
        <v>270</v>
      </c>
      <c r="M5543" s="14" t="s">
        <v>271</v>
      </c>
      <c r="N5543" s="14" t="s">
        <v>272</v>
      </c>
      <c r="O5543" s="14">
        <v>50.0</v>
      </c>
      <c r="P5543" s="23">
        <v>0.0</v>
      </c>
      <c r="Q5543" s="22" t="str">
        <f t="shared" ref="Q5543:R5543" si="3318">"+100.00%"</f>
        <v>+100.00%</v>
      </c>
      <c r="R5543" s="18" t="str">
        <f t="shared" si="3318"/>
        <v>+100.00%</v>
      </c>
      <c r="S5543" s="14" t="s">
        <v>273</v>
      </c>
    </row>
    <row r="5544">
      <c r="A5544" s="13">
        <v>45901.0</v>
      </c>
      <c r="B5544" s="14" t="s">
        <v>47</v>
      </c>
      <c r="C5544" s="14" t="s">
        <v>48</v>
      </c>
      <c r="D5544" s="14" t="s">
        <v>158</v>
      </c>
      <c r="E5544" s="14" t="s">
        <v>159</v>
      </c>
      <c r="F5544" s="15" t="s">
        <v>51</v>
      </c>
      <c r="G5544" s="14" t="s">
        <v>160</v>
      </c>
      <c r="H5544" s="14" t="s">
        <v>158</v>
      </c>
      <c r="I5544" s="14" t="s">
        <v>54</v>
      </c>
      <c r="J5544" s="14" t="s">
        <v>200</v>
      </c>
      <c r="K5544" s="14" t="s">
        <v>224</v>
      </c>
      <c r="L5544" s="14" t="s">
        <v>253</v>
      </c>
      <c r="M5544" s="14" t="s">
        <v>1224</v>
      </c>
      <c r="N5544" s="14" t="s">
        <v>1225</v>
      </c>
      <c r="O5544" s="14">
        <v>0.0</v>
      </c>
      <c r="P5544" s="23">
        <v>0.0</v>
      </c>
      <c r="Q5544" s="22" t="str">
        <f t="shared" ref="Q5544:R5544" si="3319">"+0.00%"</f>
        <v>+0.00%</v>
      </c>
      <c r="R5544" s="18" t="str">
        <f t="shared" si="3319"/>
        <v>+0.00%</v>
      </c>
      <c r="S5544" s="14" t="s">
        <v>741</v>
      </c>
    </row>
    <row r="5545">
      <c r="A5545" s="13">
        <v>45901.0</v>
      </c>
      <c r="B5545" s="14" t="s">
        <v>47</v>
      </c>
      <c r="C5545" s="14" t="s">
        <v>48</v>
      </c>
      <c r="D5545" s="14" t="s">
        <v>77</v>
      </c>
      <c r="E5545" s="14" t="s">
        <v>78</v>
      </c>
      <c r="F5545" s="15" t="s">
        <v>51</v>
      </c>
      <c r="G5545" s="14" t="s">
        <v>128</v>
      </c>
      <c r="H5545" s="14" t="s">
        <v>81</v>
      </c>
      <c r="I5545" s="14" t="s">
        <v>59</v>
      </c>
      <c r="J5545" s="14" t="s">
        <v>200</v>
      </c>
      <c r="K5545" s="14" t="s">
        <v>216</v>
      </c>
      <c r="L5545" s="14" t="s">
        <v>1826</v>
      </c>
      <c r="M5545" s="14" t="s">
        <v>1827</v>
      </c>
      <c r="N5545" s="14" t="s">
        <v>1828</v>
      </c>
      <c r="O5545" s="14">
        <v>0.0</v>
      </c>
      <c r="P5545" s="21">
        <v>0.0</v>
      </c>
      <c r="Q5545" s="22" t="str">
        <f t="shared" ref="Q5545:R5545" si="3320">"+0"</f>
        <v>+0</v>
      </c>
      <c r="R5545" s="18" t="str">
        <f t="shared" si="3320"/>
        <v>+0</v>
      </c>
      <c r="S5545" s="14" t="s">
        <v>260</v>
      </c>
    </row>
    <row r="5546">
      <c r="A5546" s="13">
        <v>45901.0</v>
      </c>
      <c r="B5546" s="14" t="s">
        <v>47</v>
      </c>
      <c r="C5546" s="14" t="s">
        <v>48</v>
      </c>
      <c r="D5546" s="14" t="s">
        <v>155</v>
      </c>
      <c r="E5546" s="14" t="s">
        <v>156</v>
      </c>
      <c r="F5546" s="15" t="s">
        <v>51</v>
      </c>
      <c r="G5546" s="14" t="s">
        <v>157</v>
      </c>
      <c r="H5546" s="14" t="s">
        <v>155</v>
      </c>
      <c r="I5546" s="14" t="s">
        <v>59</v>
      </c>
      <c r="J5546" s="14" t="s">
        <v>200</v>
      </c>
      <c r="K5546" s="14" t="s">
        <v>223</v>
      </c>
      <c r="L5546" s="14" t="s">
        <v>607</v>
      </c>
      <c r="M5546" s="14" t="s">
        <v>1204</v>
      </c>
      <c r="N5546" s="14" t="s">
        <v>1205</v>
      </c>
      <c r="O5546" s="14">
        <v>0.0</v>
      </c>
      <c r="P5546" s="21">
        <v>0.0</v>
      </c>
      <c r="Q5546" s="22" t="str">
        <f t="shared" ref="Q5546:R5546" si="3321">"+0"</f>
        <v>+0</v>
      </c>
      <c r="R5546" s="18" t="str">
        <f t="shared" si="3321"/>
        <v>+0</v>
      </c>
      <c r="S5546" s="14" t="s">
        <v>260</v>
      </c>
    </row>
    <row r="5547">
      <c r="A5547" s="13">
        <v>45901.0</v>
      </c>
      <c r="B5547" s="14" t="s">
        <v>47</v>
      </c>
      <c r="C5547" s="14" t="s">
        <v>48</v>
      </c>
      <c r="D5547" s="14" t="s">
        <v>155</v>
      </c>
      <c r="E5547" s="14" t="s">
        <v>156</v>
      </c>
      <c r="F5547" s="15" t="s">
        <v>51</v>
      </c>
      <c r="G5547" s="14" t="s">
        <v>157</v>
      </c>
      <c r="H5547" s="14" t="s">
        <v>155</v>
      </c>
      <c r="I5547" s="14" t="s">
        <v>59</v>
      </c>
      <c r="J5547" s="14" t="s">
        <v>200</v>
      </c>
      <c r="K5547" s="14" t="s">
        <v>223</v>
      </c>
      <c r="L5547" s="14" t="s">
        <v>375</v>
      </c>
      <c r="M5547" s="14" t="s">
        <v>902</v>
      </c>
      <c r="N5547" s="14" t="s">
        <v>903</v>
      </c>
      <c r="O5547" s="14">
        <v>0.0</v>
      </c>
      <c r="P5547" s="17"/>
      <c r="Q5547" s="22"/>
      <c r="S5547" s="14" t="s">
        <v>285</v>
      </c>
    </row>
    <row r="5548">
      <c r="A5548" s="13">
        <v>45901.0</v>
      </c>
      <c r="B5548" s="14" t="s">
        <v>47</v>
      </c>
      <c r="C5548" s="14" t="s">
        <v>48</v>
      </c>
      <c r="D5548" s="14" t="s">
        <v>181</v>
      </c>
      <c r="E5548" s="14" t="s">
        <v>182</v>
      </c>
      <c r="F5548" s="15" t="s">
        <v>51</v>
      </c>
      <c r="G5548" s="14" t="s">
        <v>183</v>
      </c>
      <c r="H5548" s="14" t="s">
        <v>181</v>
      </c>
      <c r="I5548" s="14" t="s">
        <v>59</v>
      </c>
      <c r="J5548" s="14" t="s">
        <v>200</v>
      </c>
      <c r="K5548" s="14" t="s">
        <v>232</v>
      </c>
      <c r="L5548" s="14" t="s">
        <v>375</v>
      </c>
      <c r="M5548" s="14" t="s">
        <v>902</v>
      </c>
      <c r="N5548" s="14" t="s">
        <v>903</v>
      </c>
      <c r="O5548" s="14">
        <v>0.0</v>
      </c>
      <c r="P5548" s="23">
        <v>0.0</v>
      </c>
      <c r="Q5548" s="22" t="str">
        <f t="shared" ref="Q5548:R5548" si="3322">"+0.00%"</f>
        <v>+0.00%</v>
      </c>
      <c r="R5548" s="18" t="str">
        <f t="shared" si="3322"/>
        <v>+0.00%</v>
      </c>
      <c r="S5548" s="14" t="s">
        <v>285</v>
      </c>
    </row>
    <row r="5549">
      <c r="A5549" s="13">
        <v>45901.0</v>
      </c>
      <c r="B5549" s="14" t="s">
        <v>47</v>
      </c>
      <c r="C5549" s="14" t="s">
        <v>48</v>
      </c>
      <c r="D5549" s="14" t="s">
        <v>181</v>
      </c>
      <c r="E5549" s="14" t="s">
        <v>182</v>
      </c>
      <c r="F5549" s="15" t="s">
        <v>51</v>
      </c>
      <c r="G5549" s="14" t="s">
        <v>183</v>
      </c>
      <c r="H5549" s="14" t="s">
        <v>181</v>
      </c>
      <c r="I5549" s="14" t="s">
        <v>59</v>
      </c>
      <c r="J5549" s="14" t="s">
        <v>200</v>
      </c>
      <c r="K5549" s="14" t="s">
        <v>227</v>
      </c>
      <c r="L5549" s="14" t="s">
        <v>253</v>
      </c>
      <c r="M5549" s="14" t="s">
        <v>849</v>
      </c>
      <c r="N5549" s="14" t="s">
        <v>850</v>
      </c>
      <c r="O5549" s="14">
        <v>0.0</v>
      </c>
      <c r="P5549" s="23">
        <v>0.0</v>
      </c>
      <c r="Q5549" s="22" t="str">
        <f t="shared" ref="Q5549:R5549" si="3323">"+0.00%"</f>
        <v>+0.00%</v>
      </c>
      <c r="R5549" s="18" t="str">
        <f t="shared" si="3323"/>
        <v>+0.00%</v>
      </c>
      <c r="S5549" s="14" t="s">
        <v>2111</v>
      </c>
    </row>
    <row r="5550">
      <c r="A5550" s="13">
        <v>45901.0</v>
      </c>
      <c r="B5550" s="14" t="s">
        <v>47</v>
      </c>
      <c r="C5550" s="14" t="s">
        <v>48</v>
      </c>
      <c r="D5550" s="14" t="s">
        <v>56</v>
      </c>
      <c r="E5550" s="14" t="s">
        <v>57</v>
      </c>
      <c r="F5550" s="15" t="s">
        <v>51</v>
      </c>
      <c r="G5550" s="14" t="s">
        <v>58</v>
      </c>
      <c r="H5550" s="14" t="s">
        <v>56</v>
      </c>
      <c r="I5550" s="14" t="s">
        <v>59</v>
      </c>
      <c r="J5550" s="14" t="s">
        <v>200</v>
      </c>
      <c r="K5550" s="14" t="s">
        <v>223</v>
      </c>
      <c r="L5550" s="14" t="s">
        <v>359</v>
      </c>
      <c r="M5550" s="14" t="s">
        <v>519</v>
      </c>
      <c r="N5550" s="14" t="s">
        <v>520</v>
      </c>
      <c r="O5550" s="14">
        <v>0.0</v>
      </c>
      <c r="P5550" s="21">
        <v>0.0</v>
      </c>
      <c r="Q5550" s="22" t="str">
        <f t="shared" ref="Q5550:R5550" si="3324">"+0"</f>
        <v>+0</v>
      </c>
      <c r="R5550" s="18" t="str">
        <f t="shared" si="3324"/>
        <v>+0</v>
      </c>
      <c r="S5550" s="14" t="s">
        <v>260</v>
      </c>
    </row>
    <row r="5551">
      <c r="A5551" s="13">
        <v>45901.0</v>
      </c>
      <c r="B5551" s="14" t="s">
        <v>47</v>
      </c>
      <c r="C5551" s="14" t="s">
        <v>48</v>
      </c>
      <c r="D5551" s="14" t="s">
        <v>60</v>
      </c>
      <c r="E5551" s="14" t="s">
        <v>61</v>
      </c>
      <c r="F5551" s="15" t="s">
        <v>51</v>
      </c>
      <c r="G5551" s="14" t="s">
        <v>62</v>
      </c>
      <c r="H5551" s="14" t="s">
        <v>60</v>
      </c>
      <c r="I5551" s="14" t="s">
        <v>59</v>
      </c>
      <c r="J5551" s="14" t="s">
        <v>200</v>
      </c>
      <c r="K5551" s="14" t="s">
        <v>223</v>
      </c>
      <c r="L5551" s="14" t="s">
        <v>883</v>
      </c>
      <c r="M5551" s="14" t="s">
        <v>884</v>
      </c>
      <c r="N5551" s="14" t="s">
        <v>885</v>
      </c>
      <c r="O5551" s="14">
        <v>100.0</v>
      </c>
      <c r="P5551" s="23">
        <v>0.4706</v>
      </c>
      <c r="Q5551" s="22" t="str">
        <f>"+3.82%"</f>
        <v>+3.82%</v>
      </c>
      <c r="R5551" s="18" t="str">
        <f>"-12.20%"</f>
        <v>-12.20%</v>
      </c>
      <c r="S5551" s="14" t="s">
        <v>285</v>
      </c>
    </row>
    <row r="5552">
      <c r="A5552" s="13">
        <v>45901.0</v>
      </c>
      <c r="B5552" s="14" t="s">
        <v>47</v>
      </c>
      <c r="C5552" s="14" t="s">
        <v>48</v>
      </c>
      <c r="D5552" s="14" t="s">
        <v>60</v>
      </c>
      <c r="E5552" s="14" t="s">
        <v>61</v>
      </c>
      <c r="F5552" s="15" t="s">
        <v>51</v>
      </c>
      <c r="G5552" s="14" t="s">
        <v>62</v>
      </c>
      <c r="H5552" s="14" t="s">
        <v>60</v>
      </c>
      <c r="I5552" s="14" t="s">
        <v>59</v>
      </c>
      <c r="J5552" s="14" t="s">
        <v>199</v>
      </c>
      <c r="K5552" s="14" t="s">
        <v>206</v>
      </c>
      <c r="L5552" s="14" t="s">
        <v>433</v>
      </c>
      <c r="M5552" s="14" t="s">
        <v>433</v>
      </c>
      <c r="N5552" s="14" t="s">
        <v>434</v>
      </c>
      <c r="O5552" s="14">
        <v>0.0</v>
      </c>
      <c r="P5552" s="21">
        <v>0.0</v>
      </c>
      <c r="Q5552" s="22" t="str">
        <f t="shared" ref="Q5552:R5552" si="3325">"+0"</f>
        <v>+0</v>
      </c>
      <c r="R5552" s="18" t="str">
        <f t="shared" si="3325"/>
        <v>+0</v>
      </c>
      <c r="S5552" s="14" t="s">
        <v>383</v>
      </c>
    </row>
    <row r="5553">
      <c r="A5553" s="13">
        <v>45901.0</v>
      </c>
      <c r="B5553" s="14" t="s">
        <v>47</v>
      </c>
      <c r="C5553" s="14" t="s">
        <v>48</v>
      </c>
      <c r="D5553" s="14" t="s">
        <v>140</v>
      </c>
      <c r="E5553" s="14" t="s">
        <v>141</v>
      </c>
      <c r="F5553" s="15" t="s">
        <v>51</v>
      </c>
      <c r="G5553" s="14" t="s">
        <v>142</v>
      </c>
      <c r="H5553" s="14" t="s">
        <v>140</v>
      </c>
      <c r="I5553" s="14" t="s">
        <v>59</v>
      </c>
      <c r="J5553" s="14" t="s">
        <v>200</v>
      </c>
      <c r="K5553" s="14" t="s">
        <v>229</v>
      </c>
      <c r="L5553" s="14" t="s">
        <v>253</v>
      </c>
      <c r="M5553" s="14" t="s">
        <v>552</v>
      </c>
      <c r="N5553" s="14" t="s">
        <v>553</v>
      </c>
      <c r="O5553" s="14">
        <v>0.0</v>
      </c>
      <c r="P5553" s="17"/>
      <c r="Q5553" s="22"/>
      <c r="S5553" s="14" t="s">
        <v>2027</v>
      </c>
    </row>
    <row r="5554">
      <c r="A5554" s="13">
        <v>45901.0</v>
      </c>
      <c r="B5554" s="14" t="s">
        <v>47</v>
      </c>
      <c r="C5554" s="14" t="s">
        <v>48</v>
      </c>
      <c r="D5554" s="14" t="s">
        <v>49</v>
      </c>
      <c r="E5554" s="14" t="s">
        <v>50</v>
      </c>
      <c r="F5554" s="15" t="s">
        <v>51</v>
      </c>
      <c r="G5554" s="14" t="s">
        <v>52</v>
      </c>
      <c r="H5554" s="14" t="s">
        <v>53</v>
      </c>
      <c r="I5554" s="14" t="s">
        <v>54</v>
      </c>
      <c r="J5554" s="14" t="s">
        <v>200</v>
      </c>
      <c r="K5554" s="14" t="s">
        <v>202</v>
      </c>
      <c r="L5554" s="14" t="s">
        <v>253</v>
      </c>
      <c r="M5554" s="14" t="s">
        <v>874</v>
      </c>
      <c r="N5554" s="14" t="s">
        <v>875</v>
      </c>
      <c r="O5554" s="14">
        <v>13.0</v>
      </c>
      <c r="P5554" s="23">
        <v>0.1379</v>
      </c>
      <c r="Q5554" s="22" t="str">
        <f>"+0.57%"</f>
        <v>+0.57%</v>
      </c>
      <c r="R5554" s="18" t="str">
        <f>"+0.41%"</f>
        <v>+0.41%</v>
      </c>
      <c r="S5554" s="14" t="s">
        <v>1082</v>
      </c>
    </row>
    <row r="5555">
      <c r="A5555" s="13">
        <v>45901.0</v>
      </c>
      <c r="B5555" s="14" t="s">
        <v>47</v>
      </c>
      <c r="C5555" s="14" t="s">
        <v>48</v>
      </c>
      <c r="D5555" s="14" t="s">
        <v>99</v>
      </c>
      <c r="E5555" s="14" t="s">
        <v>100</v>
      </c>
      <c r="F5555" s="15" t="s">
        <v>51</v>
      </c>
      <c r="G5555" s="14" t="s">
        <v>101</v>
      </c>
      <c r="H5555" s="14" t="s">
        <v>102</v>
      </c>
      <c r="I5555" s="14" t="s">
        <v>54</v>
      </c>
      <c r="J5555" s="14" t="s">
        <v>198</v>
      </c>
      <c r="K5555" s="14" t="s">
        <v>205</v>
      </c>
      <c r="L5555" s="14" t="s">
        <v>274</v>
      </c>
      <c r="M5555" s="14" t="s">
        <v>275</v>
      </c>
      <c r="N5555" s="14" t="s">
        <v>276</v>
      </c>
      <c r="O5555" s="14">
        <v>0.0</v>
      </c>
      <c r="P5555" s="21">
        <v>1.0</v>
      </c>
      <c r="Q5555" s="22" t="str">
        <f>"+0"</f>
        <v>+0</v>
      </c>
      <c r="S5555" s="14" t="s">
        <v>277</v>
      </c>
    </row>
    <row r="5556">
      <c r="A5556" s="13">
        <v>45901.0</v>
      </c>
      <c r="B5556" s="14" t="s">
        <v>47</v>
      </c>
      <c r="C5556" s="14" t="s">
        <v>48</v>
      </c>
      <c r="D5556" s="14" t="s">
        <v>91</v>
      </c>
      <c r="E5556" s="14" t="s">
        <v>92</v>
      </c>
      <c r="F5556" s="14" t="s">
        <v>71</v>
      </c>
      <c r="G5556" s="14">
        <v>7295600.0</v>
      </c>
      <c r="H5556" s="14" t="s">
        <v>91</v>
      </c>
      <c r="I5556" s="14" t="s">
        <v>54</v>
      </c>
      <c r="J5556" s="14" t="s">
        <v>199</v>
      </c>
      <c r="K5556" s="14" t="s">
        <v>206</v>
      </c>
      <c r="L5556" s="14" t="s">
        <v>433</v>
      </c>
      <c r="M5556" s="14" t="s">
        <v>433</v>
      </c>
      <c r="N5556" s="14" t="s">
        <v>434</v>
      </c>
      <c r="O5556" s="14">
        <v>100.0</v>
      </c>
      <c r="P5556" s="21">
        <v>101.0</v>
      </c>
      <c r="Q5556" s="22" t="str">
        <f>"-32"</f>
        <v>-32</v>
      </c>
      <c r="R5556" s="18" t="str">
        <f>"+4"</f>
        <v>+4</v>
      </c>
      <c r="S5556" s="14" t="s">
        <v>383</v>
      </c>
    </row>
    <row r="5557">
      <c r="A5557" s="13">
        <v>45901.0</v>
      </c>
      <c r="B5557" s="14" t="s">
        <v>47</v>
      </c>
      <c r="C5557" s="14" t="s">
        <v>48</v>
      </c>
      <c r="D5557" s="14" t="s">
        <v>91</v>
      </c>
      <c r="E5557" s="14" t="s">
        <v>92</v>
      </c>
      <c r="F5557" s="14" t="s">
        <v>71</v>
      </c>
      <c r="G5557" s="14">
        <v>5.00008612E8</v>
      </c>
      <c r="H5557" s="14" t="s">
        <v>91</v>
      </c>
      <c r="I5557" s="14" t="s">
        <v>59</v>
      </c>
      <c r="J5557" s="14" t="s">
        <v>199</v>
      </c>
      <c r="K5557" s="14" t="s">
        <v>206</v>
      </c>
      <c r="L5557" s="14" t="s">
        <v>381</v>
      </c>
      <c r="M5557" s="14" t="s">
        <v>381</v>
      </c>
      <c r="N5557" s="14" t="s">
        <v>382</v>
      </c>
      <c r="O5557" s="14">
        <v>0.0</v>
      </c>
      <c r="P5557" s="21">
        <v>0.0</v>
      </c>
      <c r="Q5557" s="22" t="str">
        <f t="shared" ref="Q5557:R5557" si="3326">"+0"</f>
        <v>+0</v>
      </c>
      <c r="R5557" s="18" t="str">
        <f t="shared" si="3326"/>
        <v>+0</v>
      </c>
      <c r="S5557" s="14" t="s">
        <v>383</v>
      </c>
    </row>
    <row r="5558">
      <c r="A5558" s="13">
        <v>45901.0</v>
      </c>
      <c r="B5558" s="14" t="s">
        <v>47</v>
      </c>
      <c r="C5558" s="14" t="s">
        <v>48</v>
      </c>
      <c r="D5558" s="14" t="s">
        <v>63</v>
      </c>
      <c r="E5558" s="14" t="s">
        <v>64</v>
      </c>
      <c r="F5558" s="15" t="s">
        <v>51</v>
      </c>
      <c r="G5558" s="14" t="s">
        <v>65</v>
      </c>
      <c r="H5558" s="14" t="s">
        <v>63</v>
      </c>
      <c r="I5558" s="14" t="s">
        <v>54</v>
      </c>
      <c r="J5558" s="14" t="s">
        <v>198</v>
      </c>
      <c r="K5558" s="14" t="s">
        <v>205</v>
      </c>
      <c r="L5558" s="14" t="s">
        <v>274</v>
      </c>
      <c r="M5558" s="14" t="s">
        <v>738</v>
      </c>
      <c r="N5558" s="14" t="s">
        <v>739</v>
      </c>
      <c r="O5558" s="14">
        <v>0.0</v>
      </c>
      <c r="P5558" s="21">
        <v>0.0</v>
      </c>
      <c r="Q5558" s="22" t="str">
        <f>"+0"</f>
        <v>+0</v>
      </c>
      <c r="S5558" s="14" t="s">
        <v>281</v>
      </c>
    </row>
    <row r="5559">
      <c r="A5559" s="13">
        <v>45901.0</v>
      </c>
      <c r="B5559" s="14" t="s">
        <v>47</v>
      </c>
      <c r="C5559" s="14" t="s">
        <v>48</v>
      </c>
      <c r="D5559" s="14" t="s">
        <v>91</v>
      </c>
      <c r="E5559" s="14" t="s">
        <v>92</v>
      </c>
      <c r="F5559" s="14" t="s">
        <v>71</v>
      </c>
      <c r="G5559" s="14">
        <v>5.00008613E8</v>
      </c>
      <c r="H5559" s="14" t="s">
        <v>91</v>
      </c>
      <c r="I5559" s="14" t="s">
        <v>59</v>
      </c>
      <c r="J5559" s="14" t="s">
        <v>199</v>
      </c>
      <c r="K5559" s="14" t="s">
        <v>206</v>
      </c>
      <c r="L5559" s="14" t="s">
        <v>569</v>
      </c>
      <c r="M5559" s="14" t="s">
        <v>569</v>
      </c>
      <c r="N5559" s="14" t="s">
        <v>570</v>
      </c>
      <c r="O5559" s="14">
        <v>100.0</v>
      </c>
      <c r="P5559" s="21">
        <v>10.0</v>
      </c>
      <c r="Q5559" s="22" t="str">
        <f>"-2"</f>
        <v>-2</v>
      </c>
      <c r="R5559" s="18" t="str">
        <f>"-7"</f>
        <v>-7</v>
      </c>
      <c r="S5559" s="14" t="s">
        <v>383</v>
      </c>
    </row>
    <row r="5560">
      <c r="A5560" s="13">
        <v>45901.0</v>
      </c>
      <c r="B5560" s="14" t="s">
        <v>47</v>
      </c>
      <c r="C5560" s="14" t="s">
        <v>48</v>
      </c>
      <c r="D5560" s="14" t="s">
        <v>91</v>
      </c>
      <c r="E5560" s="14" t="s">
        <v>92</v>
      </c>
      <c r="F5560" s="14" t="s">
        <v>79</v>
      </c>
      <c r="G5560" s="14" t="s">
        <v>164</v>
      </c>
      <c r="H5560" s="14" t="s">
        <v>91</v>
      </c>
      <c r="I5560" s="14" t="s">
        <v>154</v>
      </c>
      <c r="J5560" s="14" t="s">
        <v>200</v>
      </c>
      <c r="K5560" s="14" t="s">
        <v>238</v>
      </c>
      <c r="L5560" s="14" t="s">
        <v>333</v>
      </c>
      <c r="M5560" s="14" t="s">
        <v>2153</v>
      </c>
      <c r="N5560" s="14" t="s">
        <v>2154</v>
      </c>
      <c r="O5560" s="14">
        <v>0.0</v>
      </c>
      <c r="P5560" s="23">
        <v>-1.0</v>
      </c>
      <c r="Q5560" s="22" t="str">
        <f t="shared" ref="Q5560:R5560" si="3327">"+0.00%"</f>
        <v>+0.00%</v>
      </c>
      <c r="R5560" s="18" t="str">
        <f t="shared" si="3327"/>
        <v>+0.00%</v>
      </c>
      <c r="S5560" s="14" t="s">
        <v>336</v>
      </c>
    </row>
    <row r="5561">
      <c r="A5561" s="13">
        <v>45901.0</v>
      </c>
      <c r="B5561" s="14" t="s">
        <v>47</v>
      </c>
      <c r="C5561" s="14" t="s">
        <v>48</v>
      </c>
      <c r="D5561" s="14" t="s">
        <v>91</v>
      </c>
      <c r="E5561" s="14" t="s">
        <v>92</v>
      </c>
      <c r="F5561" s="15" t="s">
        <v>51</v>
      </c>
      <c r="G5561" s="14" t="s">
        <v>163</v>
      </c>
      <c r="H5561" s="14" t="s">
        <v>91</v>
      </c>
      <c r="I5561" s="14" t="s">
        <v>59</v>
      </c>
      <c r="J5561" s="14" t="s">
        <v>200</v>
      </c>
      <c r="K5561" s="14" t="s">
        <v>223</v>
      </c>
      <c r="L5561" s="14" t="s">
        <v>487</v>
      </c>
      <c r="M5561" s="14" t="s">
        <v>962</v>
      </c>
      <c r="N5561" s="14" t="s">
        <v>963</v>
      </c>
      <c r="O5561" s="14">
        <v>0.0</v>
      </c>
      <c r="P5561" s="23">
        <v>0.0</v>
      </c>
      <c r="Q5561" s="22" t="str">
        <f t="shared" ref="Q5561:R5561" si="3328">"+0.00%"</f>
        <v>+0.00%</v>
      </c>
      <c r="R5561" s="18" t="str">
        <f t="shared" si="3328"/>
        <v>+0.00%</v>
      </c>
      <c r="S5561" s="14" t="s">
        <v>285</v>
      </c>
    </row>
    <row r="5562">
      <c r="A5562" s="13">
        <v>45901.0</v>
      </c>
      <c r="B5562" s="14" t="s">
        <v>47</v>
      </c>
      <c r="C5562" s="14" t="s">
        <v>48</v>
      </c>
      <c r="D5562" s="14" t="s">
        <v>99</v>
      </c>
      <c r="E5562" s="14" t="s">
        <v>100</v>
      </c>
      <c r="F5562" s="15" t="s">
        <v>51</v>
      </c>
      <c r="G5562" s="14" t="s">
        <v>101</v>
      </c>
      <c r="H5562" s="14" t="s">
        <v>102</v>
      </c>
      <c r="I5562" s="14" t="s">
        <v>54</v>
      </c>
      <c r="J5562" s="14" t="s">
        <v>200</v>
      </c>
      <c r="K5562" s="14" t="s">
        <v>228</v>
      </c>
      <c r="L5562" s="14" t="s">
        <v>253</v>
      </c>
      <c r="M5562" s="14" t="s">
        <v>1165</v>
      </c>
      <c r="N5562" s="14" t="s">
        <v>1166</v>
      </c>
      <c r="O5562" s="14">
        <v>32.0</v>
      </c>
      <c r="P5562" s="23">
        <v>0.3202</v>
      </c>
      <c r="Q5562" s="22" t="str">
        <f>"+1.96%"</f>
        <v>+1.96%</v>
      </c>
      <c r="R5562" s="18" t="str">
        <f>"+3.67%"</f>
        <v>+3.67%</v>
      </c>
      <c r="S5562" s="14" t="s">
        <v>2138</v>
      </c>
    </row>
    <row r="5563">
      <c r="A5563" s="13">
        <v>45901.0</v>
      </c>
      <c r="B5563" s="14" t="s">
        <v>47</v>
      </c>
      <c r="C5563" s="14" t="s">
        <v>48</v>
      </c>
      <c r="D5563" s="14" t="s">
        <v>118</v>
      </c>
      <c r="E5563" s="14" t="s">
        <v>119</v>
      </c>
      <c r="F5563" s="15" t="s">
        <v>51</v>
      </c>
      <c r="G5563" s="14" t="s">
        <v>120</v>
      </c>
      <c r="H5563" s="14" t="s">
        <v>118</v>
      </c>
      <c r="I5563" s="14" t="s">
        <v>59</v>
      </c>
      <c r="J5563" s="14" t="s">
        <v>200</v>
      </c>
      <c r="K5563" s="14" t="s">
        <v>201</v>
      </c>
      <c r="L5563" s="14" t="s">
        <v>253</v>
      </c>
      <c r="M5563" s="14" t="s">
        <v>538</v>
      </c>
      <c r="N5563" s="14" t="s">
        <v>539</v>
      </c>
      <c r="O5563" s="14">
        <v>2.0</v>
      </c>
      <c r="P5563" s="23">
        <v>0.0208</v>
      </c>
      <c r="Q5563" s="22" t="str">
        <f>"-0.05%"</f>
        <v>-0.05%</v>
      </c>
      <c r="R5563" s="18" t="str">
        <f>"-0.11%"</f>
        <v>-0.11%</v>
      </c>
      <c r="S5563" s="14" t="s">
        <v>1595</v>
      </c>
    </row>
    <row r="5564">
      <c r="A5564" s="13">
        <v>45901.0</v>
      </c>
      <c r="B5564" s="14" t="s">
        <v>47</v>
      </c>
      <c r="C5564" s="14" t="s">
        <v>48</v>
      </c>
      <c r="D5564" s="14" t="s">
        <v>91</v>
      </c>
      <c r="E5564" s="14" t="s">
        <v>92</v>
      </c>
      <c r="F5564" s="14" t="s">
        <v>71</v>
      </c>
      <c r="G5564" s="14">
        <v>5.00008612E8</v>
      </c>
      <c r="H5564" s="14" t="s">
        <v>91</v>
      </c>
      <c r="I5564" s="14" t="s">
        <v>59</v>
      </c>
      <c r="J5564" s="14" t="s">
        <v>199</v>
      </c>
      <c r="K5564" s="14" t="s">
        <v>208</v>
      </c>
      <c r="L5564" s="14" t="s">
        <v>352</v>
      </c>
      <c r="M5564" s="14" t="s">
        <v>352</v>
      </c>
      <c r="N5564" s="14" t="s">
        <v>353</v>
      </c>
      <c r="O5564" s="14">
        <v>100.0</v>
      </c>
      <c r="P5564" s="21">
        <v>58.0</v>
      </c>
      <c r="Q5564" s="22" t="str">
        <f t="shared" ref="Q5564:R5564" si="3329">"+1"</f>
        <v>+1</v>
      </c>
      <c r="R5564" s="18" t="str">
        <f t="shared" si="3329"/>
        <v>+1</v>
      </c>
      <c r="S5564" s="14" t="s">
        <v>260</v>
      </c>
    </row>
    <row r="5565">
      <c r="A5565" s="13">
        <v>45901.0</v>
      </c>
      <c r="B5565" s="14" t="s">
        <v>47</v>
      </c>
      <c r="C5565" s="14" t="s">
        <v>48</v>
      </c>
      <c r="D5565" s="14" t="s">
        <v>99</v>
      </c>
      <c r="E5565" s="14" t="s">
        <v>100</v>
      </c>
      <c r="F5565" s="15" t="s">
        <v>51</v>
      </c>
      <c r="G5565" s="14" t="s">
        <v>101</v>
      </c>
      <c r="H5565" s="14" t="s">
        <v>102</v>
      </c>
      <c r="I5565" s="14" t="s">
        <v>54</v>
      </c>
      <c r="J5565" s="14" t="s">
        <v>199</v>
      </c>
      <c r="K5565" s="14" t="s">
        <v>203</v>
      </c>
      <c r="L5565" s="14" t="s">
        <v>679</v>
      </c>
      <c r="M5565" s="14" t="s">
        <v>679</v>
      </c>
      <c r="N5565" s="14" t="s">
        <v>680</v>
      </c>
      <c r="O5565" s="14">
        <v>0.0</v>
      </c>
      <c r="P5565" s="21">
        <v>0.0</v>
      </c>
      <c r="Q5565" s="22" t="str">
        <f t="shared" ref="Q5565:R5565" si="3330">"+0"</f>
        <v>+0</v>
      </c>
      <c r="R5565" s="18" t="str">
        <f t="shared" si="3330"/>
        <v>+0</v>
      </c>
      <c r="S5565" s="14" t="s">
        <v>260</v>
      </c>
    </row>
    <row r="5566">
      <c r="A5566" s="13">
        <v>45901.0</v>
      </c>
      <c r="B5566" s="14" t="s">
        <v>47</v>
      </c>
      <c r="C5566" s="14" t="s">
        <v>48</v>
      </c>
      <c r="D5566" s="14" t="s">
        <v>82</v>
      </c>
      <c r="E5566" s="14" t="s">
        <v>83</v>
      </c>
      <c r="F5566" s="15" t="s">
        <v>51</v>
      </c>
      <c r="G5566" s="14" t="s">
        <v>84</v>
      </c>
      <c r="H5566" s="14" t="s">
        <v>82</v>
      </c>
      <c r="I5566" s="14" t="s">
        <v>59</v>
      </c>
      <c r="J5566" s="14" t="s">
        <v>198</v>
      </c>
      <c r="K5566" s="14" t="s">
        <v>210</v>
      </c>
      <c r="L5566" s="14" t="s">
        <v>278</v>
      </c>
      <c r="M5566" s="14" t="s">
        <v>839</v>
      </c>
      <c r="N5566" s="14" t="s">
        <v>840</v>
      </c>
      <c r="O5566" s="14">
        <v>39.0</v>
      </c>
      <c r="P5566" s="21">
        <v>1523.0</v>
      </c>
      <c r="Q5566" s="22" t="str">
        <f>"-70"</f>
        <v>-70</v>
      </c>
      <c r="R5566" s="18" t="str">
        <f>"+90"</f>
        <v>+90</v>
      </c>
      <c r="S5566" s="14" t="s">
        <v>2515</v>
      </c>
    </row>
    <row r="5567">
      <c r="A5567" s="13">
        <v>45901.0</v>
      </c>
      <c r="B5567" s="14" t="s">
        <v>47</v>
      </c>
      <c r="C5567" s="14" t="s">
        <v>48</v>
      </c>
      <c r="D5567" s="14" t="s">
        <v>184</v>
      </c>
      <c r="E5567" s="14" t="s">
        <v>185</v>
      </c>
      <c r="F5567" s="15" t="s">
        <v>51</v>
      </c>
      <c r="G5567" s="14" t="s">
        <v>186</v>
      </c>
      <c r="H5567" s="14" t="s">
        <v>187</v>
      </c>
      <c r="I5567" s="14" t="s">
        <v>59</v>
      </c>
      <c r="J5567" s="14" t="s">
        <v>199</v>
      </c>
      <c r="K5567" s="14" t="s">
        <v>203</v>
      </c>
      <c r="L5567" s="14" t="s">
        <v>342</v>
      </c>
      <c r="M5567" s="14" t="s">
        <v>342</v>
      </c>
      <c r="N5567" s="14" t="s">
        <v>343</v>
      </c>
      <c r="O5567" s="14">
        <v>0.0</v>
      </c>
      <c r="P5567" s="21">
        <v>0.0</v>
      </c>
      <c r="Q5567" s="22" t="str">
        <f t="shared" ref="Q5567:R5567" si="3331">"+0"</f>
        <v>+0</v>
      </c>
      <c r="R5567" s="18" t="str">
        <f t="shared" si="3331"/>
        <v>+0</v>
      </c>
      <c r="S5567" s="14" t="s">
        <v>260</v>
      </c>
    </row>
    <row r="5568">
      <c r="A5568" s="13">
        <v>45901.0</v>
      </c>
      <c r="B5568" s="14" t="s">
        <v>47</v>
      </c>
      <c r="C5568" s="14" t="s">
        <v>48</v>
      </c>
      <c r="D5568" s="14" t="s">
        <v>93</v>
      </c>
      <c r="E5568" s="14" t="s">
        <v>94</v>
      </c>
      <c r="F5568" s="15" t="s">
        <v>51</v>
      </c>
      <c r="G5568" s="14" t="s">
        <v>191</v>
      </c>
      <c r="H5568" s="14" t="s">
        <v>95</v>
      </c>
      <c r="I5568" s="14" t="s">
        <v>59</v>
      </c>
      <c r="J5568" s="14" t="s">
        <v>200</v>
      </c>
      <c r="K5568" s="14" t="s">
        <v>201</v>
      </c>
      <c r="L5568" s="14" t="s">
        <v>253</v>
      </c>
      <c r="M5568" s="14" t="s">
        <v>538</v>
      </c>
      <c r="N5568" s="14" t="s">
        <v>539</v>
      </c>
      <c r="O5568" s="14">
        <v>1.0</v>
      </c>
      <c r="P5568" s="23">
        <v>0.0026</v>
      </c>
      <c r="Q5568" s="22" t="str">
        <f>"+0.07%"</f>
        <v>+0.07%</v>
      </c>
      <c r="R5568" s="18" t="str">
        <f>"+0.19%"</f>
        <v>+0.19%</v>
      </c>
      <c r="S5568" s="14" t="s">
        <v>1732</v>
      </c>
    </row>
    <row r="5569">
      <c r="A5569" s="13">
        <v>45901.0</v>
      </c>
      <c r="B5569" s="14" t="s">
        <v>47</v>
      </c>
      <c r="C5569" s="14" t="s">
        <v>48</v>
      </c>
      <c r="D5569" s="14" t="s">
        <v>143</v>
      </c>
      <c r="E5569" s="14" t="s">
        <v>144</v>
      </c>
      <c r="F5569" s="15" t="s">
        <v>51</v>
      </c>
      <c r="G5569" s="14" t="s">
        <v>145</v>
      </c>
      <c r="H5569" s="14" t="s">
        <v>143</v>
      </c>
      <c r="I5569" s="14" t="s">
        <v>59</v>
      </c>
      <c r="J5569" s="14" t="s">
        <v>199</v>
      </c>
      <c r="K5569" s="14" t="s">
        <v>206</v>
      </c>
      <c r="L5569" s="14" t="s">
        <v>433</v>
      </c>
      <c r="M5569" s="14" t="s">
        <v>433</v>
      </c>
      <c r="N5569" s="14" t="s">
        <v>434</v>
      </c>
      <c r="O5569" s="14">
        <v>100.0</v>
      </c>
      <c r="P5569" s="21">
        <v>8.0</v>
      </c>
      <c r="Q5569" s="22" t="str">
        <f t="shared" ref="Q5569:Q5570" si="3332">"+0"</f>
        <v>+0</v>
      </c>
      <c r="R5569" s="18" t="str">
        <f>"-1"</f>
        <v>-1</v>
      </c>
      <c r="S5569" s="14" t="s">
        <v>383</v>
      </c>
    </row>
    <row r="5570">
      <c r="A5570" s="13">
        <v>45901.0</v>
      </c>
      <c r="B5570" s="14" t="s">
        <v>47</v>
      </c>
      <c r="C5570" s="14" t="s">
        <v>48</v>
      </c>
      <c r="D5570" s="14" t="s">
        <v>171</v>
      </c>
      <c r="E5570" s="14" t="s">
        <v>172</v>
      </c>
      <c r="F5570" s="15" t="s">
        <v>51</v>
      </c>
      <c r="G5570" s="14" t="s">
        <v>173</v>
      </c>
      <c r="H5570" s="14" t="s">
        <v>171</v>
      </c>
      <c r="I5570" s="14" t="s">
        <v>59</v>
      </c>
      <c r="J5570" s="14" t="s">
        <v>198</v>
      </c>
      <c r="K5570" s="14" t="s">
        <v>205</v>
      </c>
      <c r="L5570" s="14" t="s">
        <v>274</v>
      </c>
      <c r="M5570" s="14" t="s">
        <v>738</v>
      </c>
      <c r="N5570" s="14" t="s">
        <v>739</v>
      </c>
      <c r="O5570" s="14">
        <v>0.0</v>
      </c>
      <c r="P5570" s="21">
        <v>0.0</v>
      </c>
      <c r="Q5570" s="22" t="str">
        <f t="shared" si="3332"/>
        <v>+0</v>
      </c>
      <c r="S5570" s="14" t="s">
        <v>281</v>
      </c>
    </row>
    <row r="5571">
      <c r="A5571" s="13">
        <v>45901.0</v>
      </c>
      <c r="B5571" s="14" t="s">
        <v>47</v>
      </c>
      <c r="C5571" s="14" t="s">
        <v>48</v>
      </c>
      <c r="D5571" s="14" t="s">
        <v>87</v>
      </c>
      <c r="E5571" s="14" t="s">
        <v>88</v>
      </c>
      <c r="F5571" s="15" t="s">
        <v>51</v>
      </c>
      <c r="G5571" s="14" t="s">
        <v>89</v>
      </c>
      <c r="H5571" s="14" t="s">
        <v>90</v>
      </c>
      <c r="I5571" s="14" t="s">
        <v>59</v>
      </c>
      <c r="J5571" s="14" t="s">
        <v>200</v>
      </c>
      <c r="K5571" s="14" t="s">
        <v>223</v>
      </c>
      <c r="L5571" s="14" t="s">
        <v>261</v>
      </c>
      <c r="M5571" s="14" t="s">
        <v>906</v>
      </c>
      <c r="N5571" s="14" t="s">
        <v>907</v>
      </c>
      <c r="O5571" s="14">
        <v>14.0</v>
      </c>
      <c r="P5571" s="23">
        <v>0.1484</v>
      </c>
      <c r="Q5571" s="22" t="str">
        <f>"+1.86%"</f>
        <v>+1.86%</v>
      </c>
      <c r="R5571" s="18" t="str">
        <f>"+1.97%"</f>
        <v>+1.97%</v>
      </c>
      <c r="S5571" s="14" t="s">
        <v>2516</v>
      </c>
    </row>
    <row r="5572">
      <c r="A5572" s="13">
        <v>45901.0</v>
      </c>
      <c r="B5572" s="14" t="s">
        <v>47</v>
      </c>
      <c r="C5572" s="14" t="s">
        <v>48</v>
      </c>
      <c r="D5572" s="14" t="s">
        <v>87</v>
      </c>
      <c r="E5572" s="14" t="s">
        <v>88</v>
      </c>
      <c r="F5572" s="15" t="s">
        <v>51</v>
      </c>
      <c r="G5572" s="14" t="s">
        <v>89</v>
      </c>
      <c r="H5572" s="14" t="s">
        <v>90</v>
      </c>
      <c r="I5572" s="14" t="s">
        <v>59</v>
      </c>
      <c r="J5572" s="14" t="s">
        <v>200</v>
      </c>
      <c r="K5572" s="14" t="s">
        <v>223</v>
      </c>
      <c r="L5572" s="14" t="s">
        <v>607</v>
      </c>
      <c r="M5572" s="14" t="s">
        <v>608</v>
      </c>
      <c r="N5572" s="14" t="s">
        <v>609</v>
      </c>
      <c r="O5572" s="14">
        <v>14.0</v>
      </c>
      <c r="P5572" s="23">
        <v>0.1429</v>
      </c>
      <c r="Q5572" s="22" t="str">
        <f>"+0.77%"</f>
        <v>+0.77%</v>
      </c>
      <c r="R5572" s="18" t="str">
        <f>"-1.50%"</f>
        <v>-1.50%</v>
      </c>
      <c r="S5572" s="14" t="s">
        <v>2517</v>
      </c>
    </row>
    <row r="5573">
      <c r="A5573" s="13">
        <v>45901.0</v>
      </c>
      <c r="B5573" s="14" t="s">
        <v>47</v>
      </c>
      <c r="C5573" s="14" t="s">
        <v>48</v>
      </c>
      <c r="D5573" s="14" t="s">
        <v>149</v>
      </c>
      <c r="E5573" s="14" t="s">
        <v>150</v>
      </c>
      <c r="F5573" s="15" t="s">
        <v>51</v>
      </c>
      <c r="G5573" s="14" t="s">
        <v>151</v>
      </c>
      <c r="H5573" s="14" t="s">
        <v>152</v>
      </c>
      <c r="I5573" s="14" t="s">
        <v>54</v>
      </c>
      <c r="J5573" s="14" t="s">
        <v>200</v>
      </c>
      <c r="K5573" s="14" t="s">
        <v>224</v>
      </c>
      <c r="L5573" s="14" t="s">
        <v>427</v>
      </c>
      <c r="M5573" s="14" t="s">
        <v>921</v>
      </c>
      <c r="N5573" s="14" t="s">
        <v>922</v>
      </c>
      <c r="O5573" s="14">
        <v>0.0</v>
      </c>
      <c r="P5573" s="23">
        <v>0.0</v>
      </c>
      <c r="Q5573" s="22" t="str">
        <f t="shared" ref="Q5573:R5573" si="3333">"+0.00%"</f>
        <v>+0.00%</v>
      </c>
      <c r="R5573" s="18" t="str">
        <f t="shared" si="3333"/>
        <v>+0.00%</v>
      </c>
      <c r="S5573" s="14" t="s">
        <v>923</v>
      </c>
    </row>
    <row r="5574">
      <c r="A5574" s="13">
        <v>45901.0</v>
      </c>
      <c r="B5574" s="14" t="s">
        <v>47</v>
      </c>
      <c r="C5574" s="14" t="s">
        <v>48</v>
      </c>
      <c r="D5574" s="14" t="s">
        <v>69</v>
      </c>
      <c r="E5574" s="14" t="s">
        <v>70</v>
      </c>
      <c r="F5574" s="15" t="s">
        <v>51</v>
      </c>
      <c r="G5574" s="14" t="s">
        <v>115</v>
      </c>
      <c r="H5574" s="14" t="s">
        <v>72</v>
      </c>
      <c r="I5574" s="14" t="s">
        <v>54</v>
      </c>
      <c r="J5574" s="14" t="s">
        <v>200</v>
      </c>
      <c r="K5574" s="14" t="s">
        <v>213</v>
      </c>
      <c r="L5574" s="14" t="s">
        <v>440</v>
      </c>
      <c r="M5574" s="14" t="s">
        <v>510</v>
      </c>
      <c r="N5574" s="14" t="s">
        <v>511</v>
      </c>
      <c r="O5574" s="14">
        <v>100.0</v>
      </c>
      <c r="P5574" s="23">
        <v>5.0E-4</v>
      </c>
      <c r="Q5574" s="22" t="str">
        <f>"-0.14%"</f>
        <v>-0.14%</v>
      </c>
      <c r="R5574" s="18" t="str">
        <f>"-0.06%"</f>
        <v>-0.06%</v>
      </c>
      <c r="S5574" s="14" t="s">
        <v>285</v>
      </c>
    </row>
    <row r="5575">
      <c r="A5575" s="13">
        <v>45901.0</v>
      </c>
      <c r="B5575" s="14" t="s">
        <v>47</v>
      </c>
      <c r="C5575" s="14" t="s">
        <v>48</v>
      </c>
      <c r="D5575" s="14" t="s">
        <v>69</v>
      </c>
      <c r="E5575" s="14" t="s">
        <v>70</v>
      </c>
      <c r="F5575" s="15" t="s">
        <v>51</v>
      </c>
      <c r="G5575" s="14" t="s">
        <v>115</v>
      </c>
      <c r="H5575" s="14" t="s">
        <v>72</v>
      </c>
      <c r="I5575" s="14" t="s">
        <v>54</v>
      </c>
      <c r="J5575" s="14" t="s">
        <v>200</v>
      </c>
      <c r="K5575" s="14" t="s">
        <v>215</v>
      </c>
      <c r="L5575" s="14" t="s">
        <v>548</v>
      </c>
      <c r="M5575" s="14" t="s">
        <v>1674</v>
      </c>
      <c r="N5575" s="14" t="s">
        <v>1675</v>
      </c>
      <c r="O5575" s="14">
        <v>11.0</v>
      </c>
      <c r="P5575" s="23">
        <v>-0.7793</v>
      </c>
      <c r="Q5575" s="22" t="str">
        <f>"-30.12%"</f>
        <v>-30.12%</v>
      </c>
      <c r="R5575" s="18" t="str">
        <f>"-177.93%"</f>
        <v>-177.93%</v>
      </c>
      <c r="S5575" s="14" t="s">
        <v>336</v>
      </c>
    </row>
    <row r="5576">
      <c r="A5576" s="13">
        <v>45901.0</v>
      </c>
      <c r="B5576" s="14" t="s">
        <v>47</v>
      </c>
      <c r="C5576" s="14" t="s">
        <v>48</v>
      </c>
      <c r="D5576" s="14" t="s">
        <v>158</v>
      </c>
      <c r="E5576" s="14" t="s">
        <v>159</v>
      </c>
      <c r="F5576" s="15" t="s">
        <v>51</v>
      </c>
      <c r="G5576" s="14" t="s">
        <v>160</v>
      </c>
      <c r="H5576" s="14" t="s">
        <v>158</v>
      </c>
      <c r="I5576" s="14" t="s">
        <v>54</v>
      </c>
      <c r="J5576" s="14" t="s">
        <v>198</v>
      </c>
      <c r="K5576" s="14" t="s">
        <v>205</v>
      </c>
      <c r="L5576" s="14" t="s">
        <v>274</v>
      </c>
      <c r="M5576" s="14" t="s">
        <v>275</v>
      </c>
      <c r="N5576" s="14" t="s">
        <v>276</v>
      </c>
      <c r="O5576" s="14">
        <v>0.0</v>
      </c>
      <c r="P5576" s="21">
        <v>1.0</v>
      </c>
      <c r="Q5576" s="22" t="str">
        <f t="shared" ref="Q5576:Q5577" si="3334">"+0"</f>
        <v>+0</v>
      </c>
      <c r="S5576" s="14" t="s">
        <v>277</v>
      </c>
    </row>
    <row r="5577">
      <c r="A5577" s="13">
        <v>45901.0</v>
      </c>
      <c r="B5577" s="14" t="s">
        <v>47</v>
      </c>
      <c r="C5577" s="14" t="s">
        <v>48</v>
      </c>
      <c r="D5577" s="14" t="s">
        <v>116</v>
      </c>
      <c r="E5577" s="14" t="s">
        <v>117</v>
      </c>
      <c r="F5577" s="15" t="s">
        <v>51</v>
      </c>
      <c r="G5577" s="14" t="s">
        <v>161</v>
      </c>
      <c r="H5577" s="14" t="s">
        <v>116</v>
      </c>
      <c r="I5577" s="14" t="s">
        <v>54</v>
      </c>
      <c r="J5577" s="14" t="s">
        <v>198</v>
      </c>
      <c r="K5577" s="14" t="s">
        <v>207</v>
      </c>
      <c r="L5577" s="14" t="s">
        <v>318</v>
      </c>
      <c r="M5577" s="14" t="s">
        <v>508</v>
      </c>
      <c r="N5577" s="14" t="s">
        <v>509</v>
      </c>
      <c r="O5577" s="14">
        <v>0.0</v>
      </c>
      <c r="P5577" s="21">
        <v>0.0</v>
      </c>
      <c r="Q5577" s="22" t="str">
        <f t="shared" si="3334"/>
        <v>+0</v>
      </c>
      <c r="S5577" s="14" t="s">
        <v>281</v>
      </c>
    </row>
    <row r="5578">
      <c r="A5578" s="13">
        <v>45901.0</v>
      </c>
      <c r="B5578" s="14" t="s">
        <v>47</v>
      </c>
      <c r="C5578" s="14" t="s">
        <v>48</v>
      </c>
      <c r="D5578" s="14" t="s">
        <v>77</v>
      </c>
      <c r="E5578" s="14" t="s">
        <v>78</v>
      </c>
      <c r="F5578" s="15" t="s">
        <v>51</v>
      </c>
      <c r="G5578" s="14" t="s">
        <v>128</v>
      </c>
      <c r="H5578" s="14" t="s">
        <v>81</v>
      </c>
      <c r="I5578" s="14" t="s">
        <v>59</v>
      </c>
      <c r="J5578" s="14" t="s">
        <v>200</v>
      </c>
      <c r="K5578" s="14" t="s">
        <v>204</v>
      </c>
      <c r="L5578" s="14" t="s">
        <v>253</v>
      </c>
      <c r="M5578" s="14" t="s">
        <v>844</v>
      </c>
      <c r="N5578" s="14" t="s">
        <v>845</v>
      </c>
      <c r="O5578" s="14">
        <v>0.0</v>
      </c>
      <c r="P5578" s="17"/>
      <c r="Q5578" s="22"/>
      <c r="S5578" s="14" t="s">
        <v>846</v>
      </c>
    </row>
    <row r="5579">
      <c r="A5579" s="13">
        <v>45901.0</v>
      </c>
      <c r="B5579" s="14" t="s">
        <v>47</v>
      </c>
      <c r="C5579" s="14" t="s">
        <v>48</v>
      </c>
      <c r="D5579" s="14" t="s">
        <v>158</v>
      </c>
      <c r="E5579" s="14" t="s">
        <v>159</v>
      </c>
      <c r="F5579" s="15" t="s">
        <v>51</v>
      </c>
      <c r="G5579" s="14" t="s">
        <v>160</v>
      </c>
      <c r="H5579" s="14" t="s">
        <v>158</v>
      </c>
      <c r="I5579" s="14" t="s">
        <v>54</v>
      </c>
      <c r="J5579" s="14" t="s">
        <v>200</v>
      </c>
      <c r="K5579" s="14" t="s">
        <v>201</v>
      </c>
      <c r="L5579" s="14" t="s">
        <v>253</v>
      </c>
      <c r="M5579" s="14" t="s">
        <v>409</v>
      </c>
      <c r="N5579" s="14" t="s">
        <v>410</v>
      </c>
      <c r="O5579" s="14">
        <v>1.0</v>
      </c>
      <c r="P5579" s="23">
        <v>0.0</v>
      </c>
      <c r="Q5579" s="22" t="str">
        <f t="shared" ref="Q5579:R5579" si="3335">"-0.00%"</f>
        <v>-0.00%</v>
      </c>
      <c r="R5579" s="18" t="str">
        <f t="shared" si="3335"/>
        <v>-0.00%</v>
      </c>
      <c r="S5579" s="14" t="s">
        <v>411</v>
      </c>
    </row>
    <row r="5580">
      <c r="A5580" s="13">
        <v>45901.0</v>
      </c>
      <c r="B5580" s="14" t="s">
        <v>47</v>
      </c>
      <c r="C5580" s="14" t="s">
        <v>48</v>
      </c>
      <c r="D5580" s="14" t="s">
        <v>60</v>
      </c>
      <c r="E5580" s="14" t="s">
        <v>61</v>
      </c>
      <c r="F5580" s="15" t="s">
        <v>51</v>
      </c>
      <c r="G5580" s="14" t="s">
        <v>62</v>
      </c>
      <c r="H5580" s="14" t="s">
        <v>60</v>
      </c>
      <c r="I5580" s="14" t="s">
        <v>59</v>
      </c>
      <c r="J5580" s="14" t="s">
        <v>198</v>
      </c>
      <c r="K5580" s="14" t="s">
        <v>205</v>
      </c>
      <c r="L5580" s="14" t="s">
        <v>274</v>
      </c>
      <c r="M5580" s="14" t="s">
        <v>636</v>
      </c>
      <c r="N5580" s="14" t="s">
        <v>637</v>
      </c>
      <c r="O5580" s="14">
        <v>100.0</v>
      </c>
      <c r="P5580" s="21">
        <v>1.0</v>
      </c>
      <c r="Q5580" s="22" t="str">
        <f t="shared" ref="Q5580:Q5581" si="3336">"+0"</f>
        <v>+0</v>
      </c>
      <c r="S5580" s="14" t="s">
        <v>281</v>
      </c>
    </row>
    <row r="5581">
      <c r="A5581" s="13">
        <v>45901.0</v>
      </c>
      <c r="B5581" s="14" t="s">
        <v>47</v>
      </c>
      <c r="C5581" s="14" t="s">
        <v>48</v>
      </c>
      <c r="D5581" s="14" t="s">
        <v>155</v>
      </c>
      <c r="E5581" s="14" t="s">
        <v>156</v>
      </c>
      <c r="F5581" s="15" t="s">
        <v>51</v>
      </c>
      <c r="G5581" s="14" t="s">
        <v>157</v>
      </c>
      <c r="H5581" s="14" t="s">
        <v>155</v>
      </c>
      <c r="I5581" s="14" t="s">
        <v>59</v>
      </c>
      <c r="J5581" s="14" t="s">
        <v>198</v>
      </c>
      <c r="K5581" s="14" t="s">
        <v>210</v>
      </c>
      <c r="L5581" s="14" t="s">
        <v>505</v>
      </c>
      <c r="M5581" s="14" t="s">
        <v>506</v>
      </c>
      <c r="N5581" s="14" t="s">
        <v>507</v>
      </c>
      <c r="O5581" s="14">
        <v>100.0</v>
      </c>
      <c r="P5581" s="21">
        <v>0.0</v>
      </c>
      <c r="Q5581" s="22" t="str">
        <f t="shared" si="3336"/>
        <v>+0</v>
      </c>
      <c r="R5581" s="18" t="str">
        <f>"+0"</f>
        <v>+0</v>
      </c>
      <c r="S5581" s="14" t="s">
        <v>281</v>
      </c>
    </row>
    <row r="5582">
      <c r="A5582" s="13">
        <v>45901.0</v>
      </c>
      <c r="B5582" s="14" t="s">
        <v>47</v>
      </c>
      <c r="C5582" s="14" t="s">
        <v>48</v>
      </c>
      <c r="D5582" s="14" t="s">
        <v>155</v>
      </c>
      <c r="E5582" s="14" t="s">
        <v>156</v>
      </c>
      <c r="F5582" s="15" t="s">
        <v>51</v>
      </c>
      <c r="G5582" s="14" t="s">
        <v>157</v>
      </c>
      <c r="H5582" s="14" t="s">
        <v>155</v>
      </c>
      <c r="I5582" s="14" t="s">
        <v>59</v>
      </c>
      <c r="J5582" s="14" t="s">
        <v>200</v>
      </c>
      <c r="K5582" s="14" t="s">
        <v>223</v>
      </c>
      <c r="L5582" s="14" t="s">
        <v>304</v>
      </c>
      <c r="M5582" s="14" t="s">
        <v>877</v>
      </c>
      <c r="N5582" s="14" t="s">
        <v>878</v>
      </c>
      <c r="O5582" s="14">
        <v>0.0</v>
      </c>
      <c r="P5582" s="17"/>
      <c r="Q5582" s="22"/>
      <c r="S5582" s="14" t="s">
        <v>2518</v>
      </c>
    </row>
    <row r="5583">
      <c r="A5583" s="13">
        <v>45901.0</v>
      </c>
      <c r="B5583" s="14" t="s">
        <v>47</v>
      </c>
      <c r="C5583" s="14" t="s">
        <v>48</v>
      </c>
      <c r="D5583" s="14" t="s">
        <v>49</v>
      </c>
      <c r="E5583" s="14" t="s">
        <v>50</v>
      </c>
      <c r="F5583" s="15" t="s">
        <v>51</v>
      </c>
      <c r="G5583" s="14" t="s">
        <v>52</v>
      </c>
      <c r="H5583" s="14" t="s">
        <v>53</v>
      </c>
      <c r="I5583" s="14" t="s">
        <v>54</v>
      </c>
      <c r="J5583" s="14" t="s">
        <v>200</v>
      </c>
      <c r="K5583" s="14" t="s">
        <v>213</v>
      </c>
      <c r="L5583" s="14" t="s">
        <v>257</v>
      </c>
      <c r="M5583" s="14" t="s">
        <v>499</v>
      </c>
      <c r="N5583" s="14" t="s">
        <v>500</v>
      </c>
      <c r="O5583" s="14">
        <v>0.0</v>
      </c>
      <c r="P5583" s="23">
        <v>0.0</v>
      </c>
      <c r="Q5583" s="22" t="str">
        <f t="shared" ref="Q5583:R5583" si="3337">"+0.00%"</f>
        <v>+0.00%</v>
      </c>
      <c r="R5583" s="18" t="str">
        <f t="shared" si="3337"/>
        <v>+0.00%</v>
      </c>
      <c r="S5583" s="14" t="s">
        <v>501</v>
      </c>
    </row>
    <row r="5584">
      <c r="A5584" s="13">
        <v>45901.0</v>
      </c>
      <c r="B5584" s="14" t="s">
        <v>47</v>
      </c>
      <c r="C5584" s="14" t="s">
        <v>48</v>
      </c>
      <c r="D5584" s="14" t="s">
        <v>49</v>
      </c>
      <c r="E5584" s="14" t="s">
        <v>50</v>
      </c>
      <c r="F5584" s="15" t="s">
        <v>51</v>
      </c>
      <c r="G5584" s="14" t="s">
        <v>52</v>
      </c>
      <c r="H5584" s="14" t="s">
        <v>53</v>
      </c>
      <c r="I5584" s="14" t="s">
        <v>54</v>
      </c>
      <c r="J5584" s="14" t="s">
        <v>200</v>
      </c>
      <c r="K5584" s="14" t="s">
        <v>213</v>
      </c>
      <c r="L5584" s="14" t="s">
        <v>289</v>
      </c>
      <c r="M5584" s="14" t="s">
        <v>290</v>
      </c>
      <c r="N5584" s="14" t="s">
        <v>291</v>
      </c>
      <c r="O5584" s="14">
        <v>0.0</v>
      </c>
      <c r="P5584" s="23">
        <v>0.0</v>
      </c>
      <c r="Q5584" s="22" t="str">
        <f t="shared" ref="Q5584:R5584" si="3338">"+0.00%"</f>
        <v>+0.00%</v>
      </c>
      <c r="R5584" s="18" t="str">
        <f t="shared" si="3338"/>
        <v>+0.00%</v>
      </c>
      <c r="S5584" s="14" t="s">
        <v>285</v>
      </c>
    </row>
    <row r="5585">
      <c r="A5585" s="13">
        <v>45901.0</v>
      </c>
      <c r="B5585" s="14" t="s">
        <v>47</v>
      </c>
      <c r="C5585" s="14" t="s">
        <v>48</v>
      </c>
      <c r="D5585" s="14" t="s">
        <v>49</v>
      </c>
      <c r="E5585" s="14" t="s">
        <v>50</v>
      </c>
      <c r="F5585" s="15" t="s">
        <v>51</v>
      </c>
      <c r="G5585" s="14" t="s">
        <v>52</v>
      </c>
      <c r="H5585" s="14" t="s">
        <v>53</v>
      </c>
      <c r="I5585" s="14" t="s">
        <v>54</v>
      </c>
      <c r="J5585" s="14" t="s">
        <v>198</v>
      </c>
      <c r="K5585" s="14" t="s">
        <v>212</v>
      </c>
      <c r="L5585" s="14" t="s">
        <v>249</v>
      </c>
      <c r="M5585" s="14" t="s">
        <v>686</v>
      </c>
      <c r="N5585" s="14" t="s">
        <v>687</v>
      </c>
      <c r="O5585" s="14">
        <v>0.0</v>
      </c>
      <c r="P5585" s="21">
        <v>0.0</v>
      </c>
      <c r="Q5585" s="22" t="str">
        <f t="shared" ref="Q5585:R5585" si="3339">"+0"</f>
        <v>+0</v>
      </c>
      <c r="R5585" s="18" t="str">
        <f t="shared" si="3339"/>
        <v>+0</v>
      </c>
      <c r="S5585" s="14" t="s">
        <v>277</v>
      </c>
    </row>
    <row r="5586">
      <c r="A5586" s="13">
        <v>45901.0</v>
      </c>
      <c r="B5586" s="14" t="s">
        <v>47</v>
      </c>
      <c r="C5586" s="14" t="s">
        <v>48</v>
      </c>
      <c r="D5586" s="14" t="s">
        <v>165</v>
      </c>
      <c r="E5586" s="14" t="s">
        <v>166</v>
      </c>
      <c r="F5586" s="15" t="s">
        <v>51</v>
      </c>
      <c r="G5586" s="14" t="s">
        <v>167</v>
      </c>
      <c r="H5586" s="14" t="s">
        <v>165</v>
      </c>
      <c r="I5586" s="14" t="s">
        <v>54</v>
      </c>
      <c r="J5586" s="14" t="s">
        <v>200</v>
      </c>
      <c r="K5586" s="14" t="s">
        <v>213</v>
      </c>
      <c r="L5586" s="14" t="s">
        <v>289</v>
      </c>
      <c r="M5586" s="14" t="s">
        <v>984</v>
      </c>
      <c r="N5586" s="14" t="s">
        <v>985</v>
      </c>
      <c r="O5586" s="14">
        <v>0.0</v>
      </c>
      <c r="P5586" s="23">
        <v>0.0</v>
      </c>
      <c r="Q5586" s="22" t="str">
        <f t="shared" ref="Q5586:R5586" si="3340">"+0.00%"</f>
        <v>+0.00%</v>
      </c>
      <c r="R5586" s="18" t="str">
        <f t="shared" si="3340"/>
        <v>+0.00%</v>
      </c>
      <c r="S5586" s="14" t="s">
        <v>285</v>
      </c>
    </row>
    <row r="5587">
      <c r="A5587" s="13">
        <v>45901.0</v>
      </c>
      <c r="B5587" s="14" t="s">
        <v>47</v>
      </c>
      <c r="C5587" s="14" t="s">
        <v>48</v>
      </c>
      <c r="D5587" s="14" t="s">
        <v>91</v>
      </c>
      <c r="E5587" s="14" t="s">
        <v>92</v>
      </c>
      <c r="F5587" s="14" t="s">
        <v>71</v>
      </c>
      <c r="G5587" s="14">
        <v>7295600.0</v>
      </c>
      <c r="H5587" s="14" t="s">
        <v>91</v>
      </c>
      <c r="I5587" s="14" t="s">
        <v>54</v>
      </c>
      <c r="J5587" s="14" t="s">
        <v>199</v>
      </c>
      <c r="K5587" s="14" t="s">
        <v>206</v>
      </c>
      <c r="L5587" s="14" t="s">
        <v>295</v>
      </c>
      <c r="M5587" s="14" t="s">
        <v>529</v>
      </c>
      <c r="N5587" s="14" t="s">
        <v>530</v>
      </c>
      <c r="O5587" s="14">
        <v>100.0</v>
      </c>
      <c r="P5587" s="21">
        <v>20.0</v>
      </c>
      <c r="Q5587" s="22" t="str">
        <f t="shared" ref="Q5587:R5587" si="3341">"+0"</f>
        <v>+0</v>
      </c>
      <c r="R5587" s="18" t="str">
        <f t="shared" si="3341"/>
        <v>+0</v>
      </c>
      <c r="S5587" s="14" t="s">
        <v>260</v>
      </c>
    </row>
    <row r="5588">
      <c r="A5588" s="13">
        <v>45901.0</v>
      </c>
      <c r="B5588" s="14" t="s">
        <v>47</v>
      </c>
      <c r="C5588" s="14" t="s">
        <v>48</v>
      </c>
      <c r="D5588" s="14" t="s">
        <v>99</v>
      </c>
      <c r="E5588" s="14" t="s">
        <v>100</v>
      </c>
      <c r="F5588" s="15" t="s">
        <v>51</v>
      </c>
      <c r="G5588" s="14" t="s">
        <v>101</v>
      </c>
      <c r="H5588" s="14" t="s">
        <v>102</v>
      </c>
      <c r="I5588" s="14" t="s">
        <v>54</v>
      </c>
      <c r="J5588" s="14" t="s">
        <v>198</v>
      </c>
      <c r="K5588" s="14" t="s">
        <v>210</v>
      </c>
      <c r="L5588" s="14" t="s">
        <v>264</v>
      </c>
      <c r="M5588" s="14" t="s">
        <v>1031</v>
      </c>
      <c r="N5588" s="14" t="s">
        <v>1032</v>
      </c>
      <c r="O5588" s="14">
        <v>0.0</v>
      </c>
      <c r="P5588" s="21">
        <v>0.0</v>
      </c>
      <c r="Q5588" s="22" t="str">
        <f t="shared" ref="Q5588:R5588" si="3342">"+0"</f>
        <v>+0</v>
      </c>
      <c r="R5588" s="18" t="str">
        <f t="shared" si="3342"/>
        <v>+0</v>
      </c>
      <c r="S5588" s="14" t="s">
        <v>277</v>
      </c>
    </row>
    <row r="5589">
      <c r="A5589" s="13">
        <v>45901.0</v>
      </c>
      <c r="B5589" s="14" t="s">
        <v>47</v>
      </c>
      <c r="C5589" s="14" t="s">
        <v>48</v>
      </c>
      <c r="D5589" s="14" t="s">
        <v>174</v>
      </c>
      <c r="E5589" s="14" t="s">
        <v>175</v>
      </c>
      <c r="F5589" s="15" t="s">
        <v>51</v>
      </c>
      <c r="G5589" s="14" t="s">
        <v>176</v>
      </c>
      <c r="H5589" s="14" t="s">
        <v>174</v>
      </c>
      <c r="I5589" s="14" t="s">
        <v>59</v>
      </c>
      <c r="J5589" s="14" t="s">
        <v>199</v>
      </c>
      <c r="K5589" s="14" t="s">
        <v>203</v>
      </c>
      <c r="L5589" s="14" t="s">
        <v>725</v>
      </c>
      <c r="M5589" s="14" t="s">
        <v>725</v>
      </c>
      <c r="N5589" s="14" t="s">
        <v>726</v>
      </c>
      <c r="O5589" s="14">
        <v>0.0</v>
      </c>
      <c r="P5589" s="21">
        <v>0.0</v>
      </c>
      <c r="Q5589" s="22" t="str">
        <f t="shared" ref="Q5589:R5589" si="3343">"+0"</f>
        <v>+0</v>
      </c>
      <c r="R5589" s="18" t="str">
        <f t="shared" si="3343"/>
        <v>+0</v>
      </c>
      <c r="S5589" s="14" t="s">
        <v>260</v>
      </c>
    </row>
    <row r="5590">
      <c r="A5590" s="13">
        <v>45901.0</v>
      </c>
      <c r="B5590" s="14" t="s">
        <v>47</v>
      </c>
      <c r="C5590" s="14" t="s">
        <v>48</v>
      </c>
      <c r="D5590" s="14" t="s">
        <v>140</v>
      </c>
      <c r="E5590" s="14" t="s">
        <v>141</v>
      </c>
      <c r="F5590" s="15" t="s">
        <v>51</v>
      </c>
      <c r="G5590" s="14" t="s">
        <v>142</v>
      </c>
      <c r="H5590" s="14" t="s">
        <v>140</v>
      </c>
      <c r="I5590" s="14" t="s">
        <v>59</v>
      </c>
      <c r="J5590" s="14" t="s">
        <v>200</v>
      </c>
      <c r="K5590" s="14" t="s">
        <v>227</v>
      </c>
      <c r="L5590" s="14" t="s">
        <v>721</v>
      </c>
      <c r="M5590" s="14" t="s">
        <v>748</v>
      </c>
      <c r="N5590" s="14" t="s">
        <v>749</v>
      </c>
      <c r="O5590" s="14">
        <v>0.0</v>
      </c>
      <c r="P5590" s="23">
        <v>-1.0</v>
      </c>
      <c r="Q5590" s="22" t="str">
        <f t="shared" ref="Q5590:R5590" si="3344">"+0.00%"</f>
        <v>+0.00%</v>
      </c>
      <c r="R5590" s="18" t="str">
        <f t="shared" si="3344"/>
        <v>+0.00%</v>
      </c>
      <c r="S5590" s="14" t="s">
        <v>750</v>
      </c>
    </row>
    <row r="5591">
      <c r="A5591" s="13">
        <v>45901.0</v>
      </c>
      <c r="B5591" s="14" t="s">
        <v>47</v>
      </c>
      <c r="C5591" s="14" t="s">
        <v>48</v>
      </c>
      <c r="D5591" s="14" t="s">
        <v>140</v>
      </c>
      <c r="E5591" s="14" t="s">
        <v>141</v>
      </c>
      <c r="F5591" s="15" t="s">
        <v>51</v>
      </c>
      <c r="G5591" s="14" t="s">
        <v>142</v>
      </c>
      <c r="H5591" s="14" t="s">
        <v>140</v>
      </c>
      <c r="I5591" s="14" t="s">
        <v>59</v>
      </c>
      <c r="J5591" s="14" t="s">
        <v>199</v>
      </c>
      <c r="K5591" s="14" t="s">
        <v>203</v>
      </c>
      <c r="L5591" s="14" t="s">
        <v>736</v>
      </c>
      <c r="M5591" s="14" t="s">
        <v>736</v>
      </c>
      <c r="N5591" s="14" t="s">
        <v>737</v>
      </c>
      <c r="O5591" s="14">
        <v>0.0</v>
      </c>
      <c r="P5591" s="21">
        <v>0.0</v>
      </c>
      <c r="Q5591" s="22" t="str">
        <f t="shared" ref="Q5591:R5591" si="3345">"+0"</f>
        <v>+0</v>
      </c>
      <c r="R5591" s="18" t="str">
        <f t="shared" si="3345"/>
        <v>+0</v>
      </c>
      <c r="S5591" s="14" t="s">
        <v>260</v>
      </c>
    </row>
    <row r="5592">
      <c r="A5592" s="13">
        <v>45901.0</v>
      </c>
      <c r="B5592" s="14" t="s">
        <v>47</v>
      </c>
      <c r="C5592" s="14" t="s">
        <v>48</v>
      </c>
      <c r="D5592" s="14" t="s">
        <v>132</v>
      </c>
      <c r="E5592" s="14" t="s">
        <v>133</v>
      </c>
      <c r="F5592" s="15" t="s">
        <v>51</v>
      </c>
      <c r="G5592" s="14" t="s">
        <v>134</v>
      </c>
      <c r="H5592" s="14" t="s">
        <v>135</v>
      </c>
      <c r="I5592" s="14" t="s">
        <v>59</v>
      </c>
      <c r="J5592" s="14" t="s">
        <v>199</v>
      </c>
      <c r="K5592" s="14" t="s">
        <v>203</v>
      </c>
      <c r="L5592" s="14" t="s">
        <v>725</v>
      </c>
      <c r="M5592" s="14" t="s">
        <v>725</v>
      </c>
      <c r="N5592" s="14" t="s">
        <v>726</v>
      </c>
      <c r="O5592" s="14">
        <v>0.0</v>
      </c>
      <c r="P5592" s="21">
        <v>0.0</v>
      </c>
      <c r="Q5592" s="22" t="str">
        <f t="shared" ref="Q5592:R5592" si="3346">"+0"</f>
        <v>+0</v>
      </c>
      <c r="R5592" s="18" t="str">
        <f t="shared" si="3346"/>
        <v>+0</v>
      </c>
      <c r="S5592" s="14" t="s">
        <v>260</v>
      </c>
    </row>
    <row r="5593">
      <c r="A5593" s="13">
        <v>45901.0</v>
      </c>
      <c r="B5593" s="14" t="s">
        <v>47</v>
      </c>
      <c r="C5593" s="14" t="s">
        <v>48</v>
      </c>
      <c r="D5593" s="14" t="s">
        <v>165</v>
      </c>
      <c r="E5593" s="14" t="s">
        <v>166</v>
      </c>
      <c r="F5593" s="15" t="s">
        <v>51</v>
      </c>
      <c r="G5593" s="14" t="s">
        <v>167</v>
      </c>
      <c r="H5593" s="14" t="s">
        <v>165</v>
      </c>
      <c r="I5593" s="14" t="s">
        <v>54</v>
      </c>
      <c r="J5593" s="14" t="s">
        <v>199</v>
      </c>
      <c r="K5593" s="14" t="s">
        <v>208</v>
      </c>
      <c r="L5593" s="14" t="s">
        <v>352</v>
      </c>
      <c r="M5593" s="14" t="s">
        <v>352</v>
      </c>
      <c r="N5593" s="14" t="s">
        <v>353</v>
      </c>
      <c r="O5593" s="14">
        <v>100.0</v>
      </c>
      <c r="P5593" s="21">
        <v>27.0</v>
      </c>
      <c r="Q5593" s="22" t="str">
        <f t="shared" ref="Q5593:Q5594" si="3347">"+0"</f>
        <v>+0</v>
      </c>
      <c r="R5593" s="18" t="str">
        <f>"+2"</f>
        <v>+2</v>
      </c>
      <c r="S5593" s="14" t="s">
        <v>260</v>
      </c>
    </row>
    <row r="5594">
      <c r="A5594" s="13">
        <v>45901.0</v>
      </c>
      <c r="B5594" s="14" t="s">
        <v>47</v>
      </c>
      <c r="C5594" s="14" t="s">
        <v>48</v>
      </c>
      <c r="D5594" s="14" t="s">
        <v>192</v>
      </c>
      <c r="E5594" s="14" t="s">
        <v>193</v>
      </c>
      <c r="F5594" s="15" t="s">
        <v>51</v>
      </c>
      <c r="G5594" s="14" t="s">
        <v>194</v>
      </c>
      <c r="H5594" s="14" t="s">
        <v>192</v>
      </c>
      <c r="I5594" s="14" t="s">
        <v>54</v>
      </c>
      <c r="J5594" s="14" t="s">
        <v>198</v>
      </c>
      <c r="K5594" s="14" t="s">
        <v>205</v>
      </c>
      <c r="L5594" s="14" t="s">
        <v>274</v>
      </c>
      <c r="M5594" s="14" t="s">
        <v>767</v>
      </c>
      <c r="N5594" s="14" t="s">
        <v>768</v>
      </c>
      <c r="O5594" s="14">
        <v>100.0</v>
      </c>
      <c r="P5594" s="21">
        <v>1.0</v>
      </c>
      <c r="Q5594" s="22" t="str">
        <f t="shared" si="3347"/>
        <v>+0</v>
      </c>
      <c r="S5594" s="14" t="s">
        <v>281</v>
      </c>
    </row>
    <row r="5595">
      <c r="A5595" s="13">
        <v>45901.0</v>
      </c>
      <c r="B5595" s="14" t="s">
        <v>47</v>
      </c>
      <c r="C5595" s="14" t="s">
        <v>48</v>
      </c>
      <c r="D5595" s="14" t="s">
        <v>91</v>
      </c>
      <c r="E5595" s="14" t="s">
        <v>92</v>
      </c>
      <c r="F5595" s="15" t="s">
        <v>51</v>
      </c>
      <c r="G5595" s="14" t="s">
        <v>163</v>
      </c>
      <c r="H5595" s="14" t="s">
        <v>91</v>
      </c>
      <c r="I5595" s="14" t="s">
        <v>59</v>
      </c>
      <c r="J5595" s="14" t="s">
        <v>200</v>
      </c>
      <c r="K5595" s="14" t="s">
        <v>223</v>
      </c>
      <c r="L5595" s="14" t="s">
        <v>307</v>
      </c>
      <c r="M5595" s="14" t="s">
        <v>856</v>
      </c>
      <c r="N5595" s="14" t="s">
        <v>857</v>
      </c>
      <c r="O5595" s="14">
        <v>0.0</v>
      </c>
      <c r="P5595" s="23">
        <v>0.0</v>
      </c>
      <c r="Q5595" s="22" t="str">
        <f t="shared" ref="Q5595:R5595" si="3348">"+0.00%"</f>
        <v>+0.00%</v>
      </c>
      <c r="R5595" s="18" t="str">
        <f t="shared" si="3348"/>
        <v>+0.00%</v>
      </c>
      <c r="S5595" s="14" t="s">
        <v>285</v>
      </c>
    </row>
    <row r="5596">
      <c r="A5596" s="13">
        <v>45901.0</v>
      </c>
      <c r="B5596" s="14" t="s">
        <v>47</v>
      </c>
      <c r="C5596" s="14" t="s">
        <v>48</v>
      </c>
      <c r="D5596" s="14" t="s">
        <v>192</v>
      </c>
      <c r="E5596" s="14" t="s">
        <v>193</v>
      </c>
      <c r="F5596" s="15" t="s">
        <v>51</v>
      </c>
      <c r="G5596" s="14" t="s">
        <v>194</v>
      </c>
      <c r="H5596" s="14" t="s">
        <v>192</v>
      </c>
      <c r="I5596" s="14" t="s">
        <v>54</v>
      </c>
      <c r="J5596" s="14" t="s">
        <v>200</v>
      </c>
      <c r="K5596" s="14" t="s">
        <v>231</v>
      </c>
      <c r="L5596" s="14" t="s">
        <v>762</v>
      </c>
      <c r="M5596" s="14" t="s">
        <v>763</v>
      </c>
      <c r="N5596" s="14" t="s">
        <v>764</v>
      </c>
      <c r="O5596" s="14">
        <v>0.0</v>
      </c>
      <c r="P5596" s="21">
        <v>0.0</v>
      </c>
      <c r="Q5596" s="22" t="str">
        <f t="shared" ref="Q5596:R5596" si="3349">"+0"</f>
        <v>+0</v>
      </c>
      <c r="R5596" s="18" t="str">
        <f t="shared" si="3349"/>
        <v>+0</v>
      </c>
      <c r="S5596" s="14" t="s">
        <v>260</v>
      </c>
    </row>
    <row r="5597">
      <c r="A5597" s="13">
        <v>45901.0</v>
      </c>
      <c r="B5597" s="14" t="s">
        <v>47</v>
      </c>
      <c r="C5597" s="14" t="s">
        <v>48</v>
      </c>
      <c r="D5597" s="14" t="s">
        <v>82</v>
      </c>
      <c r="E5597" s="14" t="s">
        <v>83</v>
      </c>
      <c r="F5597" s="15" t="s">
        <v>51</v>
      </c>
      <c r="G5597" s="14" t="s">
        <v>84</v>
      </c>
      <c r="H5597" s="14" t="s">
        <v>82</v>
      </c>
      <c r="I5597" s="14" t="s">
        <v>59</v>
      </c>
      <c r="J5597" s="14" t="s">
        <v>200</v>
      </c>
      <c r="K5597" s="14" t="s">
        <v>213</v>
      </c>
      <c r="L5597" s="14" t="s">
        <v>359</v>
      </c>
      <c r="M5597" s="14" t="s">
        <v>628</v>
      </c>
      <c r="N5597" s="14" t="s">
        <v>629</v>
      </c>
      <c r="O5597" s="14">
        <v>100.0</v>
      </c>
      <c r="P5597" s="21">
        <v>39.0</v>
      </c>
      <c r="Q5597" s="22" t="str">
        <f t="shared" ref="Q5597:R5597" si="3350">"+0"</f>
        <v>+0</v>
      </c>
      <c r="R5597" s="18" t="str">
        <f t="shared" si="3350"/>
        <v>+0</v>
      </c>
      <c r="S5597" s="14" t="s">
        <v>260</v>
      </c>
    </row>
    <row r="5598">
      <c r="A5598" s="13">
        <v>45901.0</v>
      </c>
      <c r="B5598" s="14" t="s">
        <v>47</v>
      </c>
      <c r="C5598" s="14" t="s">
        <v>48</v>
      </c>
      <c r="D5598" s="14" t="s">
        <v>66</v>
      </c>
      <c r="E5598" s="14" t="s">
        <v>67</v>
      </c>
      <c r="F5598" s="15" t="s">
        <v>51</v>
      </c>
      <c r="G5598" s="14" t="s">
        <v>68</v>
      </c>
      <c r="H5598" s="14" t="s">
        <v>66</v>
      </c>
      <c r="I5598" s="14" t="s">
        <v>59</v>
      </c>
      <c r="J5598" s="14" t="s">
        <v>200</v>
      </c>
      <c r="K5598" s="14" t="s">
        <v>223</v>
      </c>
      <c r="L5598" s="14" t="s">
        <v>304</v>
      </c>
      <c r="M5598" s="14" t="s">
        <v>688</v>
      </c>
      <c r="N5598" s="14" t="s">
        <v>689</v>
      </c>
      <c r="O5598" s="14">
        <v>0.0</v>
      </c>
      <c r="P5598" s="23">
        <v>0.0</v>
      </c>
      <c r="Q5598" s="22" t="str">
        <f t="shared" ref="Q5598:R5598" si="3351">"+0.00%"</f>
        <v>+0.00%</v>
      </c>
      <c r="R5598" s="18" t="str">
        <f t="shared" si="3351"/>
        <v>+0.00%</v>
      </c>
      <c r="S5598" s="14" t="s">
        <v>2519</v>
      </c>
    </row>
    <row r="5599">
      <c r="A5599" s="13">
        <v>45901.0</v>
      </c>
      <c r="B5599" s="14" t="s">
        <v>47</v>
      </c>
      <c r="C5599" s="14" t="s">
        <v>48</v>
      </c>
      <c r="D5599" s="14" t="s">
        <v>73</v>
      </c>
      <c r="E5599" s="14" t="s">
        <v>74</v>
      </c>
      <c r="F5599" s="15" t="s">
        <v>51</v>
      </c>
      <c r="G5599" s="14" t="s">
        <v>75</v>
      </c>
      <c r="H5599" s="14" t="s">
        <v>76</v>
      </c>
      <c r="I5599" s="14" t="s">
        <v>59</v>
      </c>
      <c r="J5599" s="14" t="s">
        <v>198</v>
      </c>
      <c r="K5599" s="14" t="s">
        <v>212</v>
      </c>
      <c r="L5599" s="14" t="s">
        <v>344</v>
      </c>
      <c r="M5599" s="14" t="s">
        <v>580</v>
      </c>
      <c r="N5599" s="14" t="s">
        <v>581</v>
      </c>
      <c r="O5599" s="14">
        <v>100.0</v>
      </c>
      <c r="P5599" s="21">
        <v>1.0</v>
      </c>
      <c r="Q5599" s="22" t="str">
        <f>"+1"</f>
        <v>+1</v>
      </c>
      <c r="S5599" s="14" t="s">
        <v>281</v>
      </c>
    </row>
    <row r="5600">
      <c r="A5600" s="13">
        <v>45901.0</v>
      </c>
      <c r="B5600" s="14" t="s">
        <v>47</v>
      </c>
      <c r="C5600" s="14" t="s">
        <v>48</v>
      </c>
      <c r="D5600" s="14" t="s">
        <v>143</v>
      </c>
      <c r="E5600" s="14" t="s">
        <v>144</v>
      </c>
      <c r="F5600" s="15" t="s">
        <v>51</v>
      </c>
      <c r="G5600" s="14" t="s">
        <v>145</v>
      </c>
      <c r="H5600" s="14" t="s">
        <v>143</v>
      </c>
      <c r="I5600" s="14" t="s">
        <v>59</v>
      </c>
      <c r="J5600" s="14" t="s">
        <v>200</v>
      </c>
      <c r="K5600" s="14" t="s">
        <v>222</v>
      </c>
      <c r="L5600" s="14" t="s">
        <v>301</v>
      </c>
      <c r="M5600" s="14" t="s">
        <v>302</v>
      </c>
      <c r="N5600" s="14" t="s">
        <v>303</v>
      </c>
      <c r="O5600" s="14">
        <v>0.0</v>
      </c>
      <c r="P5600" s="21">
        <v>0.0</v>
      </c>
      <c r="Q5600" s="22" t="str">
        <f t="shared" ref="Q5600:R5600" si="3352">"+0"</f>
        <v>+0</v>
      </c>
      <c r="R5600" s="18" t="str">
        <f t="shared" si="3352"/>
        <v>+0</v>
      </c>
      <c r="S5600" s="14" t="s">
        <v>260</v>
      </c>
    </row>
    <row r="5601">
      <c r="A5601" s="13">
        <v>45901.0</v>
      </c>
      <c r="B5601" s="14" t="s">
        <v>47</v>
      </c>
      <c r="C5601" s="14" t="s">
        <v>48</v>
      </c>
      <c r="D5601" s="14" t="s">
        <v>143</v>
      </c>
      <c r="E5601" s="14" t="s">
        <v>144</v>
      </c>
      <c r="F5601" s="15" t="s">
        <v>51</v>
      </c>
      <c r="G5601" s="14" t="s">
        <v>145</v>
      </c>
      <c r="H5601" s="14" t="s">
        <v>143</v>
      </c>
      <c r="I5601" s="14" t="s">
        <v>59</v>
      </c>
      <c r="J5601" s="14" t="s">
        <v>200</v>
      </c>
      <c r="K5601" s="14" t="s">
        <v>232</v>
      </c>
      <c r="L5601" s="14" t="s">
        <v>286</v>
      </c>
      <c r="M5601" s="14" t="s">
        <v>287</v>
      </c>
      <c r="N5601" s="14" t="s">
        <v>288</v>
      </c>
      <c r="O5601" s="14">
        <v>0.0</v>
      </c>
      <c r="P5601" s="23">
        <v>0.0</v>
      </c>
      <c r="Q5601" s="22" t="str">
        <f t="shared" ref="Q5601:R5601" si="3353">"+0.00%"</f>
        <v>+0.00%</v>
      </c>
      <c r="R5601" s="18" t="str">
        <f t="shared" si="3353"/>
        <v>+0.00%</v>
      </c>
      <c r="S5601" s="14" t="s">
        <v>285</v>
      </c>
    </row>
    <row r="5602">
      <c r="A5602" s="13">
        <v>45901.0</v>
      </c>
      <c r="B5602" s="14" t="s">
        <v>47</v>
      </c>
      <c r="C5602" s="14" t="s">
        <v>48</v>
      </c>
      <c r="D5602" s="14" t="s">
        <v>132</v>
      </c>
      <c r="E5602" s="14" t="s">
        <v>133</v>
      </c>
      <c r="F5602" s="15" t="s">
        <v>51</v>
      </c>
      <c r="G5602" s="14" t="s">
        <v>134</v>
      </c>
      <c r="H5602" s="14" t="s">
        <v>135</v>
      </c>
      <c r="I5602" s="14" t="s">
        <v>59</v>
      </c>
      <c r="J5602" s="14" t="s">
        <v>200</v>
      </c>
      <c r="K5602" s="14" t="s">
        <v>213</v>
      </c>
      <c r="L5602" s="14" t="s">
        <v>289</v>
      </c>
      <c r="M5602" s="14" t="s">
        <v>290</v>
      </c>
      <c r="N5602" s="14" t="s">
        <v>291</v>
      </c>
      <c r="O5602" s="14">
        <v>0.0</v>
      </c>
      <c r="P5602" s="23">
        <v>0.0</v>
      </c>
      <c r="Q5602" s="22" t="str">
        <f t="shared" ref="Q5602:R5602" si="3354">"+0.00%"</f>
        <v>+0.00%</v>
      </c>
      <c r="R5602" s="18" t="str">
        <f t="shared" si="3354"/>
        <v>+0.00%</v>
      </c>
      <c r="S5602" s="14" t="s">
        <v>285</v>
      </c>
    </row>
    <row r="5603">
      <c r="A5603" s="13">
        <v>45901.0</v>
      </c>
      <c r="B5603" s="14" t="s">
        <v>47</v>
      </c>
      <c r="C5603" s="14" t="s">
        <v>48</v>
      </c>
      <c r="D5603" s="14" t="s">
        <v>87</v>
      </c>
      <c r="E5603" s="14" t="s">
        <v>88</v>
      </c>
      <c r="F5603" s="15" t="s">
        <v>51</v>
      </c>
      <c r="G5603" s="14" t="s">
        <v>89</v>
      </c>
      <c r="H5603" s="14" t="s">
        <v>90</v>
      </c>
      <c r="I5603" s="14" t="s">
        <v>59</v>
      </c>
      <c r="J5603" s="14" t="s">
        <v>200</v>
      </c>
      <c r="K5603" s="14" t="s">
        <v>223</v>
      </c>
      <c r="L5603" s="14" t="s">
        <v>422</v>
      </c>
      <c r="M5603" s="14" t="s">
        <v>1197</v>
      </c>
      <c r="N5603" s="14" t="s">
        <v>1198</v>
      </c>
      <c r="O5603" s="14">
        <v>100.0</v>
      </c>
      <c r="P5603" s="23">
        <v>0.3407</v>
      </c>
      <c r="Q5603" s="22" t="str">
        <f>"+2.71%"</f>
        <v>+2.71%</v>
      </c>
      <c r="R5603" s="18" t="str">
        <f>"+1.32%"</f>
        <v>+1.32%</v>
      </c>
      <c r="S5603" s="14" t="s">
        <v>285</v>
      </c>
    </row>
    <row r="5604">
      <c r="A5604" s="13">
        <v>45901.0</v>
      </c>
      <c r="B5604" s="14" t="s">
        <v>47</v>
      </c>
      <c r="C5604" s="14" t="s">
        <v>48</v>
      </c>
      <c r="D5604" s="14" t="s">
        <v>149</v>
      </c>
      <c r="E5604" s="14" t="s">
        <v>150</v>
      </c>
      <c r="F5604" s="15" t="s">
        <v>51</v>
      </c>
      <c r="G5604" s="14" t="s">
        <v>151</v>
      </c>
      <c r="H5604" s="14" t="s">
        <v>152</v>
      </c>
      <c r="I5604" s="14" t="s">
        <v>54</v>
      </c>
      <c r="J5604" s="14" t="s">
        <v>200</v>
      </c>
      <c r="K5604" s="14" t="s">
        <v>223</v>
      </c>
      <c r="L5604" s="14" t="s">
        <v>710</v>
      </c>
      <c r="M5604" s="14" t="s">
        <v>806</v>
      </c>
      <c r="N5604" s="14" t="s">
        <v>807</v>
      </c>
      <c r="O5604" s="14">
        <v>0.0</v>
      </c>
      <c r="P5604" s="23">
        <v>0.0</v>
      </c>
      <c r="Q5604" s="22" t="str">
        <f t="shared" ref="Q5604:R5604" si="3355">"+0.00%"</f>
        <v>+0.00%</v>
      </c>
      <c r="R5604" s="18" t="str">
        <f t="shared" si="3355"/>
        <v>+0.00%</v>
      </c>
      <c r="S5604" s="14" t="s">
        <v>285</v>
      </c>
    </row>
    <row r="5605">
      <c r="A5605" s="13">
        <v>45901.0</v>
      </c>
      <c r="B5605" s="14" t="s">
        <v>47</v>
      </c>
      <c r="C5605" s="14" t="s">
        <v>48</v>
      </c>
      <c r="D5605" s="14" t="s">
        <v>69</v>
      </c>
      <c r="E5605" s="14" t="s">
        <v>70</v>
      </c>
      <c r="F5605" s="15" t="s">
        <v>51</v>
      </c>
      <c r="G5605" s="14" t="s">
        <v>115</v>
      </c>
      <c r="H5605" s="14" t="s">
        <v>72</v>
      </c>
      <c r="I5605" s="14" t="s">
        <v>54</v>
      </c>
      <c r="J5605" s="14" t="s">
        <v>200</v>
      </c>
      <c r="K5605" s="14" t="s">
        <v>224</v>
      </c>
      <c r="L5605" s="14" t="s">
        <v>427</v>
      </c>
      <c r="M5605" s="14" t="s">
        <v>1575</v>
      </c>
      <c r="N5605" s="14" t="s">
        <v>1576</v>
      </c>
      <c r="O5605" s="14">
        <v>0.0</v>
      </c>
      <c r="P5605" s="23">
        <v>0.0</v>
      </c>
      <c r="Q5605" s="22" t="str">
        <f t="shared" ref="Q5605:R5605" si="3356">"+0.00%"</f>
        <v>+0.00%</v>
      </c>
      <c r="R5605" s="18" t="str">
        <f t="shared" si="3356"/>
        <v>+0.00%</v>
      </c>
      <c r="S5605" s="14" t="s">
        <v>1543</v>
      </c>
    </row>
    <row r="5606">
      <c r="A5606" s="13">
        <v>45901.0</v>
      </c>
      <c r="B5606" s="14" t="s">
        <v>47</v>
      </c>
      <c r="C5606" s="14" t="s">
        <v>48</v>
      </c>
      <c r="D5606" s="14" t="s">
        <v>125</v>
      </c>
      <c r="E5606" s="14" t="s">
        <v>126</v>
      </c>
      <c r="F5606" s="15" t="s">
        <v>51</v>
      </c>
      <c r="G5606" s="14" t="s">
        <v>127</v>
      </c>
      <c r="H5606" s="14" t="s">
        <v>125</v>
      </c>
      <c r="I5606" s="14" t="s">
        <v>59</v>
      </c>
      <c r="J5606" s="14" t="s">
        <v>200</v>
      </c>
      <c r="K5606" s="14" t="s">
        <v>232</v>
      </c>
      <c r="L5606" s="14" t="s">
        <v>304</v>
      </c>
      <c r="M5606" s="14" t="s">
        <v>702</v>
      </c>
      <c r="N5606" s="14" t="s">
        <v>703</v>
      </c>
      <c r="O5606" s="14">
        <v>0.0</v>
      </c>
      <c r="P5606" s="23">
        <v>0.0</v>
      </c>
      <c r="Q5606" s="22" t="str">
        <f t="shared" ref="Q5606:R5606" si="3357">"+0.00%"</f>
        <v>+0.00%</v>
      </c>
      <c r="R5606" s="18" t="str">
        <f t="shared" si="3357"/>
        <v>+0.00%</v>
      </c>
      <c r="S5606" s="14" t="s">
        <v>285</v>
      </c>
    </row>
    <row r="5607">
      <c r="A5607" s="13">
        <v>45901.0</v>
      </c>
      <c r="B5607" s="14" t="s">
        <v>47</v>
      </c>
      <c r="C5607" s="14" t="s">
        <v>48</v>
      </c>
      <c r="D5607" s="14" t="s">
        <v>69</v>
      </c>
      <c r="E5607" s="14" t="s">
        <v>70</v>
      </c>
      <c r="F5607" s="15" t="s">
        <v>51</v>
      </c>
      <c r="G5607" s="14" t="s">
        <v>115</v>
      </c>
      <c r="H5607" s="14" t="s">
        <v>72</v>
      </c>
      <c r="I5607" s="14" t="s">
        <v>54</v>
      </c>
      <c r="J5607" s="14" t="s">
        <v>198</v>
      </c>
      <c r="K5607" s="14" t="s">
        <v>212</v>
      </c>
      <c r="L5607" s="14" t="s">
        <v>344</v>
      </c>
      <c r="M5607" s="14" t="s">
        <v>580</v>
      </c>
      <c r="N5607" s="14" t="s">
        <v>581</v>
      </c>
      <c r="O5607" s="14">
        <v>100.0</v>
      </c>
      <c r="P5607" s="21">
        <v>1.0</v>
      </c>
      <c r="Q5607" s="22" t="str">
        <f>"+1"</f>
        <v>+1</v>
      </c>
      <c r="S5607" s="14" t="s">
        <v>281</v>
      </c>
    </row>
    <row r="5608">
      <c r="A5608" s="13">
        <v>45901.0</v>
      </c>
      <c r="B5608" s="14" t="s">
        <v>47</v>
      </c>
      <c r="C5608" s="14" t="s">
        <v>48</v>
      </c>
      <c r="D5608" s="14" t="s">
        <v>77</v>
      </c>
      <c r="E5608" s="14" t="s">
        <v>78</v>
      </c>
      <c r="F5608" s="14" t="s">
        <v>71</v>
      </c>
      <c r="G5608" s="14">
        <v>5.36009043E8</v>
      </c>
      <c r="H5608" s="14" t="s">
        <v>81</v>
      </c>
      <c r="J5608" s="14" t="s">
        <v>200</v>
      </c>
      <c r="K5608" s="14" t="s">
        <v>218</v>
      </c>
      <c r="L5608" s="14" t="s">
        <v>253</v>
      </c>
      <c r="M5608" s="14" t="s">
        <v>784</v>
      </c>
      <c r="N5608" s="14" t="s">
        <v>785</v>
      </c>
      <c r="O5608" s="14">
        <v>1.0</v>
      </c>
      <c r="P5608" s="23">
        <v>1.0E-4</v>
      </c>
      <c r="Q5608" s="22" t="str">
        <f>"+0.01%"</f>
        <v>+0.01%</v>
      </c>
      <c r="S5608" s="14" t="s">
        <v>2413</v>
      </c>
    </row>
    <row r="5609">
      <c r="A5609" s="13">
        <v>45901.0</v>
      </c>
      <c r="B5609" s="14" t="s">
        <v>47</v>
      </c>
      <c r="C5609" s="14" t="s">
        <v>48</v>
      </c>
      <c r="D5609" s="14" t="s">
        <v>112</v>
      </c>
      <c r="E5609" s="14" t="s">
        <v>113</v>
      </c>
      <c r="F5609" s="15" t="s">
        <v>51</v>
      </c>
      <c r="G5609" s="14" t="s">
        <v>114</v>
      </c>
      <c r="H5609" s="14" t="s">
        <v>112</v>
      </c>
      <c r="I5609" s="14" t="s">
        <v>59</v>
      </c>
      <c r="J5609" s="14" t="s">
        <v>200</v>
      </c>
      <c r="K5609" s="14" t="s">
        <v>213</v>
      </c>
      <c r="L5609" s="14" t="s">
        <v>307</v>
      </c>
      <c r="M5609" s="14" t="s">
        <v>502</v>
      </c>
      <c r="N5609" s="14" t="s">
        <v>503</v>
      </c>
      <c r="O5609" s="14">
        <v>0.0</v>
      </c>
      <c r="P5609" s="23">
        <v>0.0</v>
      </c>
      <c r="Q5609" s="22" t="str">
        <f t="shared" ref="Q5609:R5609" si="3358">"+0.00%"</f>
        <v>+0.00%</v>
      </c>
      <c r="R5609" s="18" t="str">
        <f t="shared" si="3358"/>
        <v>+0.00%</v>
      </c>
      <c r="S5609" s="14" t="s">
        <v>2520</v>
      </c>
    </row>
    <row r="5610">
      <c r="A5610" s="13">
        <v>45901.0</v>
      </c>
      <c r="B5610" s="14" t="s">
        <v>47</v>
      </c>
      <c r="C5610" s="14" t="s">
        <v>48</v>
      </c>
      <c r="D5610" s="14" t="s">
        <v>155</v>
      </c>
      <c r="E5610" s="14" t="s">
        <v>156</v>
      </c>
      <c r="F5610" s="15" t="s">
        <v>51</v>
      </c>
      <c r="G5610" s="14" t="s">
        <v>157</v>
      </c>
      <c r="H5610" s="14" t="s">
        <v>155</v>
      </c>
      <c r="I5610" s="14" t="s">
        <v>59</v>
      </c>
      <c r="J5610" s="14" t="s">
        <v>200</v>
      </c>
      <c r="K5610" s="14" t="s">
        <v>223</v>
      </c>
      <c r="L5610" s="14" t="s">
        <v>607</v>
      </c>
      <c r="M5610" s="14" t="s">
        <v>765</v>
      </c>
      <c r="N5610" s="14" t="s">
        <v>766</v>
      </c>
      <c r="O5610" s="14">
        <v>0.0</v>
      </c>
      <c r="P5610" s="21">
        <v>0.0</v>
      </c>
      <c r="Q5610" s="22" t="str">
        <f t="shared" ref="Q5610:R5610" si="3359">"+0"</f>
        <v>+0</v>
      </c>
      <c r="R5610" s="18" t="str">
        <f t="shared" si="3359"/>
        <v>+0</v>
      </c>
      <c r="S5610" s="14" t="s">
        <v>260</v>
      </c>
    </row>
    <row r="5611">
      <c r="A5611" s="13">
        <v>45901.0</v>
      </c>
      <c r="B5611" s="14" t="s">
        <v>47</v>
      </c>
      <c r="C5611" s="14" t="s">
        <v>48</v>
      </c>
      <c r="D5611" s="14" t="s">
        <v>168</v>
      </c>
      <c r="E5611" s="14" t="s">
        <v>169</v>
      </c>
      <c r="F5611" s="15" t="s">
        <v>51</v>
      </c>
      <c r="G5611" s="14" t="s">
        <v>170</v>
      </c>
      <c r="H5611" s="14" t="s">
        <v>168</v>
      </c>
      <c r="I5611" s="14" t="s">
        <v>59</v>
      </c>
      <c r="J5611" s="14" t="s">
        <v>200</v>
      </c>
      <c r="K5611" s="14" t="s">
        <v>201</v>
      </c>
      <c r="L5611" s="14" t="s">
        <v>253</v>
      </c>
      <c r="M5611" s="14" t="s">
        <v>409</v>
      </c>
      <c r="N5611" s="14" t="s">
        <v>410</v>
      </c>
      <c r="O5611" s="14">
        <v>1.0</v>
      </c>
      <c r="P5611" s="23">
        <v>0.0</v>
      </c>
      <c r="Q5611" s="22" t="str">
        <f>"+0.00%"</f>
        <v>+0.00%</v>
      </c>
      <c r="R5611" s="18" t="str">
        <f>"-0.03%"</f>
        <v>-0.03%</v>
      </c>
      <c r="S5611" s="14" t="s">
        <v>898</v>
      </c>
    </row>
    <row r="5612">
      <c r="A5612" s="13">
        <v>45901.0</v>
      </c>
      <c r="B5612" s="14" t="s">
        <v>47</v>
      </c>
      <c r="C5612" s="14" t="s">
        <v>48</v>
      </c>
      <c r="D5612" s="14" t="s">
        <v>168</v>
      </c>
      <c r="E5612" s="14" t="s">
        <v>169</v>
      </c>
      <c r="F5612" s="15" t="s">
        <v>51</v>
      </c>
      <c r="G5612" s="14" t="s">
        <v>170</v>
      </c>
      <c r="H5612" s="14" t="s">
        <v>168</v>
      </c>
      <c r="I5612" s="14" t="s">
        <v>59</v>
      </c>
      <c r="J5612" s="14" t="s">
        <v>198</v>
      </c>
      <c r="K5612" s="14" t="s">
        <v>207</v>
      </c>
      <c r="L5612" s="14" t="s">
        <v>318</v>
      </c>
      <c r="M5612" s="14" t="s">
        <v>319</v>
      </c>
      <c r="N5612" s="14" t="s">
        <v>320</v>
      </c>
      <c r="O5612" s="14">
        <v>0.0</v>
      </c>
      <c r="P5612" s="21">
        <v>0.0</v>
      </c>
      <c r="Q5612" s="22" t="str">
        <f>"+0"</f>
        <v>+0</v>
      </c>
      <c r="S5612" s="14" t="s">
        <v>281</v>
      </c>
    </row>
    <row r="5613">
      <c r="A5613" s="13">
        <v>45901.0</v>
      </c>
      <c r="B5613" s="14" t="s">
        <v>47</v>
      </c>
      <c r="C5613" s="14" t="s">
        <v>48</v>
      </c>
      <c r="D5613" s="14" t="s">
        <v>56</v>
      </c>
      <c r="E5613" s="14" t="s">
        <v>57</v>
      </c>
      <c r="F5613" s="15" t="s">
        <v>51</v>
      </c>
      <c r="G5613" s="14" t="s">
        <v>58</v>
      </c>
      <c r="H5613" s="14" t="s">
        <v>56</v>
      </c>
      <c r="I5613" s="14" t="s">
        <v>59</v>
      </c>
      <c r="J5613" s="14" t="s">
        <v>199</v>
      </c>
      <c r="K5613" s="14" t="s">
        <v>206</v>
      </c>
      <c r="L5613" s="14" t="s">
        <v>433</v>
      </c>
      <c r="M5613" s="14" t="s">
        <v>433</v>
      </c>
      <c r="N5613" s="14" t="s">
        <v>434</v>
      </c>
      <c r="O5613" s="14">
        <v>25.0</v>
      </c>
      <c r="P5613" s="21">
        <v>19.0</v>
      </c>
      <c r="Q5613" s="22" t="str">
        <f>"+11"</f>
        <v>+11</v>
      </c>
      <c r="R5613" s="18" t="str">
        <f>"+0"</f>
        <v>+0</v>
      </c>
      <c r="S5613" s="14" t="s">
        <v>383</v>
      </c>
    </row>
    <row r="5614">
      <c r="A5614" s="13">
        <v>45901.0</v>
      </c>
      <c r="B5614" s="14" t="s">
        <v>47</v>
      </c>
      <c r="C5614" s="14" t="s">
        <v>48</v>
      </c>
      <c r="D5614" s="14" t="s">
        <v>165</v>
      </c>
      <c r="E5614" s="14" t="s">
        <v>166</v>
      </c>
      <c r="F5614" s="15" t="s">
        <v>51</v>
      </c>
      <c r="G5614" s="14" t="s">
        <v>167</v>
      </c>
      <c r="H5614" s="14" t="s">
        <v>165</v>
      </c>
      <c r="I5614" s="14" t="s">
        <v>54</v>
      </c>
      <c r="J5614" s="14" t="s">
        <v>198</v>
      </c>
      <c r="K5614" s="14" t="s">
        <v>212</v>
      </c>
      <c r="L5614" s="14" t="s">
        <v>344</v>
      </c>
      <c r="M5614" s="14" t="s">
        <v>345</v>
      </c>
      <c r="N5614" s="14" t="s">
        <v>346</v>
      </c>
      <c r="O5614" s="14">
        <v>0.0</v>
      </c>
      <c r="P5614" s="21">
        <v>0.0</v>
      </c>
      <c r="Q5614" s="22" t="str">
        <f t="shared" ref="Q5614:R5614" si="3360">"+0"</f>
        <v>+0</v>
      </c>
      <c r="R5614" s="18" t="str">
        <f t="shared" si="3360"/>
        <v>+0</v>
      </c>
      <c r="S5614" s="14" t="s">
        <v>277</v>
      </c>
    </row>
    <row r="5615">
      <c r="A5615" s="13">
        <v>45901.0</v>
      </c>
      <c r="B5615" s="14" t="s">
        <v>47</v>
      </c>
      <c r="C5615" s="14" t="s">
        <v>48</v>
      </c>
      <c r="D5615" s="14" t="s">
        <v>165</v>
      </c>
      <c r="E5615" s="14" t="s">
        <v>166</v>
      </c>
      <c r="F5615" s="15" t="s">
        <v>51</v>
      </c>
      <c r="G5615" s="14" t="s">
        <v>167</v>
      </c>
      <c r="H5615" s="14" t="s">
        <v>165</v>
      </c>
      <c r="I5615" s="14" t="s">
        <v>54</v>
      </c>
      <c r="J5615" s="14" t="s">
        <v>200</v>
      </c>
      <c r="K5615" s="14" t="s">
        <v>227</v>
      </c>
      <c r="L5615" s="14" t="s">
        <v>721</v>
      </c>
      <c r="M5615" s="14" t="s">
        <v>1060</v>
      </c>
      <c r="N5615" s="14" t="s">
        <v>1061</v>
      </c>
      <c r="O5615" s="14">
        <v>54.0</v>
      </c>
      <c r="P5615" s="23">
        <v>0.0969</v>
      </c>
      <c r="Q5615" s="22" t="str">
        <f>"+20.53%"</f>
        <v>+20.53%</v>
      </c>
      <c r="R5615" s="18" t="str">
        <f>"+1.95%"</f>
        <v>+1.95%</v>
      </c>
      <c r="S5615" s="14" t="s">
        <v>1062</v>
      </c>
    </row>
    <row r="5616">
      <c r="A5616" s="13">
        <v>45901.0</v>
      </c>
      <c r="B5616" s="14" t="s">
        <v>47</v>
      </c>
      <c r="C5616" s="14" t="s">
        <v>48</v>
      </c>
      <c r="D5616" s="14" t="s">
        <v>165</v>
      </c>
      <c r="E5616" s="14" t="s">
        <v>166</v>
      </c>
      <c r="F5616" s="15" t="s">
        <v>51</v>
      </c>
      <c r="G5616" s="14" t="s">
        <v>167</v>
      </c>
      <c r="H5616" s="14" t="s">
        <v>165</v>
      </c>
      <c r="I5616" s="14" t="s">
        <v>54</v>
      </c>
      <c r="J5616" s="14" t="s">
        <v>200</v>
      </c>
      <c r="K5616" s="14" t="s">
        <v>213</v>
      </c>
      <c r="L5616" s="14" t="s">
        <v>257</v>
      </c>
      <c r="M5616" s="14" t="s">
        <v>517</v>
      </c>
      <c r="N5616" s="14" t="s">
        <v>518</v>
      </c>
      <c r="O5616" s="14">
        <v>100.0</v>
      </c>
      <c r="P5616" s="21">
        <v>75.0</v>
      </c>
      <c r="Q5616" s="22" t="str">
        <f t="shared" ref="Q5616:R5616" si="3361">"+0"</f>
        <v>+0</v>
      </c>
      <c r="R5616" s="18" t="str">
        <f t="shared" si="3361"/>
        <v>+0</v>
      </c>
      <c r="S5616" s="14" t="s">
        <v>260</v>
      </c>
    </row>
    <row r="5617">
      <c r="A5617" s="13">
        <v>45901.0</v>
      </c>
      <c r="B5617" s="14" t="s">
        <v>47</v>
      </c>
      <c r="C5617" s="14" t="s">
        <v>48</v>
      </c>
      <c r="D5617" s="14" t="s">
        <v>91</v>
      </c>
      <c r="E5617" s="14" t="s">
        <v>92</v>
      </c>
      <c r="F5617" s="14" t="s">
        <v>71</v>
      </c>
      <c r="G5617" s="14">
        <v>5.00008613E8</v>
      </c>
      <c r="H5617" s="14" t="s">
        <v>91</v>
      </c>
      <c r="I5617" s="14" t="s">
        <v>59</v>
      </c>
      <c r="J5617" s="14" t="s">
        <v>199</v>
      </c>
      <c r="K5617" s="14" t="s">
        <v>206</v>
      </c>
      <c r="L5617" s="14" t="s">
        <v>268</v>
      </c>
      <c r="M5617" s="14" t="s">
        <v>268</v>
      </c>
      <c r="N5617" s="14" t="s">
        <v>269</v>
      </c>
      <c r="O5617" s="14">
        <v>100.0</v>
      </c>
      <c r="P5617" s="21">
        <v>9.0</v>
      </c>
      <c r="Q5617" s="22" t="str">
        <f t="shared" ref="Q5617:R5617" si="3362">"+5"</f>
        <v>+5</v>
      </c>
      <c r="R5617" s="18" t="str">
        <f t="shared" si="3362"/>
        <v>+5</v>
      </c>
      <c r="S5617" s="14" t="s">
        <v>260</v>
      </c>
    </row>
    <row r="5618">
      <c r="A5618" s="13">
        <v>45901.0</v>
      </c>
      <c r="B5618" s="14" t="s">
        <v>47</v>
      </c>
      <c r="C5618" s="14" t="s">
        <v>48</v>
      </c>
      <c r="D5618" s="14" t="s">
        <v>99</v>
      </c>
      <c r="E5618" s="14" t="s">
        <v>100</v>
      </c>
      <c r="F5618" s="15" t="s">
        <v>51</v>
      </c>
      <c r="G5618" s="14" t="s">
        <v>101</v>
      </c>
      <c r="H5618" s="14" t="s">
        <v>102</v>
      </c>
      <c r="I5618" s="14" t="s">
        <v>54</v>
      </c>
      <c r="J5618" s="14" t="s">
        <v>198</v>
      </c>
      <c r="K5618" s="14" t="s">
        <v>210</v>
      </c>
      <c r="L5618" s="14" t="s">
        <v>505</v>
      </c>
      <c r="M5618" s="14" t="s">
        <v>1222</v>
      </c>
      <c r="N5618" s="14" t="s">
        <v>1223</v>
      </c>
      <c r="O5618" s="14">
        <v>0.0</v>
      </c>
      <c r="P5618" s="21">
        <v>0.0</v>
      </c>
      <c r="Q5618" s="22" t="str">
        <f t="shared" ref="Q5618:R5618" si="3363">"+0"</f>
        <v>+0</v>
      </c>
      <c r="R5618" s="18" t="str">
        <f t="shared" si="3363"/>
        <v>+0</v>
      </c>
      <c r="S5618" s="14" t="s">
        <v>277</v>
      </c>
    </row>
    <row r="5619">
      <c r="A5619" s="13">
        <v>45901.0</v>
      </c>
      <c r="B5619" s="14" t="s">
        <v>47</v>
      </c>
      <c r="C5619" s="14" t="s">
        <v>48</v>
      </c>
      <c r="D5619" s="14" t="s">
        <v>118</v>
      </c>
      <c r="E5619" s="14" t="s">
        <v>119</v>
      </c>
      <c r="F5619" s="15" t="s">
        <v>51</v>
      </c>
      <c r="G5619" s="14" t="s">
        <v>120</v>
      </c>
      <c r="H5619" s="14" t="s">
        <v>118</v>
      </c>
      <c r="I5619" s="14" t="s">
        <v>59</v>
      </c>
      <c r="J5619" s="14" t="s">
        <v>200</v>
      </c>
      <c r="K5619" s="14" t="s">
        <v>213</v>
      </c>
      <c r="L5619" s="14" t="s">
        <v>257</v>
      </c>
      <c r="M5619" s="14" t="s">
        <v>622</v>
      </c>
      <c r="N5619" s="14" t="s">
        <v>623</v>
      </c>
      <c r="O5619" s="14">
        <v>48.0</v>
      </c>
      <c r="P5619" s="23">
        <v>-0.0263</v>
      </c>
      <c r="Q5619" s="22" t="str">
        <f>"+45.98%"</f>
        <v>+45.98%</v>
      </c>
      <c r="R5619" s="18" t="str">
        <f>"+53.52%"</f>
        <v>+53.52%</v>
      </c>
      <c r="S5619" s="14" t="s">
        <v>2521</v>
      </c>
    </row>
    <row r="5620">
      <c r="A5620" s="13">
        <v>45901.0</v>
      </c>
      <c r="B5620" s="14" t="s">
        <v>47</v>
      </c>
      <c r="C5620" s="14" t="s">
        <v>48</v>
      </c>
      <c r="D5620" s="14" t="s">
        <v>91</v>
      </c>
      <c r="E5620" s="14" t="s">
        <v>92</v>
      </c>
      <c r="F5620" s="14" t="s">
        <v>79</v>
      </c>
      <c r="G5620" s="14" t="s">
        <v>164</v>
      </c>
      <c r="H5620" s="14" t="s">
        <v>91</v>
      </c>
      <c r="I5620" s="14" t="s">
        <v>154</v>
      </c>
      <c r="J5620" s="14" t="s">
        <v>198</v>
      </c>
      <c r="K5620" s="14" t="s">
        <v>210</v>
      </c>
      <c r="L5620" s="14" t="s">
        <v>458</v>
      </c>
      <c r="M5620" s="14" t="s">
        <v>1655</v>
      </c>
      <c r="N5620" s="14" t="s">
        <v>1656</v>
      </c>
      <c r="O5620" s="14">
        <v>0.0</v>
      </c>
      <c r="P5620" s="21">
        <v>1.0</v>
      </c>
      <c r="Q5620" s="22" t="str">
        <f>"+0"</f>
        <v>+0</v>
      </c>
      <c r="S5620" s="14" t="s">
        <v>277</v>
      </c>
    </row>
    <row r="5621">
      <c r="A5621" s="13">
        <v>45901.0</v>
      </c>
      <c r="B5621" s="14" t="s">
        <v>47</v>
      </c>
      <c r="C5621" s="14" t="s">
        <v>48</v>
      </c>
      <c r="D5621" s="14" t="s">
        <v>63</v>
      </c>
      <c r="E5621" s="14" t="s">
        <v>64</v>
      </c>
      <c r="F5621" s="15" t="s">
        <v>51</v>
      </c>
      <c r="G5621" s="14" t="s">
        <v>65</v>
      </c>
      <c r="H5621" s="14" t="s">
        <v>63</v>
      </c>
      <c r="I5621" s="14" t="s">
        <v>54</v>
      </c>
      <c r="J5621" s="14" t="s">
        <v>200</v>
      </c>
      <c r="K5621" s="14" t="s">
        <v>224</v>
      </c>
      <c r="L5621" s="14" t="s">
        <v>392</v>
      </c>
      <c r="M5621" s="14" t="s">
        <v>754</v>
      </c>
      <c r="N5621" s="14" t="s">
        <v>755</v>
      </c>
      <c r="O5621" s="14">
        <v>3.0</v>
      </c>
      <c r="P5621" s="23">
        <v>0.0357</v>
      </c>
      <c r="Q5621" s="22" t="str">
        <f>"-1.19%"</f>
        <v>-1.19%</v>
      </c>
      <c r="R5621" s="18" t="str">
        <f>"-0.97%"</f>
        <v>-0.97%</v>
      </c>
      <c r="S5621" s="14" t="s">
        <v>1892</v>
      </c>
    </row>
    <row r="5622">
      <c r="A5622" s="13">
        <v>45901.0</v>
      </c>
      <c r="B5622" s="14" t="s">
        <v>47</v>
      </c>
      <c r="C5622" s="14" t="s">
        <v>48</v>
      </c>
      <c r="D5622" s="14" t="s">
        <v>91</v>
      </c>
      <c r="E5622" s="14" t="s">
        <v>92</v>
      </c>
      <c r="F5622" s="15" t="s">
        <v>51</v>
      </c>
      <c r="G5622" s="14" t="s">
        <v>163</v>
      </c>
      <c r="H5622" s="14" t="s">
        <v>91</v>
      </c>
      <c r="I5622" s="14" t="s">
        <v>59</v>
      </c>
      <c r="J5622" s="14" t="s">
        <v>200</v>
      </c>
      <c r="K5622" s="14" t="s">
        <v>223</v>
      </c>
      <c r="L5622" s="14" t="s">
        <v>261</v>
      </c>
      <c r="M5622" s="14" t="s">
        <v>864</v>
      </c>
      <c r="N5622" s="14" t="s">
        <v>865</v>
      </c>
      <c r="O5622" s="14">
        <v>0.0</v>
      </c>
      <c r="P5622" s="23">
        <v>0.0</v>
      </c>
      <c r="Q5622" s="22" t="str">
        <f t="shared" ref="Q5622:R5622" si="3364">"+0.00%"</f>
        <v>+0.00%</v>
      </c>
      <c r="R5622" s="18" t="str">
        <f t="shared" si="3364"/>
        <v>+0.00%</v>
      </c>
      <c r="S5622" s="14" t="s">
        <v>285</v>
      </c>
    </row>
    <row r="5623">
      <c r="A5623" s="13">
        <v>45901.0</v>
      </c>
      <c r="B5623" s="14" t="s">
        <v>47</v>
      </c>
      <c r="C5623" s="14" t="s">
        <v>48</v>
      </c>
      <c r="D5623" s="14" t="s">
        <v>192</v>
      </c>
      <c r="E5623" s="14" t="s">
        <v>193</v>
      </c>
      <c r="F5623" s="15" t="s">
        <v>51</v>
      </c>
      <c r="G5623" s="14" t="s">
        <v>194</v>
      </c>
      <c r="H5623" s="14" t="s">
        <v>192</v>
      </c>
      <c r="I5623" s="14" t="s">
        <v>54</v>
      </c>
      <c r="J5623" s="14" t="s">
        <v>198</v>
      </c>
      <c r="K5623" s="14" t="s">
        <v>210</v>
      </c>
      <c r="L5623" s="14" t="s">
        <v>264</v>
      </c>
      <c r="M5623" s="14" t="s">
        <v>989</v>
      </c>
      <c r="N5623" s="14" t="s">
        <v>990</v>
      </c>
      <c r="O5623" s="14">
        <v>0.0</v>
      </c>
      <c r="P5623" s="21">
        <v>0.0</v>
      </c>
      <c r="Q5623" s="22" t="str">
        <f t="shared" ref="Q5623:R5623" si="3365">"+0"</f>
        <v>+0</v>
      </c>
      <c r="R5623" s="18" t="str">
        <f t="shared" si="3365"/>
        <v>+0</v>
      </c>
      <c r="S5623" s="14" t="s">
        <v>277</v>
      </c>
    </row>
    <row r="5624">
      <c r="A5624" s="13">
        <v>45901.0</v>
      </c>
      <c r="B5624" s="14" t="s">
        <v>47</v>
      </c>
      <c r="C5624" s="14" t="s">
        <v>48</v>
      </c>
      <c r="D5624" s="14" t="s">
        <v>87</v>
      </c>
      <c r="E5624" s="14" t="s">
        <v>88</v>
      </c>
      <c r="F5624" s="15" t="s">
        <v>51</v>
      </c>
      <c r="G5624" s="14" t="s">
        <v>89</v>
      </c>
      <c r="H5624" s="14" t="s">
        <v>90</v>
      </c>
      <c r="I5624" s="14" t="s">
        <v>59</v>
      </c>
      <c r="J5624" s="14" t="s">
        <v>200</v>
      </c>
      <c r="K5624" s="14" t="s">
        <v>223</v>
      </c>
      <c r="L5624" s="14" t="s">
        <v>487</v>
      </c>
      <c r="M5624" s="14" t="s">
        <v>670</v>
      </c>
      <c r="N5624" s="14" t="s">
        <v>671</v>
      </c>
      <c r="O5624" s="14">
        <v>0.0</v>
      </c>
      <c r="P5624" s="21">
        <v>0.0</v>
      </c>
      <c r="Q5624" s="22" t="str">
        <f t="shared" ref="Q5624:R5624" si="3366">"+0"</f>
        <v>+0</v>
      </c>
      <c r="R5624" s="18" t="str">
        <f t="shared" si="3366"/>
        <v>+0</v>
      </c>
      <c r="S5624" s="14" t="s">
        <v>260</v>
      </c>
    </row>
    <row r="5625">
      <c r="A5625" s="13">
        <v>45901.0</v>
      </c>
      <c r="B5625" s="14" t="s">
        <v>47</v>
      </c>
      <c r="C5625" s="14" t="s">
        <v>48</v>
      </c>
      <c r="D5625" s="14" t="s">
        <v>171</v>
      </c>
      <c r="E5625" s="14" t="s">
        <v>172</v>
      </c>
      <c r="F5625" s="15" t="s">
        <v>51</v>
      </c>
      <c r="G5625" s="14" t="s">
        <v>173</v>
      </c>
      <c r="H5625" s="14" t="s">
        <v>171</v>
      </c>
      <c r="I5625" s="14" t="s">
        <v>59</v>
      </c>
      <c r="J5625" s="14" t="s">
        <v>200</v>
      </c>
      <c r="K5625" s="14" t="s">
        <v>213</v>
      </c>
      <c r="L5625" s="14" t="s">
        <v>289</v>
      </c>
      <c r="M5625" s="14" t="s">
        <v>684</v>
      </c>
      <c r="N5625" s="14" t="s">
        <v>685</v>
      </c>
      <c r="O5625" s="14">
        <v>0.0</v>
      </c>
      <c r="P5625" s="23">
        <v>0.0</v>
      </c>
      <c r="Q5625" s="22" t="str">
        <f>"-16.67%"</f>
        <v>-16.67%</v>
      </c>
      <c r="R5625" s="18" t="str">
        <f>"-25.00%"</f>
        <v>-25.00%</v>
      </c>
      <c r="S5625" s="14" t="s">
        <v>285</v>
      </c>
    </row>
    <row r="5626">
      <c r="A5626" s="13">
        <v>45901.0</v>
      </c>
      <c r="B5626" s="14" t="s">
        <v>47</v>
      </c>
      <c r="C5626" s="14" t="s">
        <v>48</v>
      </c>
      <c r="D5626" s="14" t="s">
        <v>136</v>
      </c>
      <c r="E5626" s="14" t="s">
        <v>137</v>
      </c>
      <c r="F5626" s="15" t="s">
        <v>51</v>
      </c>
      <c r="G5626" s="14" t="s">
        <v>138</v>
      </c>
      <c r="H5626" s="14" t="s">
        <v>139</v>
      </c>
      <c r="I5626" s="14" t="s">
        <v>59</v>
      </c>
      <c r="J5626" s="14" t="s">
        <v>198</v>
      </c>
      <c r="K5626" s="14" t="s">
        <v>205</v>
      </c>
      <c r="L5626" s="14" t="s">
        <v>274</v>
      </c>
      <c r="M5626" s="14" t="s">
        <v>636</v>
      </c>
      <c r="N5626" s="14" t="s">
        <v>637</v>
      </c>
      <c r="O5626" s="14">
        <v>0.0</v>
      </c>
      <c r="P5626" s="21">
        <v>0.0</v>
      </c>
      <c r="Q5626" s="22" t="str">
        <f t="shared" ref="Q5626:Q5627" si="3367">"+0"</f>
        <v>+0</v>
      </c>
      <c r="S5626" s="14" t="s">
        <v>281</v>
      </c>
    </row>
    <row r="5627">
      <c r="A5627" s="13">
        <v>45901.0</v>
      </c>
      <c r="B5627" s="14" t="s">
        <v>47</v>
      </c>
      <c r="C5627" s="14" t="s">
        <v>48</v>
      </c>
      <c r="D5627" s="14" t="s">
        <v>136</v>
      </c>
      <c r="E5627" s="14" t="s">
        <v>137</v>
      </c>
      <c r="F5627" s="15" t="s">
        <v>51</v>
      </c>
      <c r="G5627" s="14" t="s">
        <v>138</v>
      </c>
      <c r="H5627" s="14" t="s">
        <v>139</v>
      </c>
      <c r="I5627" s="14" t="s">
        <v>59</v>
      </c>
      <c r="J5627" s="14" t="s">
        <v>199</v>
      </c>
      <c r="K5627" s="14" t="s">
        <v>203</v>
      </c>
      <c r="L5627" s="14" t="s">
        <v>340</v>
      </c>
      <c r="M5627" s="14" t="s">
        <v>340</v>
      </c>
      <c r="N5627" s="14" t="s">
        <v>341</v>
      </c>
      <c r="O5627" s="14">
        <v>0.0</v>
      </c>
      <c r="P5627" s="21">
        <v>0.0</v>
      </c>
      <c r="Q5627" s="22" t="str">
        <f t="shared" si="3367"/>
        <v>+0</v>
      </c>
      <c r="R5627" s="18" t="str">
        <f>"+0"</f>
        <v>+0</v>
      </c>
      <c r="S5627" s="14" t="s">
        <v>260</v>
      </c>
    </row>
    <row r="5628">
      <c r="A5628" s="13">
        <v>45901.0</v>
      </c>
      <c r="B5628" s="14" t="s">
        <v>47</v>
      </c>
      <c r="C5628" s="14" t="s">
        <v>48</v>
      </c>
      <c r="D5628" s="14" t="s">
        <v>85</v>
      </c>
      <c r="E5628" s="14" t="s">
        <v>86</v>
      </c>
      <c r="F5628" s="15" t="s">
        <v>51</v>
      </c>
      <c r="G5628" s="14" t="s">
        <v>148</v>
      </c>
      <c r="H5628" s="14" t="s">
        <v>85</v>
      </c>
      <c r="I5628" s="14" t="s">
        <v>59</v>
      </c>
      <c r="J5628" s="14" t="s">
        <v>198</v>
      </c>
      <c r="K5628" s="14" t="s">
        <v>212</v>
      </c>
      <c r="L5628" s="14" t="s">
        <v>249</v>
      </c>
      <c r="M5628" s="14" t="s">
        <v>250</v>
      </c>
      <c r="N5628" s="14" t="s">
        <v>251</v>
      </c>
      <c r="O5628" s="14">
        <v>0.0</v>
      </c>
      <c r="P5628" s="21">
        <v>2.1159085E7</v>
      </c>
      <c r="Q5628" s="22" t="str">
        <f>"+4,672,042"</f>
        <v>+4,672,042</v>
      </c>
      <c r="R5628" s="18" t="str">
        <f>"-19,668,590"</f>
        <v>-19,668,590</v>
      </c>
      <c r="S5628" s="14" t="s">
        <v>2522</v>
      </c>
    </row>
    <row r="5629">
      <c r="A5629" s="13">
        <v>45901.0</v>
      </c>
      <c r="B5629" s="14" t="s">
        <v>47</v>
      </c>
      <c r="C5629" s="14" t="s">
        <v>48</v>
      </c>
      <c r="D5629" s="14" t="s">
        <v>96</v>
      </c>
      <c r="E5629" s="14" t="s">
        <v>97</v>
      </c>
      <c r="F5629" s="15" t="s">
        <v>51</v>
      </c>
      <c r="G5629" s="14" t="s">
        <v>98</v>
      </c>
      <c r="H5629" s="14" t="s">
        <v>96</v>
      </c>
      <c r="I5629" s="14" t="s">
        <v>59</v>
      </c>
      <c r="J5629" s="14" t="s">
        <v>200</v>
      </c>
      <c r="K5629" s="14" t="s">
        <v>223</v>
      </c>
      <c r="L5629" s="14" t="s">
        <v>607</v>
      </c>
      <c r="M5629" s="14" t="s">
        <v>886</v>
      </c>
      <c r="N5629" s="14" t="s">
        <v>887</v>
      </c>
      <c r="O5629" s="14">
        <v>0.0</v>
      </c>
      <c r="P5629" s="23">
        <v>0.0</v>
      </c>
      <c r="Q5629" s="22" t="str">
        <f t="shared" ref="Q5629:R5629" si="3368">"+0.00%"</f>
        <v>+0.00%</v>
      </c>
      <c r="R5629" s="18" t="str">
        <f t="shared" si="3368"/>
        <v>+0.00%</v>
      </c>
      <c r="S5629" s="14" t="s">
        <v>371</v>
      </c>
    </row>
    <row r="5630">
      <c r="A5630" s="13">
        <v>45901.0</v>
      </c>
      <c r="B5630" s="14" t="s">
        <v>47</v>
      </c>
      <c r="C5630" s="14" t="s">
        <v>48</v>
      </c>
      <c r="D5630" s="14" t="s">
        <v>195</v>
      </c>
      <c r="E5630" s="14" t="s">
        <v>196</v>
      </c>
      <c r="F5630" s="14" t="s">
        <v>111</v>
      </c>
      <c r="G5630" s="14">
        <v>5252823.0</v>
      </c>
      <c r="H5630" s="14" t="s">
        <v>197</v>
      </c>
      <c r="I5630" s="14" t="s">
        <v>59</v>
      </c>
      <c r="J5630" s="14" t="s">
        <v>199</v>
      </c>
      <c r="K5630" s="14" t="s">
        <v>206</v>
      </c>
      <c r="L5630" s="14" t="s">
        <v>295</v>
      </c>
      <c r="M5630" s="14" t="s">
        <v>651</v>
      </c>
      <c r="N5630" s="14" t="s">
        <v>652</v>
      </c>
      <c r="O5630" s="14">
        <v>0.0</v>
      </c>
      <c r="P5630" s="21">
        <v>0.0</v>
      </c>
      <c r="Q5630" s="22" t="str">
        <f t="shared" ref="Q5630:R5630" si="3369">"+0"</f>
        <v>+0</v>
      </c>
      <c r="R5630" s="18" t="str">
        <f t="shared" si="3369"/>
        <v>+0</v>
      </c>
      <c r="S5630" s="14" t="s">
        <v>260</v>
      </c>
    </row>
    <row r="5631">
      <c r="A5631" s="13">
        <v>45901.0</v>
      </c>
      <c r="B5631" s="14" t="s">
        <v>47</v>
      </c>
      <c r="C5631" s="14" t="s">
        <v>48</v>
      </c>
      <c r="D5631" s="14" t="s">
        <v>69</v>
      </c>
      <c r="E5631" s="14" t="s">
        <v>70</v>
      </c>
      <c r="F5631" s="15" t="s">
        <v>51</v>
      </c>
      <c r="G5631" s="14" t="s">
        <v>115</v>
      </c>
      <c r="H5631" s="14" t="s">
        <v>72</v>
      </c>
      <c r="I5631" s="14" t="s">
        <v>54</v>
      </c>
      <c r="J5631" s="14" t="s">
        <v>200</v>
      </c>
      <c r="K5631" s="14" t="s">
        <v>222</v>
      </c>
      <c r="L5631" s="14" t="s">
        <v>301</v>
      </c>
      <c r="M5631" s="14" t="s">
        <v>302</v>
      </c>
      <c r="N5631" s="14" t="s">
        <v>303</v>
      </c>
      <c r="O5631" s="14">
        <v>0.0</v>
      </c>
      <c r="P5631" s="21">
        <v>0.0</v>
      </c>
      <c r="Q5631" s="22" t="str">
        <f>"+0"</f>
        <v>+0</v>
      </c>
      <c r="R5631" s="18" t="str">
        <f>"-1"</f>
        <v>-1</v>
      </c>
      <c r="S5631" s="14" t="s">
        <v>260</v>
      </c>
    </row>
    <row r="5632">
      <c r="A5632" s="13">
        <v>45901.0</v>
      </c>
      <c r="B5632" s="14" t="s">
        <v>47</v>
      </c>
      <c r="C5632" s="14" t="s">
        <v>48</v>
      </c>
      <c r="D5632" s="14" t="s">
        <v>108</v>
      </c>
      <c r="E5632" s="14" t="s">
        <v>109</v>
      </c>
      <c r="F5632" s="15" t="s">
        <v>51</v>
      </c>
      <c r="G5632" s="14" t="s">
        <v>110</v>
      </c>
      <c r="H5632" s="14" t="s">
        <v>108</v>
      </c>
      <c r="I5632" s="14" t="s">
        <v>59</v>
      </c>
      <c r="J5632" s="14" t="s">
        <v>200</v>
      </c>
      <c r="K5632" s="14" t="s">
        <v>213</v>
      </c>
      <c r="L5632" s="14" t="s">
        <v>257</v>
      </c>
      <c r="M5632" s="14" t="s">
        <v>315</v>
      </c>
      <c r="N5632" s="14" t="s">
        <v>316</v>
      </c>
      <c r="O5632" s="14">
        <v>16.0</v>
      </c>
      <c r="P5632" s="23">
        <v>0.1667</v>
      </c>
      <c r="Q5632" s="22" t="str">
        <f>"-23.34%"</f>
        <v>-23.34%</v>
      </c>
      <c r="S5632" s="14" t="s">
        <v>2523</v>
      </c>
    </row>
    <row r="5633">
      <c r="A5633" s="13">
        <v>45901.0</v>
      </c>
      <c r="B5633" s="14" t="s">
        <v>47</v>
      </c>
      <c r="C5633" s="14" t="s">
        <v>48</v>
      </c>
      <c r="D5633" s="14" t="s">
        <v>108</v>
      </c>
      <c r="E5633" s="14" t="s">
        <v>109</v>
      </c>
      <c r="F5633" s="14" t="s">
        <v>79</v>
      </c>
      <c r="G5633" s="14" t="s">
        <v>153</v>
      </c>
      <c r="H5633" s="14" t="s">
        <v>108</v>
      </c>
      <c r="I5633" s="14" t="s">
        <v>154</v>
      </c>
      <c r="J5633" s="14" t="s">
        <v>199</v>
      </c>
      <c r="K5633" s="14" t="s">
        <v>203</v>
      </c>
      <c r="L5633" s="14" t="s">
        <v>340</v>
      </c>
      <c r="M5633" s="14" t="s">
        <v>340</v>
      </c>
      <c r="N5633" s="14" t="s">
        <v>341</v>
      </c>
      <c r="O5633" s="14">
        <v>0.0</v>
      </c>
      <c r="P5633" s="21">
        <v>0.0</v>
      </c>
      <c r="Q5633" s="22" t="str">
        <f t="shared" ref="Q5633:Q5635" si="3370">"+0"</f>
        <v>+0</v>
      </c>
      <c r="S5633" s="14" t="s">
        <v>260</v>
      </c>
    </row>
    <row r="5634">
      <c r="A5634" s="13">
        <v>45901.0</v>
      </c>
      <c r="B5634" s="14" t="s">
        <v>47</v>
      </c>
      <c r="C5634" s="14" t="s">
        <v>48</v>
      </c>
      <c r="D5634" s="14" t="s">
        <v>77</v>
      </c>
      <c r="E5634" s="14" t="s">
        <v>78</v>
      </c>
      <c r="F5634" s="15" t="s">
        <v>51</v>
      </c>
      <c r="G5634" s="14" t="s">
        <v>128</v>
      </c>
      <c r="H5634" s="14" t="s">
        <v>81</v>
      </c>
      <c r="I5634" s="14" t="s">
        <v>59</v>
      </c>
      <c r="J5634" s="14" t="s">
        <v>198</v>
      </c>
      <c r="K5634" s="14" t="s">
        <v>210</v>
      </c>
      <c r="L5634" s="14" t="s">
        <v>264</v>
      </c>
      <c r="M5634" s="14" t="s">
        <v>470</v>
      </c>
      <c r="N5634" s="14" t="s">
        <v>471</v>
      </c>
      <c r="O5634" s="14">
        <v>100.0</v>
      </c>
      <c r="P5634" s="21">
        <v>0.0</v>
      </c>
      <c r="Q5634" s="22" t="str">
        <f t="shared" si="3370"/>
        <v>+0</v>
      </c>
      <c r="R5634" s="18" t="str">
        <f t="shared" ref="R5634:R5635" si="3371">"+0"</f>
        <v>+0</v>
      </c>
      <c r="S5634" s="14" t="s">
        <v>281</v>
      </c>
    </row>
    <row r="5635">
      <c r="A5635" s="13">
        <v>45901.0</v>
      </c>
      <c r="B5635" s="14" t="s">
        <v>47</v>
      </c>
      <c r="C5635" s="14" t="s">
        <v>48</v>
      </c>
      <c r="D5635" s="14" t="s">
        <v>77</v>
      </c>
      <c r="E5635" s="14" t="s">
        <v>78</v>
      </c>
      <c r="F5635" s="15" t="s">
        <v>51</v>
      </c>
      <c r="G5635" s="14" t="s">
        <v>128</v>
      </c>
      <c r="H5635" s="14" t="s">
        <v>81</v>
      </c>
      <c r="I5635" s="14" t="s">
        <v>59</v>
      </c>
      <c r="J5635" s="14" t="s">
        <v>200</v>
      </c>
      <c r="K5635" s="14" t="s">
        <v>223</v>
      </c>
      <c r="L5635" s="14" t="s">
        <v>607</v>
      </c>
      <c r="M5635" s="14" t="s">
        <v>765</v>
      </c>
      <c r="N5635" s="14" t="s">
        <v>766</v>
      </c>
      <c r="O5635" s="14">
        <v>0.0</v>
      </c>
      <c r="P5635" s="21">
        <v>0.0</v>
      </c>
      <c r="Q5635" s="22" t="str">
        <f t="shared" si="3370"/>
        <v>+0</v>
      </c>
      <c r="R5635" s="18" t="str">
        <f t="shared" si="3371"/>
        <v>+0</v>
      </c>
      <c r="S5635" s="14" t="s">
        <v>260</v>
      </c>
    </row>
    <row r="5636">
      <c r="A5636" s="13">
        <v>45901.0</v>
      </c>
      <c r="B5636" s="14" t="s">
        <v>47</v>
      </c>
      <c r="C5636" s="14" t="s">
        <v>48</v>
      </c>
      <c r="D5636" s="14" t="s">
        <v>181</v>
      </c>
      <c r="E5636" s="14" t="s">
        <v>182</v>
      </c>
      <c r="F5636" s="15" t="s">
        <v>51</v>
      </c>
      <c r="G5636" s="14" t="s">
        <v>183</v>
      </c>
      <c r="H5636" s="14" t="s">
        <v>181</v>
      </c>
      <c r="I5636" s="14" t="s">
        <v>59</v>
      </c>
      <c r="J5636" s="14" t="s">
        <v>200</v>
      </c>
      <c r="K5636" s="14" t="s">
        <v>201</v>
      </c>
      <c r="L5636" s="14" t="s">
        <v>253</v>
      </c>
      <c r="M5636" s="14" t="s">
        <v>585</v>
      </c>
      <c r="N5636" s="14" t="s">
        <v>586</v>
      </c>
      <c r="O5636" s="14">
        <v>1.0</v>
      </c>
      <c r="P5636" s="23">
        <v>1.0E-4</v>
      </c>
      <c r="Q5636" s="22" t="str">
        <f>"-0.14%"</f>
        <v>-0.14%</v>
      </c>
      <c r="R5636" s="18" t="str">
        <f>"-0.01%"</f>
        <v>-0.01%</v>
      </c>
      <c r="S5636" s="14" t="s">
        <v>1071</v>
      </c>
    </row>
    <row r="5637">
      <c r="A5637" s="13">
        <v>45901.0</v>
      </c>
      <c r="B5637" s="14" t="s">
        <v>47</v>
      </c>
      <c r="C5637" s="14" t="s">
        <v>48</v>
      </c>
      <c r="D5637" s="14" t="s">
        <v>121</v>
      </c>
      <c r="E5637" s="14" t="s">
        <v>122</v>
      </c>
      <c r="F5637" s="15" t="s">
        <v>51</v>
      </c>
      <c r="G5637" s="14" t="s">
        <v>123</v>
      </c>
      <c r="H5637" s="14" t="s">
        <v>124</v>
      </c>
      <c r="I5637" s="14" t="s">
        <v>59</v>
      </c>
      <c r="J5637" s="14" t="s">
        <v>200</v>
      </c>
      <c r="K5637" s="14" t="s">
        <v>222</v>
      </c>
      <c r="L5637" s="14" t="s">
        <v>301</v>
      </c>
      <c r="M5637" s="14" t="s">
        <v>302</v>
      </c>
      <c r="N5637" s="14" t="s">
        <v>303</v>
      </c>
      <c r="O5637" s="14">
        <v>0.0</v>
      </c>
      <c r="P5637" s="21">
        <v>0.0</v>
      </c>
      <c r="Q5637" s="22" t="str">
        <f t="shared" ref="Q5637:R5637" si="3372">"+0"</f>
        <v>+0</v>
      </c>
      <c r="R5637" s="18" t="str">
        <f t="shared" si="3372"/>
        <v>+0</v>
      </c>
      <c r="S5637" s="14" t="s">
        <v>260</v>
      </c>
    </row>
    <row r="5638">
      <c r="A5638" s="13">
        <v>45901.0</v>
      </c>
      <c r="B5638" s="14" t="s">
        <v>47</v>
      </c>
      <c r="C5638" s="14" t="s">
        <v>48</v>
      </c>
      <c r="D5638" s="14" t="s">
        <v>60</v>
      </c>
      <c r="E5638" s="14" t="s">
        <v>61</v>
      </c>
      <c r="F5638" s="15" t="s">
        <v>51</v>
      </c>
      <c r="G5638" s="14" t="s">
        <v>62</v>
      </c>
      <c r="H5638" s="14" t="s">
        <v>60</v>
      </c>
      <c r="I5638" s="14" t="s">
        <v>59</v>
      </c>
      <c r="J5638" s="14" t="s">
        <v>200</v>
      </c>
      <c r="K5638" s="14" t="s">
        <v>247</v>
      </c>
      <c r="L5638" s="14" t="s">
        <v>253</v>
      </c>
      <c r="M5638" s="14" t="s">
        <v>2524</v>
      </c>
      <c r="N5638" s="14" t="s">
        <v>2525</v>
      </c>
      <c r="O5638" s="14">
        <v>0.0</v>
      </c>
      <c r="P5638" s="23">
        <v>0.0</v>
      </c>
      <c r="Q5638" s="22" t="str">
        <f>"-1.20%"</f>
        <v>-1.20%</v>
      </c>
      <c r="R5638" s="18" t="str">
        <f>"-50.60%"</f>
        <v>-50.60%</v>
      </c>
      <c r="S5638" s="14" t="s">
        <v>371</v>
      </c>
    </row>
    <row r="5639">
      <c r="A5639" s="13">
        <v>45901.0</v>
      </c>
      <c r="B5639" s="14" t="s">
        <v>47</v>
      </c>
      <c r="C5639" s="14" t="s">
        <v>48</v>
      </c>
      <c r="D5639" s="14" t="s">
        <v>49</v>
      </c>
      <c r="E5639" s="14" t="s">
        <v>50</v>
      </c>
      <c r="F5639" s="15" t="s">
        <v>51</v>
      </c>
      <c r="G5639" s="14" t="s">
        <v>52</v>
      </c>
      <c r="H5639" s="14" t="s">
        <v>53</v>
      </c>
      <c r="I5639" s="14" t="s">
        <v>54</v>
      </c>
      <c r="J5639" s="14" t="s">
        <v>200</v>
      </c>
      <c r="K5639" s="14" t="s">
        <v>224</v>
      </c>
      <c r="L5639" s="14" t="s">
        <v>453</v>
      </c>
      <c r="M5639" s="14" t="s">
        <v>949</v>
      </c>
      <c r="N5639" s="14" t="s">
        <v>950</v>
      </c>
      <c r="O5639" s="14">
        <v>100.0</v>
      </c>
      <c r="P5639" s="23">
        <v>1.0</v>
      </c>
      <c r="Q5639" s="22" t="str">
        <f>"+50.00%"</f>
        <v>+50.00%</v>
      </c>
      <c r="R5639" s="18" t="str">
        <f>"+0.00%"</f>
        <v>+0.00%</v>
      </c>
      <c r="S5639" s="14" t="s">
        <v>951</v>
      </c>
    </row>
    <row r="5640">
      <c r="A5640" s="13">
        <v>45901.0</v>
      </c>
      <c r="B5640" s="14" t="s">
        <v>47</v>
      </c>
      <c r="C5640" s="14" t="s">
        <v>48</v>
      </c>
      <c r="D5640" s="14" t="s">
        <v>63</v>
      </c>
      <c r="E5640" s="14" t="s">
        <v>64</v>
      </c>
      <c r="F5640" s="14" t="s">
        <v>111</v>
      </c>
      <c r="G5640" s="14">
        <v>4916210.0</v>
      </c>
      <c r="H5640" s="14" t="s">
        <v>63</v>
      </c>
      <c r="I5640" s="14" t="s">
        <v>59</v>
      </c>
      <c r="J5640" s="14" t="s">
        <v>199</v>
      </c>
      <c r="K5640" s="14" t="s">
        <v>208</v>
      </c>
      <c r="L5640" s="14" t="s">
        <v>412</v>
      </c>
      <c r="M5640" s="14" t="s">
        <v>412</v>
      </c>
      <c r="N5640" s="14" t="s">
        <v>413</v>
      </c>
      <c r="O5640" s="14">
        <v>80.0</v>
      </c>
      <c r="P5640" s="21">
        <v>2.0</v>
      </c>
      <c r="Q5640" s="22" t="str">
        <f t="shared" ref="Q5640:R5640" si="3373">"+0"</f>
        <v>+0</v>
      </c>
      <c r="R5640" s="18" t="str">
        <f t="shared" si="3373"/>
        <v>+0</v>
      </c>
      <c r="S5640" s="14" t="s">
        <v>260</v>
      </c>
    </row>
    <row r="5641">
      <c r="A5641" s="13">
        <v>45901.0</v>
      </c>
      <c r="B5641" s="14" t="s">
        <v>47</v>
      </c>
      <c r="C5641" s="14" t="s">
        <v>48</v>
      </c>
      <c r="D5641" s="14" t="s">
        <v>99</v>
      </c>
      <c r="E5641" s="14" t="s">
        <v>100</v>
      </c>
      <c r="F5641" s="15" t="s">
        <v>51</v>
      </c>
      <c r="G5641" s="14" t="s">
        <v>101</v>
      </c>
      <c r="H5641" s="14" t="s">
        <v>102</v>
      </c>
      <c r="I5641" s="14" t="s">
        <v>54</v>
      </c>
      <c r="J5641" s="14" t="s">
        <v>198</v>
      </c>
      <c r="K5641" s="14" t="s">
        <v>210</v>
      </c>
      <c r="L5641" s="14" t="s">
        <v>505</v>
      </c>
      <c r="M5641" s="14" t="s">
        <v>1393</v>
      </c>
      <c r="N5641" s="14" t="s">
        <v>1394</v>
      </c>
      <c r="O5641" s="14">
        <v>0.0</v>
      </c>
      <c r="P5641" s="21">
        <v>0.0</v>
      </c>
      <c r="Q5641" s="22" t="str">
        <f t="shared" ref="Q5641:R5641" si="3374">"+0"</f>
        <v>+0</v>
      </c>
      <c r="R5641" s="18" t="str">
        <f t="shared" si="3374"/>
        <v>+0</v>
      </c>
      <c r="S5641" s="14" t="s">
        <v>277</v>
      </c>
    </row>
    <row r="5642">
      <c r="A5642" s="13">
        <v>45901.0</v>
      </c>
      <c r="B5642" s="14" t="s">
        <v>47</v>
      </c>
      <c r="C5642" s="14" t="s">
        <v>48</v>
      </c>
      <c r="D5642" s="14" t="s">
        <v>118</v>
      </c>
      <c r="E5642" s="14" t="s">
        <v>119</v>
      </c>
      <c r="F5642" s="15" t="s">
        <v>51</v>
      </c>
      <c r="G5642" s="14" t="s">
        <v>120</v>
      </c>
      <c r="H5642" s="14" t="s">
        <v>118</v>
      </c>
      <c r="I5642" s="14" t="s">
        <v>59</v>
      </c>
      <c r="J5642" s="14" t="s">
        <v>200</v>
      </c>
      <c r="K5642" s="14" t="s">
        <v>213</v>
      </c>
      <c r="L5642" s="14" t="s">
        <v>289</v>
      </c>
      <c r="M5642" s="14" t="s">
        <v>290</v>
      </c>
      <c r="N5642" s="14" t="s">
        <v>291</v>
      </c>
      <c r="O5642" s="14">
        <v>0.0</v>
      </c>
      <c r="P5642" s="23">
        <v>0.0</v>
      </c>
      <c r="Q5642" s="22" t="str">
        <f t="shared" ref="Q5642:R5642" si="3375">"+0.00%"</f>
        <v>+0.00%</v>
      </c>
      <c r="R5642" s="18" t="str">
        <f t="shared" si="3375"/>
        <v>+0.00%</v>
      </c>
      <c r="S5642" s="14" t="s">
        <v>285</v>
      </c>
    </row>
    <row r="5643">
      <c r="A5643" s="13">
        <v>45901.0</v>
      </c>
      <c r="B5643" s="14" t="s">
        <v>47</v>
      </c>
      <c r="C5643" s="14" t="s">
        <v>48</v>
      </c>
      <c r="D5643" s="14" t="s">
        <v>91</v>
      </c>
      <c r="E5643" s="14" t="s">
        <v>92</v>
      </c>
      <c r="F5643" s="14" t="s">
        <v>146</v>
      </c>
      <c r="G5643" s="14" t="s">
        <v>147</v>
      </c>
      <c r="H5643" s="14" t="s">
        <v>91</v>
      </c>
      <c r="I5643" s="14" t="s">
        <v>107</v>
      </c>
      <c r="J5643" s="14" t="s">
        <v>199</v>
      </c>
      <c r="K5643" s="14" t="s">
        <v>208</v>
      </c>
      <c r="L5643" s="14" t="s">
        <v>352</v>
      </c>
      <c r="M5643" s="14" t="s">
        <v>352</v>
      </c>
      <c r="N5643" s="14" t="s">
        <v>353</v>
      </c>
      <c r="O5643" s="14">
        <v>100.0</v>
      </c>
      <c r="P5643" s="21">
        <v>57.0</v>
      </c>
      <c r="Q5643" s="22" t="str">
        <f t="shared" ref="Q5643:R5643" si="3376">"+1"</f>
        <v>+1</v>
      </c>
      <c r="R5643" s="18" t="str">
        <f t="shared" si="3376"/>
        <v>+1</v>
      </c>
      <c r="S5643" s="14" t="s">
        <v>260</v>
      </c>
    </row>
    <row r="5644">
      <c r="A5644" s="13">
        <v>45901.0</v>
      </c>
      <c r="B5644" s="14" t="s">
        <v>47</v>
      </c>
      <c r="C5644" s="14" t="s">
        <v>48</v>
      </c>
      <c r="D5644" s="14" t="s">
        <v>63</v>
      </c>
      <c r="E5644" s="14" t="s">
        <v>64</v>
      </c>
      <c r="F5644" s="15" t="s">
        <v>51</v>
      </c>
      <c r="G5644" s="14" t="s">
        <v>65</v>
      </c>
      <c r="H5644" s="14" t="s">
        <v>63</v>
      </c>
      <c r="I5644" s="14" t="s">
        <v>54</v>
      </c>
      <c r="J5644" s="14" t="s">
        <v>198</v>
      </c>
      <c r="K5644" s="14" t="s">
        <v>210</v>
      </c>
      <c r="L5644" s="14" t="s">
        <v>505</v>
      </c>
      <c r="M5644" s="14" t="s">
        <v>880</v>
      </c>
      <c r="N5644" s="14" t="s">
        <v>881</v>
      </c>
      <c r="O5644" s="14">
        <v>0.0</v>
      </c>
      <c r="P5644" s="21">
        <v>0.0</v>
      </c>
      <c r="Q5644" s="22" t="str">
        <f t="shared" ref="Q5644:R5644" si="3377">"+0"</f>
        <v>+0</v>
      </c>
      <c r="R5644" s="18" t="str">
        <f t="shared" si="3377"/>
        <v>+0</v>
      </c>
      <c r="S5644" s="14" t="s">
        <v>277</v>
      </c>
    </row>
    <row r="5645">
      <c r="A5645" s="13">
        <v>45901.0</v>
      </c>
      <c r="B5645" s="14" t="s">
        <v>47</v>
      </c>
      <c r="C5645" s="14" t="s">
        <v>48</v>
      </c>
      <c r="D5645" s="14" t="s">
        <v>63</v>
      </c>
      <c r="E5645" s="14" t="s">
        <v>64</v>
      </c>
      <c r="F5645" s="15" t="s">
        <v>51</v>
      </c>
      <c r="G5645" s="14" t="s">
        <v>65</v>
      </c>
      <c r="H5645" s="14" t="s">
        <v>63</v>
      </c>
      <c r="I5645" s="14" t="s">
        <v>54</v>
      </c>
      <c r="J5645" s="14" t="s">
        <v>200</v>
      </c>
      <c r="K5645" s="14" t="s">
        <v>222</v>
      </c>
      <c r="L5645" s="14" t="s">
        <v>301</v>
      </c>
      <c r="M5645" s="14" t="s">
        <v>302</v>
      </c>
      <c r="N5645" s="14" t="s">
        <v>303</v>
      </c>
      <c r="O5645" s="14">
        <v>100.0</v>
      </c>
      <c r="P5645" s="21">
        <v>16.0</v>
      </c>
      <c r="Q5645" s="22" t="str">
        <f t="shared" ref="Q5645:R5645" si="3378">"+16"</f>
        <v>+16</v>
      </c>
      <c r="R5645" s="18" t="str">
        <f t="shared" si="3378"/>
        <v>+16</v>
      </c>
      <c r="S5645" s="14" t="s">
        <v>260</v>
      </c>
    </row>
    <row r="5646">
      <c r="A5646" s="13">
        <v>45901.0</v>
      </c>
      <c r="B5646" s="14" t="s">
        <v>47</v>
      </c>
      <c r="C5646" s="14" t="s">
        <v>48</v>
      </c>
      <c r="D5646" s="14" t="s">
        <v>184</v>
      </c>
      <c r="E5646" s="14" t="s">
        <v>185</v>
      </c>
      <c r="F5646" s="15" t="s">
        <v>51</v>
      </c>
      <c r="G5646" s="14" t="s">
        <v>186</v>
      </c>
      <c r="H5646" s="14" t="s">
        <v>187</v>
      </c>
      <c r="I5646" s="14" t="s">
        <v>59</v>
      </c>
      <c r="J5646" s="14" t="s">
        <v>199</v>
      </c>
      <c r="K5646" s="14" t="s">
        <v>208</v>
      </c>
      <c r="L5646" s="14" t="s">
        <v>352</v>
      </c>
      <c r="M5646" s="14" t="s">
        <v>352</v>
      </c>
      <c r="N5646" s="14" t="s">
        <v>353</v>
      </c>
      <c r="O5646" s="14">
        <v>95.0</v>
      </c>
      <c r="P5646" s="21">
        <v>5.0</v>
      </c>
      <c r="Q5646" s="22" t="str">
        <f t="shared" ref="Q5646:R5646" si="3379">"+0"</f>
        <v>+0</v>
      </c>
      <c r="R5646" s="18" t="str">
        <f t="shared" si="3379"/>
        <v>+0</v>
      </c>
      <c r="S5646" s="14" t="s">
        <v>260</v>
      </c>
    </row>
    <row r="5647">
      <c r="A5647" s="13">
        <v>45901.0</v>
      </c>
      <c r="B5647" s="14" t="s">
        <v>47</v>
      </c>
      <c r="C5647" s="14" t="s">
        <v>48</v>
      </c>
      <c r="D5647" s="14" t="s">
        <v>82</v>
      </c>
      <c r="E5647" s="14" t="s">
        <v>83</v>
      </c>
      <c r="F5647" s="15" t="s">
        <v>51</v>
      </c>
      <c r="G5647" s="14" t="s">
        <v>84</v>
      </c>
      <c r="H5647" s="14" t="s">
        <v>82</v>
      </c>
      <c r="I5647" s="14" t="s">
        <v>59</v>
      </c>
      <c r="J5647" s="14" t="s">
        <v>199</v>
      </c>
      <c r="K5647" s="14" t="s">
        <v>206</v>
      </c>
      <c r="L5647" s="14" t="s">
        <v>295</v>
      </c>
      <c r="M5647" s="14" t="s">
        <v>986</v>
      </c>
      <c r="N5647" s="14" t="s">
        <v>987</v>
      </c>
      <c r="O5647" s="14">
        <v>0.0</v>
      </c>
      <c r="P5647" s="21">
        <v>0.0</v>
      </c>
      <c r="Q5647" s="22" t="str">
        <f t="shared" ref="Q5647:R5647" si="3380">"+0"</f>
        <v>+0</v>
      </c>
      <c r="R5647" s="18" t="str">
        <f t="shared" si="3380"/>
        <v>+0</v>
      </c>
      <c r="S5647" s="14" t="s">
        <v>260</v>
      </c>
    </row>
    <row r="5648">
      <c r="A5648" s="13">
        <v>45901.0</v>
      </c>
      <c r="B5648" s="14" t="s">
        <v>47</v>
      </c>
      <c r="C5648" s="14" t="s">
        <v>48</v>
      </c>
      <c r="D5648" s="14" t="s">
        <v>93</v>
      </c>
      <c r="E5648" s="14" t="s">
        <v>94</v>
      </c>
      <c r="F5648" s="15" t="s">
        <v>51</v>
      </c>
      <c r="G5648" s="14" t="s">
        <v>191</v>
      </c>
      <c r="H5648" s="14" t="s">
        <v>95</v>
      </c>
      <c r="I5648" s="14" t="s">
        <v>59</v>
      </c>
      <c r="J5648" s="14" t="s">
        <v>200</v>
      </c>
      <c r="K5648" s="14" t="s">
        <v>215</v>
      </c>
      <c r="L5648" s="14" t="s">
        <v>1322</v>
      </c>
      <c r="M5648" s="14" t="s">
        <v>1853</v>
      </c>
      <c r="N5648" s="14" t="s">
        <v>1854</v>
      </c>
      <c r="O5648" s="14">
        <v>44.0</v>
      </c>
      <c r="P5648" s="23">
        <v>-0.1075</v>
      </c>
      <c r="Q5648" s="22" t="str">
        <f>"+3.15%"</f>
        <v>+3.15%</v>
      </c>
      <c r="R5648" s="18" t="str">
        <f>"+22.33%"</f>
        <v>+22.33%</v>
      </c>
      <c r="S5648" s="14" t="s">
        <v>2526</v>
      </c>
    </row>
    <row r="5649">
      <c r="A5649" s="13">
        <v>45901.0</v>
      </c>
      <c r="B5649" s="14" t="s">
        <v>47</v>
      </c>
      <c r="C5649" s="14" t="s">
        <v>48</v>
      </c>
      <c r="D5649" s="14" t="s">
        <v>192</v>
      </c>
      <c r="E5649" s="14" t="s">
        <v>193</v>
      </c>
      <c r="F5649" s="15" t="s">
        <v>51</v>
      </c>
      <c r="G5649" s="14" t="s">
        <v>194</v>
      </c>
      <c r="H5649" s="14" t="s">
        <v>192</v>
      </c>
      <c r="I5649" s="14" t="s">
        <v>54</v>
      </c>
      <c r="J5649" s="14" t="s">
        <v>200</v>
      </c>
      <c r="K5649" s="14" t="s">
        <v>231</v>
      </c>
      <c r="L5649" s="14" t="s">
        <v>372</v>
      </c>
      <c r="M5649" s="14" t="s">
        <v>1279</v>
      </c>
      <c r="N5649" s="14" t="s">
        <v>1280</v>
      </c>
      <c r="O5649" s="14">
        <v>100.0</v>
      </c>
      <c r="P5649" s="21">
        <v>991645.0</v>
      </c>
      <c r="Q5649" s="22" t="str">
        <f>"-223,182"</f>
        <v>-223,182</v>
      </c>
      <c r="R5649" s="18" t="str">
        <f>"-477,744"</f>
        <v>-477,744</v>
      </c>
      <c r="S5649" s="14" t="s">
        <v>260</v>
      </c>
    </row>
    <row r="5650">
      <c r="A5650" s="13">
        <v>45901.0</v>
      </c>
      <c r="B5650" s="14" t="s">
        <v>47</v>
      </c>
      <c r="C5650" s="14" t="s">
        <v>48</v>
      </c>
      <c r="D5650" s="14" t="s">
        <v>66</v>
      </c>
      <c r="E5650" s="14" t="s">
        <v>67</v>
      </c>
      <c r="F5650" s="15" t="s">
        <v>51</v>
      </c>
      <c r="G5650" s="14" t="s">
        <v>68</v>
      </c>
      <c r="H5650" s="14" t="s">
        <v>66</v>
      </c>
      <c r="I5650" s="14" t="s">
        <v>59</v>
      </c>
      <c r="J5650" s="14" t="s">
        <v>198</v>
      </c>
      <c r="K5650" s="14" t="s">
        <v>210</v>
      </c>
      <c r="L5650" s="14" t="s">
        <v>264</v>
      </c>
      <c r="M5650" s="14" t="s">
        <v>357</v>
      </c>
      <c r="N5650" s="14" t="s">
        <v>358</v>
      </c>
      <c r="O5650" s="14">
        <v>100.0</v>
      </c>
      <c r="P5650" s="21">
        <v>0.0</v>
      </c>
      <c r="Q5650" s="22" t="str">
        <f t="shared" ref="Q5650:R5650" si="3381">"+0"</f>
        <v>+0</v>
      </c>
      <c r="R5650" s="18" t="str">
        <f t="shared" si="3381"/>
        <v>+0</v>
      </c>
      <c r="S5650" s="14" t="s">
        <v>281</v>
      </c>
    </row>
    <row r="5651">
      <c r="A5651" s="13">
        <v>45901.0</v>
      </c>
      <c r="B5651" s="14" t="s">
        <v>47</v>
      </c>
      <c r="C5651" s="14" t="s">
        <v>48</v>
      </c>
      <c r="D5651" s="14" t="s">
        <v>184</v>
      </c>
      <c r="E5651" s="14" t="s">
        <v>185</v>
      </c>
      <c r="F5651" s="15" t="s">
        <v>51</v>
      </c>
      <c r="G5651" s="14" t="s">
        <v>186</v>
      </c>
      <c r="H5651" s="14" t="s">
        <v>187</v>
      </c>
      <c r="I5651" s="14" t="s">
        <v>59</v>
      </c>
      <c r="J5651" s="14" t="s">
        <v>198</v>
      </c>
      <c r="K5651" s="14" t="s">
        <v>205</v>
      </c>
      <c r="L5651" s="14" t="s">
        <v>274</v>
      </c>
      <c r="M5651" s="14" t="s">
        <v>738</v>
      </c>
      <c r="N5651" s="14" t="s">
        <v>739</v>
      </c>
      <c r="O5651" s="14">
        <v>0.0</v>
      </c>
      <c r="P5651" s="21">
        <v>0.0</v>
      </c>
      <c r="Q5651" s="22" t="str">
        <f>"+0"</f>
        <v>+0</v>
      </c>
      <c r="S5651" s="14" t="s">
        <v>281</v>
      </c>
    </row>
    <row r="5652">
      <c r="A5652" s="13">
        <v>45901.0</v>
      </c>
      <c r="B5652" s="14" t="s">
        <v>47</v>
      </c>
      <c r="C5652" s="14" t="s">
        <v>48</v>
      </c>
      <c r="D5652" s="14" t="s">
        <v>192</v>
      </c>
      <c r="E5652" s="14" t="s">
        <v>193</v>
      </c>
      <c r="F5652" s="15" t="s">
        <v>51</v>
      </c>
      <c r="G5652" s="14" t="s">
        <v>194</v>
      </c>
      <c r="H5652" s="14" t="s">
        <v>192</v>
      </c>
      <c r="I5652" s="14" t="s">
        <v>54</v>
      </c>
      <c r="J5652" s="14" t="s">
        <v>200</v>
      </c>
      <c r="K5652" s="14" t="s">
        <v>231</v>
      </c>
      <c r="L5652" s="14" t="s">
        <v>253</v>
      </c>
      <c r="M5652" s="14" t="s">
        <v>366</v>
      </c>
      <c r="N5652" s="14" t="s">
        <v>367</v>
      </c>
      <c r="O5652" s="14">
        <v>53.0</v>
      </c>
      <c r="P5652" s="23">
        <v>0.5335</v>
      </c>
      <c r="Q5652" s="22" t="str">
        <f>"-0.67%"</f>
        <v>-0.67%</v>
      </c>
      <c r="R5652" s="18" t="str">
        <f>"+1.81%"</f>
        <v>+1.81%</v>
      </c>
      <c r="S5652" s="14" t="s">
        <v>2527</v>
      </c>
    </row>
    <row r="5653">
      <c r="A5653" s="13">
        <v>45901.0</v>
      </c>
      <c r="B5653" s="14" t="s">
        <v>47</v>
      </c>
      <c r="C5653" s="14" t="s">
        <v>48</v>
      </c>
      <c r="D5653" s="14" t="s">
        <v>192</v>
      </c>
      <c r="E5653" s="14" t="s">
        <v>193</v>
      </c>
      <c r="F5653" s="15" t="s">
        <v>51</v>
      </c>
      <c r="G5653" s="14" t="s">
        <v>194</v>
      </c>
      <c r="H5653" s="14" t="s">
        <v>192</v>
      </c>
      <c r="I5653" s="14" t="s">
        <v>54</v>
      </c>
      <c r="J5653" s="14" t="s">
        <v>198</v>
      </c>
      <c r="K5653" s="14" t="s">
        <v>205</v>
      </c>
      <c r="L5653" s="14" t="s">
        <v>274</v>
      </c>
      <c r="M5653" s="14" t="s">
        <v>451</v>
      </c>
      <c r="N5653" s="14" t="s">
        <v>452</v>
      </c>
      <c r="O5653" s="14">
        <v>0.0</v>
      </c>
      <c r="P5653" s="21">
        <v>0.0</v>
      </c>
      <c r="Q5653" s="22" t="str">
        <f>"+0"</f>
        <v>+0</v>
      </c>
      <c r="S5653" s="14" t="s">
        <v>281</v>
      </c>
    </row>
    <row r="5654">
      <c r="A5654" s="13">
        <v>45901.0</v>
      </c>
      <c r="B5654" s="14" t="s">
        <v>47</v>
      </c>
      <c r="C5654" s="14" t="s">
        <v>48</v>
      </c>
      <c r="D5654" s="14" t="s">
        <v>66</v>
      </c>
      <c r="E5654" s="14" t="s">
        <v>67</v>
      </c>
      <c r="F5654" s="15" t="s">
        <v>51</v>
      </c>
      <c r="G5654" s="14" t="s">
        <v>68</v>
      </c>
      <c r="H5654" s="14" t="s">
        <v>66</v>
      </c>
      <c r="I5654" s="14" t="s">
        <v>59</v>
      </c>
      <c r="J5654" s="14" t="s">
        <v>200</v>
      </c>
      <c r="K5654" s="14" t="s">
        <v>223</v>
      </c>
      <c r="L5654" s="14" t="s">
        <v>571</v>
      </c>
      <c r="M5654" s="14" t="s">
        <v>572</v>
      </c>
      <c r="N5654" s="14" t="s">
        <v>573</v>
      </c>
      <c r="O5654" s="14">
        <v>0.0</v>
      </c>
      <c r="P5654" s="23">
        <v>0.0</v>
      </c>
      <c r="Q5654" s="22" t="str">
        <f t="shared" ref="Q5654:R5654" si="3382">"+0.00%"</f>
        <v>+0.00%</v>
      </c>
      <c r="R5654" s="18" t="str">
        <f t="shared" si="3382"/>
        <v>+0.00%</v>
      </c>
      <c r="S5654" s="14" t="s">
        <v>285</v>
      </c>
    </row>
    <row r="5655">
      <c r="A5655" s="13">
        <v>45901.0</v>
      </c>
      <c r="B5655" s="14" t="s">
        <v>47</v>
      </c>
      <c r="C5655" s="14" t="s">
        <v>48</v>
      </c>
      <c r="D5655" s="14" t="s">
        <v>143</v>
      </c>
      <c r="E5655" s="14" t="s">
        <v>144</v>
      </c>
      <c r="F5655" s="15" t="s">
        <v>51</v>
      </c>
      <c r="G5655" s="14" t="s">
        <v>145</v>
      </c>
      <c r="H5655" s="14" t="s">
        <v>143</v>
      </c>
      <c r="I5655" s="14" t="s">
        <v>59</v>
      </c>
      <c r="J5655" s="14" t="s">
        <v>199</v>
      </c>
      <c r="K5655" s="14" t="s">
        <v>203</v>
      </c>
      <c r="L5655" s="14" t="s">
        <v>340</v>
      </c>
      <c r="M5655" s="14" t="s">
        <v>340</v>
      </c>
      <c r="N5655" s="14" t="s">
        <v>341</v>
      </c>
      <c r="O5655" s="14">
        <v>0.0</v>
      </c>
      <c r="P5655" s="21">
        <v>0.0</v>
      </c>
      <c r="Q5655" s="22" t="str">
        <f t="shared" ref="Q5655:R5655" si="3383">"+0"</f>
        <v>+0</v>
      </c>
      <c r="R5655" s="18" t="str">
        <f t="shared" si="3383"/>
        <v>+0</v>
      </c>
      <c r="S5655" s="14" t="s">
        <v>260</v>
      </c>
    </row>
    <row r="5656">
      <c r="A5656" s="13">
        <v>45901.0</v>
      </c>
      <c r="B5656" s="14" t="s">
        <v>47</v>
      </c>
      <c r="C5656" s="14" t="s">
        <v>48</v>
      </c>
      <c r="D5656" s="14" t="s">
        <v>143</v>
      </c>
      <c r="E5656" s="14" t="s">
        <v>144</v>
      </c>
      <c r="F5656" s="15" t="s">
        <v>51</v>
      </c>
      <c r="G5656" s="14" t="s">
        <v>145</v>
      </c>
      <c r="H5656" s="14" t="s">
        <v>143</v>
      </c>
      <c r="I5656" s="14" t="s">
        <v>59</v>
      </c>
      <c r="J5656" s="14" t="s">
        <v>200</v>
      </c>
      <c r="K5656" s="14" t="s">
        <v>232</v>
      </c>
      <c r="L5656" s="14" t="s">
        <v>422</v>
      </c>
      <c r="M5656" s="14" t="s">
        <v>423</v>
      </c>
      <c r="N5656" s="14" t="s">
        <v>424</v>
      </c>
      <c r="O5656" s="14">
        <v>100.0</v>
      </c>
      <c r="P5656" s="21">
        <v>23.0</v>
      </c>
      <c r="Q5656" s="22" t="str">
        <f t="shared" ref="Q5656:R5656" si="3384">"+0"</f>
        <v>+0</v>
      </c>
      <c r="R5656" s="18" t="str">
        <f t="shared" si="3384"/>
        <v>+0</v>
      </c>
      <c r="S5656" s="14" t="s">
        <v>260</v>
      </c>
    </row>
    <row r="5657">
      <c r="A5657" s="13">
        <v>45901.0</v>
      </c>
      <c r="B5657" s="14" t="s">
        <v>47</v>
      </c>
      <c r="C5657" s="14" t="s">
        <v>48</v>
      </c>
      <c r="D5657" s="14" t="s">
        <v>149</v>
      </c>
      <c r="E5657" s="14" t="s">
        <v>150</v>
      </c>
      <c r="F5657" s="15" t="s">
        <v>51</v>
      </c>
      <c r="G5657" s="14" t="s">
        <v>151</v>
      </c>
      <c r="H5657" s="14" t="s">
        <v>152</v>
      </c>
      <c r="I5657" s="14" t="s">
        <v>54</v>
      </c>
      <c r="J5657" s="14" t="s">
        <v>198</v>
      </c>
      <c r="K5657" s="14" t="s">
        <v>205</v>
      </c>
      <c r="L5657" s="14" t="s">
        <v>274</v>
      </c>
      <c r="M5657" s="14" t="s">
        <v>738</v>
      </c>
      <c r="N5657" s="14" t="s">
        <v>739</v>
      </c>
      <c r="O5657" s="14">
        <v>0.0</v>
      </c>
      <c r="P5657" s="21">
        <v>0.0</v>
      </c>
      <c r="Q5657" s="22" t="str">
        <f t="shared" ref="Q5657:Q5658" si="3385">"+0"</f>
        <v>+0</v>
      </c>
      <c r="S5657" s="14" t="s">
        <v>281</v>
      </c>
    </row>
    <row r="5658">
      <c r="A5658" s="13">
        <v>45901.0</v>
      </c>
      <c r="B5658" s="14" t="s">
        <v>47</v>
      </c>
      <c r="C5658" s="14" t="s">
        <v>48</v>
      </c>
      <c r="D5658" s="14" t="s">
        <v>171</v>
      </c>
      <c r="E5658" s="14" t="s">
        <v>172</v>
      </c>
      <c r="F5658" s="15" t="s">
        <v>51</v>
      </c>
      <c r="G5658" s="14" t="s">
        <v>173</v>
      </c>
      <c r="H5658" s="14" t="s">
        <v>171</v>
      </c>
      <c r="I5658" s="14" t="s">
        <v>59</v>
      </c>
      <c r="J5658" s="14" t="s">
        <v>200</v>
      </c>
      <c r="K5658" s="14" t="s">
        <v>222</v>
      </c>
      <c r="L5658" s="14" t="s">
        <v>337</v>
      </c>
      <c r="M5658" s="14" t="s">
        <v>1000</v>
      </c>
      <c r="N5658" s="14" t="s">
        <v>1001</v>
      </c>
      <c r="O5658" s="14">
        <v>0.0</v>
      </c>
      <c r="P5658" s="21">
        <v>0.0</v>
      </c>
      <c r="Q5658" s="22" t="str">
        <f t="shared" si="3385"/>
        <v>+0</v>
      </c>
      <c r="R5658" s="18" t="str">
        <f>"+0"</f>
        <v>+0</v>
      </c>
      <c r="S5658" s="14" t="s">
        <v>260</v>
      </c>
    </row>
    <row r="5659">
      <c r="A5659" s="13">
        <v>45901.0</v>
      </c>
      <c r="B5659" s="14" t="s">
        <v>47</v>
      </c>
      <c r="C5659" s="14" t="s">
        <v>48</v>
      </c>
      <c r="D5659" s="14" t="s">
        <v>87</v>
      </c>
      <c r="E5659" s="14" t="s">
        <v>88</v>
      </c>
      <c r="F5659" s="15" t="s">
        <v>51</v>
      </c>
      <c r="G5659" s="14" t="s">
        <v>89</v>
      </c>
      <c r="H5659" s="14" t="s">
        <v>90</v>
      </c>
      <c r="I5659" s="14" t="s">
        <v>59</v>
      </c>
      <c r="J5659" s="14" t="s">
        <v>200</v>
      </c>
      <c r="K5659" s="14" t="s">
        <v>201</v>
      </c>
      <c r="L5659" s="14" t="s">
        <v>253</v>
      </c>
      <c r="M5659" s="14" t="s">
        <v>1411</v>
      </c>
      <c r="N5659" s="14" t="s">
        <v>1412</v>
      </c>
      <c r="O5659" s="14">
        <v>1.0</v>
      </c>
      <c r="P5659" s="23">
        <v>0.0</v>
      </c>
      <c r="Q5659" s="22" t="str">
        <f t="shared" ref="Q5659:R5659" si="3386">"+0.00%"</f>
        <v>+0.00%</v>
      </c>
      <c r="R5659" s="18" t="str">
        <f t="shared" si="3386"/>
        <v>+0.00%</v>
      </c>
      <c r="S5659" s="14" t="s">
        <v>1647</v>
      </c>
    </row>
    <row r="5660">
      <c r="A5660" s="13">
        <v>45901.0</v>
      </c>
      <c r="B5660" s="14" t="s">
        <v>47</v>
      </c>
      <c r="C5660" s="14" t="s">
        <v>48</v>
      </c>
      <c r="D5660" s="14" t="s">
        <v>149</v>
      </c>
      <c r="E5660" s="14" t="s">
        <v>150</v>
      </c>
      <c r="F5660" s="15" t="s">
        <v>51</v>
      </c>
      <c r="G5660" s="14" t="s">
        <v>151</v>
      </c>
      <c r="H5660" s="14" t="s">
        <v>152</v>
      </c>
      <c r="I5660" s="14" t="s">
        <v>54</v>
      </c>
      <c r="J5660" s="14" t="s">
        <v>200</v>
      </c>
      <c r="K5660" s="14" t="s">
        <v>224</v>
      </c>
      <c r="L5660" s="14" t="s">
        <v>436</v>
      </c>
      <c r="M5660" s="14" t="s">
        <v>1353</v>
      </c>
      <c r="N5660" s="14" t="s">
        <v>1354</v>
      </c>
      <c r="O5660" s="14">
        <v>33.0</v>
      </c>
      <c r="P5660" s="23">
        <v>0.3333</v>
      </c>
      <c r="Q5660" s="22" t="str">
        <f t="shared" ref="Q5660:R5660" si="3387">"-16.67%"</f>
        <v>-16.67%</v>
      </c>
      <c r="R5660" s="18" t="str">
        <f t="shared" si="3387"/>
        <v>-16.67%</v>
      </c>
      <c r="S5660" s="14" t="s">
        <v>2528</v>
      </c>
    </row>
    <row r="5661">
      <c r="A5661" s="13">
        <v>45901.0</v>
      </c>
      <c r="B5661" s="14" t="s">
        <v>47</v>
      </c>
      <c r="C5661" s="14" t="s">
        <v>48</v>
      </c>
      <c r="D5661" s="14" t="s">
        <v>69</v>
      </c>
      <c r="E5661" s="14" t="s">
        <v>70</v>
      </c>
      <c r="F5661" s="15" t="s">
        <v>51</v>
      </c>
      <c r="G5661" s="14" t="s">
        <v>115</v>
      </c>
      <c r="H5661" s="14" t="s">
        <v>72</v>
      </c>
      <c r="I5661" s="14" t="s">
        <v>54</v>
      </c>
      <c r="J5661" s="14" t="s">
        <v>198</v>
      </c>
      <c r="K5661" s="14" t="s">
        <v>210</v>
      </c>
      <c r="L5661" s="14" t="s">
        <v>264</v>
      </c>
      <c r="M5661" s="14" t="s">
        <v>2529</v>
      </c>
      <c r="N5661" s="14" t="s">
        <v>2530</v>
      </c>
      <c r="O5661" s="14">
        <v>100.0</v>
      </c>
      <c r="P5661" s="21">
        <v>100.0</v>
      </c>
      <c r="Q5661" s="22" t="str">
        <f t="shared" ref="Q5661:R5661" si="3388">"+0"</f>
        <v>+0</v>
      </c>
      <c r="R5661" s="18" t="str">
        <f t="shared" si="3388"/>
        <v>+0</v>
      </c>
      <c r="S5661" s="14" t="s">
        <v>327</v>
      </c>
    </row>
    <row r="5662">
      <c r="A5662" s="13">
        <v>45901.0</v>
      </c>
      <c r="B5662" s="14" t="s">
        <v>47</v>
      </c>
      <c r="C5662" s="14" t="s">
        <v>48</v>
      </c>
      <c r="D5662" s="14" t="s">
        <v>96</v>
      </c>
      <c r="E5662" s="14" t="s">
        <v>97</v>
      </c>
      <c r="F5662" s="15" t="s">
        <v>51</v>
      </c>
      <c r="G5662" s="14" t="s">
        <v>98</v>
      </c>
      <c r="H5662" s="14" t="s">
        <v>96</v>
      </c>
      <c r="I5662" s="14" t="s">
        <v>59</v>
      </c>
      <c r="J5662" s="14" t="s">
        <v>200</v>
      </c>
      <c r="K5662" s="14" t="s">
        <v>223</v>
      </c>
      <c r="L5662" s="14" t="s">
        <v>286</v>
      </c>
      <c r="M5662" s="14" t="s">
        <v>979</v>
      </c>
      <c r="N5662" s="14" t="s">
        <v>980</v>
      </c>
      <c r="O5662" s="14">
        <v>9.0</v>
      </c>
      <c r="P5662" s="23">
        <v>0.0909</v>
      </c>
      <c r="Q5662" s="22" t="str">
        <f>"+9.09%"</f>
        <v>+9.09%</v>
      </c>
      <c r="R5662" s="18" t="str">
        <f>"+2.84%"</f>
        <v>+2.84%</v>
      </c>
      <c r="S5662" s="14" t="s">
        <v>2531</v>
      </c>
    </row>
    <row r="5663">
      <c r="A5663" s="13">
        <v>45901.0</v>
      </c>
      <c r="B5663" s="14" t="s">
        <v>47</v>
      </c>
      <c r="C5663" s="14" t="s">
        <v>48</v>
      </c>
      <c r="D5663" s="14" t="s">
        <v>69</v>
      </c>
      <c r="E5663" s="14" t="s">
        <v>70</v>
      </c>
      <c r="F5663" s="15" t="s">
        <v>51</v>
      </c>
      <c r="G5663" s="14" t="s">
        <v>115</v>
      </c>
      <c r="H5663" s="14" t="s">
        <v>72</v>
      </c>
      <c r="I5663" s="14" t="s">
        <v>54</v>
      </c>
      <c r="J5663" s="14" t="s">
        <v>198</v>
      </c>
      <c r="K5663" s="14" t="s">
        <v>210</v>
      </c>
      <c r="L5663" s="14" t="s">
        <v>264</v>
      </c>
      <c r="M5663" s="14" t="s">
        <v>559</v>
      </c>
      <c r="N5663" s="14" t="s">
        <v>560</v>
      </c>
      <c r="O5663" s="14">
        <v>0.0</v>
      </c>
      <c r="P5663" s="21">
        <v>0.0</v>
      </c>
      <c r="Q5663" s="22" t="str">
        <f t="shared" ref="Q5663:R5663" si="3389">"+0"</f>
        <v>+0</v>
      </c>
      <c r="R5663" s="18" t="str">
        <f t="shared" si="3389"/>
        <v>+0</v>
      </c>
      <c r="S5663" s="14" t="s">
        <v>277</v>
      </c>
    </row>
    <row r="5664">
      <c r="A5664" s="13">
        <v>45901.0</v>
      </c>
      <c r="B5664" s="14" t="s">
        <v>47</v>
      </c>
      <c r="C5664" s="14" t="s">
        <v>48</v>
      </c>
      <c r="D5664" s="14" t="s">
        <v>69</v>
      </c>
      <c r="E5664" s="14" t="s">
        <v>70</v>
      </c>
      <c r="F5664" s="15" t="s">
        <v>51</v>
      </c>
      <c r="G5664" s="14" t="s">
        <v>115</v>
      </c>
      <c r="H5664" s="14" t="s">
        <v>72</v>
      </c>
      <c r="I5664" s="14" t="s">
        <v>54</v>
      </c>
      <c r="J5664" s="14" t="s">
        <v>198</v>
      </c>
      <c r="K5664" s="14" t="s">
        <v>210</v>
      </c>
      <c r="L5664" s="14" t="s">
        <v>278</v>
      </c>
      <c r="M5664" s="14" t="s">
        <v>443</v>
      </c>
      <c r="N5664" s="14" t="s">
        <v>444</v>
      </c>
      <c r="O5664" s="14">
        <v>19.0</v>
      </c>
      <c r="P5664" s="21">
        <v>198.0</v>
      </c>
      <c r="Q5664" s="22" t="str">
        <f>"-8"</f>
        <v>-8</v>
      </c>
      <c r="R5664" s="18" t="str">
        <f>"+8"</f>
        <v>+8</v>
      </c>
      <c r="S5664" s="14" t="s">
        <v>1257</v>
      </c>
    </row>
    <row r="5665">
      <c r="A5665" s="13">
        <v>45901.0</v>
      </c>
      <c r="B5665" s="14" t="s">
        <v>47</v>
      </c>
      <c r="C5665" s="14" t="s">
        <v>48</v>
      </c>
      <c r="D5665" s="14" t="s">
        <v>69</v>
      </c>
      <c r="E5665" s="14" t="s">
        <v>70</v>
      </c>
      <c r="F5665" s="15" t="s">
        <v>51</v>
      </c>
      <c r="G5665" s="14" t="s">
        <v>115</v>
      </c>
      <c r="H5665" s="14" t="s">
        <v>72</v>
      </c>
      <c r="I5665" s="14" t="s">
        <v>54</v>
      </c>
      <c r="J5665" s="14" t="s">
        <v>200</v>
      </c>
      <c r="K5665" s="14" t="s">
        <v>224</v>
      </c>
      <c r="L5665" s="14" t="s">
        <v>453</v>
      </c>
      <c r="M5665" s="14" t="s">
        <v>611</v>
      </c>
      <c r="N5665" s="14" t="s">
        <v>612</v>
      </c>
      <c r="O5665" s="14">
        <v>16.0</v>
      </c>
      <c r="P5665" s="23">
        <v>0.1667</v>
      </c>
      <c r="Q5665" s="22" t="str">
        <f>"-16.67%"</f>
        <v>-16.67%</v>
      </c>
      <c r="R5665" s="18" t="str">
        <f>"-3.33%"</f>
        <v>-3.33%</v>
      </c>
      <c r="S5665" s="14" t="s">
        <v>523</v>
      </c>
    </row>
    <row r="5666">
      <c r="A5666" s="13">
        <v>45901.0</v>
      </c>
      <c r="B5666" s="14" t="s">
        <v>47</v>
      </c>
      <c r="C5666" s="14" t="s">
        <v>48</v>
      </c>
      <c r="D5666" s="14" t="s">
        <v>85</v>
      </c>
      <c r="E5666" s="14" t="s">
        <v>86</v>
      </c>
      <c r="F5666" s="15" t="s">
        <v>51</v>
      </c>
      <c r="G5666" s="14" t="s">
        <v>148</v>
      </c>
      <c r="H5666" s="14" t="s">
        <v>85</v>
      </c>
      <c r="I5666" s="14" t="s">
        <v>59</v>
      </c>
      <c r="J5666" s="14" t="s">
        <v>198</v>
      </c>
      <c r="K5666" s="14" t="s">
        <v>205</v>
      </c>
      <c r="L5666" s="14" t="s">
        <v>274</v>
      </c>
      <c r="M5666" s="14" t="s">
        <v>275</v>
      </c>
      <c r="N5666" s="14" t="s">
        <v>276</v>
      </c>
      <c r="O5666" s="14">
        <v>0.0</v>
      </c>
      <c r="P5666" s="21">
        <v>1.0</v>
      </c>
      <c r="Q5666" s="22" t="str">
        <f t="shared" ref="Q5666:Q5668" si="3390">"+0"</f>
        <v>+0</v>
      </c>
      <c r="S5666" s="14" t="s">
        <v>277</v>
      </c>
    </row>
    <row r="5667">
      <c r="A5667" s="13">
        <v>45901.0</v>
      </c>
      <c r="B5667" s="14" t="s">
        <v>47</v>
      </c>
      <c r="C5667" s="14" t="s">
        <v>48</v>
      </c>
      <c r="D5667" s="14" t="s">
        <v>158</v>
      </c>
      <c r="E5667" s="14" t="s">
        <v>159</v>
      </c>
      <c r="F5667" s="15" t="s">
        <v>51</v>
      </c>
      <c r="G5667" s="14" t="s">
        <v>160</v>
      </c>
      <c r="H5667" s="14" t="s">
        <v>158</v>
      </c>
      <c r="I5667" s="14" t="s">
        <v>54</v>
      </c>
      <c r="J5667" s="14" t="s">
        <v>199</v>
      </c>
      <c r="K5667" s="14" t="s">
        <v>206</v>
      </c>
      <c r="L5667" s="14" t="s">
        <v>433</v>
      </c>
      <c r="M5667" s="14" t="s">
        <v>433</v>
      </c>
      <c r="N5667" s="14" t="s">
        <v>434</v>
      </c>
      <c r="O5667" s="14">
        <v>0.0</v>
      </c>
      <c r="P5667" s="21">
        <v>0.0</v>
      </c>
      <c r="Q5667" s="22" t="str">
        <f t="shared" si="3390"/>
        <v>+0</v>
      </c>
      <c r="R5667" s="18" t="str">
        <f>"-1"</f>
        <v>-1</v>
      </c>
      <c r="S5667" s="14" t="s">
        <v>383</v>
      </c>
    </row>
    <row r="5668">
      <c r="A5668" s="13">
        <v>45901.0</v>
      </c>
      <c r="B5668" s="14" t="s">
        <v>47</v>
      </c>
      <c r="C5668" s="14" t="s">
        <v>48</v>
      </c>
      <c r="D5668" s="14" t="s">
        <v>116</v>
      </c>
      <c r="E5668" s="14" t="s">
        <v>117</v>
      </c>
      <c r="F5668" s="15" t="s">
        <v>51</v>
      </c>
      <c r="G5668" s="14" t="s">
        <v>161</v>
      </c>
      <c r="H5668" s="14" t="s">
        <v>116</v>
      </c>
      <c r="I5668" s="14" t="s">
        <v>54</v>
      </c>
      <c r="J5668" s="14" t="s">
        <v>198</v>
      </c>
      <c r="K5668" s="14" t="s">
        <v>212</v>
      </c>
      <c r="L5668" s="14" t="s">
        <v>249</v>
      </c>
      <c r="M5668" s="14" t="s">
        <v>1406</v>
      </c>
      <c r="N5668" s="14" t="s">
        <v>1407</v>
      </c>
      <c r="O5668" s="14">
        <v>0.0</v>
      </c>
      <c r="P5668" s="21">
        <v>0.0</v>
      </c>
      <c r="Q5668" s="22" t="str">
        <f t="shared" si="3390"/>
        <v>+0</v>
      </c>
      <c r="R5668" s="18" t="str">
        <f>"+0"</f>
        <v>+0</v>
      </c>
      <c r="S5668" s="14" t="s">
        <v>277</v>
      </c>
    </row>
    <row r="5669">
      <c r="A5669" s="13">
        <v>45901.0</v>
      </c>
      <c r="B5669" s="14" t="s">
        <v>47</v>
      </c>
      <c r="C5669" s="14" t="s">
        <v>48</v>
      </c>
      <c r="D5669" s="14" t="s">
        <v>112</v>
      </c>
      <c r="E5669" s="14" t="s">
        <v>113</v>
      </c>
      <c r="F5669" s="15" t="s">
        <v>51</v>
      </c>
      <c r="G5669" s="14" t="s">
        <v>114</v>
      </c>
      <c r="H5669" s="14" t="s">
        <v>112</v>
      </c>
      <c r="I5669" s="14" t="s">
        <v>59</v>
      </c>
      <c r="J5669" s="14" t="s">
        <v>200</v>
      </c>
      <c r="K5669" s="14" t="s">
        <v>213</v>
      </c>
      <c r="L5669" s="14" t="s">
        <v>257</v>
      </c>
      <c r="M5669" s="14" t="s">
        <v>315</v>
      </c>
      <c r="N5669" s="14" t="s">
        <v>316</v>
      </c>
      <c r="O5669" s="14">
        <v>0.0</v>
      </c>
      <c r="P5669" s="23">
        <v>0.0</v>
      </c>
      <c r="Q5669" s="22" t="str">
        <f t="shared" ref="Q5669:R5669" si="3391">"+0.00%"</f>
        <v>+0.00%</v>
      </c>
      <c r="R5669" s="18" t="str">
        <f t="shared" si="3391"/>
        <v>+0.00%</v>
      </c>
      <c r="S5669" s="14" t="s">
        <v>2532</v>
      </c>
    </row>
    <row r="5670">
      <c r="A5670" s="13">
        <v>45901.0</v>
      </c>
      <c r="B5670" s="14" t="s">
        <v>47</v>
      </c>
      <c r="C5670" s="14" t="s">
        <v>48</v>
      </c>
      <c r="D5670" s="14" t="s">
        <v>158</v>
      </c>
      <c r="E5670" s="14" t="s">
        <v>159</v>
      </c>
      <c r="F5670" s="15" t="s">
        <v>51</v>
      </c>
      <c r="G5670" s="14" t="s">
        <v>160</v>
      </c>
      <c r="H5670" s="14" t="s">
        <v>158</v>
      </c>
      <c r="I5670" s="14" t="s">
        <v>54</v>
      </c>
      <c r="J5670" s="14" t="s">
        <v>199</v>
      </c>
      <c r="K5670" s="14" t="s">
        <v>203</v>
      </c>
      <c r="L5670" s="14" t="s">
        <v>725</v>
      </c>
      <c r="M5670" s="14" t="s">
        <v>725</v>
      </c>
      <c r="N5670" s="14" t="s">
        <v>726</v>
      </c>
      <c r="O5670" s="14">
        <v>100.0</v>
      </c>
      <c r="P5670" s="21">
        <v>1.0</v>
      </c>
      <c r="Q5670" s="22" t="str">
        <f t="shared" ref="Q5670:R5670" si="3392">"-1"</f>
        <v>-1</v>
      </c>
      <c r="R5670" s="18" t="str">
        <f t="shared" si="3392"/>
        <v>-1</v>
      </c>
      <c r="S5670" s="14" t="s">
        <v>260</v>
      </c>
    </row>
    <row r="5671">
      <c r="A5671" s="13">
        <v>45901.0</v>
      </c>
      <c r="B5671" s="14" t="s">
        <v>47</v>
      </c>
      <c r="C5671" s="14" t="s">
        <v>48</v>
      </c>
      <c r="D5671" s="14" t="s">
        <v>158</v>
      </c>
      <c r="E5671" s="14" t="s">
        <v>159</v>
      </c>
      <c r="F5671" s="15" t="s">
        <v>51</v>
      </c>
      <c r="G5671" s="14" t="s">
        <v>160</v>
      </c>
      <c r="H5671" s="14" t="s">
        <v>158</v>
      </c>
      <c r="I5671" s="14" t="s">
        <v>54</v>
      </c>
      <c r="J5671" s="14" t="s">
        <v>198</v>
      </c>
      <c r="K5671" s="14" t="s">
        <v>205</v>
      </c>
      <c r="L5671" s="14" t="s">
        <v>274</v>
      </c>
      <c r="M5671" s="14" t="s">
        <v>767</v>
      </c>
      <c r="N5671" s="14" t="s">
        <v>768</v>
      </c>
      <c r="O5671" s="14">
        <v>100.0</v>
      </c>
      <c r="P5671" s="21">
        <v>1.0</v>
      </c>
      <c r="Q5671" s="22" t="str">
        <f>"+0"</f>
        <v>+0</v>
      </c>
      <c r="S5671" s="14" t="s">
        <v>281</v>
      </c>
    </row>
    <row r="5672">
      <c r="A5672" s="13">
        <v>45901.0</v>
      </c>
      <c r="B5672" s="14" t="s">
        <v>47</v>
      </c>
      <c r="C5672" s="14" t="s">
        <v>48</v>
      </c>
      <c r="D5672" s="14" t="s">
        <v>121</v>
      </c>
      <c r="E5672" s="14" t="s">
        <v>122</v>
      </c>
      <c r="F5672" s="15" t="s">
        <v>51</v>
      </c>
      <c r="G5672" s="14" t="s">
        <v>123</v>
      </c>
      <c r="H5672" s="14" t="s">
        <v>124</v>
      </c>
      <c r="I5672" s="14" t="s">
        <v>59</v>
      </c>
      <c r="J5672" s="14" t="s">
        <v>200</v>
      </c>
      <c r="K5672" s="14" t="s">
        <v>232</v>
      </c>
      <c r="L5672" s="14" t="s">
        <v>286</v>
      </c>
      <c r="M5672" s="14" t="s">
        <v>287</v>
      </c>
      <c r="N5672" s="14" t="s">
        <v>288</v>
      </c>
      <c r="O5672" s="14">
        <v>0.0</v>
      </c>
      <c r="P5672" s="23">
        <v>0.0</v>
      </c>
      <c r="Q5672" s="22" t="str">
        <f>"+0.00%"</f>
        <v>+0.00%</v>
      </c>
      <c r="R5672" s="18" t="str">
        <f>"-9.09%"</f>
        <v>-9.09%</v>
      </c>
      <c r="S5672" s="14" t="s">
        <v>285</v>
      </c>
    </row>
    <row r="5673">
      <c r="A5673" s="13">
        <v>45901.0</v>
      </c>
      <c r="B5673" s="14" t="s">
        <v>47</v>
      </c>
      <c r="C5673" s="14" t="s">
        <v>48</v>
      </c>
      <c r="D5673" s="14" t="s">
        <v>140</v>
      </c>
      <c r="E5673" s="14" t="s">
        <v>141</v>
      </c>
      <c r="F5673" s="15" t="s">
        <v>51</v>
      </c>
      <c r="G5673" s="14" t="s">
        <v>142</v>
      </c>
      <c r="H5673" s="14" t="s">
        <v>140</v>
      </c>
      <c r="I5673" s="14" t="s">
        <v>59</v>
      </c>
      <c r="J5673" s="14" t="s">
        <v>199</v>
      </c>
      <c r="K5673" s="14" t="s">
        <v>203</v>
      </c>
      <c r="L5673" s="14" t="s">
        <v>725</v>
      </c>
      <c r="M5673" s="14" t="s">
        <v>725</v>
      </c>
      <c r="N5673" s="14" t="s">
        <v>726</v>
      </c>
      <c r="O5673" s="14">
        <v>0.0</v>
      </c>
      <c r="P5673" s="21">
        <v>0.0</v>
      </c>
      <c r="Q5673" s="22" t="str">
        <f t="shared" ref="Q5673:R5673" si="3393">"+0"</f>
        <v>+0</v>
      </c>
      <c r="R5673" s="18" t="str">
        <f t="shared" si="3393"/>
        <v>+0</v>
      </c>
      <c r="S5673" s="14" t="s">
        <v>260</v>
      </c>
    </row>
    <row r="5674">
      <c r="A5674" s="13">
        <v>45901.0</v>
      </c>
      <c r="B5674" s="14" t="s">
        <v>47</v>
      </c>
      <c r="C5674" s="14" t="s">
        <v>48</v>
      </c>
      <c r="D5674" s="14" t="s">
        <v>140</v>
      </c>
      <c r="E5674" s="14" t="s">
        <v>141</v>
      </c>
      <c r="F5674" s="15" t="s">
        <v>51</v>
      </c>
      <c r="G5674" s="14" t="s">
        <v>142</v>
      </c>
      <c r="H5674" s="14" t="s">
        <v>140</v>
      </c>
      <c r="I5674" s="14" t="s">
        <v>59</v>
      </c>
      <c r="J5674" s="14" t="s">
        <v>200</v>
      </c>
      <c r="K5674" s="14" t="s">
        <v>227</v>
      </c>
      <c r="L5674" s="14" t="s">
        <v>721</v>
      </c>
      <c r="M5674" s="14" t="s">
        <v>722</v>
      </c>
      <c r="N5674" s="14" t="s">
        <v>723</v>
      </c>
      <c r="O5674" s="14">
        <v>46.0</v>
      </c>
      <c r="P5674" s="23">
        <v>-0.0609</v>
      </c>
      <c r="Q5674" s="22" t="str">
        <f>"+21.94%"</f>
        <v>+21.94%</v>
      </c>
      <c r="R5674" s="18" t="str">
        <f>"+4.92%"</f>
        <v>+4.92%</v>
      </c>
      <c r="S5674" s="14" t="s">
        <v>724</v>
      </c>
    </row>
    <row r="5675">
      <c r="A5675" s="13">
        <v>45901.0</v>
      </c>
      <c r="B5675" s="14" t="s">
        <v>47</v>
      </c>
      <c r="C5675" s="14" t="s">
        <v>48</v>
      </c>
      <c r="D5675" s="14" t="s">
        <v>165</v>
      </c>
      <c r="E5675" s="14" t="s">
        <v>166</v>
      </c>
      <c r="F5675" s="14" t="s">
        <v>111</v>
      </c>
      <c r="G5675" s="14">
        <v>7116371.0</v>
      </c>
      <c r="H5675" s="14" t="s">
        <v>165</v>
      </c>
      <c r="I5675" s="14" t="s">
        <v>59</v>
      </c>
      <c r="J5675" s="14" t="s">
        <v>199</v>
      </c>
      <c r="K5675" s="14" t="s">
        <v>203</v>
      </c>
      <c r="L5675" s="14" t="s">
        <v>736</v>
      </c>
      <c r="M5675" s="14" t="s">
        <v>736</v>
      </c>
      <c r="N5675" s="14" t="s">
        <v>737</v>
      </c>
      <c r="O5675" s="14">
        <v>0.0</v>
      </c>
      <c r="P5675" s="21">
        <v>0.0</v>
      </c>
      <c r="Q5675" s="22" t="str">
        <f t="shared" ref="Q5675:R5675" si="3394">"+0"</f>
        <v>+0</v>
      </c>
      <c r="R5675" s="18" t="str">
        <f t="shared" si="3394"/>
        <v>+0</v>
      </c>
      <c r="S5675" s="14" t="s">
        <v>260</v>
      </c>
    </row>
    <row r="5676">
      <c r="A5676" s="13">
        <v>45901.0</v>
      </c>
      <c r="B5676" s="14" t="s">
        <v>47</v>
      </c>
      <c r="C5676" s="14" t="s">
        <v>48</v>
      </c>
      <c r="D5676" s="14" t="s">
        <v>165</v>
      </c>
      <c r="E5676" s="14" t="s">
        <v>166</v>
      </c>
      <c r="F5676" s="15" t="s">
        <v>51</v>
      </c>
      <c r="G5676" s="14" t="s">
        <v>167</v>
      </c>
      <c r="H5676" s="14" t="s">
        <v>165</v>
      </c>
      <c r="I5676" s="14" t="s">
        <v>54</v>
      </c>
      <c r="J5676" s="14" t="s">
        <v>199</v>
      </c>
      <c r="K5676" s="14" t="s">
        <v>203</v>
      </c>
      <c r="L5676" s="14" t="s">
        <v>1095</v>
      </c>
      <c r="M5676" s="14" t="s">
        <v>1095</v>
      </c>
      <c r="N5676" s="14" t="s">
        <v>1096</v>
      </c>
      <c r="O5676" s="14">
        <v>100.0</v>
      </c>
      <c r="P5676" s="21">
        <v>1.0</v>
      </c>
      <c r="Q5676" s="22" t="str">
        <f t="shared" ref="Q5676:R5676" si="3395">"+0"</f>
        <v>+0</v>
      </c>
      <c r="R5676" s="18" t="str">
        <f t="shared" si="3395"/>
        <v>+0</v>
      </c>
      <c r="S5676" s="14" t="s">
        <v>260</v>
      </c>
    </row>
    <row r="5677">
      <c r="A5677" s="13">
        <v>45901.0</v>
      </c>
      <c r="B5677" s="14" t="s">
        <v>47</v>
      </c>
      <c r="C5677" s="14" t="s">
        <v>48</v>
      </c>
      <c r="D5677" s="14" t="s">
        <v>165</v>
      </c>
      <c r="E5677" s="14" t="s">
        <v>166</v>
      </c>
      <c r="F5677" s="15" t="s">
        <v>51</v>
      </c>
      <c r="G5677" s="14" t="s">
        <v>167</v>
      </c>
      <c r="H5677" s="14" t="s">
        <v>165</v>
      </c>
      <c r="I5677" s="14" t="s">
        <v>54</v>
      </c>
      <c r="J5677" s="14" t="s">
        <v>200</v>
      </c>
      <c r="K5677" s="14" t="s">
        <v>224</v>
      </c>
      <c r="L5677" s="14" t="s">
        <v>427</v>
      </c>
      <c r="M5677" s="14" t="s">
        <v>428</v>
      </c>
      <c r="N5677" s="14" t="s">
        <v>429</v>
      </c>
      <c r="O5677" s="14">
        <v>100.0</v>
      </c>
      <c r="P5677" s="23">
        <v>1.0</v>
      </c>
      <c r="Q5677" s="22" t="str">
        <f t="shared" ref="Q5677:R5677" si="3396">"+0.00%"</f>
        <v>+0.00%</v>
      </c>
      <c r="R5677" s="18" t="str">
        <f t="shared" si="3396"/>
        <v>+0.00%</v>
      </c>
      <c r="S5677" s="14" t="s">
        <v>2533</v>
      </c>
    </row>
    <row r="5678">
      <c r="A5678" s="13">
        <v>45901.0</v>
      </c>
      <c r="B5678" s="14" t="s">
        <v>47</v>
      </c>
      <c r="C5678" s="14" t="s">
        <v>48</v>
      </c>
      <c r="D5678" s="14" t="s">
        <v>99</v>
      </c>
      <c r="E5678" s="14" t="s">
        <v>100</v>
      </c>
      <c r="F5678" s="15" t="s">
        <v>51</v>
      </c>
      <c r="G5678" s="14" t="s">
        <v>101</v>
      </c>
      <c r="H5678" s="14" t="s">
        <v>102</v>
      </c>
      <c r="I5678" s="14" t="s">
        <v>54</v>
      </c>
      <c r="J5678" s="14" t="s">
        <v>198</v>
      </c>
      <c r="K5678" s="14" t="s">
        <v>210</v>
      </c>
      <c r="L5678" s="14" t="s">
        <v>264</v>
      </c>
      <c r="M5678" s="14" t="s">
        <v>959</v>
      </c>
      <c r="N5678" s="14" t="s">
        <v>960</v>
      </c>
      <c r="O5678" s="14">
        <v>0.0</v>
      </c>
      <c r="P5678" s="21">
        <v>0.0</v>
      </c>
      <c r="Q5678" s="22" t="str">
        <f t="shared" ref="Q5678:R5678" si="3397">"+0"</f>
        <v>+0</v>
      </c>
      <c r="R5678" s="18" t="str">
        <f t="shared" si="3397"/>
        <v>+0</v>
      </c>
      <c r="S5678" s="14" t="s">
        <v>277</v>
      </c>
    </row>
    <row r="5679">
      <c r="A5679" s="13">
        <v>45901.0</v>
      </c>
      <c r="B5679" s="14" t="s">
        <v>47</v>
      </c>
      <c r="C5679" s="14" t="s">
        <v>48</v>
      </c>
      <c r="D5679" s="14" t="s">
        <v>91</v>
      </c>
      <c r="E5679" s="14" t="s">
        <v>92</v>
      </c>
      <c r="F5679" s="15" t="s">
        <v>51</v>
      </c>
      <c r="G5679" s="14" t="s">
        <v>163</v>
      </c>
      <c r="H5679" s="14" t="s">
        <v>91</v>
      </c>
      <c r="I5679" s="14" t="s">
        <v>59</v>
      </c>
      <c r="J5679" s="14" t="s">
        <v>198</v>
      </c>
      <c r="K5679" s="14" t="s">
        <v>210</v>
      </c>
      <c r="L5679" s="14" t="s">
        <v>264</v>
      </c>
      <c r="M5679" s="14" t="s">
        <v>407</v>
      </c>
      <c r="N5679" s="14" t="s">
        <v>408</v>
      </c>
      <c r="O5679" s="14">
        <v>100.0</v>
      </c>
      <c r="P5679" s="21">
        <v>0.0</v>
      </c>
      <c r="Q5679" s="22" t="str">
        <f t="shared" ref="Q5679:R5679" si="3398">"+0"</f>
        <v>+0</v>
      </c>
      <c r="R5679" s="18" t="str">
        <f t="shared" si="3398"/>
        <v>+0</v>
      </c>
      <c r="S5679" s="14" t="s">
        <v>281</v>
      </c>
    </row>
    <row r="5680">
      <c r="A5680" s="13">
        <v>45901.0</v>
      </c>
      <c r="B5680" s="14" t="s">
        <v>47</v>
      </c>
      <c r="C5680" s="14" t="s">
        <v>48</v>
      </c>
      <c r="D5680" s="14" t="s">
        <v>63</v>
      </c>
      <c r="E5680" s="14" t="s">
        <v>64</v>
      </c>
      <c r="F5680" s="15" t="s">
        <v>51</v>
      </c>
      <c r="G5680" s="14" t="s">
        <v>65</v>
      </c>
      <c r="H5680" s="14" t="s">
        <v>63</v>
      </c>
      <c r="I5680" s="14" t="s">
        <v>54</v>
      </c>
      <c r="J5680" s="14" t="s">
        <v>200</v>
      </c>
      <c r="K5680" s="14" t="s">
        <v>211</v>
      </c>
      <c r="L5680" s="14" t="s">
        <v>889</v>
      </c>
      <c r="M5680" s="14" t="s">
        <v>1578</v>
      </c>
      <c r="N5680" s="14" t="s">
        <v>1579</v>
      </c>
      <c r="O5680" s="14">
        <v>57.0</v>
      </c>
      <c r="P5680" s="23">
        <v>0.1426</v>
      </c>
      <c r="Q5680" s="22" t="str">
        <f>"-3.77%"</f>
        <v>-3.77%</v>
      </c>
      <c r="R5680" s="18" t="str">
        <f>"-13.63%"</f>
        <v>-13.63%</v>
      </c>
      <c r="S5680" s="14" t="s">
        <v>336</v>
      </c>
    </row>
    <row r="5681">
      <c r="A5681" s="13">
        <v>45901.0</v>
      </c>
      <c r="B5681" s="14" t="s">
        <v>47</v>
      </c>
      <c r="C5681" s="14" t="s">
        <v>48</v>
      </c>
      <c r="D5681" s="14" t="s">
        <v>91</v>
      </c>
      <c r="E5681" s="14" t="s">
        <v>92</v>
      </c>
      <c r="F5681" s="15" t="s">
        <v>51</v>
      </c>
      <c r="G5681" s="14" t="s">
        <v>163</v>
      </c>
      <c r="H5681" s="14" t="s">
        <v>91</v>
      </c>
      <c r="I5681" s="14" t="s">
        <v>59</v>
      </c>
      <c r="J5681" s="14" t="s">
        <v>198</v>
      </c>
      <c r="K5681" s="14" t="s">
        <v>205</v>
      </c>
      <c r="L5681" s="14" t="s">
        <v>274</v>
      </c>
      <c r="M5681" s="14" t="s">
        <v>425</v>
      </c>
      <c r="N5681" s="14" t="s">
        <v>426</v>
      </c>
      <c r="O5681" s="14">
        <v>0.0</v>
      </c>
      <c r="P5681" s="21">
        <v>0.0</v>
      </c>
      <c r="Q5681" s="22" t="str">
        <f t="shared" ref="Q5681:Q5682" si="3399">"+0"</f>
        <v>+0</v>
      </c>
      <c r="S5681" s="14" t="s">
        <v>281</v>
      </c>
    </row>
    <row r="5682">
      <c r="A5682" s="13">
        <v>45901.0</v>
      </c>
      <c r="B5682" s="14" t="s">
        <v>47</v>
      </c>
      <c r="C5682" s="14" t="s">
        <v>48</v>
      </c>
      <c r="D5682" s="14" t="s">
        <v>91</v>
      </c>
      <c r="E5682" s="14" t="s">
        <v>92</v>
      </c>
      <c r="F5682" s="15" t="s">
        <v>51</v>
      </c>
      <c r="G5682" s="14" t="s">
        <v>163</v>
      </c>
      <c r="H5682" s="14" t="s">
        <v>91</v>
      </c>
      <c r="I5682" s="14" t="s">
        <v>59</v>
      </c>
      <c r="J5682" s="14" t="s">
        <v>200</v>
      </c>
      <c r="K5682" s="14" t="s">
        <v>227</v>
      </c>
      <c r="L5682" s="14" t="s">
        <v>270</v>
      </c>
      <c r="M5682" s="14" t="s">
        <v>417</v>
      </c>
      <c r="N5682" s="14" t="s">
        <v>418</v>
      </c>
      <c r="O5682" s="14">
        <v>0.0</v>
      </c>
      <c r="P5682" s="21">
        <v>0.0</v>
      </c>
      <c r="Q5682" s="22" t="str">
        <f t="shared" si="3399"/>
        <v>+0</v>
      </c>
      <c r="R5682" s="18" t="str">
        <f>"+0"</f>
        <v>+0</v>
      </c>
      <c r="S5682" s="14" t="s">
        <v>260</v>
      </c>
    </row>
    <row r="5683">
      <c r="A5683" s="13">
        <v>45901.0</v>
      </c>
      <c r="B5683" s="14" t="s">
        <v>47</v>
      </c>
      <c r="C5683" s="14" t="s">
        <v>48</v>
      </c>
      <c r="D5683" s="14" t="s">
        <v>192</v>
      </c>
      <c r="E5683" s="14" t="s">
        <v>193</v>
      </c>
      <c r="F5683" s="15" t="s">
        <v>51</v>
      </c>
      <c r="G5683" s="14" t="s">
        <v>194</v>
      </c>
      <c r="H5683" s="14" t="s">
        <v>192</v>
      </c>
      <c r="I5683" s="14" t="s">
        <v>54</v>
      </c>
      <c r="J5683" s="14" t="s">
        <v>200</v>
      </c>
      <c r="K5683" s="14" t="s">
        <v>227</v>
      </c>
      <c r="L5683" s="14" t="s">
        <v>253</v>
      </c>
      <c r="M5683" s="14" t="s">
        <v>254</v>
      </c>
      <c r="N5683" s="14" t="s">
        <v>255</v>
      </c>
      <c r="O5683" s="14">
        <v>12.0</v>
      </c>
      <c r="P5683" s="23">
        <v>0.12</v>
      </c>
      <c r="Q5683" s="22" t="str">
        <f>"+1.00%"</f>
        <v>+1.00%</v>
      </c>
      <c r="R5683" s="18" t="str">
        <f>"+0.00%"</f>
        <v>+0.00%</v>
      </c>
      <c r="S5683" s="14" t="s">
        <v>256</v>
      </c>
    </row>
    <row r="5684">
      <c r="A5684" s="13">
        <v>45901.0</v>
      </c>
      <c r="B5684" s="14" t="s">
        <v>47</v>
      </c>
      <c r="C5684" s="14" t="s">
        <v>48</v>
      </c>
      <c r="D5684" s="14" t="s">
        <v>82</v>
      </c>
      <c r="E5684" s="14" t="s">
        <v>83</v>
      </c>
      <c r="F5684" s="15" t="s">
        <v>51</v>
      </c>
      <c r="G5684" s="14" t="s">
        <v>84</v>
      </c>
      <c r="H5684" s="14" t="s">
        <v>82</v>
      </c>
      <c r="I5684" s="14" t="s">
        <v>59</v>
      </c>
      <c r="J5684" s="14" t="s">
        <v>198</v>
      </c>
      <c r="K5684" s="14" t="s">
        <v>207</v>
      </c>
      <c r="L5684" s="14" t="s">
        <v>318</v>
      </c>
      <c r="M5684" s="14" t="s">
        <v>508</v>
      </c>
      <c r="N5684" s="14" t="s">
        <v>509</v>
      </c>
      <c r="O5684" s="14">
        <v>0.0</v>
      </c>
      <c r="P5684" s="21">
        <v>0.0</v>
      </c>
      <c r="Q5684" s="22" t="str">
        <f>"+0"</f>
        <v>+0</v>
      </c>
      <c r="S5684" s="14" t="s">
        <v>281</v>
      </c>
    </row>
    <row r="5685">
      <c r="A5685" s="13">
        <v>45901.0</v>
      </c>
      <c r="B5685" s="14" t="s">
        <v>47</v>
      </c>
      <c r="C5685" s="14" t="s">
        <v>48</v>
      </c>
      <c r="D5685" s="14" t="s">
        <v>192</v>
      </c>
      <c r="E5685" s="14" t="s">
        <v>193</v>
      </c>
      <c r="F5685" s="15" t="s">
        <v>51</v>
      </c>
      <c r="G5685" s="14" t="s">
        <v>194</v>
      </c>
      <c r="H5685" s="14" t="s">
        <v>192</v>
      </c>
      <c r="I5685" s="14" t="s">
        <v>54</v>
      </c>
      <c r="J5685" s="14" t="s">
        <v>200</v>
      </c>
      <c r="K5685" s="14" t="s">
        <v>231</v>
      </c>
      <c r="L5685" s="14" t="s">
        <v>762</v>
      </c>
      <c r="M5685" s="14" t="s">
        <v>1329</v>
      </c>
      <c r="N5685" s="14" t="s">
        <v>1330</v>
      </c>
      <c r="O5685" s="14">
        <v>0.0</v>
      </c>
      <c r="P5685" s="23">
        <v>-1.0</v>
      </c>
      <c r="Q5685" s="22" t="str">
        <f t="shared" ref="Q5685:R5685" si="3400">"+0.00%"</f>
        <v>+0.00%</v>
      </c>
      <c r="R5685" s="18" t="str">
        <f t="shared" si="3400"/>
        <v>+0.00%</v>
      </c>
      <c r="S5685" s="14" t="s">
        <v>2534</v>
      </c>
    </row>
    <row r="5686">
      <c r="A5686" s="13">
        <v>45901.0</v>
      </c>
      <c r="B5686" s="14" t="s">
        <v>47</v>
      </c>
      <c r="C5686" s="14" t="s">
        <v>48</v>
      </c>
      <c r="D5686" s="14" t="s">
        <v>184</v>
      </c>
      <c r="E5686" s="14" t="s">
        <v>185</v>
      </c>
      <c r="F5686" s="15" t="s">
        <v>51</v>
      </c>
      <c r="G5686" s="14" t="s">
        <v>186</v>
      </c>
      <c r="H5686" s="14" t="s">
        <v>187</v>
      </c>
      <c r="I5686" s="14" t="s">
        <v>59</v>
      </c>
      <c r="J5686" s="14" t="s">
        <v>200</v>
      </c>
      <c r="K5686" s="14" t="s">
        <v>229</v>
      </c>
      <c r="L5686" s="14" t="s">
        <v>253</v>
      </c>
      <c r="M5686" s="14" t="s">
        <v>552</v>
      </c>
      <c r="N5686" s="14" t="s">
        <v>553</v>
      </c>
      <c r="O5686" s="14">
        <v>0.0</v>
      </c>
      <c r="P5686" s="17"/>
      <c r="Q5686" s="22"/>
      <c r="S5686" s="14" t="s">
        <v>2535</v>
      </c>
    </row>
    <row r="5687">
      <c r="A5687" s="13">
        <v>45901.0</v>
      </c>
      <c r="B5687" s="14" t="s">
        <v>47</v>
      </c>
      <c r="C5687" s="14" t="s">
        <v>48</v>
      </c>
      <c r="D5687" s="14" t="s">
        <v>192</v>
      </c>
      <c r="E5687" s="14" t="s">
        <v>193</v>
      </c>
      <c r="F5687" s="15" t="s">
        <v>51</v>
      </c>
      <c r="G5687" s="14" t="s">
        <v>194</v>
      </c>
      <c r="H5687" s="14" t="s">
        <v>192</v>
      </c>
      <c r="I5687" s="14" t="s">
        <v>54</v>
      </c>
      <c r="J5687" s="14" t="s">
        <v>200</v>
      </c>
      <c r="K5687" s="14" t="s">
        <v>231</v>
      </c>
      <c r="L5687" s="14" t="s">
        <v>372</v>
      </c>
      <c r="M5687" s="14" t="s">
        <v>2020</v>
      </c>
      <c r="N5687" s="14" t="s">
        <v>2021</v>
      </c>
      <c r="O5687" s="14">
        <v>0.0</v>
      </c>
      <c r="P5687" s="21">
        <v>0.0</v>
      </c>
      <c r="Q5687" s="22" t="str">
        <f t="shared" ref="Q5687:R5687" si="3401">"+0"</f>
        <v>+0</v>
      </c>
      <c r="R5687" s="18" t="str">
        <f t="shared" si="3401"/>
        <v>+0</v>
      </c>
      <c r="S5687" s="14" t="s">
        <v>260</v>
      </c>
    </row>
    <row r="5688">
      <c r="A5688" s="13">
        <v>45901.0</v>
      </c>
      <c r="B5688" s="14" t="s">
        <v>47</v>
      </c>
      <c r="C5688" s="14" t="s">
        <v>48</v>
      </c>
      <c r="D5688" s="14" t="s">
        <v>66</v>
      </c>
      <c r="E5688" s="14" t="s">
        <v>67</v>
      </c>
      <c r="F5688" s="15" t="s">
        <v>51</v>
      </c>
      <c r="G5688" s="14" t="s">
        <v>68</v>
      </c>
      <c r="H5688" s="14" t="s">
        <v>66</v>
      </c>
      <c r="I5688" s="14" t="s">
        <v>59</v>
      </c>
      <c r="J5688" s="14" t="s">
        <v>198</v>
      </c>
      <c r="K5688" s="14" t="s">
        <v>205</v>
      </c>
      <c r="L5688" s="14" t="s">
        <v>274</v>
      </c>
      <c r="M5688" s="14" t="s">
        <v>767</v>
      </c>
      <c r="N5688" s="14" t="s">
        <v>768</v>
      </c>
      <c r="O5688" s="14">
        <v>100.0</v>
      </c>
      <c r="P5688" s="21">
        <v>1.0</v>
      </c>
      <c r="Q5688" s="22" t="str">
        <f>"+0"</f>
        <v>+0</v>
      </c>
      <c r="S5688" s="14" t="s">
        <v>281</v>
      </c>
    </row>
    <row r="5689">
      <c r="A5689" s="13">
        <v>45901.0</v>
      </c>
      <c r="B5689" s="14" t="s">
        <v>47</v>
      </c>
      <c r="C5689" s="14" t="s">
        <v>48</v>
      </c>
      <c r="D5689" s="14" t="s">
        <v>103</v>
      </c>
      <c r="E5689" s="14" t="s">
        <v>104</v>
      </c>
      <c r="F5689" s="15" t="s">
        <v>51</v>
      </c>
      <c r="G5689" s="14" t="s">
        <v>105</v>
      </c>
      <c r="H5689" s="14" t="s">
        <v>106</v>
      </c>
      <c r="I5689" s="14" t="s">
        <v>59</v>
      </c>
      <c r="J5689" s="14" t="s">
        <v>200</v>
      </c>
      <c r="K5689" s="14" t="s">
        <v>232</v>
      </c>
      <c r="L5689" s="14" t="s">
        <v>286</v>
      </c>
      <c r="M5689" s="14" t="s">
        <v>625</v>
      </c>
      <c r="N5689" s="14" t="s">
        <v>626</v>
      </c>
      <c r="O5689" s="14">
        <v>45.0</v>
      </c>
      <c r="P5689" s="23">
        <v>0.4545</v>
      </c>
      <c r="Q5689" s="22" t="str">
        <f>"-11.69%"</f>
        <v>-11.69%</v>
      </c>
      <c r="R5689" s="18" t="str">
        <f>"+20.45%"</f>
        <v>+20.45%</v>
      </c>
      <c r="S5689" s="14" t="s">
        <v>2536</v>
      </c>
    </row>
    <row r="5690">
      <c r="A5690" s="13">
        <v>45901.0</v>
      </c>
      <c r="B5690" s="14" t="s">
        <v>47</v>
      </c>
      <c r="C5690" s="14" t="s">
        <v>48</v>
      </c>
      <c r="D5690" s="14" t="s">
        <v>73</v>
      </c>
      <c r="E5690" s="14" t="s">
        <v>74</v>
      </c>
      <c r="F5690" s="15" t="s">
        <v>51</v>
      </c>
      <c r="G5690" s="14" t="s">
        <v>75</v>
      </c>
      <c r="H5690" s="14" t="s">
        <v>76</v>
      </c>
      <c r="I5690" s="14" t="s">
        <v>59</v>
      </c>
      <c r="J5690" s="14" t="s">
        <v>200</v>
      </c>
      <c r="K5690" s="14" t="s">
        <v>209</v>
      </c>
      <c r="L5690" s="14" t="s">
        <v>253</v>
      </c>
      <c r="M5690" s="14" t="s">
        <v>402</v>
      </c>
      <c r="N5690" s="14" t="s">
        <v>403</v>
      </c>
      <c r="O5690" s="14">
        <v>12.0</v>
      </c>
      <c r="P5690" s="23">
        <v>0.1253</v>
      </c>
      <c r="Q5690" s="22" t="str">
        <f t="shared" ref="Q5690:R5690" si="3402">"+0.00%"</f>
        <v>+0.00%</v>
      </c>
      <c r="R5690" s="18" t="str">
        <f t="shared" si="3402"/>
        <v>+0.00%</v>
      </c>
      <c r="S5690" s="14" t="s">
        <v>1138</v>
      </c>
    </row>
    <row r="5691">
      <c r="A5691" s="13">
        <v>45901.0</v>
      </c>
      <c r="B5691" s="14" t="s">
        <v>47</v>
      </c>
      <c r="C5691" s="14" t="s">
        <v>48</v>
      </c>
      <c r="D5691" s="14" t="s">
        <v>87</v>
      </c>
      <c r="E5691" s="14" t="s">
        <v>88</v>
      </c>
      <c r="F5691" s="15" t="s">
        <v>51</v>
      </c>
      <c r="G5691" s="14" t="s">
        <v>89</v>
      </c>
      <c r="H5691" s="14" t="s">
        <v>90</v>
      </c>
      <c r="I5691" s="14" t="s">
        <v>59</v>
      </c>
      <c r="J5691" s="14" t="s">
        <v>200</v>
      </c>
      <c r="K5691" s="14" t="s">
        <v>246</v>
      </c>
      <c r="L5691" s="14" t="s">
        <v>292</v>
      </c>
      <c r="M5691" s="14" t="s">
        <v>2537</v>
      </c>
      <c r="N5691" s="14" t="s">
        <v>2538</v>
      </c>
      <c r="O5691" s="14">
        <v>0.0</v>
      </c>
      <c r="P5691" s="23">
        <v>-1.0</v>
      </c>
      <c r="Q5691" s="22" t="str">
        <f t="shared" ref="Q5691:R5691" si="3403">"+0.00%"</f>
        <v>+0.00%</v>
      </c>
      <c r="R5691" s="18" t="str">
        <f t="shared" si="3403"/>
        <v>+0.00%</v>
      </c>
      <c r="S5691" s="14" t="s">
        <v>2539</v>
      </c>
    </row>
    <row r="5692">
      <c r="A5692" s="13">
        <v>45901.0</v>
      </c>
      <c r="B5692" s="14" t="s">
        <v>47</v>
      </c>
      <c r="C5692" s="14" t="s">
        <v>48</v>
      </c>
      <c r="D5692" s="14" t="s">
        <v>136</v>
      </c>
      <c r="E5692" s="14" t="s">
        <v>137</v>
      </c>
      <c r="F5692" s="15" t="s">
        <v>51</v>
      </c>
      <c r="G5692" s="14" t="s">
        <v>138</v>
      </c>
      <c r="H5692" s="14" t="s">
        <v>139</v>
      </c>
      <c r="I5692" s="14" t="s">
        <v>59</v>
      </c>
      <c r="J5692" s="14" t="s">
        <v>200</v>
      </c>
      <c r="K5692" s="14" t="s">
        <v>213</v>
      </c>
      <c r="L5692" s="14" t="s">
        <v>359</v>
      </c>
      <c r="M5692" s="14" t="s">
        <v>519</v>
      </c>
      <c r="N5692" s="14" t="s">
        <v>520</v>
      </c>
      <c r="O5692" s="14">
        <v>0.0</v>
      </c>
      <c r="P5692" s="21">
        <v>0.0</v>
      </c>
      <c r="Q5692" s="22" t="str">
        <f t="shared" ref="Q5692:R5692" si="3404">"+0"</f>
        <v>+0</v>
      </c>
      <c r="R5692" s="18" t="str">
        <f t="shared" si="3404"/>
        <v>+0</v>
      </c>
      <c r="S5692" s="14" t="s">
        <v>260</v>
      </c>
    </row>
    <row r="5693">
      <c r="A5693" s="13">
        <v>45901.0</v>
      </c>
      <c r="B5693" s="14" t="s">
        <v>47</v>
      </c>
      <c r="C5693" s="14" t="s">
        <v>48</v>
      </c>
      <c r="D5693" s="14" t="s">
        <v>136</v>
      </c>
      <c r="E5693" s="14" t="s">
        <v>137</v>
      </c>
      <c r="F5693" s="15" t="s">
        <v>51</v>
      </c>
      <c r="G5693" s="14" t="s">
        <v>138</v>
      </c>
      <c r="H5693" s="14" t="s">
        <v>139</v>
      </c>
      <c r="I5693" s="14" t="s">
        <v>59</v>
      </c>
      <c r="J5693" s="14" t="s">
        <v>200</v>
      </c>
      <c r="K5693" s="14" t="s">
        <v>224</v>
      </c>
      <c r="L5693" s="14" t="s">
        <v>392</v>
      </c>
      <c r="M5693" s="14" t="s">
        <v>1638</v>
      </c>
      <c r="N5693" s="14" t="s">
        <v>1639</v>
      </c>
      <c r="O5693" s="14">
        <v>0.0</v>
      </c>
      <c r="P5693" s="23">
        <v>0.0</v>
      </c>
      <c r="Q5693" s="22" t="str">
        <f>"+0.00%"</f>
        <v>+0.00%</v>
      </c>
      <c r="S5693" s="14" t="s">
        <v>2540</v>
      </c>
    </row>
    <row r="5694">
      <c r="A5694" s="13">
        <v>45901.0</v>
      </c>
      <c r="B5694" s="14" t="s">
        <v>47</v>
      </c>
      <c r="C5694" s="14" t="s">
        <v>48</v>
      </c>
      <c r="D5694" s="14" t="s">
        <v>87</v>
      </c>
      <c r="E5694" s="14" t="s">
        <v>88</v>
      </c>
      <c r="F5694" s="15" t="s">
        <v>51</v>
      </c>
      <c r="G5694" s="14" t="s">
        <v>89</v>
      </c>
      <c r="H5694" s="14" t="s">
        <v>90</v>
      </c>
      <c r="I5694" s="14" t="s">
        <v>59</v>
      </c>
      <c r="J5694" s="14" t="s">
        <v>200</v>
      </c>
      <c r="K5694" s="14" t="s">
        <v>222</v>
      </c>
      <c r="L5694" s="14" t="s">
        <v>337</v>
      </c>
      <c r="M5694" s="14" t="s">
        <v>338</v>
      </c>
      <c r="N5694" s="14" t="s">
        <v>339</v>
      </c>
      <c r="O5694" s="14">
        <v>0.0</v>
      </c>
      <c r="P5694" s="21">
        <v>0.0</v>
      </c>
      <c r="Q5694" s="22" t="str">
        <f t="shared" ref="Q5694:R5694" si="3405">"+0"</f>
        <v>+0</v>
      </c>
      <c r="R5694" s="18" t="str">
        <f t="shared" si="3405"/>
        <v>+0</v>
      </c>
      <c r="S5694" s="14" t="s">
        <v>260</v>
      </c>
    </row>
    <row r="5695">
      <c r="A5695" s="13">
        <v>45901.0</v>
      </c>
      <c r="B5695" s="14" t="s">
        <v>47</v>
      </c>
      <c r="C5695" s="14" t="s">
        <v>48</v>
      </c>
      <c r="D5695" s="14" t="s">
        <v>149</v>
      </c>
      <c r="E5695" s="14" t="s">
        <v>150</v>
      </c>
      <c r="F5695" s="15" t="s">
        <v>51</v>
      </c>
      <c r="G5695" s="14" t="s">
        <v>151</v>
      </c>
      <c r="H5695" s="14" t="s">
        <v>152</v>
      </c>
      <c r="I5695" s="14" t="s">
        <v>54</v>
      </c>
      <c r="J5695" s="14" t="s">
        <v>198</v>
      </c>
      <c r="K5695" s="14" t="s">
        <v>205</v>
      </c>
      <c r="L5695" s="14" t="s">
        <v>274</v>
      </c>
      <c r="M5695" s="14" t="s">
        <v>636</v>
      </c>
      <c r="N5695" s="14" t="s">
        <v>637</v>
      </c>
      <c r="O5695" s="14">
        <v>0.0</v>
      </c>
      <c r="P5695" s="21">
        <v>0.0</v>
      </c>
      <c r="Q5695" s="22" t="str">
        <f>"+0"</f>
        <v>+0</v>
      </c>
      <c r="S5695" s="14" t="s">
        <v>281</v>
      </c>
    </row>
    <row r="5696">
      <c r="A5696" s="13">
        <v>45901.0</v>
      </c>
      <c r="B5696" s="14" t="s">
        <v>47</v>
      </c>
      <c r="C5696" s="14" t="s">
        <v>48</v>
      </c>
      <c r="D5696" s="14" t="s">
        <v>149</v>
      </c>
      <c r="E5696" s="14" t="s">
        <v>150</v>
      </c>
      <c r="F5696" s="15" t="s">
        <v>51</v>
      </c>
      <c r="G5696" s="14" t="s">
        <v>151</v>
      </c>
      <c r="H5696" s="14" t="s">
        <v>152</v>
      </c>
      <c r="I5696" s="14" t="s">
        <v>54</v>
      </c>
      <c r="J5696" s="14" t="s">
        <v>200</v>
      </c>
      <c r="K5696" s="14" t="s">
        <v>223</v>
      </c>
      <c r="L5696" s="14" t="s">
        <v>363</v>
      </c>
      <c r="M5696" s="14" t="s">
        <v>1634</v>
      </c>
      <c r="N5696" s="14" t="s">
        <v>1635</v>
      </c>
      <c r="O5696" s="14">
        <v>0.0</v>
      </c>
      <c r="P5696" s="23">
        <v>0.0</v>
      </c>
      <c r="Q5696" s="22" t="str">
        <f t="shared" ref="Q5696:R5696" si="3406">"+0.00%"</f>
        <v>+0.00%</v>
      </c>
      <c r="R5696" s="18" t="str">
        <f t="shared" si="3406"/>
        <v>+0.00%</v>
      </c>
      <c r="S5696" s="14" t="s">
        <v>285</v>
      </c>
    </row>
    <row r="5697">
      <c r="A5697" s="13">
        <v>45901.0</v>
      </c>
      <c r="B5697" s="14" t="s">
        <v>47</v>
      </c>
      <c r="C5697" s="14" t="s">
        <v>48</v>
      </c>
      <c r="D5697" s="14" t="s">
        <v>87</v>
      </c>
      <c r="E5697" s="14" t="s">
        <v>88</v>
      </c>
      <c r="F5697" s="15" t="s">
        <v>51</v>
      </c>
      <c r="G5697" s="14" t="s">
        <v>89</v>
      </c>
      <c r="H5697" s="14" t="s">
        <v>90</v>
      </c>
      <c r="I5697" s="14" t="s">
        <v>59</v>
      </c>
      <c r="J5697" s="14" t="s">
        <v>200</v>
      </c>
      <c r="K5697" s="14" t="s">
        <v>246</v>
      </c>
      <c r="L5697" s="14" t="s">
        <v>614</v>
      </c>
      <c r="M5697" s="14" t="s">
        <v>2541</v>
      </c>
      <c r="N5697" s="14" t="s">
        <v>2542</v>
      </c>
      <c r="O5697" s="14">
        <v>0.0</v>
      </c>
      <c r="P5697" s="23">
        <v>-1.0</v>
      </c>
      <c r="Q5697" s="22" t="str">
        <f t="shared" ref="Q5697:R5697" si="3407">"+0.00%"</f>
        <v>+0.00%</v>
      </c>
      <c r="R5697" s="18" t="str">
        <f t="shared" si="3407"/>
        <v>+0.00%</v>
      </c>
      <c r="S5697" s="14" t="s">
        <v>2141</v>
      </c>
    </row>
    <row r="5698">
      <c r="A5698" s="13">
        <v>45901.0</v>
      </c>
      <c r="B5698" s="14" t="s">
        <v>47</v>
      </c>
      <c r="C5698" s="14" t="s">
        <v>48</v>
      </c>
      <c r="D5698" s="14" t="s">
        <v>171</v>
      </c>
      <c r="E5698" s="14" t="s">
        <v>172</v>
      </c>
      <c r="F5698" s="15" t="s">
        <v>51</v>
      </c>
      <c r="G5698" s="14" t="s">
        <v>173</v>
      </c>
      <c r="H5698" s="14" t="s">
        <v>171</v>
      </c>
      <c r="I5698" s="14" t="s">
        <v>59</v>
      </c>
      <c r="J5698" s="14" t="s">
        <v>198</v>
      </c>
      <c r="K5698" s="14" t="s">
        <v>212</v>
      </c>
      <c r="L5698" s="14" t="s">
        <v>249</v>
      </c>
      <c r="M5698" s="14" t="s">
        <v>250</v>
      </c>
      <c r="N5698" s="14" t="s">
        <v>251</v>
      </c>
      <c r="O5698" s="14">
        <v>100.0</v>
      </c>
      <c r="P5698" s="21">
        <v>0.0</v>
      </c>
      <c r="Q5698" s="22" t="str">
        <f t="shared" ref="Q5698:R5698" si="3408">"+0"</f>
        <v>+0</v>
      </c>
      <c r="R5698" s="18" t="str">
        <f t="shared" si="3408"/>
        <v>+0</v>
      </c>
      <c r="S5698" s="14" t="s">
        <v>281</v>
      </c>
    </row>
    <row r="5699">
      <c r="A5699" s="13">
        <v>45901.0</v>
      </c>
      <c r="B5699" s="14" t="s">
        <v>47</v>
      </c>
      <c r="C5699" s="14" t="s">
        <v>48</v>
      </c>
      <c r="D5699" s="14" t="s">
        <v>69</v>
      </c>
      <c r="E5699" s="14" t="s">
        <v>70</v>
      </c>
      <c r="F5699" s="15" t="s">
        <v>51</v>
      </c>
      <c r="G5699" s="14" t="s">
        <v>115</v>
      </c>
      <c r="H5699" s="14" t="s">
        <v>72</v>
      </c>
      <c r="I5699" s="14" t="s">
        <v>54</v>
      </c>
      <c r="J5699" s="14" t="s">
        <v>200</v>
      </c>
      <c r="K5699" s="14" t="s">
        <v>211</v>
      </c>
      <c r="L5699" s="14" t="s">
        <v>253</v>
      </c>
      <c r="M5699" s="14" t="s">
        <v>1024</v>
      </c>
      <c r="N5699" s="14" t="s">
        <v>1025</v>
      </c>
      <c r="O5699" s="14">
        <v>21.0</v>
      </c>
      <c r="P5699" s="23">
        <v>0.2113</v>
      </c>
      <c r="Q5699" s="22" t="str">
        <f>"-9.70%"</f>
        <v>-9.70%</v>
      </c>
      <c r="R5699" s="18" t="str">
        <f>"-28.05%"</f>
        <v>-28.05%</v>
      </c>
      <c r="S5699" s="14" t="s">
        <v>1742</v>
      </c>
    </row>
    <row r="5700">
      <c r="A5700" s="13">
        <v>45901.0</v>
      </c>
      <c r="B5700" s="14" t="s">
        <v>47</v>
      </c>
      <c r="C5700" s="14" t="s">
        <v>48</v>
      </c>
      <c r="D5700" s="14" t="s">
        <v>77</v>
      </c>
      <c r="E5700" s="14" t="s">
        <v>78</v>
      </c>
      <c r="F5700" s="15" t="s">
        <v>51</v>
      </c>
      <c r="G5700" s="14" t="s">
        <v>128</v>
      </c>
      <c r="H5700" s="14" t="s">
        <v>81</v>
      </c>
      <c r="I5700" s="14" t="s">
        <v>59</v>
      </c>
      <c r="J5700" s="14" t="s">
        <v>200</v>
      </c>
      <c r="K5700" s="14" t="s">
        <v>216</v>
      </c>
      <c r="L5700" s="14" t="s">
        <v>253</v>
      </c>
      <c r="M5700" s="14" t="s">
        <v>1980</v>
      </c>
      <c r="N5700" s="14" t="s">
        <v>1981</v>
      </c>
      <c r="O5700" s="14">
        <v>0.0</v>
      </c>
      <c r="P5700" s="23">
        <v>0.0</v>
      </c>
      <c r="Q5700" s="22" t="str">
        <f t="shared" ref="Q5700:R5700" si="3409">"+0.00%"</f>
        <v>+0.00%</v>
      </c>
      <c r="R5700" s="18" t="str">
        <f t="shared" si="3409"/>
        <v>+0.00%</v>
      </c>
      <c r="S5700" s="14" t="s">
        <v>2543</v>
      </c>
    </row>
    <row r="5701">
      <c r="A5701" s="13">
        <v>45901.0</v>
      </c>
      <c r="B5701" s="14" t="s">
        <v>47</v>
      </c>
      <c r="C5701" s="14" t="s">
        <v>48</v>
      </c>
      <c r="D5701" s="14" t="s">
        <v>112</v>
      </c>
      <c r="E5701" s="14" t="s">
        <v>113</v>
      </c>
      <c r="F5701" s="15" t="s">
        <v>51</v>
      </c>
      <c r="G5701" s="14" t="s">
        <v>114</v>
      </c>
      <c r="H5701" s="14" t="s">
        <v>112</v>
      </c>
      <c r="I5701" s="14" t="s">
        <v>59</v>
      </c>
      <c r="J5701" s="14" t="s">
        <v>200</v>
      </c>
      <c r="K5701" s="14" t="s">
        <v>209</v>
      </c>
      <c r="L5701" s="14" t="s">
        <v>253</v>
      </c>
      <c r="M5701" s="14" t="s">
        <v>402</v>
      </c>
      <c r="N5701" s="14" t="s">
        <v>403</v>
      </c>
      <c r="O5701" s="14">
        <v>6.0</v>
      </c>
      <c r="P5701" s="23">
        <v>0.0639</v>
      </c>
      <c r="Q5701" s="22" t="str">
        <f>"+0.01%"</f>
        <v>+0.01%</v>
      </c>
      <c r="R5701" s="18" t="str">
        <f>"+0.06%"</f>
        <v>+0.06%</v>
      </c>
      <c r="S5701" s="14" t="s">
        <v>2544</v>
      </c>
    </row>
    <row r="5702">
      <c r="A5702" s="13">
        <v>45901.0</v>
      </c>
      <c r="B5702" s="14" t="s">
        <v>47</v>
      </c>
      <c r="C5702" s="14" t="s">
        <v>48</v>
      </c>
      <c r="D5702" s="14" t="s">
        <v>116</v>
      </c>
      <c r="E5702" s="14" t="s">
        <v>117</v>
      </c>
      <c r="F5702" s="15" t="s">
        <v>51</v>
      </c>
      <c r="G5702" s="14" t="s">
        <v>161</v>
      </c>
      <c r="H5702" s="14" t="s">
        <v>116</v>
      </c>
      <c r="I5702" s="14" t="s">
        <v>54</v>
      </c>
      <c r="J5702" s="14" t="s">
        <v>200</v>
      </c>
      <c r="K5702" s="14" t="s">
        <v>213</v>
      </c>
      <c r="L5702" s="14" t="s">
        <v>253</v>
      </c>
      <c r="M5702" s="14" t="s">
        <v>552</v>
      </c>
      <c r="N5702" s="14" t="s">
        <v>553</v>
      </c>
      <c r="O5702" s="14">
        <v>47.0</v>
      </c>
      <c r="P5702" s="23">
        <v>0.4704</v>
      </c>
      <c r="Q5702" s="22" t="str">
        <f>"+11.62%"</f>
        <v>+11.62%</v>
      </c>
      <c r="R5702" s="18" t="str">
        <f>"+1.61%"</f>
        <v>+1.61%</v>
      </c>
      <c r="S5702" s="14" t="s">
        <v>1677</v>
      </c>
    </row>
    <row r="5703">
      <c r="A5703" s="13">
        <v>45901.0</v>
      </c>
      <c r="B5703" s="14" t="s">
        <v>47</v>
      </c>
      <c r="C5703" s="14" t="s">
        <v>48</v>
      </c>
      <c r="D5703" s="14" t="s">
        <v>116</v>
      </c>
      <c r="E5703" s="14" t="s">
        <v>117</v>
      </c>
      <c r="F5703" s="15" t="s">
        <v>51</v>
      </c>
      <c r="G5703" s="14" t="s">
        <v>161</v>
      </c>
      <c r="H5703" s="14" t="s">
        <v>116</v>
      </c>
      <c r="I5703" s="14" t="s">
        <v>54</v>
      </c>
      <c r="J5703" s="14" t="s">
        <v>200</v>
      </c>
      <c r="K5703" s="14" t="s">
        <v>222</v>
      </c>
      <c r="L5703" s="14" t="s">
        <v>337</v>
      </c>
      <c r="M5703" s="14" t="s">
        <v>1000</v>
      </c>
      <c r="N5703" s="14" t="s">
        <v>1001</v>
      </c>
      <c r="O5703" s="14">
        <v>0.0</v>
      </c>
      <c r="P5703" s="21">
        <v>0.0</v>
      </c>
      <c r="Q5703" s="22" t="str">
        <f t="shared" ref="Q5703:R5703" si="3410">"+0"</f>
        <v>+0</v>
      </c>
      <c r="R5703" s="18" t="str">
        <f t="shared" si="3410"/>
        <v>+0</v>
      </c>
      <c r="S5703" s="14" t="s">
        <v>260</v>
      </c>
    </row>
    <row r="5704">
      <c r="A5704" s="13">
        <v>45901.0</v>
      </c>
      <c r="B5704" s="14" t="s">
        <v>47</v>
      </c>
      <c r="C5704" s="14" t="s">
        <v>48</v>
      </c>
      <c r="D5704" s="14" t="s">
        <v>174</v>
      </c>
      <c r="E5704" s="14" t="s">
        <v>175</v>
      </c>
      <c r="F5704" s="15" t="s">
        <v>51</v>
      </c>
      <c r="G5704" s="14" t="s">
        <v>176</v>
      </c>
      <c r="H5704" s="14" t="s">
        <v>174</v>
      </c>
      <c r="I5704" s="14" t="s">
        <v>59</v>
      </c>
      <c r="J5704" s="14" t="s">
        <v>200</v>
      </c>
      <c r="K5704" s="14" t="s">
        <v>213</v>
      </c>
      <c r="L5704" s="14" t="s">
        <v>359</v>
      </c>
      <c r="M5704" s="14" t="s">
        <v>360</v>
      </c>
      <c r="N5704" s="14" t="s">
        <v>361</v>
      </c>
      <c r="O5704" s="14">
        <v>0.0</v>
      </c>
      <c r="P5704" s="23">
        <v>0.0</v>
      </c>
      <c r="Q5704" s="22" t="str">
        <f t="shared" ref="Q5704:R5704" si="3411">"+0.00%"</f>
        <v>+0.00%</v>
      </c>
      <c r="R5704" s="18" t="str">
        <f t="shared" si="3411"/>
        <v>+0.00%</v>
      </c>
      <c r="S5704" s="14" t="s">
        <v>2545</v>
      </c>
    </row>
    <row r="5705">
      <c r="A5705" s="13">
        <v>45901.0</v>
      </c>
      <c r="B5705" s="14" t="s">
        <v>47</v>
      </c>
      <c r="C5705" s="14" t="s">
        <v>48</v>
      </c>
      <c r="D5705" s="14" t="s">
        <v>158</v>
      </c>
      <c r="E5705" s="14" t="s">
        <v>159</v>
      </c>
      <c r="F5705" s="15" t="s">
        <v>51</v>
      </c>
      <c r="G5705" s="14" t="s">
        <v>160</v>
      </c>
      <c r="H5705" s="14" t="s">
        <v>158</v>
      </c>
      <c r="I5705" s="14" t="s">
        <v>54</v>
      </c>
      <c r="J5705" s="14" t="s">
        <v>198</v>
      </c>
      <c r="K5705" s="14" t="s">
        <v>210</v>
      </c>
      <c r="L5705" s="14" t="s">
        <v>458</v>
      </c>
      <c r="M5705" s="14" t="s">
        <v>1230</v>
      </c>
      <c r="N5705" s="14" t="s">
        <v>1231</v>
      </c>
      <c r="O5705" s="14">
        <v>0.0</v>
      </c>
      <c r="P5705" s="21">
        <v>0.0</v>
      </c>
      <c r="Q5705" s="22" t="str">
        <f t="shared" ref="Q5705:R5705" si="3412">"+0"</f>
        <v>+0</v>
      </c>
      <c r="R5705" s="18" t="str">
        <f t="shared" si="3412"/>
        <v>+0</v>
      </c>
      <c r="S5705" s="14" t="s">
        <v>277</v>
      </c>
    </row>
    <row r="5706">
      <c r="A5706" s="13">
        <v>45901.0</v>
      </c>
      <c r="B5706" s="14" t="s">
        <v>47</v>
      </c>
      <c r="C5706" s="14" t="s">
        <v>48</v>
      </c>
      <c r="D5706" s="14" t="s">
        <v>60</v>
      </c>
      <c r="E5706" s="14" t="s">
        <v>61</v>
      </c>
      <c r="F5706" s="15" t="s">
        <v>51</v>
      </c>
      <c r="G5706" s="14" t="s">
        <v>62</v>
      </c>
      <c r="H5706" s="14" t="s">
        <v>60</v>
      </c>
      <c r="I5706" s="14" t="s">
        <v>59</v>
      </c>
      <c r="J5706" s="14" t="s">
        <v>198</v>
      </c>
      <c r="K5706" s="14" t="s">
        <v>210</v>
      </c>
      <c r="L5706" s="14" t="s">
        <v>264</v>
      </c>
      <c r="M5706" s="14" t="s">
        <v>407</v>
      </c>
      <c r="N5706" s="14" t="s">
        <v>408</v>
      </c>
      <c r="O5706" s="14">
        <v>87.0</v>
      </c>
      <c r="P5706" s="21">
        <v>2.0</v>
      </c>
      <c r="Q5706" s="22" t="str">
        <f>"+2"</f>
        <v>+2</v>
      </c>
      <c r="R5706" s="18" t="str">
        <f>"-5"</f>
        <v>-5</v>
      </c>
      <c r="S5706" s="14" t="s">
        <v>1456</v>
      </c>
    </row>
    <row r="5707">
      <c r="A5707" s="13">
        <v>45901.0</v>
      </c>
      <c r="B5707" s="14" t="s">
        <v>47</v>
      </c>
      <c r="C5707" s="14" t="s">
        <v>48</v>
      </c>
      <c r="D5707" s="14" t="s">
        <v>121</v>
      </c>
      <c r="E5707" s="14" t="s">
        <v>122</v>
      </c>
      <c r="F5707" s="15" t="s">
        <v>51</v>
      </c>
      <c r="G5707" s="14" t="s">
        <v>123</v>
      </c>
      <c r="H5707" s="14" t="s">
        <v>124</v>
      </c>
      <c r="I5707" s="14" t="s">
        <v>59</v>
      </c>
      <c r="J5707" s="14" t="s">
        <v>200</v>
      </c>
      <c r="K5707" s="14" t="s">
        <v>232</v>
      </c>
      <c r="L5707" s="14" t="s">
        <v>710</v>
      </c>
      <c r="M5707" s="14" t="s">
        <v>1302</v>
      </c>
      <c r="N5707" s="14" t="s">
        <v>1303</v>
      </c>
      <c r="O5707" s="14">
        <v>7.0</v>
      </c>
      <c r="P5707" s="23">
        <v>0.0769</v>
      </c>
      <c r="Q5707" s="22" t="str">
        <f>"-3.42%"</f>
        <v>-3.42%</v>
      </c>
      <c r="R5707" s="18" t="str">
        <f>"-1.40%"</f>
        <v>-1.40%</v>
      </c>
      <c r="S5707" s="14" t="s">
        <v>2546</v>
      </c>
    </row>
    <row r="5708">
      <c r="A5708" s="13">
        <v>45901.0</v>
      </c>
      <c r="B5708" s="14" t="s">
        <v>47</v>
      </c>
      <c r="C5708" s="14" t="s">
        <v>48</v>
      </c>
      <c r="D5708" s="14" t="s">
        <v>49</v>
      </c>
      <c r="E5708" s="14" t="s">
        <v>50</v>
      </c>
      <c r="F5708" s="15" t="s">
        <v>51</v>
      </c>
      <c r="G5708" s="14" t="s">
        <v>52</v>
      </c>
      <c r="H5708" s="14" t="s">
        <v>53</v>
      </c>
      <c r="I5708" s="14" t="s">
        <v>54</v>
      </c>
      <c r="J5708" s="14" t="s">
        <v>198</v>
      </c>
      <c r="K5708" s="14" t="s">
        <v>210</v>
      </c>
      <c r="L5708" s="14" t="s">
        <v>264</v>
      </c>
      <c r="M5708" s="14" t="s">
        <v>1274</v>
      </c>
      <c r="N5708" s="14" t="s">
        <v>1275</v>
      </c>
      <c r="O5708" s="14">
        <v>0.0</v>
      </c>
      <c r="P5708" s="21">
        <v>0.0</v>
      </c>
      <c r="Q5708" s="22" t="str">
        <f t="shared" ref="Q5708:R5708" si="3413">"+0"</f>
        <v>+0</v>
      </c>
      <c r="R5708" s="18" t="str">
        <f t="shared" si="3413"/>
        <v>+0</v>
      </c>
      <c r="S5708" s="14" t="s">
        <v>277</v>
      </c>
    </row>
    <row r="5709">
      <c r="A5709" s="13">
        <v>45901.0</v>
      </c>
      <c r="B5709" s="14" t="s">
        <v>47</v>
      </c>
      <c r="C5709" s="14" t="s">
        <v>48</v>
      </c>
      <c r="D5709" s="14" t="s">
        <v>91</v>
      </c>
      <c r="E5709" s="14" t="s">
        <v>92</v>
      </c>
      <c r="F5709" s="14" t="s">
        <v>71</v>
      </c>
      <c r="G5709" s="14">
        <v>1.00005882E8</v>
      </c>
      <c r="H5709" s="14" t="s">
        <v>91</v>
      </c>
      <c r="I5709" s="14" t="s">
        <v>59</v>
      </c>
      <c r="J5709" s="14" t="s">
        <v>199</v>
      </c>
      <c r="K5709" s="14" t="s">
        <v>203</v>
      </c>
      <c r="L5709" s="14" t="s">
        <v>736</v>
      </c>
      <c r="M5709" s="14" t="s">
        <v>736</v>
      </c>
      <c r="N5709" s="14" t="s">
        <v>737</v>
      </c>
      <c r="O5709" s="14">
        <v>100.0</v>
      </c>
      <c r="P5709" s="21">
        <v>5.0</v>
      </c>
      <c r="Q5709" s="22" t="str">
        <f t="shared" ref="Q5709:R5709" si="3414">"+0"</f>
        <v>+0</v>
      </c>
      <c r="R5709" s="18" t="str">
        <f t="shared" si="3414"/>
        <v>+0</v>
      </c>
      <c r="S5709" s="14" t="s">
        <v>260</v>
      </c>
    </row>
    <row r="5710">
      <c r="A5710" s="13">
        <v>45901.0</v>
      </c>
      <c r="B5710" s="14" t="s">
        <v>47</v>
      </c>
      <c r="C5710" s="14" t="s">
        <v>48</v>
      </c>
      <c r="D5710" s="14" t="s">
        <v>63</v>
      </c>
      <c r="E5710" s="14" t="s">
        <v>64</v>
      </c>
      <c r="F5710" s="15" t="s">
        <v>51</v>
      </c>
      <c r="G5710" s="14" t="s">
        <v>65</v>
      </c>
      <c r="H5710" s="14" t="s">
        <v>63</v>
      </c>
      <c r="I5710" s="14" t="s">
        <v>54</v>
      </c>
      <c r="J5710" s="14" t="s">
        <v>198</v>
      </c>
      <c r="K5710" s="14" t="s">
        <v>212</v>
      </c>
      <c r="L5710" s="14" t="s">
        <v>249</v>
      </c>
      <c r="M5710" s="14" t="s">
        <v>1149</v>
      </c>
      <c r="N5710" s="14" t="s">
        <v>1150</v>
      </c>
      <c r="O5710" s="14">
        <v>0.0</v>
      </c>
      <c r="P5710" s="21">
        <v>0.0</v>
      </c>
      <c r="Q5710" s="22" t="str">
        <f t="shared" ref="Q5710:R5710" si="3415">"+0"</f>
        <v>+0</v>
      </c>
      <c r="R5710" s="18" t="str">
        <f t="shared" si="3415"/>
        <v>+0</v>
      </c>
      <c r="S5710" s="14" t="s">
        <v>277</v>
      </c>
    </row>
    <row r="5711">
      <c r="A5711" s="13">
        <v>45901.0</v>
      </c>
      <c r="B5711" s="14" t="s">
        <v>47</v>
      </c>
      <c r="C5711" s="14" t="s">
        <v>48</v>
      </c>
      <c r="D5711" s="14" t="s">
        <v>99</v>
      </c>
      <c r="E5711" s="14" t="s">
        <v>100</v>
      </c>
      <c r="F5711" s="15" t="s">
        <v>51</v>
      </c>
      <c r="G5711" s="14" t="s">
        <v>101</v>
      </c>
      <c r="H5711" s="14" t="s">
        <v>102</v>
      </c>
      <c r="I5711" s="14" t="s">
        <v>54</v>
      </c>
      <c r="J5711" s="14" t="s">
        <v>200</v>
      </c>
      <c r="K5711" s="14" t="s">
        <v>222</v>
      </c>
      <c r="L5711" s="14" t="s">
        <v>337</v>
      </c>
      <c r="M5711" s="14" t="s">
        <v>1000</v>
      </c>
      <c r="N5711" s="14" t="s">
        <v>1001</v>
      </c>
      <c r="O5711" s="14">
        <v>0.0</v>
      </c>
      <c r="P5711" s="21">
        <v>0.0</v>
      </c>
      <c r="Q5711" s="22" t="str">
        <f t="shared" ref="Q5711:R5711" si="3416">"+0"</f>
        <v>+0</v>
      </c>
      <c r="R5711" s="18" t="str">
        <f t="shared" si="3416"/>
        <v>+0</v>
      </c>
      <c r="S5711" s="14" t="s">
        <v>260</v>
      </c>
    </row>
    <row r="5712">
      <c r="A5712" s="13">
        <v>45901.0</v>
      </c>
      <c r="B5712" s="14" t="s">
        <v>47</v>
      </c>
      <c r="C5712" s="14" t="s">
        <v>48</v>
      </c>
      <c r="D5712" s="14" t="s">
        <v>91</v>
      </c>
      <c r="E5712" s="14" t="s">
        <v>92</v>
      </c>
      <c r="F5712" s="14" t="s">
        <v>71</v>
      </c>
      <c r="G5712" s="14">
        <v>5.10011769E8</v>
      </c>
      <c r="H5712" s="14" t="s">
        <v>91</v>
      </c>
      <c r="I5712" s="14" t="s">
        <v>59</v>
      </c>
      <c r="J5712" s="14" t="s">
        <v>200</v>
      </c>
      <c r="K5712" s="14" t="s">
        <v>218</v>
      </c>
      <c r="L5712" s="14" t="s">
        <v>253</v>
      </c>
      <c r="M5712" s="14" t="s">
        <v>784</v>
      </c>
      <c r="N5712" s="14" t="s">
        <v>785</v>
      </c>
      <c r="O5712" s="14">
        <v>1.0</v>
      </c>
      <c r="P5712" s="23">
        <v>8.0E-4</v>
      </c>
      <c r="Q5712" s="22" t="str">
        <f>"+0.07%"</f>
        <v>+0.07%</v>
      </c>
      <c r="R5712" s="18" t="str">
        <f>"+0.08%"</f>
        <v>+0.08%</v>
      </c>
      <c r="S5712" s="14" t="s">
        <v>2547</v>
      </c>
    </row>
    <row r="5713">
      <c r="A5713" s="13">
        <v>45901.0</v>
      </c>
      <c r="B5713" s="14" t="s">
        <v>47</v>
      </c>
      <c r="C5713" s="14" t="s">
        <v>48</v>
      </c>
      <c r="D5713" s="14" t="s">
        <v>118</v>
      </c>
      <c r="E5713" s="14" t="s">
        <v>119</v>
      </c>
      <c r="F5713" s="15" t="s">
        <v>51</v>
      </c>
      <c r="G5713" s="14" t="s">
        <v>120</v>
      </c>
      <c r="H5713" s="14" t="s">
        <v>118</v>
      </c>
      <c r="I5713" s="14" t="s">
        <v>59</v>
      </c>
      <c r="J5713" s="14" t="s">
        <v>200</v>
      </c>
      <c r="K5713" s="14" t="s">
        <v>213</v>
      </c>
      <c r="L5713" s="14" t="s">
        <v>257</v>
      </c>
      <c r="M5713" s="14" t="s">
        <v>298</v>
      </c>
      <c r="N5713" s="14" t="s">
        <v>299</v>
      </c>
      <c r="O5713" s="14">
        <v>0.0</v>
      </c>
      <c r="P5713" s="23">
        <v>0.0</v>
      </c>
      <c r="Q5713" s="22" t="str">
        <f t="shared" ref="Q5713:R5713" si="3417">"+0.00%"</f>
        <v>+0.00%</v>
      </c>
      <c r="R5713" s="18" t="str">
        <f t="shared" si="3417"/>
        <v>+0.00%</v>
      </c>
      <c r="S5713" s="14" t="s">
        <v>2548</v>
      </c>
    </row>
    <row r="5714">
      <c r="A5714" s="13">
        <v>45901.0</v>
      </c>
      <c r="B5714" s="14" t="s">
        <v>47</v>
      </c>
      <c r="C5714" s="14" t="s">
        <v>48</v>
      </c>
      <c r="D5714" s="14" t="s">
        <v>184</v>
      </c>
      <c r="E5714" s="14" t="s">
        <v>185</v>
      </c>
      <c r="F5714" s="15" t="s">
        <v>51</v>
      </c>
      <c r="G5714" s="14" t="s">
        <v>186</v>
      </c>
      <c r="H5714" s="14" t="s">
        <v>187</v>
      </c>
      <c r="I5714" s="14" t="s">
        <v>59</v>
      </c>
      <c r="J5714" s="14" t="s">
        <v>200</v>
      </c>
      <c r="K5714" s="14" t="s">
        <v>227</v>
      </c>
      <c r="L5714" s="14" t="s">
        <v>270</v>
      </c>
      <c r="M5714" s="14" t="s">
        <v>417</v>
      </c>
      <c r="N5714" s="14" t="s">
        <v>418</v>
      </c>
      <c r="O5714" s="14">
        <v>66.0</v>
      </c>
      <c r="P5714" s="21">
        <v>2.0</v>
      </c>
      <c r="Q5714" s="22" t="str">
        <f t="shared" ref="Q5714:Q5715" si="3418">"+0"</f>
        <v>+0</v>
      </c>
      <c r="R5714" s="18" t="str">
        <f>"+1"</f>
        <v>+1</v>
      </c>
      <c r="S5714" s="14" t="s">
        <v>260</v>
      </c>
    </row>
    <row r="5715">
      <c r="A5715" s="13">
        <v>45901.0</v>
      </c>
      <c r="B5715" s="14" t="s">
        <v>47</v>
      </c>
      <c r="C5715" s="14" t="s">
        <v>48</v>
      </c>
      <c r="D5715" s="14" t="s">
        <v>66</v>
      </c>
      <c r="E5715" s="14" t="s">
        <v>67</v>
      </c>
      <c r="F5715" s="15" t="s">
        <v>51</v>
      </c>
      <c r="G5715" s="14" t="s">
        <v>68</v>
      </c>
      <c r="H5715" s="14" t="s">
        <v>66</v>
      </c>
      <c r="I5715" s="14" t="s">
        <v>59</v>
      </c>
      <c r="J5715" s="14" t="s">
        <v>198</v>
      </c>
      <c r="K5715" s="14" t="s">
        <v>205</v>
      </c>
      <c r="L5715" s="14" t="s">
        <v>274</v>
      </c>
      <c r="M5715" s="14" t="s">
        <v>696</v>
      </c>
      <c r="N5715" s="14" t="s">
        <v>697</v>
      </c>
      <c r="O5715" s="14">
        <v>100.0</v>
      </c>
      <c r="P5715" s="21">
        <v>1.0</v>
      </c>
      <c r="Q5715" s="22" t="str">
        <f t="shared" si="3418"/>
        <v>+0</v>
      </c>
      <c r="S5715" s="14" t="s">
        <v>281</v>
      </c>
    </row>
    <row r="5716">
      <c r="A5716" s="13">
        <v>45901.0</v>
      </c>
      <c r="B5716" s="14" t="s">
        <v>47</v>
      </c>
      <c r="C5716" s="14" t="s">
        <v>48</v>
      </c>
      <c r="D5716" s="14" t="s">
        <v>66</v>
      </c>
      <c r="E5716" s="14" t="s">
        <v>67</v>
      </c>
      <c r="F5716" s="15" t="s">
        <v>51</v>
      </c>
      <c r="G5716" s="14" t="s">
        <v>68</v>
      </c>
      <c r="H5716" s="14" t="s">
        <v>66</v>
      </c>
      <c r="I5716" s="14" t="s">
        <v>59</v>
      </c>
      <c r="J5716" s="14" t="s">
        <v>200</v>
      </c>
      <c r="K5716" s="14" t="s">
        <v>231</v>
      </c>
      <c r="L5716" s="14" t="s">
        <v>751</v>
      </c>
      <c r="M5716" s="14" t="s">
        <v>1527</v>
      </c>
      <c r="N5716" s="14" t="s">
        <v>1528</v>
      </c>
      <c r="O5716" s="14">
        <v>0.0</v>
      </c>
      <c r="P5716" s="17"/>
      <c r="Q5716" s="22"/>
      <c r="S5716" s="14" t="s">
        <v>2549</v>
      </c>
    </row>
    <row r="5717">
      <c r="A5717" s="13">
        <v>45901.0</v>
      </c>
      <c r="B5717" s="14" t="s">
        <v>47</v>
      </c>
      <c r="C5717" s="14" t="s">
        <v>48</v>
      </c>
      <c r="D5717" s="14" t="s">
        <v>184</v>
      </c>
      <c r="E5717" s="14" t="s">
        <v>185</v>
      </c>
      <c r="F5717" s="15" t="s">
        <v>51</v>
      </c>
      <c r="G5717" s="14" t="s">
        <v>186</v>
      </c>
      <c r="H5717" s="14" t="s">
        <v>187</v>
      </c>
      <c r="I5717" s="14" t="s">
        <v>59</v>
      </c>
      <c r="J5717" s="14" t="s">
        <v>200</v>
      </c>
      <c r="K5717" s="14" t="s">
        <v>224</v>
      </c>
      <c r="L5717" s="14" t="s">
        <v>392</v>
      </c>
      <c r="M5717" s="14" t="s">
        <v>826</v>
      </c>
      <c r="N5717" s="14" t="s">
        <v>827</v>
      </c>
      <c r="O5717" s="14">
        <v>0.0</v>
      </c>
      <c r="P5717" s="17"/>
      <c r="Q5717" s="22"/>
      <c r="S5717" s="14" t="s">
        <v>2399</v>
      </c>
    </row>
    <row r="5718">
      <c r="A5718" s="13">
        <v>45901.0</v>
      </c>
      <c r="B5718" s="14" t="s">
        <v>47</v>
      </c>
      <c r="C5718" s="14" t="s">
        <v>48</v>
      </c>
      <c r="D5718" s="14" t="s">
        <v>184</v>
      </c>
      <c r="E5718" s="14" t="s">
        <v>185</v>
      </c>
      <c r="F5718" s="15" t="s">
        <v>51</v>
      </c>
      <c r="G5718" s="14" t="s">
        <v>186</v>
      </c>
      <c r="H5718" s="14" t="s">
        <v>187</v>
      </c>
      <c r="I5718" s="14" t="s">
        <v>59</v>
      </c>
      <c r="J5718" s="14" t="s">
        <v>200</v>
      </c>
      <c r="K5718" s="14" t="s">
        <v>209</v>
      </c>
      <c r="L5718" s="14" t="s">
        <v>253</v>
      </c>
      <c r="M5718" s="14" t="s">
        <v>402</v>
      </c>
      <c r="N5718" s="14" t="s">
        <v>403</v>
      </c>
      <c r="O5718" s="14">
        <v>1.0</v>
      </c>
      <c r="P5718" s="23">
        <v>0.0168</v>
      </c>
      <c r="Q5718" s="22" t="str">
        <f>"+0.00%"</f>
        <v>+0.00%</v>
      </c>
      <c r="R5718" s="18" t="str">
        <f>"+0.01%"</f>
        <v>+0.01%</v>
      </c>
      <c r="S5718" s="14" t="s">
        <v>1295</v>
      </c>
    </row>
    <row r="5719">
      <c r="A5719" s="13">
        <v>45901.0</v>
      </c>
      <c r="B5719" s="14" t="s">
        <v>47</v>
      </c>
      <c r="C5719" s="14" t="s">
        <v>48</v>
      </c>
      <c r="D5719" s="14" t="s">
        <v>192</v>
      </c>
      <c r="E5719" s="14" t="s">
        <v>193</v>
      </c>
      <c r="F5719" s="15" t="s">
        <v>51</v>
      </c>
      <c r="G5719" s="14" t="s">
        <v>194</v>
      </c>
      <c r="H5719" s="14" t="s">
        <v>192</v>
      </c>
      <c r="I5719" s="14" t="s">
        <v>54</v>
      </c>
      <c r="J5719" s="14" t="s">
        <v>200</v>
      </c>
      <c r="K5719" s="14" t="s">
        <v>223</v>
      </c>
      <c r="L5719" s="14" t="s">
        <v>261</v>
      </c>
      <c r="M5719" s="14" t="s">
        <v>566</v>
      </c>
      <c r="N5719" s="14" t="s">
        <v>567</v>
      </c>
      <c r="O5719" s="14">
        <v>1.0</v>
      </c>
      <c r="P5719" s="23">
        <v>0.0152</v>
      </c>
      <c r="Q5719" s="22" t="str">
        <f>"-0.13%"</f>
        <v>-0.13%</v>
      </c>
      <c r="R5719" s="18" t="str">
        <f>"-0.71%"</f>
        <v>-0.71%</v>
      </c>
      <c r="S5719" s="14" t="s">
        <v>2550</v>
      </c>
    </row>
    <row r="5720">
      <c r="A5720" s="13">
        <v>45901.0</v>
      </c>
      <c r="B5720" s="14" t="s">
        <v>47</v>
      </c>
      <c r="C5720" s="14" t="s">
        <v>48</v>
      </c>
      <c r="D5720" s="14" t="s">
        <v>192</v>
      </c>
      <c r="E5720" s="14" t="s">
        <v>193</v>
      </c>
      <c r="F5720" s="15" t="s">
        <v>51</v>
      </c>
      <c r="G5720" s="14" t="s">
        <v>194</v>
      </c>
      <c r="H5720" s="14" t="s">
        <v>192</v>
      </c>
      <c r="I5720" s="14" t="s">
        <v>54</v>
      </c>
      <c r="J5720" s="14" t="s">
        <v>198</v>
      </c>
      <c r="K5720" s="14" t="s">
        <v>210</v>
      </c>
      <c r="L5720" s="14" t="s">
        <v>505</v>
      </c>
      <c r="M5720" s="14" t="s">
        <v>1222</v>
      </c>
      <c r="N5720" s="14" t="s">
        <v>1223</v>
      </c>
      <c r="O5720" s="14">
        <v>0.0</v>
      </c>
      <c r="P5720" s="21">
        <v>0.0</v>
      </c>
      <c r="Q5720" s="22" t="str">
        <f t="shared" ref="Q5720:R5720" si="3419">"+0"</f>
        <v>+0</v>
      </c>
      <c r="R5720" s="18" t="str">
        <f t="shared" si="3419"/>
        <v>+0</v>
      </c>
      <c r="S5720" s="14" t="s">
        <v>277</v>
      </c>
    </row>
    <row r="5721">
      <c r="A5721" s="13">
        <v>45901.0</v>
      </c>
      <c r="B5721" s="14" t="s">
        <v>47</v>
      </c>
      <c r="C5721" s="14" t="s">
        <v>48</v>
      </c>
      <c r="D5721" s="14" t="s">
        <v>143</v>
      </c>
      <c r="E5721" s="14" t="s">
        <v>144</v>
      </c>
      <c r="F5721" s="15" t="s">
        <v>51</v>
      </c>
      <c r="G5721" s="14" t="s">
        <v>145</v>
      </c>
      <c r="H5721" s="14" t="s">
        <v>143</v>
      </c>
      <c r="I5721" s="14" t="s">
        <v>59</v>
      </c>
      <c r="J5721" s="14" t="s">
        <v>200</v>
      </c>
      <c r="K5721" s="14" t="s">
        <v>232</v>
      </c>
      <c r="L5721" s="14" t="s">
        <v>607</v>
      </c>
      <c r="M5721" s="14" t="s">
        <v>758</v>
      </c>
      <c r="N5721" s="14" t="s">
        <v>759</v>
      </c>
      <c r="O5721" s="14">
        <v>0.0</v>
      </c>
      <c r="P5721" s="23">
        <v>-1.0</v>
      </c>
      <c r="Q5721" s="22" t="str">
        <f t="shared" ref="Q5721:Q5722" si="3420">"+0.00%"</f>
        <v>+0.00%</v>
      </c>
      <c r="R5721" s="18" t="str">
        <f>"-200.00%"</f>
        <v>-200.00%</v>
      </c>
      <c r="S5721" s="14" t="s">
        <v>2551</v>
      </c>
    </row>
    <row r="5722">
      <c r="A5722" s="13">
        <v>45901.0</v>
      </c>
      <c r="B5722" s="14" t="s">
        <v>47</v>
      </c>
      <c r="C5722" s="14" t="s">
        <v>48</v>
      </c>
      <c r="D5722" s="14" t="s">
        <v>103</v>
      </c>
      <c r="E5722" s="14" t="s">
        <v>104</v>
      </c>
      <c r="F5722" s="15" t="s">
        <v>51</v>
      </c>
      <c r="G5722" s="14" t="s">
        <v>105</v>
      </c>
      <c r="H5722" s="14" t="s">
        <v>106</v>
      </c>
      <c r="I5722" s="14" t="s">
        <v>59</v>
      </c>
      <c r="J5722" s="14" t="s">
        <v>200</v>
      </c>
      <c r="K5722" s="14" t="s">
        <v>209</v>
      </c>
      <c r="L5722" s="14" t="s">
        <v>253</v>
      </c>
      <c r="M5722" s="14" t="s">
        <v>817</v>
      </c>
      <c r="N5722" s="14" t="s">
        <v>818</v>
      </c>
      <c r="O5722" s="14">
        <v>1.0</v>
      </c>
      <c r="P5722" s="23">
        <v>0.0079</v>
      </c>
      <c r="Q5722" s="22" t="str">
        <f t="shared" si="3420"/>
        <v>+0.00%</v>
      </c>
      <c r="R5722" s="18" t="str">
        <f>"+0.00%"</f>
        <v>+0.00%</v>
      </c>
      <c r="S5722" s="14" t="s">
        <v>2552</v>
      </c>
    </row>
    <row r="5723">
      <c r="A5723" s="13">
        <v>45901.0</v>
      </c>
      <c r="B5723" s="14" t="s">
        <v>47</v>
      </c>
      <c r="C5723" s="14" t="s">
        <v>48</v>
      </c>
      <c r="D5723" s="14" t="s">
        <v>129</v>
      </c>
      <c r="E5723" s="14" t="s">
        <v>130</v>
      </c>
      <c r="F5723" s="15" t="s">
        <v>51</v>
      </c>
      <c r="G5723" s="14" t="s">
        <v>131</v>
      </c>
      <c r="H5723" s="14" t="s">
        <v>129</v>
      </c>
      <c r="I5723" s="14" t="s">
        <v>59</v>
      </c>
      <c r="J5723" s="14" t="s">
        <v>200</v>
      </c>
      <c r="K5723" s="14" t="s">
        <v>231</v>
      </c>
      <c r="L5723" s="14" t="s">
        <v>751</v>
      </c>
      <c r="M5723" s="14" t="s">
        <v>912</v>
      </c>
      <c r="N5723" s="14" t="s">
        <v>913</v>
      </c>
      <c r="O5723" s="14">
        <v>0.0</v>
      </c>
      <c r="P5723" s="21">
        <v>0.0</v>
      </c>
      <c r="Q5723" s="22" t="str">
        <f t="shared" ref="Q5723:Q5725" si="3421">"+0"</f>
        <v>+0</v>
      </c>
      <c r="R5723" s="18" t="str">
        <f>"-6"</f>
        <v>-6</v>
      </c>
      <c r="S5723" s="14" t="s">
        <v>260</v>
      </c>
    </row>
    <row r="5724">
      <c r="A5724" s="13">
        <v>45901.0</v>
      </c>
      <c r="B5724" s="14" t="s">
        <v>47</v>
      </c>
      <c r="C5724" s="14" t="s">
        <v>48</v>
      </c>
      <c r="D5724" s="14" t="s">
        <v>129</v>
      </c>
      <c r="E5724" s="14" t="s">
        <v>130</v>
      </c>
      <c r="F5724" s="15" t="s">
        <v>51</v>
      </c>
      <c r="G5724" s="14" t="s">
        <v>131</v>
      </c>
      <c r="H5724" s="14" t="s">
        <v>129</v>
      </c>
      <c r="I5724" s="14" t="s">
        <v>59</v>
      </c>
      <c r="J5724" s="14" t="s">
        <v>198</v>
      </c>
      <c r="K5724" s="14" t="s">
        <v>205</v>
      </c>
      <c r="L5724" s="14" t="s">
        <v>274</v>
      </c>
      <c r="M5724" s="14" t="s">
        <v>451</v>
      </c>
      <c r="N5724" s="14" t="s">
        <v>452</v>
      </c>
      <c r="O5724" s="14">
        <v>0.0</v>
      </c>
      <c r="P5724" s="21">
        <v>0.0</v>
      </c>
      <c r="Q5724" s="22" t="str">
        <f t="shared" si="3421"/>
        <v>+0</v>
      </c>
      <c r="S5724" s="14" t="s">
        <v>281</v>
      </c>
    </row>
    <row r="5725">
      <c r="A5725" s="13">
        <v>45901.0</v>
      </c>
      <c r="B5725" s="14" t="s">
        <v>47</v>
      </c>
      <c r="C5725" s="14" t="s">
        <v>48</v>
      </c>
      <c r="D5725" s="14" t="s">
        <v>125</v>
      </c>
      <c r="E5725" s="14" t="s">
        <v>126</v>
      </c>
      <c r="F5725" s="15" t="s">
        <v>51</v>
      </c>
      <c r="G5725" s="14" t="s">
        <v>127</v>
      </c>
      <c r="H5725" s="14" t="s">
        <v>125</v>
      </c>
      <c r="I5725" s="14" t="s">
        <v>59</v>
      </c>
      <c r="J5725" s="14" t="s">
        <v>198</v>
      </c>
      <c r="K5725" s="14" t="s">
        <v>205</v>
      </c>
      <c r="L5725" s="14" t="s">
        <v>274</v>
      </c>
      <c r="M5725" s="14" t="s">
        <v>767</v>
      </c>
      <c r="N5725" s="14" t="s">
        <v>768</v>
      </c>
      <c r="O5725" s="14">
        <v>100.0</v>
      </c>
      <c r="P5725" s="21">
        <v>1.0</v>
      </c>
      <c r="Q5725" s="22" t="str">
        <f t="shared" si="3421"/>
        <v>+0</v>
      </c>
      <c r="S5725" s="14" t="s">
        <v>281</v>
      </c>
    </row>
    <row r="5726">
      <c r="A5726" s="13">
        <v>45901.0</v>
      </c>
      <c r="B5726" s="14" t="s">
        <v>47</v>
      </c>
      <c r="C5726" s="14" t="s">
        <v>48</v>
      </c>
      <c r="D5726" s="14" t="s">
        <v>85</v>
      </c>
      <c r="E5726" s="14" t="s">
        <v>86</v>
      </c>
      <c r="F5726" s="15" t="s">
        <v>51</v>
      </c>
      <c r="G5726" s="14" t="s">
        <v>148</v>
      </c>
      <c r="H5726" s="14" t="s">
        <v>85</v>
      </c>
      <c r="I5726" s="14" t="s">
        <v>59</v>
      </c>
      <c r="J5726" s="14" t="s">
        <v>200</v>
      </c>
      <c r="K5726" s="14" t="s">
        <v>227</v>
      </c>
      <c r="L5726" s="14" t="s">
        <v>270</v>
      </c>
      <c r="M5726" s="14" t="s">
        <v>400</v>
      </c>
      <c r="N5726" s="14" t="s">
        <v>401</v>
      </c>
      <c r="O5726" s="14">
        <v>100.0</v>
      </c>
      <c r="P5726" s="21">
        <v>2.0</v>
      </c>
      <c r="Q5726" s="22" t="str">
        <f>"+2"</f>
        <v>+2</v>
      </c>
      <c r="R5726" s="18" t="str">
        <f>"+1"</f>
        <v>+1</v>
      </c>
      <c r="S5726" s="14" t="s">
        <v>260</v>
      </c>
    </row>
    <row r="5727">
      <c r="A5727" s="13">
        <v>45901.0</v>
      </c>
      <c r="B5727" s="14" t="s">
        <v>47</v>
      </c>
      <c r="C5727" s="14" t="s">
        <v>48</v>
      </c>
      <c r="D5727" s="14" t="s">
        <v>85</v>
      </c>
      <c r="E5727" s="14" t="s">
        <v>86</v>
      </c>
      <c r="F5727" s="14" t="s">
        <v>71</v>
      </c>
      <c r="G5727" s="14">
        <v>88285.0</v>
      </c>
      <c r="H5727" s="14" t="s">
        <v>85</v>
      </c>
      <c r="I5727" s="14" t="s">
        <v>59</v>
      </c>
      <c r="J5727" s="14" t="s">
        <v>199</v>
      </c>
      <c r="K5727" s="14" t="s">
        <v>203</v>
      </c>
      <c r="L5727" s="14" t="s">
        <v>431</v>
      </c>
      <c r="M5727" s="14" t="s">
        <v>431</v>
      </c>
      <c r="N5727" s="14" t="s">
        <v>432</v>
      </c>
      <c r="O5727" s="14">
        <v>0.0</v>
      </c>
      <c r="P5727" s="21">
        <v>0.0</v>
      </c>
      <c r="Q5727" s="22" t="str">
        <f t="shared" ref="Q5727:R5727" si="3422">"+0"</f>
        <v>+0</v>
      </c>
      <c r="R5727" s="18" t="str">
        <f t="shared" si="3422"/>
        <v>+0</v>
      </c>
      <c r="S5727" s="14" t="s">
        <v>260</v>
      </c>
    </row>
    <row r="5728">
      <c r="A5728" s="13">
        <v>45901.0</v>
      </c>
      <c r="B5728" s="14" t="s">
        <v>47</v>
      </c>
      <c r="C5728" s="14" t="s">
        <v>48</v>
      </c>
      <c r="D5728" s="14" t="s">
        <v>125</v>
      </c>
      <c r="E5728" s="14" t="s">
        <v>126</v>
      </c>
      <c r="F5728" s="15" t="s">
        <v>51</v>
      </c>
      <c r="G5728" s="14" t="s">
        <v>127</v>
      </c>
      <c r="H5728" s="14" t="s">
        <v>125</v>
      </c>
      <c r="I5728" s="14" t="s">
        <v>59</v>
      </c>
      <c r="J5728" s="14" t="s">
        <v>200</v>
      </c>
      <c r="K5728" s="14" t="s">
        <v>232</v>
      </c>
      <c r="L5728" s="14" t="s">
        <v>487</v>
      </c>
      <c r="M5728" s="14" t="s">
        <v>1075</v>
      </c>
      <c r="N5728" s="14" t="s">
        <v>1076</v>
      </c>
      <c r="O5728" s="14">
        <v>0.0</v>
      </c>
      <c r="P5728" s="23">
        <v>0.0</v>
      </c>
      <c r="Q5728" s="22" t="str">
        <f t="shared" ref="Q5728:R5728" si="3423">"+0.00%"</f>
        <v>+0.00%</v>
      </c>
      <c r="R5728" s="18" t="str">
        <f t="shared" si="3423"/>
        <v>+0.00%</v>
      </c>
      <c r="S5728" s="14" t="s">
        <v>285</v>
      </c>
    </row>
    <row r="5729">
      <c r="A5729" s="13">
        <v>45901.0</v>
      </c>
      <c r="B5729" s="14" t="s">
        <v>47</v>
      </c>
      <c r="C5729" s="14" t="s">
        <v>48</v>
      </c>
      <c r="D5729" s="14" t="s">
        <v>112</v>
      </c>
      <c r="E5729" s="14" t="s">
        <v>113</v>
      </c>
      <c r="F5729" s="15" t="s">
        <v>51</v>
      </c>
      <c r="G5729" s="14" t="s">
        <v>114</v>
      </c>
      <c r="H5729" s="14" t="s">
        <v>112</v>
      </c>
      <c r="I5729" s="14" t="s">
        <v>59</v>
      </c>
      <c r="J5729" s="14" t="s">
        <v>200</v>
      </c>
      <c r="K5729" s="14" t="s">
        <v>227</v>
      </c>
      <c r="L5729" s="14" t="s">
        <v>328</v>
      </c>
      <c r="M5729" s="14" t="s">
        <v>329</v>
      </c>
      <c r="N5729" s="14" t="s">
        <v>330</v>
      </c>
      <c r="O5729" s="14">
        <v>0.0</v>
      </c>
      <c r="P5729" s="21">
        <v>0.0</v>
      </c>
      <c r="Q5729" s="22" t="str">
        <f t="shared" ref="Q5729:R5729" si="3424">"+0"</f>
        <v>+0</v>
      </c>
      <c r="R5729" s="18" t="str">
        <f t="shared" si="3424"/>
        <v>+0</v>
      </c>
      <c r="S5729" s="14" t="s">
        <v>260</v>
      </c>
    </row>
    <row r="5730">
      <c r="A5730" s="13">
        <v>45901.0</v>
      </c>
      <c r="B5730" s="14" t="s">
        <v>47</v>
      </c>
      <c r="C5730" s="14" t="s">
        <v>48</v>
      </c>
      <c r="D5730" s="14" t="s">
        <v>116</v>
      </c>
      <c r="E5730" s="14" t="s">
        <v>117</v>
      </c>
      <c r="F5730" s="15" t="s">
        <v>51</v>
      </c>
      <c r="G5730" s="14" t="s">
        <v>161</v>
      </c>
      <c r="H5730" s="14" t="s">
        <v>116</v>
      </c>
      <c r="I5730" s="14" t="s">
        <v>54</v>
      </c>
      <c r="J5730" s="14" t="s">
        <v>200</v>
      </c>
      <c r="K5730" s="14" t="s">
        <v>224</v>
      </c>
      <c r="L5730" s="14" t="s">
        <v>964</v>
      </c>
      <c r="M5730" s="14" t="s">
        <v>965</v>
      </c>
      <c r="N5730" s="14" t="s">
        <v>966</v>
      </c>
      <c r="O5730" s="14">
        <v>0.0</v>
      </c>
      <c r="P5730" s="23">
        <v>0.0</v>
      </c>
      <c r="Q5730" s="22"/>
      <c r="S5730" s="14" t="s">
        <v>2553</v>
      </c>
    </row>
    <row r="5731">
      <c r="A5731" s="13">
        <v>45901.0</v>
      </c>
      <c r="B5731" s="14" t="s">
        <v>47</v>
      </c>
      <c r="C5731" s="14" t="s">
        <v>48</v>
      </c>
      <c r="D5731" s="14" t="s">
        <v>108</v>
      </c>
      <c r="E5731" s="14" t="s">
        <v>109</v>
      </c>
      <c r="F5731" s="15" t="s">
        <v>51</v>
      </c>
      <c r="G5731" s="14" t="s">
        <v>110</v>
      </c>
      <c r="H5731" s="14" t="s">
        <v>108</v>
      </c>
      <c r="I5731" s="14" t="s">
        <v>59</v>
      </c>
      <c r="J5731" s="14" t="s">
        <v>200</v>
      </c>
      <c r="K5731" s="14" t="s">
        <v>222</v>
      </c>
      <c r="L5731" s="14" t="s">
        <v>337</v>
      </c>
      <c r="M5731" s="14" t="s">
        <v>1000</v>
      </c>
      <c r="N5731" s="14" t="s">
        <v>1001</v>
      </c>
      <c r="O5731" s="14">
        <v>0.0</v>
      </c>
      <c r="P5731" s="21">
        <v>0.0</v>
      </c>
      <c r="Q5731" s="22" t="str">
        <f t="shared" ref="Q5731:R5731" si="3425">"+0"</f>
        <v>+0</v>
      </c>
      <c r="R5731" s="18" t="str">
        <f t="shared" si="3425"/>
        <v>+0</v>
      </c>
      <c r="S5731" s="14" t="s">
        <v>260</v>
      </c>
    </row>
    <row r="5732">
      <c r="A5732" s="13">
        <v>45901.0</v>
      </c>
      <c r="B5732" s="14" t="s">
        <v>47</v>
      </c>
      <c r="C5732" s="14" t="s">
        <v>48</v>
      </c>
      <c r="D5732" s="14" t="s">
        <v>60</v>
      </c>
      <c r="E5732" s="14" t="s">
        <v>61</v>
      </c>
      <c r="F5732" s="15" t="s">
        <v>51</v>
      </c>
      <c r="G5732" s="14" t="s">
        <v>62</v>
      </c>
      <c r="H5732" s="14" t="s">
        <v>60</v>
      </c>
      <c r="I5732" s="14" t="s">
        <v>59</v>
      </c>
      <c r="J5732" s="14" t="s">
        <v>200</v>
      </c>
      <c r="K5732" s="14" t="s">
        <v>223</v>
      </c>
      <c r="L5732" s="14" t="s">
        <v>363</v>
      </c>
      <c r="M5732" s="14" t="s">
        <v>379</v>
      </c>
      <c r="N5732" s="14" t="s">
        <v>380</v>
      </c>
      <c r="O5732" s="14">
        <v>0.0</v>
      </c>
      <c r="P5732" s="21">
        <v>0.0</v>
      </c>
      <c r="Q5732" s="22" t="str">
        <f t="shared" ref="Q5732:R5732" si="3426">"+0"</f>
        <v>+0</v>
      </c>
      <c r="R5732" s="18" t="str">
        <f t="shared" si="3426"/>
        <v>+0</v>
      </c>
      <c r="S5732" s="14" t="s">
        <v>260</v>
      </c>
    </row>
    <row r="5733">
      <c r="A5733" s="13">
        <v>45901.0</v>
      </c>
      <c r="B5733" s="14" t="s">
        <v>47</v>
      </c>
      <c r="C5733" s="14" t="s">
        <v>48</v>
      </c>
      <c r="D5733" s="14" t="s">
        <v>60</v>
      </c>
      <c r="E5733" s="14" t="s">
        <v>61</v>
      </c>
      <c r="F5733" s="15" t="s">
        <v>51</v>
      </c>
      <c r="G5733" s="14" t="s">
        <v>62</v>
      </c>
      <c r="H5733" s="14" t="s">
        <v>60</v>
      </c>
      <c r="I5733" s="14" t="s">
        <v>59</v>
      </c>
      <c r="J5733" s="14" t="s">
        <v>200</v>
      </c>
      <c r="K5733" s="14" t="s">
        <v>223</v>
      </c>
      <c r="L5733" s="14" t="s">
        <v>607</v>
      </c>
      <c r="M5733" s="14" t="s">
        <v>886</v>
      </c>
      <c r="N5733" s="14" t="s">
        <v>887</v>
      </c>
      <c r="O5733" s="14">
        <v>3.0</v>
      </c>
      <c r="P5733" s="23">
        <v>0.0392</v>
      </c>
      <c r="Q5733" s="22" t="str">
        <f>"+3.92%"</f>
        <v>+3.92%</v>
      </c>
      <c r="R5733" s="18" t="str">
        <f>"+2.07%"</f>
        <v>+2.07%</v>
      </c>
      <c r="S5733" s="14" t="s">
        <v>371</v>
      </c>
    </row>
    <row r="5734">
      <c r="A5734" s="13">
        <v>45901.0</v>
      </c>
      <c r="B5734" s="14" t="s">
        <v>47</v>
      </c>
      <c r="C5734" s="14" t="s">
        <v>48</v>
      </c>
      <c r="D5734" s="14" t="s">
        <v>121</v>
      </c>
      <c r="E5734" s="14" t="s">
        <v>122</v>
      </c>
      <c r="F5734" s="15" t="s">
        <v>51</v>
      </c>
      <c r="G5734" s="14" t="s">
        <v>123</v>
      </c>
      <c r="H5734" s="14" t="s">
        <v>124</v>
      </c>
      <c r="I5734" s="14" t="s">
        <v>59</v>
      </c>
      <c r="J5734" s="14" t="s">
        <v>199</v>
      </c>
      <c r="K5734" s="14" t="s">
        <v>206</v>
      </c>
      <c r="L5734" s="14" t="s">
        <v>295</v>
      </c>
      <c r="M5734" s="14" t="s">
        <v>296</v>
      </c>
      <c r="N5734" s="14" t="s">
        <v>297</v>
      </c>
      <c r="O5734" s="14">
        <v>0.0</v>
      </c>
      <c r="P5734" s="21">
        <v>0.0</v>
      </c>
      <c r="Q5734" s="22" t="str">
        <f t="shared" ref="Q5734:R5734" si="3427">"+0"</f>
        <v>+0</v>
      </c>
      <c r="R5734" s="18" t="str">
        <f t="shared" si="3427"/>
        <v>+0</v>
      </c>
      <c r="S5734" s="14" t="s">
        <v>260</v>
      </c>
    </row>
    <row r="5735">
      <c r="A5735" s="13">
        <v>45901.0</v>
      </c>
      <c r="B5735" s="14" t="s">
        <v>47</v>
      </c>
      <c r="C5735" s="14" t="s">
        <v>48</v>
      </c>
      <c r="D5735" s="14" t="s">
        <v>56</v>
      </c>
      <c r="E5735" s="14" t="s">
        <v>57</v>
      </c>
      <c r="F5735" s="14" t="s">
        <v>71</v>
      </c>
      <c r="G5735" s="14">
        <v>5.36003976E8</v>
      </c>
      <c r="H5735" s="14" t="s">
        <v>56</v>
      </c>
      <c r="I5735" s="14" t="s">
        <v>59</v>
      </c>
      <c r="J5735" s="14" t="s">
        <v>199</v>
      </c>
      <c r="K5735" s="14" t="s">
        <v>208</v>
      </c>
      <c r="L5735" s="14" t="s">
        <v>412</v>
      </c>
      <c r="M5735" s="14" t="s">
        <v>412</v>
      </c>
      <c r="N5735" s="14" t="s">
        <v>413</v>
      </c>
      <c r="O5735" s="14">
        <v>75.0</v>
      </c>
      <c r="P5735" s="21">
        <v>1.0</v>
      </c>
      <c r="Q5735" s="22" t="str">
        <f t="shared" ref="Q5735:R5735" si="3428">"+0"</f>
        <v>+0</v>
      </c>
      <c r="R5735" s="18" t="str">
        <f t="shared" si="3428"/>
        <v>+0</v>
      </c>
      <c r="S5735" s="14" t="s">
        <v>260</v>
      </c>
    </row>
    <row r="5736">
      <c r="A5736" s="13">
        <v>45901.0</v>
      </c>
      <c r="B5736" s="14" t="s">
        <v>47</v>
      </c>
      <c r="C5736" s="14" t="s">
        <v>48</v>
      </c>
      <c r="D5736" s="14" t="s">
        <v>165</v>
      </c>
      <c r="E5736" s="14" t="s">
        <v>166</v>
      </c>
      <c r="F5736" s="15" t="s">
        <v>51</v>
      </c>
      <c r="G5736" s="14" t="s">
        <v>167</v>
      </c>
      <c r="H5736" s="14" t="s">
        <v>165</v>
      </c>
      <c r="I5736" s="14" t="s">
        <v>54</v>
      </c>
      <c r="J5736" s="14" t="s">
        <v>198</v>
      </c>
      <c r="K5736" s="14" t="s">
        <v>210</v>
      </c>
      <c r="L5736" s="14" t="s">
        <v>264</v>
      </c>
      <c r="M5736" s="14" t="s">
        <v>1033</v>
      </c>
      <c r="N5736" s="14" t="s">
        <v>1034</v>
      </c>
      <c r="O5736" s="14">
        <v>0.0</v>
      </c>
      <c r="P5736" s="21">
        <v>0.0</v>
      </c>
      <c r="Q5736" s="22" t="str">
        <f t="shared" ref="Q5736:R5736" si="3429">"+0"</f>
        <v>+0</v>
      </c>
      <c r="R5736" s="18" t="str">
        <f t="shared" si="3429"/>
        <v>+0</v>
      </c>
      <c r="S5736" s="14" t="s">
        <v>277</v>
      </c>
    </row>
    <row r="5737">
      <c r="A5737" s="13">
        <v>45901.0</v>
      </c>
      <c r="B5737" s="14" t="s">
        <v>47</v>
      </c>
      <c r="C5737" s="14" t="s">
        <v>48</v>
      </c>
      <c r="D5737" s="14" t="s">
        <v>165</v>
      </c>
      <c r="E5737" s="14" t="s">
        <v>166</v>
      </c>
      <c r="F5737" s="15" t="s">
        <v>51</v>
      </c>
      <c r="G5737" s="14" t="s">
        <v>167</v>
      </c>
      <c r="H5737" s="14" t="s">
        <v>165</v>
      </c>
      <c r="I5737" s="14" t="s">
        <v>54</v>
      </c>
      <c r="J5737" s="14" t="s">
        <v>199</v>
      </c>
      <c r="K5737" s="14" t="s">
        <v>203</v>
      </c>
      <c r="L5737" s="14" t="s">
        <v>1631</v>
      </c>
      <c r="M5737" s="14" t="s">
        <v>1632</v>
      </c>
      <c r="N5737" s="14" t="s">
        <v>1633</v>
      </c>
      <c r="O5737" s="14">
        <v>100.0</v>
      </c>
      <c r="P5737" s="21">
        <v>1.0</v>
      </c>
      <c r="Q5737" s="22" t="str">
        <f t="shared" ref="Q5737:R5737" si="3430">"+0"</f>
        <v>+0</v>
      </c>
      <c r="R5737" s="18" t="str">
        <f t="shared" si="3430"/>
        <v>+0</v>
      </c>
      <c r="S5737" s="14" t="s">
        <v>260</v>
      </c>
    </row>
    <row r="5738">
      <c r="A5738" s="13">
        <v>45901.0</v>
      </c>
      <c r="B5738" s="14" t="s">
        <v>47</v>
      </c>
      <c r="C5738" s="14" t="s">
        <v>48</v>
      </c>
      <c r="D5738" s="14" t="s">
        <v>49</v>
      </c>
      <c r="E5738" s="14" t="s">
        <v>50</v>
      </c>
      <c r="F5738" s="15" t="s">
        <v>51</v>
      </c>
      <c r="G5738" s="14" t="s">
        <v>52</v>
      </c>
      <c r="H5738" s="14" t="s">
        <v>53</v>
      </c>
      <c r="I5738" s="14" t="s">
        <v>54</v>
      </c>
      <c r="J5738" s="14" t="s">
        <v>198</v>
      </c>
      <c r="K5738" s="14" t="s">
        <v>210</v>
      </c>
      <c r="L5738" s="14" t="s">
        <v>264</v>
      </c>
      <c r="M5738" s="14" t="s">
        <v>1214</v>
      </c>
      <c r="N5738" s="14" t="s">
        <v>1215</v>
      </c>
      <c r="O5738" s="14">
        <v>0.0</v>
      </c>
      <c r="P5738" s="21">
        <v>0.0</v>
      </c>
      <c r="Q5738" s="22" t="str">
        <f t="shared" ref="Q5738:R5738" si="3431">"+0"</f>
        <v>+0</v>
      </c>
      <c r="R5738" s="18" t="str">
        <f t="shared" si="3431"/>
        <v>+0</v>
      </c>
      <c r="S5738" s="14" t="s">
        <v>277</v>
      </c>
    </row>
    <row r="5739">
      <c r="A5739" s="13">
        <v>45901.0</v>
      </c>
      <c r="B5739" s="14" t="s">
        <v>47</v>
      </c>
      <c r="C5739" s="14" t="s">
        <v>48</v>
      </c>
      <c r="D5739" s="14" t="s">
        <v>91</v>
      </c>
      <c r="E5739" s="14" t="s">
        <v>92</v>
      </c>
      <c r="F5739" s="15" t="s">
        <v>51</v>
      </c>
      <c r="G5739" s="14" t="s">
        <v>163</v>
      </c>
      <c r="H5739" s="14" t="s">
        <v>91</v>
      </c>
      <c r="I5739" s="14" t="s">
        <v>59</v>
      </c>
      <c r="J5739" s="14" t="s">
        <v>198</v>
      </c>
      <c r="K5739" s="14" t="s">
        <v>210</v>
      </c>
      <c r="L5739" s="14" t="s">
        <v>264</v>
      </c>
      <c r="M5739" s="14" t="s">
        <v>357</v>
      </c>
      <c r="N5739" s="14" t="s">
        <v>358</v>
      </c>
      <c r="O5739" s="14">
        <v>100.0</v>
      </c>
      <c r="P5739" s="21">
        <v>0.0</v>
      </c>
      <c r="Q5739" s="22" t="str">
        <f t="shared" ref="Q5739:R5739" si="3432">"+0"</f>
        <v>+0</v>
      </c>
      <c r="R5739" s="18" t="str">
        <f t="shared" si="3432"/>
        <v>+0</v>
      </c>
      <c r="S5739" s="14" t="s">
        <v>281</v>
      </c>
    </row>
    <row r="5740">
      <c r="A5740" s="13">
        <v>45901.0</v>
      </c>
      <c r="B5740" s="14" t="s">
        <v>47</v>
      </c>
      <c r="C5740" s="14" t="s">
        <v>48</v>
      </c>
      <c r="D5740" s="14" t="s">
        <v>91</v>
      </c>
      <c r="E5740" s="14" t="s">
        <v>92</v>
      </c>
      <c r="F5740" s="14" t="s">
        <v>79</v>
      </c>
      <c r="G5740" s="14" t="s">
        <v>164</v>
      </c>
      <c r="H5740" s="14" t="s">
        <v>91</v>
      </c>
      <c r="I5740" s="14" t="s">
        <v>154</v>
      </c>
      <c r="J5740" s="14" t="s">
        <v>199</v>
      </c>
      <c r="K5740" s="14" t="s">
        <v>206</v>
      </c>
      <c r="L5740" s="14" t="s">
        <v>295</v>
      </c>
      <c r="M5740" s="14" t="s">
        <v>529</v>
      </c>
      <c r="N5740" s="14" t="s">
        <v>530</v>
      </c>
      <c r="O5740" s="14">
        <v>100.0</v>
      </c>
      <c r="P5740" s="21">
        <v>20.0</v>
      </c>
      <c r="Q5740" s="22" t="str">
        <f t="shared" ref="Q5740:R5740" si="3433">"+0"</f>
        <v>+0</v>
      </c>
      <c r="R5740" s="18" t="str">
        <f t="shared" si="3433"/>
        <v>+0</v>
      </c>
      <c r="S5740" s="14" t="s">
        <v>260</v>
      </c>
    </row>
    <row r="5741">
      <c r="A5741" s="13">
        <v>45901.0</v>
      </c>
      <c r="B5741" s="14" t="s">
        <v>47</v>
      </c>
      <c r="C5741" s="14" t="s">
        <v>48</v>
      </c>
      <c r="D5741" s="14" t="s">
        <v>66</v>
      </c>
      <c r="E5741" s="14" t="s">
        <v>67</v>
      </c>
      <c r="F5741" s="15" t="s">
        <v>51</v>
      </c>
      <c r="G5741" s="14" t="s">
        <v>68</v>
      </c>
      <c r="H5741" s="14" t="s">
        <v>66</v>
      </c>
      <c r="I5741" s="14" t="s">
        <v>59</v>
      </c>
      <c r="J5741" s="14" t="s">
        <v>200</v>
      </c>
      <c r="K5741" s="14" t="s">
        <v>223</v>
      </c>
      <c r="L5741" s="14" t="s">
        <v>363</v>
      </c>
      <c r="M5741" s="14" t="s">
        <v>842</v>
      </c>
      <c r="N5741" s="14" t="s">
        <v>843</v>
      </c>
      <c r="O5741" s="14">
        <v>100.0</v>
      </c>
      <c r="P5741" s="21">
        <v>152.0</v>
      </c>
      <c r="Q5741" s="22" t="str">
        <f t="shared" ref="Q5741:R5741" si="3434">"+0"</f>
        <v>+0</v>
      </c>
      <c r="R5741" s="18" t="str">
        <f t="shared" si="3434"/>
        <v>+0</v>
      </c>
      <c r="S5741" s="14" t="s">
        <v>260</v>
      </c>
    </row>
    <row r="5742">
      <c r="A5742" s="13">
        <v>45901.0</v>
      </c>
      <c r="B5742" s="14" t="s">
        <v>47</v>
      </c>
      <c r="C5742" s="14" t="s">
        <v>48</v>
      </c>
      <c r="D5742" s="14" t="s">
        <v>66</v>
      </c>
      <c r="E5742" s="14" t="s">
        <v>67</v>
      </c>
      <c r="F5742" s="15" t="s">
        <v>51</v>
      </c>
      <c r="G5742" s="14" t="s">
        <v>68</v>
      </c>
      <c r="H5742" s="14" t="s">
        <v>66</v>
      </c>
      <c r="I5742" s="14" t="s">
        <v>59</v>
      </c>
      <c r="J5742" s="14" t="s">
        <v>200</v>
      </c>
      <c r="K5742" s="14" t="s">
        <v>223</v>
      </c>
      <c r="L5742" s="14" t="s">
        <v>261</v>
      </c>
      <c r="M5742" s="14" t="s">
        <v>414</v>
      </c>
      <c r="N5742" s="14" t="s">
        <v>415</v>
      </c>
      <c r="O5742" s="14">
        <v>0.0</v>
      </c>
      <c r="P5742" s="23">
        <v>-1.0</v>
      </c>
      <c r="Q5742" s="22" t="str">
        <f t="shared" ref="Q5742:R5742" si="3435">"+0.00%"</f>
        <v>+0.00%</v>
      </c>
      <c r="R5742" s="18" t="str">
        <f t="shared" si="3435"/>
        <v>+0.00%</v>
      </c>
      <c r="S5742" s="14" t="s">
        <v>2554</v>
      </c>
    </row>
    <row r="5743">
      <c r="A5743" s="13">
        <v>45901.0</v>
      </c>
      <c r="B5743" s="14" t="s">
        <v>47</v>
      </c>
      <c r="C5743" s="14" t="s">
        <v>48</v>
      </c>
      <c r="D5743" s="14" t="s">
        <v>149</v>
      </c>
      <c r="E5743" s="14" t="s">
        <v>150</v>
      </c>
      <c r="F5743" s="15" t="s">
        <v>51</v>
      </c>
      <c r="G5743" s="14" t="s">
        <v>151</v>
      </c>
      <c r="H5743" s="14" t="s">
        <v>152</v>
      </c>
      <c r="I5743" s="14" t="s">
        <v>54</v>
      </c>
      <c r="J5743" s="14" t="s">
        <v>198</v>
      </c>
      <c r="K5743" s="14" t="s">
        <v>212</v>
      </c>
      <c r="L5743" s="14" t="s">
        <v>249</v>
      </c>
      <c r="M5743" s="14" t="s">
        <v>604</v>
      </c>
      <c r="N5743" s="14" t="s">
        <v>605</v>
      </c>
      <c r="O5743" s="14">
        <v>0.0</v>
      </c>
      <c r="P5743" s="21">
        <v>0.0</v>
      </c>
      <c r="Q5743" s="22" t="str">
        <f t="shared" ref="Q5743:R5743" si="3436">"+0"</f>
        <v>+0</v>
      </c>
      <c r="R5743" s="18" t="str">
        <f t="shared" si="3436"/>
        <v>+0</v>
      </c>
      <c r="S5743" s="14" t="s">
        <v>277</v>
      </c>
    </row>
    <row r="5744">
      <c r="A5744" s="13">
        <v>45901.0</v>
      </c>
      <c r="B5744" s="14" t="s">
        <v>47</v>
      </c>
      <c r="C5744" s="14" t="s">
        <v>48</v>
      </c>
      <c r="D5744" s="14" t="s">
        <v>87</v>
      </c>
      <c r="E5744" s="14" t="s">
        <v>88</v>
      </c>
      <c r="F5744" s="15" t="s">
        <v>51</v>
      </c>
      <c r="G5744" s="14" t="s">
        <v>89</v>
      </c>
      <c r="H5744" s="14" t="s">
        <v>90</v>
      </c>
      <c r="I5744" s="14" t="s">
        <v>59</v>
      </c>
      <c r="J5744" s="14" t="s">
        <v>200</v>
      </c>
      <c r="K5744" s="14" t="s">
        <v>223</v>
      </c>
      <c r="L5744" s="14" t="s">
        <v>286</v>
      </c>
      <c r="M5744" s="14" t="s">
        <v>730</v>
      </c>
      <c r="N5744" s="14" t="s">
        <v>731</v>
      </c>
      <c r="O5744" s="14">
        <v>0.0</v>
      </c>
      <c r="P5744" s="23">
        <v>0.0</v>
      </c>
      <c r="Q5744" s="22" t="str">
        <f t="shared" ref="Q5744:R5744" si="3437">"+0.00%"</f>
        <v>+0.00%</v>
      </c>
      <c r="R5744" s="18" t="str">
        <f t="shared" si="3437"/>
        <v>+0.00%</v>
      </c>
      <c r="S5744" s="14" t="s">
        <v>285</v>
      </c>
    </row>
    <row r="5745">
      <c r="A5745" s="13">
        <v>45901.0</v>
      </c>
      <c r="B5745" s="14" t="s">
        <v>47</v>
      </c>
      <c r="C5745" s="14" t="s">
        <v>48</v>
      </c>
      <c r="D5745" s="14" t="s">
        <v>129</v>
      </c>
      <c r="E5745" s="14" t="s">
        <v>130</v>
      </c>
      <c r="F5745" s="15" t="s">
        <v>51</v>
      </c>
      <c r="G5745" s="14" t="s">
        <v>131</v>
      </c>
      <c r="H5745" s="14" t="s">
        <v>129</v>
      </c>
      <c r="I5745" s="14" t="s">
        <v>59</v>
      </c>
      <c r="J5745" s="14" t="s">
        <v>199</v>
      </c>
      <c r="K5745" s="14" t="s">
        <v>203</v>
      </c>
      <c r="L5745" s="14" t="s">
        <v>431</v>
      </c>
      <c r="M5745" s="14" t="s">
        <v>431</v>
      </c>
      <c r="N5745" s="14" t="s">
        <v>432</v>
      </c>
      <c r="O5745" s="14">
        <v>0.0</v>
      </c>
      <c r="P5745" s="21">
        <v>0.0</v>
      </c>
      <c r="Q5745" s="22" t="str">
        <f t="shared" ref="Q5745:R5745" si="3438">"+0"</f>
        <v>+0</v>
      </c>
      <c r="R5745" s="18" t="str">
        <f t="shared" si="3438"/>
        <v>+0</v>
      </c>
      <c r="S5745" s="14" t="s">
        <v>260</v>
      </c>
    </row>
    <row r="5746">
      <c r="A5746" s="13">
        <v>45901.0</v>
      </c>
      <c r="B5746" s="14" t="s">
        <v>47</v>
      </c>
      <c r="C5746" s="14" t="s">
        <v>48</v>
      </c>
      <c r="D5746" s="14" t="s">
        <v>87</v>
      </c>
      <c r="E5746" s="14" t="s">
        <v>88</v>
      </c>
      <c r="F5746" s="15" t="s">
        <v>51</v>
      </c>
      <c r="G5746" s="14" t="s">
        <v>89</v>
      </c>
      <c r="H5746" s="14" t="s">
        <v>90</v>
      </c>
      <c r="I5746" s="14" t="s">
        <v>59</v>
      </c>
      <c r="J5746" s="14" t="s">
        <v>200</v>
      </c>
      <c r="K5746" s="14" t="s">
        <v>211</v>
      </c>
      <c r="L5746" s="14" t="s">
        <v>991</v>
      </c>
      <c r="M5746" s="14" t="s">
        <v>992</v>
      </c>
      <c r="N5746" s="14" t="s">
        <v>993</v>
      </c>
      <c r="O5746" s="14">
        <v>0.0</v>
      </c>
      <c r="P5746" s="23">
        <v>-1.0</v>
      </c>
      <c r="Q5746" s="22" t="str">
        <f t="shared" ref="Q5746:R5746" si="3439">"+0.00%"</f>
        <v>+0.00%</v>
      </c>
      <c r="R5746" s="18" t="str">
        <f t="shared" si="3439"/>
        <v>+0.00%</v>
      </c>
      <c r="S5746" s="14" t="s">
        <v>1531</v>
      </c>
    </row>
    <row r="5747">
      <c r="A5747" s="13">
        <v>45901.0</v>
      </c>
      <c r="B5747" s="14" t="s">
        <v>47</v>
      </c>
      <c r="C5747" s="14" t="s">
        <v>48</v>
      </c>
      <c r="D5747" s="14" t="s">
        <v>87</v>
      </c>
      <c r="E5747" s="14" t="s">
        <v>88</v>
      </c>
      <c r="F5747" s="15" t="s">
        <v>51</v>
      </c>
      <c r="G5747" s="14" t="s">
        <v>89</v>
      </c>
      <c r="H5747" s="14" t="s">
        <v>90</v>
      </c>
      <c r="I5747" s="14" t="s">
        <v>59</v>
      </c>
      <c r="J5747" s="14" t="s">
        <v>199</v>
      </c>
      <c r="K5747" s="14" t="s">
        <v>206</v>
      </c>
      <c r="L5747" s="14" t="s">
        <v>295</v>
      </c>
      <c r="M5747" s="14" t="s">
        <v>296</v>
      </c>
      <c r="N5747" s="14" t="s">
        <v>297</v>
      </c>
      <c r="O5747" s="14">
        <v>0.0</v>
      </c>
      <c r="P5747" s="21">
        <v>0.0</v>
      </c>
      <c r="Q5747" s="22" t="str">
        <f t="shared" ref="Q5747:R5747" si="3440">"+0"</f>
        <v>+0</v>
      </c>
      <c r="R5747" s="18" t="str">
        <f t="shared" si="3440"/>
        <v>+0</v>
      </c>
      <c r="S5747" s="14" t="s">
        <v>260</v>
      </c>
    </row>
    <row r="5748">
      <c r="A5748" s="13">
        <v>45901.0</v>
      </c>
      <c r="B5748" s="14" t="s">
        <v>47</v>
      </c>
      <c r="C5748" s="14" t="s">
        <v>48</v>
      </c>
      <c r="D5748" s="14" t="s">
        <v>129</v>
      </c>
      <c r="E5748" s="14" t="s">
        <v>130</v>
      </c>
      <c r="F5748" s="15" t="s">
        <v>51</v>
      </c>
      <c r="G5748" s="14" t="s">
        <v>131</v>
      </c>
      <c r="H5748" s="14" t="s">
        <v>129</v>
      </c>
      <c r="I5748" s="14" t="s">
        <v>59</v>
      </c>
      <c r="J5748" s="14" t="s">
        <v>200</v>
      </c>
      <c r="K5748" s="14" t="s">
        <v>227</v>
      </c>
      <c r="L5748" s="14" t="s">
        <v>270</v>
      </c>
      <c r="M5748" s="14" t="s">
        <v>417</v>
      </c>
      <c r="N5748" s="14" t="s">
        <v>418</v>
      </c>
      <c r="O5748" s="14">
        <v>12.0</v>
      </c>
      <c r="P5748" s="21">
        <v>1.0</v>
      </c>
      <c r="Q5748" s="22" t="str">
        <f>"+1"</f>
        <v>+1</v>
      </c>
      <c r="R5748" s="18" t="str">
        <f>"-2"</f>
        <v>-2</v>
      </c>
      <c r="S5748" s="14" t="s">
        <v>260</v>
      </c>
    </row>
    <row r="5749">
      <c r="A5749" s="13">
        <v>45901.0</v>
      </c>
      <c r="B5749" s="14" t="s">
        <v>47</v>
      </c>
      <c r="C5749" s="14" t="s">
        <v>48</v>
      </c>
      <c r="D5749" s="14" t="s">
        <v>125</v>
      </c>
      <c r="E5749" s="14" t="s">
        <v>126</v>
      </c>
      <c r="F5749" s="15" t="s">
        <v>51</v>
      </c>
      <c r="G5749" s="14" t="s">
        <v>127</v>
      </c>
      <c r="H5749" s="14" t="s">
        <v>125</v>
      </c>
      <c r="I5749" s="14" t="s">
        <v>59</v>
      </c>
      <c r="J5749" s="14" t="s">
        <v>200</v>
      </c>
      <c r="K5749" s="14" t="s">
        <v>232</v>
      </c>
      <c r="L5749" s="14" t="s">
        <v>286</v>
      </c>
      <c r="M5749" s="14" t="s">
        <v>979</v>
      </c>
      <c r="N5749" s="14" t="s">
        <v>980</v>
      </c>
      <c r="O5749" s="14">
        <v>0.0</v>
      </c>
      <c r="P5749" s="23">
        <v>0.0</v>
      </c>
      <c r="Q5749" s="22" t="str">
        <f t="shared" ref="Q5749:R5749" si="3441">"+0.00%"</f>
        <v>+0.00%</v>
      </c>
      <c r="R5749" s="18" t="str">
        <f t="shared" si="3441"/>
        <v>+0.00%</v>
      </c>
      <c r="S5749" s="14" t="s">
        <v>2555</v>
      </c>
    </row>
    <row r="5750">
      <c r="A5750" s="13">
        <v>45901.0</v>
      </c>
      <c r="B5750" s="14" t="s">
        <v>47</v>
      </c>
      <c r="C5750" s="14" t="s">
        <v>48</v>
      </c>
      <c r="D5750" s="14" t="s">
        <v>112</v>
      </c>
      <c r="E5750" s="14" t="s">
        <v>113</v>
      </c>
      <c r="F5750" s="15" t="s">
        <v>51</v>
      </c>
      <c r="G5750" s="14" t="s">
        <v>114</v>
      </c>
      <c r="H5750" s="14" t="s">
        <v>112</v>
      </c>
      <c r="I5750" s="14" t="s">
        <v>59</v>
      </c>
      <c r="J5750" s="14" t="s">
        <v>200</v>
      </c>
      <c r="K5750" s="14" t="s">
        <v>222</v>
      </c>
      <c r="L5750" s="14" t="s">
        <v>337</v>
      </c>
      <c r="M5750" s="14" t="s">
        <v>734</v>
      </c>
      <c r="N5750" s="14" t="s">
        <v>735</v>
      </c>
      <c r="O5750" s="14">
        <v>0.0</v>
      </c>
      <c r="P5750" s="21">
        <v>0.0</v>
      </c>
      <c r="Q5750" s="22" t="str">
        <f t="shared" ref="Q5750:R5750" si="3442">"+0"</f>
        <v>+0</v>
      </c>
      <c r="R5750" s="18" t="str">
        <f t="shared" si="3442"/>
        <v>+0</v>
      </c>
      <c r="S5750" s="14" t="s">
        <v>260</v>
      </c>
    </row>
    <row r="5751">
      <c r="A5751" s="13">
        <v>45901.0</v>
      </c>
      <c r="B5751" s="14" t="s">
        <v>47</v>
      </c>
      <c r="C5751" s="14" t="s">
        <v>48</v>
      </c>
      <c r="D5751" s="14" t="s">
        <v>108</v>
      </c>
      <c r="E5751" s="14" t="s">
        <v>109</v>
      </c>
      <c r="F5751" s="15" t="s">
        <v>51</v>
      </c>
      <c r="G5751" s="14" t="s">
        <v>110</v>
      </c>
      <c r="H5751" s="14" t="s">
        <v>108</v>
      </c>
      <c r="I5751" s="14" t="s">
        <v>59</v>
      </c>
      <c r="J5751" s="14" t="s">
        <v>200</v>
      </c>
      <c r="K5751" s="14" t="s">
        <v>213</v>
      </c>
      <c r="L5751" s="14" t="s">
        <v>253</v>
      </c>
      <c r="M5751" s="14" t="s">
        <v>366</v>
      </c>
      <c r="N5751" s="14" t="s">
        <v>367</v>
      </c>
      <c r="O5751" s="14">
        <v>13.0</v>
      </c>
      <c r="P5751" s="23">
        <v>0.1333</v>
      </c>
      <c r="Q5751" s="22" t="str">
        <f>"+2.42%"</f>
        <v>+2.42%</v>
      </c>
      <c r="S5751" s="14" t="s">
        <v>1916</v>
      </c>
    </row>
    <row r="5752">
      <c r="A5752" s="13">
        <v>45901.0</v>
      </c>
      <c r="B5752" s="14" t="s">
        <v>47</v>
      </c>
      <c r="C5752" s="14" t="s">
        <v>48</v>
      </c>
      <c r="D5752" s="14" t="s">
        <v>60</v>
      </c>
      <c r="E5752" s="14" t="s">
        <v>61</v>
      </c>
      <c r="F5752" s="15" t="s">
        <v>51</v>
      </c>
      <c r="G5752" s="14" t="s">
        <v>62</v>
      </c>
      <c r="H5752" s="14" t="s">
        <v>60</v>
      </c>
      <c r="I5752" s="14" t="s">
        <v>59</v>
      </c>
      <c r="J5752" s="14" t="s">
        <v>200</v>
      </c>
      <c r="K5752" s="14" t="s">
        <v>223</v>
      </c>
      <c r="L5752" s="14" t="s">
        <v>487</v>
      </c>
      <c r="M5752" s="14" t="s">
        <v>670</v>
      </c>
      <c r="N5752" s="14" t="s">
        <v>671</v>
      </c>
      <c r="O5752" s="14">
        <v>100.0</v>
      </c>
      <c r="P5752" s="21">
        <v>203.0</v>
      </c>
      <c r="Q5752" s="22" t="str">
        <f>"-2"</f>
        <v>-2</v>
      </c>
      <c r="R5752" s="18" t="str">
        <f>"+20"</f>
        <v>+20</v>
      </c>
      <c r="S5752" s="14" t="s">
        <v>260</v>
      </c>
    </row>
    <row r="5753">
      <c r="A5753" s="13">
        <v>45901.0</v>
      </c>
      <c r="B5753" s="14" t="s">
        <v>47</v>
      </c>
      <c r="C5753" s="14" t="s">
        <v>48</v>
      </c>
      <c r="D5753" s="14" t="s">
        <v>60</v>
      </c>
      <c r="E5753" s="14" t="s">
        <v>61</v>
      </c>
      <c r="F5753" s="15" t="s">
        <v>51</v>
      </c>
      <c r="G5753" s="14" t="s">
        <v>62</v>
      </c>
      <c r="H5753" s="14" t="s">
        <v>60</v>
      </c>
      <c r="I5753" s="14" t="s">
        <v>59</v>
      </c>
      <c r="J5753" s="14" t="s">
        <v>200</v>
      </c>
      <c r="K5753" s="14" t="s">
        <v>223</v>
      </c>
      <c r="L5753" s="14" t="s">
        <v>607</v>
      </c>
      <c r="M5753" s="14" t="s">
        <v>932</v>
      </c>
      <c r="N5753" s="14" t="s">
        <v>933</v>
      </c>
      <c r="O5753" s="14">
        <v>100.0</v>
      </c>
      <c r="P5753" s="23">
        <v>0.0392</v>
      </c>
      <c r="Q5753" s="22" t="str">
        <f>"+3.92%"</f>
        <v>+3.92%</v>
      </c>
      <c r="R5753" s="18" t="str">
        <f>"+2.07%"</f>
        <v>+2.07%</v>
      </c>
      <c r="S5753" s="14" t="s">
        <v>285</v>
      </c>
    </row>
    <row r="5754">
      <c r="A5754" s="13">
        <v>45901.0</v>
      </c>
      <c r="B5754" s="14" t="s">
        <v>47</v>
      </c>
      <c r="C5754" s="14" t="s">
        <v>48</v>
      </c>
      <c r="D5754" s="14" t="s">
        <v>181</v>
      </c>
      <c r="E5754" s="14" t="s">
        <v>182</v>
      </c>
      <c r="F5754" s="15" t="s">
        <v>51</v>
      </c>
      <c r="G5754" s="14" t="s">
        <v>183</v>
      </c>
      <c r="H5754" s="14" t="s">
        <v>181</v>
      </c>
      <c r="I5754" s="14" t="s">
        <v>59</v>
      </c>
      <c r="J5754" s="14" t="s">
        <v>198</v>
      </c>
      <c r="K5754" s="14" t="s">
        <v>210</v>
      </c>
      <c r="L5754" s="14" t="s">
        <v>264</v>
      </c>
      <c r="M5754" s="14" t="s">
        <v>524</v>
      </c>
      <c r="N5754" s="14" t="s">
        <v>525</v>
      </c>
      <c r="O5754" s="14">
        <v>100.0</v>
      </c>
      <c r="P5754" s="21">
        <v>0.0</v>
      </c>
      <c r="Q5754" s="22" t="str">
        <f t="shared" ref="Q5754:R5754" si="3443">"+0"</f>
        <v>+0</v>
      </c>
      <c r="R5754" s="18" t="str">
        <f t="shared" si="3443"/>
        <v>+0</v>
      </c>
      <c r="S5754" s="14" t="s">
        <v>281</v>
      </c>
    </row>
    <row r="5755">
      <c r="A5755" s="13">
        <v>45901.0</v>
      </c>
      <c r="B5755" s="14" t="s">
        <v>47</v>
      </c>
      <c r="C5755" s="14" t="s">
        <v>48</v>
      </c>
      <c r="D5755" s="14" t="s">
        <v>49</v>
      </c>
      <c r="E5755" s="14" t="s">
        <v>50</v>
      </c>
      <c r="F5755" s="15" t="s">
        <v>51</v>
      </c>
      <c r="G5755" s="14" t="s">
        <v>52</v>
      </c>
      <c r="H5755" s="14" t="s">
        <v>53</v>
      </c>
      <c r="I5755" s="14" t="s">
        <v>54</v>
      </c>
      <c r="J5755" s="14" t="s">
        <v>200</v>
      </c>
      <c r="K5755" s="14" t="s">
        <v>214</v>
      </c>
      <c r="L5755" s="14" t="s">
        <v>253</v>
      </c>
      <c r="M5755" s="14" t="s">
        <v>389</v>
      </c>
      <c r="N5755" s="14" t="s">
        <v>390</v>
      </c>
      <c r="O5755" s="14">
        <v>66.0</v>
      </c>
      <c r="P5755" s="23">
        <v>0.6684</v>
      </c>
      <c r="Q5755" s="22" t="str">
        <f>"+1.65%"</f>
        <v>+1.65%</v>
      </c>
      <c r="R5755" s="18" t="str">
        <f>"-0.08%"</f>
        <v>-0.08%</v>
      </c>
      <c r="S5755" s="14" t="s">
        <v>2556</v>
      </c>
    </row>
    <row r="5756">
      <c r="A5756" s="13">
        <v>45901.0</v>
      </c>
      <c r="B5756" s="14" t="s">
        <v>47</v>
      </c>
      <c r="C5756" s="14" t="s">
        <v>48</v>
      </c>
      <c r="D5756" s="14" t="s">
        <v>49</v>
      </c>
      <c r="E5756" s="14" t="s">
        <v>50</v>
      </c>
      <c r="F5756" s="15" t="s">
        <v>51</v>
      </c>
      <c r="G5756" s="14" t="s">
        <v>52</v>
      </c>
      <c r="H5756" s="14" t="s">
        <v>53</v>
      </c>
      <c r="I5756" s="14" t="s">
        <v>54</v>
      </c>
      <c r="J5756" s="14" t="s">
        <v>200</v>
      </c>
      <c r="K5756" s="14" t="s">
        <v>213</v>
      </c>
      <c r="L5756" s="14" t="s">
        <v>257</v>
      </c>
      <c r="M5756" s="14" t="s">
        <v>315</v>
      </c>
      <c r="N5756" s="14" t="s">
        <v>316</v>
      </c>
      <c r="O5756" s="14">
        <v>87.0</v>
      </c>
      <c r="P5756" s="23">
        <v>0.8719</v>
      </c>
      <c r="Q5756" s="22" t="str">
        <f>"+0.35%"</f>
        <v>+0.35%</v>
      </c>
      <c r="R5756" s="18" t="str">
        <f>"+0.72%"</f>
        <v>+0.72%</v>
      </c>
      <c r="S5756" s="14" t="s">
        <v>1418</v>
      </c>
    </row>
    <row r="5757">
      <c r="A5757" s="13">
        <v>45901.0</v>
      </c>
      <c r="B5757" s="14" t="s">
        <v>47</v>
      </c>
      <c r="C5757" s="14" t="s">
        <v>48</v>
      </c>
      <c r="D5757" s="14" t="s">
        <v>49</v>
      </c>
      <c r="E5757" s="14" t="s">
        <v>50</v>
      </c>
      <c r="F5757" s="15" t="s">
        <v>51</v>
      </c>
      <c r="G5757" s="14" t="s">
        <v>52</v>
      </c>
      <c r="H5757" s="14" t="s">
        <v>53</v>
      </c>
      <c r="I5757" s="14" t="s">
        <v>54</v>
      </c>
      <c r="J5757" s="14" t="s">
        <v>200</v>
      </c>
      <c r="K5757" s="14" t="s">
        <v>213</v>
      </c>
      <c r="L5757" s="14" t="s">
        <v>440</v>
      </c>
      <c r="M5757" s="14" t="s">
        <v>441</v>
      </c>
      <c r="N5757" s="14" t="s">
        <v>442</v>
      </c>
      <c r="O5757" s="14">
        <v>0.0</v>
      </c>
      <c r="P5757" s="23">
        <v>0.0</v>
      </c>
      <c r="Q5757" s="22" t="str">
        <f t="shared" ref="Q5757:R5757" si="3444">"+0.00%"</f>
        <v>+0.00%</v>
      </c>
      <c r="R5757" s="18" t="str">
        <f t="shared" si="3444"/>
        <v>+0.00%</v>
      </c>
      <c r="S5757" s="14" t="s">
        <v>285</v>
      </c>
    </row>
    <row r="5758">
      <c r="A5758" s="13">
        <v>45901.0</v>
      </c>
      <c r="B5758" s="14" t="s">
        <v>47</v>
      </c>
      <c r="C5758" s="14" t="s">
        <v>48</v>
      </c>
      <c r="D5758" s="14" t="s">
        <v>49</v>
      </c>
      <c r="E5758" s="14" t="s">
        <v>50</v>
      </c>
      <c r="F5758" s="15" t="s">
        <v>51</v>
      </c>
      <c r="G5758" s="14" t="s">
        <v>52</v>
      </c>
      <c r="H5758" s="14" t="s">
        <v>53</v>
      </c>
      <c r="I5758" s="14" t="s">
        <v>54</v>
      </c>
      <c r="J5758" s="14" t="s">
        <v>198</v>
      </c>
      <c r="K5758" s="14" t="s">
        <v>205</v>
      </c>
      <c r="L5758" s="14" t="s">
        <v>274</v>
      </c>
      <c r="M5758" s="14" t="s">
        <v>767</v>
      </c>
      <c r="N5758" s="14" t="s">
        <v>768</v>
      </c>
      <c r="O5758" s="14">
        <v>100.0</v>
      </c>
      <c r="P5758" s="21">
        <v>1.0</v>
      </c>
      <c r="Q5758" s="22" t="str">
        <f t="shared" ref="Q5758:Q5760" si="3445">"+0"</f>
        <v>+0</v>
      </c>
      <c r="S5758" s="14" t="s">
        <v>281</v>
      </c>
    </row>
    <row r="5759">
      <c r="A5759" s="13">
        <v>45901.0</v>
      </c>
      <c r="B5759" s="14" t="s">
        <v>47</v>
      </c>
      <c r="C5759" s="14" t="s">
        <v>48</v>
      </c>
      <c r="D5759" s="14" t="s">
        <v>177</v>
      </c>
      <c r="E5759" s="14" t="s">
        <v>178</v>
      </c>
      <c r="F5759" s="14" t="s">
        <v>146</v>
      </c>
      <c r="G5759" s="14" t="s">
        <v>179</v>
      </c>
      <c r="H5759" s="14" t="s">
        <v>177</v>
      </c>
      <c r="I5759" s="14" t="s">
        <v>107</v>
      </c>
      <c r="J5759" s="14" t="s">
        <v>199</v>
      </c>
      <c r="K5759" s="14" t="s">
        <v>206</v>
      </c>
      <c r="L5759" s="14" t="s">
        <v>295</v>
      </c>
      <c r="M5759" s="14" t="s">
        <v>296</v>
      </c>
      <c r="N5759" s="14" t="s">
        <v>297</v>
      </c>
      <c r="O5759" s="14">
        <v>0.0</v>
      </c>
      <c r="P5759" s="21">
        <v>0.0</v>
      </c>
      <c r="Q5759" s="22" t="str">
        <f t="shared" si="3445"/>
        <v>+0</v>
      </c>
      <c r="R5759" s="18" t="str">
        <f t="shared" ref="R5759:R5760" si="3446">"+0"</f>
        <v>+0</v>
      </c>
      <c r="S5759" s="14" t="s">
        <v>260</v>
      </c>
    </row>
    <row r="5760">
      <c r="A5760" s="13">
        <v>45901.0</v>
      </c>
      <c r="B5760" s="14" t="s">
        <v>47</v>
      </c>
      <c r="C5760" s="14" t="s">
        <v>48</v>
      </c>
      <c r="D5760" s="14" t="s">
        <v>91</v>
      </c>
      <c r="E5760" s="14" t="s">
        <v>92</v>
      </c>
      <c r="F5760" s="14" t="s">
        <v>79</v>
      </c>
      <c r="G5760" s="14" t="s">
        <v>164</v>
      </c>
      <c r="H5760" s="14" t="s">
        <v>91</v>
      </c>
      <c r="I5760" s="14" t="s">
        <v>154</v>
      </c>
      <c r="J5760" s="14" t="s">
        <v>200</v>
      </c>
      <c r="K5760" s="14" t="s">
        <v>237</v>
      </c>
      <c r="L5760" s="14" t="s">
        <v>333</v>
      </c>
      <c r="M5760" s="14" t="s">
        <v>1714</v>
      </c>
      <c r="N5760" s="14" t="s">
        <v>1715</v>
      </c>
      <c r="O5760" s="14">
        <v>0.0</v>
      </c>
      <c r="P5760" s="21">
        <v>0.0</v>
      </c>
      <c r="Q5760" s="22" t="str">
        <f t="shared" si="3445"/>
        <v>+0</v>
      </c>
      <c r="R5760" s="18" t="str">
        <f t="shared" si="3446"/>
        <v>+0</v>
      </c>
      <c r="S5760" s="14" t="s">
        <v>260</v>
      </c>
    </row>
    <row r="5761">
      <c r="A5761" s="13">
        <v>45901.0</v>
      </c>
      <c r="B5761" s="14" t="s">
        <v>47</v>
      </c>
      <c r="C5761" s="14" t="s">
        <v>48</v>
      </c>
      <c r="D5761" s="14" t="s">
        <v>91</v>
      </c>
      <c r="E5761" s="14" t="s">
        <v>92</v>
      </c>
      <c r="F5761" s="15" t="s">
        <v>51</v>
      </c>
      <c r="G5761" s="14" t="s">
        <v>163</v>
      </c>
      <c r="H5761" s="14" t="s">
        <v>91</v>
      </c>
      <c r="I5761" s="14" t="s">
        <v>59</v>
      </c>
      <c r="J5761" s="14" t="s">
        <v>200</v>
      </c>
      <c r="K5761" s="14" t="s">
        <v>223</v>
      </c>
      <c r="L5761" s="14" t="s">
        <v>363</v>
      </c>
      <c r="M5761" s="14" t="s">
        <v>364</v>
      </c>
      <c r="N5761" s="14" t="s">
        <v>365</v>
      </c>
      <c r="O5761" s="14">
        <v>0.0</v>
      </c>
      <c r="P5761" s="23">
        <v>0.0</v>
      </c>
      <c r="Q5761" s="22" t="str">
        <f t="shared" ref="Q5761:R5761" si="3447">"+0.00%"</f>
        <v>+0.00%</v>
      </c>
      <c r="R5761" s="18" t="str">
        <f t="shared" si="3447"/>
        <v>+0.00%</v>
      </c>
      <c r="S5761" s="14" t="s">
        <v>285</v>
      </c>
    </row>
    <row r="5762">
      <c r="A5762" s="13">
        <v>45901.0</v>
      </c>
      <c r="B5762" s="14" t="s">
        <v>47</v>
      </c>
      <c r="C5762" s="14" t="s">
        <v>48</v>
      </c>
      <c r="D5762" s="14" t="s">
        <v>63</v>
      </c>
      <c r="E5762" s="14" t="s">
        <v>64</v>
      </c>
      <c r="F5762" s="15" t="s">
        <v>51</v>
      </c>
      <c r="G5762" s="14" t="s">
        <v>65</v>
      </c>
      <c r="H5762" s="14" t="s">
        <v>63</v>
      </c>
      <c r="I5762" s="14" t="s">
        <v>54</v>
      </c>
      <c r="J5762" s="14" t="s">
        <v>198</v>
      </c>
      <c r="K5762" s="14" t="s">
        <v>210</v>
      </c>
      <c r="L5762" s="14" t="s">
        <v>505</v>
      </c>
      <c r="M5762" s="14" t="s">
        <v>1020</v>
      </c>
      <c r="N5762" s="14" t="s">
        <v>1021</v>
      </c>
      <c r="O5762" s="14">
        <v>0.0</v>
      </c>
      <c r="P5762" s="21">
        <v>0.0</v>
      </c>
      <c r="Q5762" s="22" t="str">
        <f t="shared" ref="Q5762:R5762" si="3448">"+0"</f>
        <v>+0</v>
      </c>
      <c r="R5762" s="18" t="str">
        <f t="shared" si="3448"/>
        <v>+0</v>
      </c>
      <c r="S5762" s="14" t="s">
        <v>277</v>
      </c>
    </row>
    <row r="5763">
      <c r="A5763" s="13">
        <v>45901.0</v>
      </c>
      <c r="B5763" s="14" t="s">
        <v>47</v>
      </c>
      <c r="C5763" s="14" t="s">
        <v>48</v>
      </c>
      <c r="D5763" s="14" t="s">
        <v>195</v>
      </c>
      <c r="E5763" s="14" t="s">
        <v>196</v>
      </c>
      <c r="F5763" s="14" t="s">
        <v>111</v>
      </c>
      <c r="G5763" s="14">
        <v>5252823.0</v>
      </c>
      <c r="H5763" s="14" t="s">
        <v>197</v>
      </c>
      <c r="I5763" s="14" t="s">
        <v>59</v>
      </c>
      <c r="J5763" s="14" t="s">
        <v>199</v>
      </c>
      <c r="K5763" s="14" t="s">
        <v>208</v>
      </c>
      <c r="L5763" s="14" t="s">
        <v>352</v>
      </c>
      <c r="M5763" s="14" t="s">
        <v>352</v>
      </c>
      <c r="N5763" s="14" t="s">
        <v>353</v>
      </c>
      <c r="O5763" s="14">
        <v>0.0</v>
      </c>
      <c r="P5763" s="21">
        <v>0.0</v>
      </c>
      <c r="Q5763" s="22" t="str">
        <f t="shared" ref="Q5763:R5763" si="3449">"+0"</f>
        <v>+0</v>
      </c>
      <c r="R5763" s="18" t="str">
        <f t="shared" si="3449"/>
        <v>+0</v>
      </c>
      <c r="S5763" s="14" t="s">
        <v>260</v>
      </c>
    </row>
    <row r="5764">
      <c r="A5764" s="13">
        <v>45901.0</v>
      </c>
      <c r="B5764" s="14" t="s">
        <v>47</v>
      </c>
      <c r="C5764" s="14" t="s">
        <v>48</v>
      </c>
      <c r="D5764" s="14" t="s">
        <v>96</v>
      </c>
      <c r="E5764" s="14" t="s">
        <v>97</v>
      </c>
      <c r="F5764" s="15" t="s">
        <v>51</v>
      </c>
      <c r="G5764" s="14" t="s">
        <v>98</v>
      </c>
      <c r="H5764" s="14" t="s">
        <v>96</v>
      </c>
      <c r="I5764" s="14" t="s">
        <v>59</v>
      </c>
      <c r="J5764" s="14" t="s">
        <v>200</v>
      </c>
      <c r="K5764" s="14" t="s">
        <v>223</v>
      </c>
      <c r="L5764" s="14" t="s">
        <v>363</v>
      </c>
      <c r="M5764" s="14" t="s">
        <v>1634</v>
      </c>
      <c r="N5764" s="14" t="s">
        <v>1635</v>
      </c>
      <c r="O5764" s="14">
        <v>0.0</v>
      </c>
      <c r="P5764" s="23">
        <v>0.0</v>
      </c>
      <c r="Q5764" s="22" t="str">
        <f t="shared" ref="Q5764:R5764" si="3450">"+0.00%"</f>
        <v>+0.00%</v>
      </c>
      <c r="R5764" s="18" t="str">
        <f t="shared" si="3450"/>
        <v>+0.00%</v>
      </c>
      <c r="S5764" s="14" t="s">
        <v>285</v>
      </c>
    </row>
    <row r="5765">
      <c r="A5765" s="13">
        <v>45901.0</v>
      </c>
      <c r="B5765" s="14" t="s">
        <v>47</v>
      </c>
      <c r="C5765" s="14" t="s">
        <v>48</v>
      </c>
      <c r="D5765" s="14" t="s">
        <v>73</v>
      </c>
      <c r="E5765" s="14" t="s">
        <v>74</v>
      </c>
      <c r="F5765" s="15" t="s">
        <v>51</v>
      </c>
      <c r="G5765" s="14" t="s">
        <v>75</v>
      </c>
      <c r="H5765" s="14" t="s">
        <v>76</v>
      </c>
      <c r="I5765" s="14" t="s">
        <v>59</v>
      </c>
      <c r="J5765" s="14" t="s">
        <v>200</v>
      </c>
      <c r="K5765" s="14" t="s">
        <v>204</v>
      </c>
      <c r="L5765" s="14" t="s">
        <v>253</v>
      </c>
      <c r="M5765" s="14" t="s">
        <v>844</v>
      </c>
      <c r="N5765" s="14" t="s">
        <v>845</v>
      </c>
      <c r="O5765" s="14">
        <v>0.0</v>
      </c>
      <c r="P5765" s="17"/>
      <c r="Q5765" s="22"/>
      <c r="S5765" s="14" t="s">
        <v>846</v>
      </c>
    </row>
    <row r="5766">
      <c r="A5766" s="13">
        <v>45901.0</v>
      </c>
      <c r="B5766" s="14" t="s">
        <v>47</v>
      </c>
      <c r="C5766" s="14" t="s">
        <v>48</v>
      </c>
      <c r="D5766" s="14" t="s">
        <v>195</v>
      </c>
      <c r="E5766" s="14" t="s">
        <v>196</v>
      </c>
      <c r="F5766" s="14" t="s">
        <v>111</v>
      </c>
      <c r="G5766" s="14">
        <v>5252823.0</v>
      </c>
      <c r="H5766" s="14" t="s">
        <v>197</v>
      </c>
      <c r="I5766" s="14" t="s">
        <v>59</v>
      </c>
      <c r="J5766" s="14" t="s">
        <v>199</v>
      </c>
      <c r="K5766" s="14" t="s">
        <v>203</v>
      </c>
      <c r="L5766" s="14" t="s">
        <v>340</v>
      </c>
      <c r="M5766" s="14" t="s">
        <v>340</v>
      </c>
      <c r="N5766" s="14" t="s">
        <v>341</v>
      </c>
      <c r="O5766" s="14">
        <v>0.0</v>
      </c>
      <c r="P5766" s="21">
        <v>0.0</v>
      </c>
      <c r="Q5766" s="22" t="str">
        <f t="shared" ref="Q5766:R5766" si="3451">"+0"</f>
        <v>+0</v>
      </c>
      <c r="R5766" s="18" t="str">
        <f t="shared" si="3451"/>
        <v>+0</v>
      </c>
      <c r="S5766" s="14" t="s">
        <v>260</v>
      </c>
    </row>
    <row r="5767">
      <c r="A5767" s="13">
        <v>45901.0</v>
      </c>
      <c r="B5767" s="14" t="s">
        <v>47</v>
      </c>
      <c r="C5767" s="14" t="s">
        <v>48</v>
      </c>
      <c r="D5767" s="14" t="s">
        <v>165</v>
      </c>
      <c r="E5767" s="14" t="s">
        <v>166</v>
      </c>
      <c r="F5767" s="15" t="s">
        <v>51</v>
      </c>
      <c r="G5767" s="14" t="s">
        <v>167</v>
      </c>
      <c r="H5767" s="14" t="s">
        <v>165</v>
      </c>
      <c r="I5767" s="14" t="s">
        <v>54</v>
      </c>
      <c r="J5767" s="14" t="s">
        <v>198</v>
      </c>
      <c r="K5767" s="14" t="s">
        <v>205</v>
      </c>
      <c r="L5767" s="14" t="s">
        <v>274</v>
      </c>
      <c r="M5767" s="14" t="s">
        <v>473</v>
      </c>
      <c r="N5767" s="14" t="s">
        <v>474</v>
      </c>
      <c r="O5767" s="14">
        <v>50.0</v>
      </c>
      <c r="P5767" s="21">
        <v>15.0</v>
      </c>
      <c r="Q5767" s="22" t="str">
        <f>"+0"</f>
        <v>+0</v>
      </c>
      <c r="S5767" s="14" t="s">
        <v>475</v>
      </c>
    </row>
    <row r="5768">
      <c r="A5768" s="13">
        <v>45901.0</v>
      </c>
      <c r="B5768" s="14" t="s">
        <v>47</v>
      </c>
      <c r="C5768" s="14" t="s">
        <v>48</v>
      </c>
      <c r="D5768" s="14" t="s">
        <v>192</v>
      </c>
      <c r="E5768" s="14" t="s">
        <v>193</v>
      </c>
      <c r="F5768" s="15" t="s">
        <v>51</v>
      </c>
      <c r="G5768" s="14" t="s">
        <v>194</v>
      </c>
      <c r="H5768" s="14" t="s">
        <v>192</v>
      </c>
      <c r="I5768" s="14" t="s">
        <v>54</v>
      </c>
      <c r="J5768" s="14" t="s">
        <v>200</v>
      </c>
      <c r="K5768" s="14" t="s">
        <v>223</v>
      </c>
      <c r="L5768" s="14" t="s">
        <v>710</v>
      </c>
      <c r="M5768" s="14" t="s">
        <v>1302</v>
      </c>
      <c r="N5768" s="14" t="s">
        <v>1303</v>
      </c>
      <c r="O5768" s="14">
        <v>5.0</v>
      </c>
      <c r="P5768" s="23">
        <v>0.0585</v>
      </c>
      <c r="Q5768" s="22" t="str">
        <f>"+0.45%"</f>
        <v>+0.45%</v>
      </c>
      <c r="R5768" s="18" t="str">
        <f>"-0.36%"</f>
        <v>-0.36%</v>
      </c>
      <c r="S5768" s="14" t="s">
        <v>2557</v>
      </c>
    </row>
    <row r="5769">
      <c r="A5769" s="13">
        <v>45901.0</v>
      </c>
      <c r="B5769" s="14" t="s">
        <v>47</v>
      </c>
      <c r="C5769" s="14" t="s">
        <v>48</v>
      </c>
      <c r="D5769" s="14" t="s">
        <v>192</v>
      </c>
      <c r="E5769" s="14" t="s">
        <v>193</v>
      </c>
      <c r="F5769" s="15" t="s">
        <v>51</v>
      </c>
      <c r="G5769" s="14" t="s">
        <v>194</v>
      </c>
      <c r="H5769" s="14" t="s">
        <v>192</v>
      </c>
      <c r="I5769" s="14" t="s">
        <v>54</v>
      </c>
      <c r="J5769" s="14" t="s">
        <v>200</v>
      </c>
      <c r="K5769" s="14" t="s">
        <v>231</v>
      </c>
      <c r="L5769" s="14" t="s">
        <v>512</v>
      </c>
      <c r="M5769" s="14" t="s">
        <v>1897</v>
      </c>
      <c r="N5769" s="14" t="s">
        <v>1898</v>
      </c>
      <c r="O5769" s="14">
        <v>41.0</v>
      </c>
      <c r="P5769" s="23">
        <v>-0.1617</v>
      </c>
      <c r="Q5769" s="22" t="str">
        <f>"+55.91%"</f>
        <v>+55.91%</v>
      </c>
      <c r="R5769" s="18" t="str">
        <f>"+2.54%"</f>
        <v>+2.54%</v>
      </c>
      <c r="S5769" s="14" t="s">
        <v>2558</v>
      </c>
    </row>
    <row r="5770">
      <c r="A5770" s="13">
        <v>45901.0</v>
      </c>
      <c r="B5770" s="14" t="s">
        <v>47</v>
      </c>
      <c r="C5770" s="14" t="s">
        <v>48</v>
      </c>
      <c r="D5770" s="14" t="s">
        <v>103</v>
      </c>
      <c r="E5770" s="14" t="s">
        <v>104</v>
      </c>
      <c r="F5770" s="15" t="s">
        <v>51</v>
      </c>
      <c r="G5770" s="14" t="s">
        <v>105</v>
      </c>
      <c r="H5770" s="14" t="s">
        <v>106</v>
      </c>
      <c r="I5770" s="14" t="s">
        <v>59</v>
      </c>
      <c r="J5770" s="14" t="s">
        <v>198</v>
      </c>
      <c r="K5770" s="14" t="s">
        <v>212</v>
      </c>
      <c r="L5770" s="14" t="s">
        <v>344</v>
      </c>
      <c r="M5770" s="14" t="s">
        <v>580</v>
      </c>
      <c r="N5770" s="14" t="s">
        <v>581</v>
      </c>
      <c r="O5770" s="14">
        <v>100.0</v>
      </c>
      <c r="P5770" s="21">
        <v>1.0</v>
      </c>
      <c r="Q5770" s="22" t="str">
        <f>"+1"</f>
        <v>+1</v>
      </c>
      <c r="S5770" s="14" t="s">
        <v>281</v>
      </c>
    </row>
    <row r="5771">
      <c r="A5771" s="13">
        <v>45901.0</v>
      </c>
      <c r="B5771" s="14" t="s">
        <v>47</v>
      </c>
      <c r="C5771" s="14" t="s">
        <v>48</v>
      </c>
      <c r="D5771" s="14" t="s">
        <v>143</v>
      </c>
      <c r="E5771" s="14" t="s">
        <v>144</v>
      </c>
      <c r="F5771" s="15" t="s">
        <v>51</v>
      </c>
      <c r="G5771" s="14" t="s">
        <v>145</v>
      </c>
      <c r="H5771" s="14" t="s">
        <v>143</v>
      </c>
      <c r="I5771" s="14" t="s">
        <v>59</v>
      </c>
      <c r="J5771" s="14" t="s">
        <v>200</v>
      </c>
      <c r="K5771" s="14" t="s">
        <v>227</v>
      </c>
      <c r="L5771" s="14" t="s">
        <v>721</v>
      </c>
      <c r="M5771" s="14" t="s">
        <v>748</v>
      </c>
      <c r="N5771" s="14" t="s">
        <v>749</v>
      </c>
      <c r="O5771" s="14">
        <v>0.0</v>
      </c>
      <c r="P5771" s="23">
        <v>-1.0</v>
      </c>
      <c r="Q5771" s="22" t="str">
        <f t="shared" ref="Q5771:R5771" si="3452">"+0.00%"</f>
        <v>+0.00%</v>
      </c>
      <c r="R5771" s="18" t="str">
        <f t="shared" si="3452"/>
        <v>+0.00%</v>
      </c>
      <c r="S5771" s="14" t="s">
        <v>750</v>
      </c>
    </row>
    <row r="5772">
      <c r="A5772" s="13">
        <v>45901.0</v>
      </c>
      <c r="B5772" s="14" t="s">
        <v>47</v>
      </c>
      <c r="C5772" s="14" t="s">
        <v>48</v>
      </c>
      <c r="D5772" s="14" t="s">
        <v>87</v>
      </c>
      <c r="E5772" s="14" t="s">
        <v>88</v>
      </c>
      <c r="F5772" s="15" t="s">
        <v>51</v>
      </c>
      <c r="G5772" s="14" t="s">
        <v>89</v>
      </c>
      <c r="H5772" s="14" t="s">
        <v>90</v>
      </c>
      <c r="I5772" s="14" t="s">
        <v>59</v>
      </c>
      <c r="J5772" s="14" t="s">
        <v>200</v>
      </c>
      <c r="K5772" s="14" t="s">
        <v>211</v>
      </c>
      <c r="L5772" s="14" t="s">
        <v>991</v>
      </c>
      <c r="M5772" s="14" t="s">
        <v>1040</v>
      </c>
      <c r="N5772" s="14" t="s">
        <v>1041</v>
      </c>
      <c r="O5772" s="14">
        <v>0.0</v>
      </c>
      <c r="P5772" s="21">
        <v>0.0</v>
      </c>
      <c r="Q5772" s="22" t="str">
        <f t="shared" ref="Q5772:R5772" si="3453">"+0"</f>
        <v>+0</v>
      </c>
      <c r="R5772" s="18" t="str">
        <f t="shared" si="3453"/>
        <v>+0</v>
      </c>
      <c r="S5772" s="14" t="s">
        <v>1042</v>
      </c>
    </row>
    <row r="5773">
      <c r="A5773" s="13">
        <v>45901.0</v>
      </c>
      <c r="B5773" s="14" t="s">
        <v>47</v>
      </c>
      <c r="C5773" s="14" t="s">
        <v>48</v>
      </c>
      <c r="D5773" s="14" t="s">
        <v>87</v>
      </c>
      <c r="E5773" s="14" t="s">
        <v>88</v>
      </c>
      <c r="F5773" s="15" t="s">
        <v>51</v>
      </c>
      <c r="G5773" s="14" t="s">
        <v>89</v>
      </c>
      <c r="H5773" s="14" t="s">
        <v>90</v>
      </c>
      <c r="I5773" s="14" t="s">
        <v>59</v>
      </c>
      <c r="J5773" s="14" t="s">
        <v>200</v>
      </c>
      <c r="K5773" s="14" t="s">
        <v>246</v>
      </c>
      <c r="L5773" s="14" t="s">
        <v>292</v>
      </c>
      <c r="M5773" s="14" t="s">
        <v>2559</v>
      </c>
      <c r="N5773" s="14" t="s">
        <v>2560</v>
      </c>
      <c r="O5773" s="14">
        <v>0.0</v>
      </c>
      <c r="P5773" s="21">
        <v>0.0</v>
      </c>
      <c r="Q5773" s="22" t="str">
        <f t="shared" ref="Q5773:R5773" si="3454">"+0"</f>
        <v>+0</v>
      </c>
      <c r="R5773" s="18" t="str">
        <f t="shared" si="3454"/>
        <v>+0</v>
      </c>
      <c r="S5773" s="14" t="s">
        <v>260</v>
      </c>
    </row>
    <row r="5774">
      <c r="A5774" s="13">
        <v>45901.0</v>
      </c>
      <c r="B5774" s="14" t="s">
        <v>47</v>
      </c>
      <c r="C5774" s="14" t="s">
        <v>48</v>
      </c>
      <c r="D5774" s="14" t="s">
        <v>149</v>
      </c>
      <c r="E5774" s="14" t="s">
        <v>150</v>
      </c>
      <c r="F5774" s="15" t="s">
        <v>51</v>
      </c>
      <c r="G5774" s="14" t="s">
        <v>151</v>
      </c>
      <c r="H5774" s="14" t="s">
        <v>152</v>
      </c>
      <c r="I5774" s="14" t="s">
        <v>54</v>
      </c>
      <c r="J5774" s="14" t="s">
        <v>200</v>
      </c>
      <c r="K5774" s="14" t="s">
        <v>222</v>
      </c>
      <c r="L5774" s="14" t="s">
        <v>337</v>
      </c>
      <c r="M5774" s="14" t="s">
        <v>734</v>
      </c>
      <c r="N5774" s="14" t="s">
        <v>735</v>
      </c>
      <c r="O5774" s="14">
        <v>100.0</v>
      </c>
      <c r="P5774" s="21">
        <v>62160.0</v>
      </c>
      <c r="Q5774" s="22" t="str">
        <f>"-1,384"</f>
        <v>-1,384</v>
      </c>
      <c r="R5774" s="18" t="str">
        <f>"+1,951"</f>
        <v>+1,951</v>
      </c>
      <c r="S5774" s="14" t="s">
        <v>260</v>
      </c>
    </row>
    <row r="5775">
      <c r="A5775" s="13">
        <v>45901.0</v>
      </c>
      <c r="B5775" s="14" t="s">
        <v>47</v>
      </c>
      <c r="C5775" s="14" t="s">
        <v>48</v>
      </c>
      <c r="D5775" s="14" t="s">
        <v>69</v>
      </c>
      <c r="E5775" s="14" t="s">
        <v>70</v>
      </c>
      <c r="F5775" s="15" t="s">
        <v>51</v>
      </c>
      <c r="G5775" s="14" t="s">
        <v>115</v>
      </c>
      <c r="H5775" s="14" t="s">
        <v>72</v>
      </c>
      <c r="I5775" s="14" t="s">
        <v>54</v>
      </c>
      <c r="J5775" s="14" t="s">
        <v>198</v>
      </c>
      <c r="K5775" s="14" t="s">
        <v>210</v>
      </c>
      <c r="L5775" s="14" t="s">
        <v>458</v>
      </c>
      <c r="M5775" s="14" t="s">
        <v>829</v>
      </c>
      <c r="N5775" s="14" t="s">
        <v>830</v>
      </c>
      <c r="O5775" s="14">
        <v>0.0</v>
      </c>
      <c r="P5775" s="21">
        <v>0.0</v>
      </c>
      <c r="Q5775" s="22" t="str">
        <f t="shared" ref="Q5775:R5775" si="3455">"+0"</f>
        <v>+0</v>
      </c>
      <c r="R5775" s="18" t="str">
        <f t="shared" si="3455"/>
        <v>+0</v>
      </c>
      <c r="S5775" s="14" t="s">
        <v>277</v>
      </c>
    </row>
    <row r="5776">
      <c r="A5776" s="13">
        <v>45901.0</v>
      </c>
      <c r="B5776" s="14" t="s">
        <v>47</v>
      </c>
      <c r="C5776" s="14" t="s">
        <v>48</v>
      </c>
      <c r="D5776" s="14" t="s">
        <v>96</v>
      </c>
      <c r="E5776" s="14" t="s">
        <v>97</v>
      </c>
      <c r="F5776" s="15" t="s">
        <v>51</v>
      </c>
      <c r="G5776" s="14" t="s">
        <v>98</v>
      </c>
      <c r="H5776" s="14" t="s">
        <v>96</v>
      </c>
      <c r="I5776" s="14" t="s">
        <v>59</v>
      </c>
      <c r="J5776" s="14" t="s">
        <v>200</v>
      </c>
      <c r="K5776" s="14" t="s">
        <v>223</v>
      </c>
      <c r="L5776" s="14" t="s">
        <v>487</v>
      </c>
      <c r="M5776" s="14" t="s">
        <v>788</v>
      </c>
      <c r="N5776" s="14" t="s">
        <v>789</v>
      </c>
      <c r="O5776" s="14">
        <v>0.0</v>
      </c>
      <c r="P5776" s="23">
        <v>0.0</v>
      </c>
      <c r="Q5776" s="22" t="str">
        <f>"-9.09%"</f>
        <v>-9.09%</v>
      </c>
      <c r="R5776" s="18" t="str">
        <f>"+0.00%"</f>
        <v>+0.00%</v>
      </c>
      <c r="S5776" s="14" t="s">
        <v>285</v>
      </c>
    </row>
    <row r="5777">
      <c r="A5777" s="13">
        <v>45901.0</v>
      </c>
      <c r="B5777" s="14" t="s">
        <v>47</v>
      </c>
      <c r="C5777" s="14" t="s">
        <v>48</v>
      </c>
      <c r="D5777" s="14" t="s">
        <v>69</v>
      </c>
      <c r="E5777" s="14" t="s">
        <v>70</v>
      </c>
      <c r="F5777" s="14" t="s">
        <v>71</v>
      </c>
      <c r="G5777" s="14">
        <v>1.00002092E8</v>
      </c>
      <c r="H5777" s="14" t="s">
        <v>72</v>
      </c>
      <c r="I5777" s="14" t="s">
        <v>54</v>
      </c>
      <c r="J5777" s="14" t="s">
        <v>200</v>
      </c>
      <c r="K5777" s="14" t="s">
        <v>218</v>
      </c>
      <c r="L5777" s="14" t="s">
        <v>253</v>
      </c>
      <c r="M5777" s="14" t="s">
        <v>1202</v>
      </c>
      <c r="N5777" s="14" t="s">
        <v>1203</v>
      </c>
      <c r="O5777" s="14">
        <v>100.0</v>
      </c>
      <c r="P5777" s="23">
        <v>1.0</v>
      </c>
      <c r="Q5777" s="22" t="str">
        <f t="shared" ref="Q5777:R5777" si="3456">"+0.00%"</f>
        <v>+0.00%</v>
      </c>
      <c r="R5777" s="18" t="str">
        <f t="shared" si="3456"/>
        <v>+0.00%</v>
      </c>
      <c r="S5777" s="14" t="s">
        <v>1290</v>
      </c>
    </row>
    <row r="5778">
      <c r="A5778" s="13">
        <v>45901.0</v>
      </c>
      <c r="B5778" s="14" t="s">
        <v>47</v>
      </c>
      <c r="C5778" s="14" t="s">
        <v>48</v>
      </c>
      <c r="D5778" s="14" t="s">
        <v>69</v>
      </c>
      <c r="E5778" s="14" t="s">
        <v>70</v>
      </c>
      <c r="F5778" s="15" t="s">
        <v>51</v>
      </c>
      <c r="G5778" s="14" t="s">
        <v>115</v>
      </c>
      <c r="H5778" s="14" t="s">
        <v>72</v>
      </c>
      <c r="I5778" s="14" t="s">
        <v>54</v>
      </c>
      <c r="J5778" s="14" t="s">
        <v>200</v>
      </c>
      <c r="K5778" s="14" t="s">
        <v>224</v>
      </c>
      <c r="L5778" s="14" t="s">
        <v>253</v>
      </c>
      <c r="M5778" s="14" t="s">
        <v>952</v>
      </c>
      <c r="N5778" s="14" t="s">
        <v>953</v>
      </c>
      <c r="O5778" s="14">
        <v>100.0</v>
      </c>
      <c r="P5778" s="23">
        <v>1.0</v>
      </c>
      <c r="Q5778" s="22" t="str">
        <f>"+0.00%"</f>
        <v>+0.00%</v>
      </c>
      <c r="R5778" s="18" t="str">
        <f>"+11.11%"</f>
        <v>+11.11%</v>
      </c>
      <c r="S5778" s="14" t="s">
        <v>2561</v>
      </c>
    </row>
    <row r="5779">
      <c r="A5779" s="13">
        <v>45901.0</v>
      </c>
      <c r="B5779" s="14" t="s">
        <v>47</v>
      </c>
      <c r="C5779" s="14" t="s">
        <v>48</v>
      </c>
      <c r="D5779" s="14" t="s">
        <v>77</v>
      </c>
      <c r="E5779" s="14" t="s">
        <v>78</v>
      </c>
      <c r="F5779" s="14" t="s">
        <v>79</v>
      </c>
      <c r="G5779" s="14" t="s">
        <v>80</v>
      </c>
      <c r="H5779" s="14" t="s">
        <v>81</v>
      </c>
      <c r="J5779" s="14" t="s">
        <v>200</v>
      </c>
      <c r="K5779" s="14" t="s">
        <v>237</v>
      </c>
      <c r="L5779" s="14" t="s">
        <v>253</v>
      </c>
      <c r="M5779" s="14" t="s">
        <v>653</v>
      </c>
      <c r="N5779" s="14" t="s">
        <v>654</v>
      </c>
      <c r="O5779" s="14">
        <v>37.0</v>
      </c>
      <c r="P5779" s="23">
        <v>0.3714</v>
      </c>
      <c r="Q5779" s="22" t="str">
        <f>"+25.71%"</f>
        <v>+25.71%</v>
      </c>
      <c r="R5779" s="18" t="str">
        <f>"+35.71%"</f>
        <v>+35.71%</v>
      </c>
      <c r="S5779" s="14" t="s">
        <v>2562</v>
      </c>
    </row>
    <row r="5780">
      <c r="A5780" s="13">
        <v>45901.0</v>
      </c>
      <c r="B5780" s="14" t="s">
        <v>47</v>
      </c>
      <c r="C5780" s="14" t="s">
        <v>48</v>
      </c>
      <c r="D5780" s="14" t="s">
        <v>116</v>
      </c>
      <c r="E5780" s="14" t="s">
        <v>117</v>
      </c>
      <c r="F5780" s="15" t="s">
        <v>51</v>
      </c>
      <c r="G5780" s="14" t="s">
        <v>161</v>
      </c>
      <c r="H5780" s="14" t="s">
        <v>116</v>
      </c>
      <c r="I5780" s="14" t="s">
        <v>54</v>
      </c>
      <c r="J5780" s="14" t="s">
        <v>200</v>
      </c>
      <c r="K5780" s="14" t="s">
        <v>213</v>
      </c>
      <c r="L5780" s="14" t="s">
        <v>676</v>
      </c>
      <c r="M5780" s="14" t="s">
        <v>836</v>
      </c>
      <c r="N5780" s="14" t="s">
        <v>837</v>
      </c>
      <c r="O5780" s="14">
        <v>1.0</v>
      </c>
      <c r="P5780" s="23">
        <v>0.0039</v>
      </c>
      <c r="Q5780" s="22" t="str">
        <f>"+0.05%"</f>
        <v>+0.05%</v>
      </c>
      <c r="R5780" s="18" t="str">
        <f>"-0.06%"</f>
        <v>-0.06%</v>
      </c>
      <c r="S5780" s="14" t="s">
        <v>2563</v>
      </c>
    </row>
    <row r="5781">
      <c r="A5781" s="13">
        <v>45901.0</v>
      </c>
      <c r="B5781" s="14" t="s">
        <v>47</v>
      </c>
      <c r="C5781" s="14" t="s">
        <v>48</v>
      </c>
      <c r="D5781" s="14" t="s">
        <v>77</v>
      </c>
      <c r="E5781" s="14" t="s">
        <v>78</v>
      </c>
      <c r="F5781" s="15" t="s">
        <v>51</v>
      </c>
      <c r="G5781" s="14" t="s">
        <v>128</v>
      </c>
      <c r="H5781" s="14" t="s">
        <v>81</v>
      </c>
      <c r="I5781" s="14" t="s">
        <v>59</v>
      </c>
      <c r="J5781" s="14" t="s">
        <v>200</v>
      </c>
      <c r="K5781" s="14" t="s">
        <v>217</v>
      </c>
      <c r="L5781" s="14" t="s">
        <v>253</v>
      </c>
      <c r="M5781" s="14" t="s">
        <v>2564</v>
      </c>
      <c r="N5781" s="14" t="s">
        <v>2565</v>
      </c>
      <c r="O5781" s="14">
        <v>0.0</v>
      </c>
      <c r="P5781" s="23">
        <v>0.0</v>
      </c>
      <c r="Q5781" s="22" t="str">
        <f t="shared" ref="Q5781:R5781" si="3457">"+0.00%"</f>
        <v>+0.00%</v>
      </c>
      <c r="R5781" s="18" t="str">
        <f t="shared" si="3457"/>
        <v>+0.00%</v>
      </c>
      <c r="S5781" s="14" t="s">
        <v>2566</v>
      </c>
    </row>
    <row r="5782">
      <c r="A5782" s="13">
        <v>45901.0</v>
      </c>
      <c r="B5782" s="14" t="s">
        <v>47</v>
      </c>
      <c r="C5782" s="14" t="s">
        <v>48</v>
      </c>
      <c r="D5782" s="14" t="s">
        <v>77</v>
      </c>
      <c r="E5782" s="14" t="s">
        <v>78</v>
      </c>
      <c r="F5782" s="15" t="s">
        <v>51</v>
      </c>
      <c r="G5782" s="14" t="s">
        <v>128</v>
      </c>
      <c r="H5782" s="14" t="s">
        <v>81</v>
      </c>
      <c r="I5782" s="14" t="s">
        <v>59</v>
      </c>
      <c r="J5782" s="14" t="s">
        <v>198</v>
      </c>
      <c r="K5782" s="14" t="s">
        <v>212</v>
      </c>
      <c r="L5782" s="14" t="s">
        <v>344</v>
      </c>
      <c r="M5782" s="14" t="s">
        <v>580</v>
      </c>
      <c r="N5782" s="14" t="s">
        <v>581</v>
      </c>
      <c r="O5782" s="14">
        <v>100.0</v>
      </c>
      <c r="P5782" s="21">
        <v>1.0</v>
      </c>
      <c r="Q5782" s="22" t="str">
        <f>"+1"</f>
        <v>+1</v>
      </c>
      <c r="S5782" s="14" t="s">
        <v>281</v>
      </c>
    </row>
    <row r="5783">
      <c r="A5783" s="13">
        <v>45901.0</v>
      </c>
      <c r="B5783" s="14" t="s">
        <v>47</v>
      </c>
      <c r="C5783" s="14" t="s">
        <v>48</v>
      </c>
      <c r="D5783" s="14" t="s">
        <v>56</v>
      </c>
      <c r="E5783" s="14" t="s">
        <v>57</v>
      </c>
      <c r="F5783" s="15" t="s">
        <v>51</v>
      </c>
      <c r="G5783" s="14" t="s">
        <v>58</v>
      </c>
      <c r="H5783" s="14" t="s">
        <v>56</v>
      </c>
      <c r="I5783" s="14" t="s">
        <v>59</v>
      </c>
      <c r="J5783" s="14" t="s">
        <v>198</v>
      </c>
      <c r="K5783" s="14" t="s">
        <v>205</v>
      </c>
      <c r="L5783" s="14" t="s">
        <v>274</v>
      </c>
      <c r="M5783" s="14" t="s">
        <v>696</v>
      </c>
      <c r="N5783" s="14" t="s">
        <v>697</v>
      </c>
      <c r="O5783" s="14">
        <v>100.0</v>
      </c>
      <c r="P5783" s="21">
        <v>1.0</v>
      </c>
      <c r="Q5783" s="22" t="str">
        <f t="shared" ref="Q5783:Q5785" si="3458">"+0"</f>
        <v>+0</v>
      </c>
      <c r="S5783" s="14" t="s">
        <v>281</v>
      </c>
    </row>
    <row r="5784">
      <c r="A5784" s="13">
        <v>45901.0</v>
      </c>
      <c r="B5784" s="14" t="s">
        <v>47</v>
      </c>
      <c r="C5784" s="14" t="s">
        <v>48</v>
      </c>
      <c r="D5784" s="14" t="s">
        <v>56</v>
      </c>
      <c r="E5784" s="14" t="s">
        <v>57</v>
      </c>
      <c r="F5784" s="15" t="s">
        <v>51</v>
      </c>
      <c r="G5784" s="14" t="s">
        <v>58</v>
      </c>
      <c r="H5784" s="14" t="s">
        <v>56</v>
      </c>
      <c r="I5784" s="14" t="s">
        <v>59</v>
      </c>
      <c r="J5784" s="14" t="s">
        <v>198</v>
      </c>
      <c r="K5784" s="14" t="s">
        <v>210</v>
      </c>
      <c r="L5784" s="14" t="s">
        <v>264</v>
      </c>
      <c r="M5784" s="14" t="s">
        <v>470</v>
      </c>
      <c r="N5784" s="14" t="s">
        <v>471</v>
      </c>
      <c r="O5784" s="14">
        <v>100.0</v>
      </c>
      <c r="P5784" s="21">
        <v>0.0</v>
      </c>
      <c r="Q5784" s="22" t="str">
        <f t="shared" si="3458"/>
        <v>+0</v>
      </c>
      <c r="R5784" s="18" t="str">
        <f t="shared" ref="R5784:R5785" si="3459">"+0"</f>
        <v>+0</v>
      </c>
      <c r="S5784" s="14" t="s">
        <v>281</v>
      </c>
    </row>
    <row r="5785">
      <c r="A5785" s="13">
        <v>45901.0</v>
      </c>
      <c r="B5785" s="14" t="s">
        <v>47</v>
      </c>
      <c r="C5785" s="14" t="s">
        <v>48</v>
      </c>
      <c r="D5785" s="14" t="s">
        <v>181</v>
      </c>
      <c r="E5785" s="14" t="s">
        <v>182</v>
      </c>
      <c r="F5785" s="15" t="s">
        <v>51</v>
      </c>
      <c r="G5785" s="14" t="s">
        <v>183</v>
      </c>
      <c r="H5785" s="14" t="s">
        <v>181</v>
      </c>
      <c r="I5785" s="14" t="s">
        <v>59</v>
      </c>
      <c r="J5785" s="14" t="s">
        <v>199</v>
      </c>
      <c r="K5785" s="14" t="s">
        <v>206</v>
      </c>
      <c r="L5785" s="14" t="s">
        <v>295</v>
      </c>
      <c r="M5785" s="14" t="s">
        <v>461</v>
      </c>
      <c r="N5785" s="14" t="s">
        <v>462</v>
      </c>
      <c r="O5785" s="14">
        <v>0.0</v>
      </c>
      <c r="P5785" s="21">
        <v>0.0</v>
      </c>
      <c r="Q5785" s="22" t="str">
        <f t="shared" si="3458"/>
        <v>+0</v>
      </c>
      <c r="R5785" s="18" t="str">
        <f t="shared" si="3459"/>
        <v>+0</v>
      </c>
      <c r="S5785" s="14" t="s">
        <v>260</v>
      </c>
    </row>
    <row r="5786">
      <c r="A5786" s="13">
        <v>45901.0</v>
      </c>
      <c r="B5786" s="14" t="s">
        <v>47</v>
      </c>
      <c r="C5786" s="14" t="s">
        <v>48</v>
      </c>
      <c r="D5786" s="14" t="s">
        <v>121</v>
      </c>
      <c r="E5786" s="14" t="s">
        <v>122</v>
      </c>
      <c r="F5786" s="15" t="s">
        <v>51</v>
      </c>
      <c r="G5786" s="14" t="s">
        <v>123</v>
      </c>
      <c r="H5786" s="14" t="s">
        <v>124</v>
      </c>
      <c r="I5786" s="14" t="s">
        <v>59</v>
      </c>
      <c r="J5786" s="14" t="s">
        <v>200</v>
      </c>
      <c r="K5786" s="14" t="s">
        <v>232</v>
      </c>
      <c r="L5786" s="14" t="s">
        <v>253</v>
      </c>
      <c r="M5786" s="14" t="s">
        <v>366</v>
      </c>
      <c r="N5786" s="14" t="s">
        <v>367</v>
      </c>
      <c r="O5786" s="14">
        <v>28.0</v>
      </c>
      <c r="P5786" s="23">
        <v>0.28</v>
      </c>
      <c r="Q5786" s="22" t="str">
        <f t="shared" ref="Q5786:R5786" si="3460">"-2.00%"</f>
        <v>-2.00%</v>
      </c>
      <c r="R5786" s="18" t="str">
        <f t="shared" si="3460"/>
        <v>-2.00%</v>
      </c>
      <c r="S5786" s="14" t="s">
        <v>2567</v>
      </c>
    </row>
    <row r="5787">
      <c r="A5787" s="13">
        <v>45901.0</v>
      </c>
      <c r="B5787" s="14" t="s">
        <v>47</v>
      </c>
      <c r="C5787" s="14" t="s">
        <v>48</v>
      </c>
      <c r="D5787" s="14" t="s">
        <v>168</v>
      </c>
      <c r="E5787" s="14" t="s">
        <v>169</v>
      </c>
      <c r="F5787" s="15" t="s">
        <v>51</v>
      </c>
      <c r="G5787" s="14" t="s">
        <v>170</v>
      </c>
      <c r="H5787" s="14" t="s">
        <v>168</v>
      </c>
      <c r="I5787" s="14" t="s">
        <v>59</v>
      </c>
      <c r="J5787" s="14" t="s">
        <v>200</v>
      </c>
      <c r="K5787" s="14" t="s">
        <v>213</v>
      </c>
      <c r="L5787" s="14" t="s">
        <v>257</v>
      </c>
      <c r="M5787" s="14" t="s">
        <v>315</v>
      </c>
      <c r="N5787" s="14" t="s">
        <v>316</v>
      </c>
      <c r="O5787" s="14">
        <v>58.0</v>
      </c>
      <c r="P5787" s="23">
        <v>0.5849</v>
      </c>
      <c r="Q5787" s="22" t="str">
        <f>"+2.15%"</f>
        <v>+2.15%</v>
      </c>
      <c r="R5787" s="18" t="str">
        <f>"-6.05%"</f>
        <v>-6.05%</v>
      </c>
      <c r="S5787" s="14" t="s">
        <v>2568</v>
      </c>
    </row>
    <row r="5788">
      <c r="A5788" s="13">
        <v>45901.0</v>
      </c>
      <c r="B5788" s="14" t="s">
        <v>47</v>
      </c>
      <c r="C5788" s="14" t="s">
        <v>48</v>
      </c>
      <c r="D5788" s="14" t="s">
        <v>60</v>
      </c>
      <c r="E5788" s="14" t="s">
        <v>61</v>
      </c>
      <c r="F5788" s="15" t="s">
        <v>51</v>
      </c>
      <c r="G5788" s="14" t="s">
        <v>62</v>
      </c>
      <c r="H5788" s="14" t="s">
        <v>60</v>
      </c>
      <c r="I5788" s="14" t="s">
        <v>59</v>
      </c>
      <c r="J5788" s="14" t="s">
        <v>200</v>
      </c>
      <c r="K5788" s="14" t="s">
        <v>227</v>
      </c>
      <c r="L5788" s="14" t="s">
        <v>270</v>
      </c>
      <c r="M5788" s="14" t="s">
        <v>417</v>
      </c>
      <c r="N5788" s="14" t="s">
        <v>418</v>
      </c>
      <c r="O5788" s="14">
        <v>60.0</v>
      </c>
      <c r="P5788" s="21">
        <v>3.0</v>
      </c>
      <c r="Q5788" s="22" t="str">
        <f>"+2"</f>
        <v>+2</v>
      </c>
      <c r="R5788" s="18" t="str">
        <f>"+1"</f>
        <v>+1</v>
      </c>
      <c r="S5788" s="14" t="s">
        <v>260</v>
      </c>
    </row>
    <row r="5789">
      <c r="A5789" s="13">
        <v>45901.0</v>
      </c>
      <c r="B5789" s="14" t="s">
        <v>47</v>
      </c>
      <c r="C5789" s="14" t="s">
        <v>48</v>
      </c>
      <c r="D5789" s="14" t="s">
        <v>181</v>
      </c>
      <c r="E5789" s="14" t="s">
        <v>182</v>
      </c>
      <c r="F5789" s="15" t="s">
        <v>51</v>
      </c>
      <c r="G5789" s="14" t="s">
        <v>183</v>
      </c>
      <c r="H5789" s="14" t="s">
        <v>181</v>
      </c>
      <c r="I5789" s="14" t="s">
        <v>59</v>
      </c>
      <c r="J5789" s="14" t="s">
        <v>200</v>
      </c>
      <c r="K5789" s="14" t="s">
        <v>232</v>
      </c>
      <c r="L5789" s="14" t="s">
        <v>710</v>
      </c>
      <c r="M5789" s="14" t="s">
        <v>806</v>
      </c>
      <c r="N5789" s="14" t="s">
        <v>807</v>
      </c>
      <c r="O5789" s="14">
        <v>0.0</v>
      </c>
      <c r="P5789" s="23">
        <v>0.0</v>
      </c>
      <c r="Q5789" s="22" t="str">
        <f t="shared" ref="Q5789:R5789" si="3461">"+0.00%"</f>
        <v>+0.00%</v>
      </c>
      <c r="R5789" s="18" t="str">
        <f t="shared" si="3461"/>
        <v>+0.00%</v>
      </c>
      <c r="S5789" s="14" t="s">
        <v>285</v>
      </c>
    </row>
    <row r="5790">
      <c r="A5790" s="13">
        <v>45901.0</v>
      </c>
      <c r="B5790" s="14" t="s">
        <v>47</v>
      </c>
      <c r="C5790" s="14" t="s">
        <v>48</v>
      </c>
      <c r="D5790" s="14" t="s">
        <v>118</v>
      </c>
      <c r="E5790" s="14" t="s">
        <v>119</v>
      </c>
      <c r="F5790" s="15" t="s">
        <v>51</v>
      </c>
      <c r="G5790" s="14" t="s">
        <v>120</v>
      </c>
      <c r="H5790" s="14" t="s">
        <v>118</v>
      </c>
      <c r="I5790" s="14" t="s">
        <v>59</v>
      </c>
      <c r="J5790" s="14" t="s">
        <v>200</v>
      </c>
      <c r="K5790" s="14" t="s">
        <v>213</v>
      </c>
      <c r="L5790" s="14" t="s">
        <v>307</v>
      </c>
      <c r="M5790" s="14" t="s">
        <v>561</v>
      </c>
      <c r="N5790" s="14" t="s">
        <v>562</v>
      </c>
      <c r="O5790" s="14">
        <v>0.0</v>
      </c>
      <c r="P5790" s="23">
        <v>0.0</v>
      </c>
      <c r="Q5790" s="22" t="str">
        <f t="shared" ref="Q5790:R5790" si="3462">"+0.00%"</f>
        <v>+0.00%</v>
      </c>
      <c r="R5790" s="18" t="str">
        <f t="shared" si="3462"/>
        <v>+0.00%</v>
      </c>
      <c r="S5790" s="14" t="s">
        <v>285</v>
      </c>
    </row>
    <row r="5791">
      <c r="A5791" s="13">
        <v>45901.0</v>
      </c>
      <c r="B5791" s="14" t="s">
        <v>47</v>
      </c>
      <c r="C5791" s="14" t="s">
        <v>48</v>
      </c>
      <c r="D5791" s="14" t="s">
        <v>93</v>
      </c>
      <c r="E5791" s="14" t="s">
        <v>94</v>
      </c>
      <c r="F5791" s="14" t="s">
        <v>71</v>
      </c>
      <c r="G5791" s="14">
        <v>5.36001438E8</v>
      </c>
      <c r="H5791" s="14" t="s">
        <v>95</v>
      </c>
      <c r="I5791" s="14" t="s">
        <v>59</v>
      </c>
      <c r="J5791" s="14" t="s">
        <v>200</v>
      </c>
      <c r="K5791" s="14" t="s">
        <v>218</v>
      </c>
      <c r="L5791" s="14" t="s">
        <v>253</v>
      </c>
      <c r="M5791" s="14" t="s">
        <v>1202</v>
      </c>
      <c r="N5791" s="14" t="s">
        <v>1203</v>
      </c>
      <c r="O5791" s="14">
        <v>1.0</v>
      </c>
      <c r="P5791" s="23">
        <v>0.0032</v>
      </c>
      <c r="Q5791" s="22" t="str">
        <f>"+0.04%"</f>
        <v>+0.04%</v>
      </c>
      <c r="R5791" s="18" t="str">
        <f>"-0.03%"</f>
        <v>-0.03%</v>
      </c>
      <c r="S5791" s="14" t="s">
        <v>1170</v>
      </c>
    </row>
    <row r="5792">
      <c r="A5792" s="13">
        <v>45901.0</v>
      </c>
      <c r="B5792" s="14" t="s">
        <v>47</v>
      </c>
      <c r="C5792" s="14" t="s">
        <v>48</v>
      </c>
      <c r="D5792" s="14" t="s">
        <v>192</v>
      </c>
      <c r="E5792" s="14" t="s">
        <v>193</v>
      </c>
      <c r="F5792" s="15" t="s">
        <v>51</v>
      </c>
      <c r="G5792" s="14" t="s">
        <v>194</v>
      </c>
      <c r="H5792" s="14" t="s">
        <v>192</v>
      </c>
      <c r="I5792" s="14" t="s">
        <v>54</v>
      </c>
      <c r="J5792" s="14" t="s">
        <v>200</v>
      </c>
      <c r="K5792" s="14" t="s">
        <v>211</v>
      </c>
      <c r="L5792" s="14" t="s">
        <v>253</v>
      </c>
      <c r="M5792" s="14" t="s">
        <v>1381</v>
      </c>
      <c r="N5792" s="14" t="s">
        <v>1382</v>
      </c>
      <c r="O5792" s="14">
        <v>0.0</v>
      </c>
      <c r="P5792" s="23">
        <v>0.0</v>
      </c>
      <c r="Q5792" s="22" t="str">
        <f>"-0.00%"</f>
        <v>-0.00%</v>
      </c>
      <c r="R5792" s="18" t="str">
        <f>"+0.00%"</f>
        <v>+0.00%</v>
      </c>
      <c r="S5792" s="14" t="s">
        <v>371</v>
      </c>
    </row>
    <row r="5793">
      <c r="A5793" s="13">
        <v>45901.0</v>
      </c>
      <c r="B5793" s="14" t="s">
        <v>47</v>
      </c>
      <c r="C5793" s="14" t="s">
        <v>48</v>
      </c>
      <c r="D5793" s="14" t="s">
        <v>66</v>
      </c>
      <c r="E5793" s="14" t="s">
        <v>67</v>
      </c>
      <c r="F5793" s="15" t="s">
        <v>51</v>
      </c>
      <c r="G5793" s="14" t="s">
        <v>68</v>
      </c>
      <c r="H5793" s="14" t="s">
        <v>66</v>
      </c>
      <c r="I5793" s="14" t="s">
        <v>59</v>
      </c>
      <c r="J5793" s="14" t="s">
        <v>200</v>
      </c>
      <c r="K5793" s="14" t="s">
        <v>223</v>
      </c>
      <c r="L5793" s="14" t="s">
        <v>710</v>
      </c>
      <c r="M5793" s="14" t="s">
        <v>1302</v>
      </c>
      <c r="N5793" s="14" t="s">
        <v>1303</v>
      </c>
      <c r="O5793" s="14">
        <v>0.0</v>
      </c>
      <c r="P5793" s="23">
        <v>0.0</v>
      </c>
      <c r="Q5793" s="22" t="str">
        <f t="shared" ref="Q5793:R5793" si="3463">"+0.00%"</f>
        <v>+0.00%</v>
      </c>
      <c r="R5793" s="18" t="str">
        <f t="shared" si="3463"/>
        <v>+0.00%</v>
      </c>
      <c r="S5793" s="14" t="s">
        <v>1398</v>
      </c>
    </row>
    <row r="5794">
      <c r="A5794" s="13">
        <v>45901.0</v>
      </c>
      <c r="B5794" s="14" t="s">
        <v>47</v>
      </c>
      <c r="C5794" s="14" t="s">
        <v>48</v>
      </c>
      <c r="D5794" s="14" t="s">
        <v>192</v>
      </c>
      <c r="E5794" s="14" t="s">
        <v>193</v>
      </c>
      <c r="F5794" s="15" t="s">
        <v>51</v>
      </c>
      <c r="G5794" s="14" t="s">
        <v>194</v>
      </c>
      <c r="H5794" s="14" t="s">
        <v>192</v>
      </c>
      <c r="I5794" s="14" t="s">
        <v>54</v>
      </c>
      <c r="J5794" s="14" t="s">
        <v>198</v>
      </c>
      <c r="K5794" s="14" t="s">
        <v>210</v>
      </c>
      <c r="L5794" s="14" t="s">
        <v>458</v>
      </c>
      <c r="M5794" s="14" t="s">
        <v>1939</v>
      </c>
      <c r="N5794" s="14" t="s">
        <v>1940</v>
      </c>
      <c r="O5794" s="14">
        <v>0.0</v>
      </c>
      <c r="P5794" s="21">
        <v>0.0</v>
      </c>
      <c r="Q5794" s="22" t="str">
        <f t="shared" ref="Q5794:R5794" si="3464">"+0"</f>
        <v>+0</v>
      </c>
      <c r="R5794" s="18" t="str">
        <f t="shared" si="3464"/>
        <v>+0</v>
      </c>
      <c r="S5794" s="14" t="s">
        <v>277</v>
      </c>
    </row>
    <row r="5795">
      <c r="A5795" s="13">
        <v>45901.0</v>
      </c>
      <c r="B5795" s="14" t="s">
        <v>47</v>
      </c>
      <c r="C5795" s="14" t="s">
        <v>48</v>
      </c>
      <c r="D5795" s="14" t="s">
        <v>66</v>
      </c>
      <c r="E5795" s="14" t="s">
        <v>67</v>
      </c>
      <c r="F5795" s="15" t="s">
        <v>51</v>
      </c>
      <c r="G5795" s="14" t="s">
        <v>68</v>
      </c>
      <c r="H5795" s="14" t="s">
        <v>66</v>
      </c>
      <c r="I5795" s="14" t="s">
        <v>59</v>
      </c>
      <c r="J5795" s="14" t="s">
        <v>198</v>
      </c>
      <c r="K5795" s="14" t="s">
        <v>210</v>
      </c>
      <c r="L5795" s="14" t="s">
        <v>264</v>
      </c>
      <c r="M5795" s="14" t="s">
        <v>265</v>
      </c>
      <c r="N5795" s="14" t="s">
        <v>266</v>
      </c>
      <c r="O5795" s="14">
        <v>0.0</v>
      </c>
      <c r="P5795" s="21">
        <v>3569.0</v>
      </c>
      <c r="Q5795" s="22" t="str">
        <f>"-5,543"</f>
        <v>-5,543</v>
      </c>
      <c r="R5795" s="18" t="str">
        <f>"+3,390"</f>
        <v>+3,390</v>
      </c>
      <c r="S5795" s="14" t="s">
        <v>2569</v>
      </c>
    </row>
    <row r="5796">
      <c r="A5796" s="13">
        <v>45901.0</v>
      </c>
      <c r="B5796" s="14" t="s">
        <v>47</v>
      </c>
      <c r="C5796" s="14" t="s">
        <v>48</v>
      </c>
      <c r="D5796" s="14" t="s">
        <v>192</v>
      </c>
      <c r="E5796" s="14" t="s">
        <v>193</v>
      </c>
      <c r="F5796" s="15" t="s">
        <v>51</v>
      </c>
      <c r="G5796" s="14" t="s">
        <v>194</v>
      </c>
      <c r="H5796" s="14" t="s">
        <v>192</v>
      </c>
      <c r="I5796" s="14" t="s">
        <v>54</v>
      </c>
      <c r="J5796" s="14" t="s">
        <v>200</v>
      </c>
      <c r="K5796" s="14" t="s">
        <v>231</v>
      </c>
      <c r="L5796" s="14" t="s">
        <v>512</v>
      </c>
      <c r="M5796" s="14" t="s">
        <v>1194</v>
      </c>
      <c r="N5796" s="14" t="s">
        <v>1195</v>
      </c>
      <c r="O5796" s="14">
        <v>100.0</v>
      </c>
      <c r="P5796" s="21">
        <v>42.0</v>
      </c>
      <c r="Q5796" s="22" t="str">
        <f>"+34"</f>
        <v>+34</v>
      </c>
      <c r="R5796" s="18" t="str">
        <f>"-10"</f>
        <v>-10</v>
      </c>
      <c r="S5796" s="14" t="s">
        <v>260</v>
      </c>
    </row>
    <row r="5797">
      <c r="A5797" s="13">
        <v>45901.0</v>
      </c>
      <c r="B5797" s="14" t="s">
        <v>47</v>
      </c>
      <c r="C5797" s="14" t="s">
        <v>48</v>
      </c>
      <c r="D5797" s="14" t="s">
        <v>132</v>
      </c>
      <c r="E5797" s="14" t="s">
        <v>133</v>
      </c>
      <c r="F5797" s="15" t="s">
        <v>51</v>
      </c>
      <c r="G5797" s="14" t="s">
        <v>134</v>
      </c>
      <c r="H5797" s="14" t="s">
        <v>135</v>
      </c>
      <c r="I5797" s="14" t="s">
        <v>59</v>
      </c>
      <c r="J5797" s="14" t="s">
        <v>200</v>
      </c>
      <c r="K5797" s="14" t="s">
        <v>222</v>
      </c>
      <c r="L5797" s="14" t="s">
        <v>337</v>
      </c>
      <c r="M5797" s="14" t="s">
        <v>734</v>
      </c>
      <c r="N5797" s="14" t="s">
        <v>735</v>
      </c>
      <c r="O5797" s="14">
        <v>0.0</v>
      </c>
      <c r="P5797" s="21">
        <v>0.0</v>
      </c>
      <c r="Q5797" s="22" t="str">
        <f t="shared" ref="Q5797:R5797" si="3465">"+0"</f>
        <v>+0</v>
      </c>
      <c r="R5797" s="18" t="str">
        <f t="shared" si="3465"/>
        <v>+0</v>
      </c>
      <c r="S5797" s="14" t="s">
        <v>260</v>
      </c>
    </row>
    <row r="5798">
      <c r="A5798" s="13">
        <v>45901.0</v>
      </c>
      <c r="B5798" s="14" t="s">
        <v>47</v>
      </c>
      <c r="C5798" s="14" t="s">
        <v>48</v>
      </c>
      <c r="D5798" s="14" t="s">
        <v>73</v>
      </c>
      <c r="E5798" s="14" t="s">
        <v>74</v>
      </c>
      <c r="F5798" s="15" t="s">
        <v>51</v>
      </c>
      <c r="G5798" s="14" t="s">
        <v>75</v>
      </c>
      <c r="H5798" s="14" t="s">
        <v>76</v>
      </c>
      <c r="I5798" s="14" t="s">
        <v>59</v>
      </c>
      <c r="J5798" s="14" t="s">
        <v>200</v>
      </c>
      <c r="K5798" s="14" t="s">
        <v>232</v>
      </c>
      <c r="L5798" s="14" t="s">
        <v>304</v>
      </c>
      <c r="M5798" s="14" t="s">
        <v>702</v>
      </c>
      <c r="N5798" s="14" t="s">
        <v>703</v>
      </c>
      <c r="O5798" s="14">
        <v>0.0</v>
      </c>
      <c r="P5798" s="23">
        <v>0.0</v>
      </c>
      <c r="Q5798" s="22" t="str">
        <f t="shared" ref="Q5798:R5798" si="3466">"+0.00%"</f>
        <v>+0.00%</v>
      </c>
      <c r="R5798" s="18" t="str">
        <f t="shared" si="3466"/>
        <v>+0.00%</v>
      </c>
      <c r="S5798" s="14" t="s">
        <v>285</v>
      </c>
    </row>
    <row r="5799">
      <c r="A5799" s="13">
        <v>45901.0</v>
      </c>
      <c r="B5799" s="14" t="s">
        <v>47</v>
      </c>
      <c r="C5799" s="14" t="s">
        <v>48</v>
      </c>
      <c r="D5799" s="14" t="s">
        <v>132</v>
      </c>
      <c r="E5799" s="14" t="s">
        <v>133</v>
      </c>
      <c r="F5799" s="15" t="s">
        <v>51</v>
      </c>
      <c r="G5799" s="14" t="s">
        <v>134</v>
      </c>
      <c r="H5799" s="14" t="s">
        <v>135</v>
      </c>
      <c r="I5799" s="14" t="s">
        <v>59</v>
      </c>
      <c r="J5799" s="14" t="s">
        <v>198</v>
      </c>
      <c r="K5799" s="14" t="s">
        <v>212</v>
      </c>
      <c r="L5799" s="14" t="s">
        <v>249</v>
      </c>
      <c r="M5799" s="14" t="s">
        <v>250</v>
      </c>
      <c r="N5799" s="14" t="s">
        <v>251</v>
      </c>
      <c r="O5799" s="14">
        <v>100.0</v>
      </c>
      <c r="P5799" s="21">
        <v>0.0</v>
      </c>
      <c r="Q5799" s="22" t="str">
        <f>"+0"</f>
        <v>+0</v>
      </c>
      <c r="R5799" s="18" t="str">
        <f>"-10,448"</f>
        <v>-10,448</v>
      </c>
      <c r="S5799" s="14" t="s">
        <v>281</v>
      </c>
    </row>
    <row r="5800">
      <c r="A5800" s="13">
        <v>45901.0</v>
      </c>
      <c r="B5800" s="14" t="s">
        <v>47</v>
      </c>
      <c r="C5800" s="14" t="s">
        <v>48</v>
      </c>
      <c r="D5800" s="14" t="s">
        <v>87</v>
      </c>
      <c r="E5800" s="14" t="s">
        <v>88</v>
      </c>
      <c r="F5800" s="15" t="s">
        <v>51</v>
      </c>
      <c r="G5800" s="14" t="s">
        <v>89</v>
      </c>
      <c r="H5800" s="14" t="s">
        <v>90</v>
      </c>
      <c r="I5800" s="14" t="s">
        <v>59</v>
      </c>
      <c r="J5800" s="14" t="s">
        <v>198</v>
      </c>
      <c r="K5800" s="14" t="s">
        <v>212</v>
      </c>
      <c r="L5800" s="14" t="s">
        <v>249</v>
      </c>
      <c r="M5800" s="14" t="s">
        <v>250</v>
      </c>
      <c r="N5800" s="14" t="s">
        <v>251</v>
      </c>
      <c r="O5800" s="14">
        <v>0.0</v>
      </c>
      <c r="P5800" s="21">
        <v>108356.0</v>
      </c>
      <c r="Q5800" s="22" t="str">
        <f>"+12,518"</f>
        <v>+12,518</v>
      </c>
      <c r="R5800" s="18" t="str">
        <f>"-222,249"</f>
        <v>-222,249</v>
      </c>
      <c r="S5800" s="14" t="s">
        <v>2570</v>
      </c>
    </row>
    <row r="5801">
      <c r="A5801" s="13">
        <v>45901.0</v>
      </c>
      <c r="B5801" s="14" t="s">
        <v>47</v>
      </c>
      <c r="C5801" s="14" t="s">
        <v>48</v>
      </c>
      <c r="D5801" s="14" t="s">
        <v>171</v>
      </c>
      <c r="E5801" s="14" t="s">
        <v>172</v>
      </c>
      <c r="F5801" s="15" t="s">
        <v>51</v>
      </c>
      <c r="G5801" s="14" t="s">
        <v>173</v>
      </c>
      <c r="H5801" s="14" t="s">
        <v>171</v>
      </c>
      <c r="I5801" s="14" t="s">
        <v>59</v>
      </c>
      <c r="J5801" s="14" t="s">
        <v>200</v>
      </c>
      <c r="K5801" s="14" t="s">
        <v>213</v>
      </c>
      <c r="L5801" s="14" t="s">
        <v>591</v>
      </c>
      <c r="M5801" s="14" t="s">
        <v>592</v>
      </c>
      <c r="N5801" s="14" t="s">
        <v>1048</v>
      </c>
      <c r="O5801" s="14">
        <v>0.0</v>
      </c>
      <c r="P5801" s="23">
        <v>0.0</v>
      </c>
      <c r="Q5801" s="22" t="str">
        <f t="shared" ref="Q5801:R5801" si="3467">"+0.00%"</f>
        <v>+0.00%</v>
      </c>
      <c r="R5801" s="18" t="str">
        <f t="shared" si="3467"/>
        <v>+0.00%</v>
      </c>
      <c r="S5801" s="14" t="s">
        <v>285</v>
      </c>
    </row>
    <row r="5802">
      <c r="A5802" s="13">
        <v>45901.0</v>
      </c>
      <c r="B5802" s="14" t="s">
        <v>47</v>
      </c>
      <c r="C5802" s="14" t="s">
        <v>48</v>
      </c>
      <c r="D5802" s="14" t="s">
        <v>87</v>
      </c>
      <c r="E5802" s="14" t="s">
        <v>88</v>
      </c>
      <c r="F5802" s="15" t="s">
        <v>51</v>
      </c>
      <c r="G5802" s="14" t="s">
        <v>89</v>
      </c>
      <c r="H5802" s="14" t="s">
        <v>90</v>
      </c>
      <c r="I5802" s="14" t="s">
        <v>59</v>
      </c>
      <c r="J5802" s="14" t="s">
        <v>198</v>
      </c>
      <c r="K5802" s="14" t="s">
        <v>210</v>
      </c>
      <c r="L5802" s="14" t="s">
        <v>264</v>
      </c>
      <c r="M5802" s="14" t="s">
        <v>407</v>
      </c>
      <c r="N5802" s="14" t="s">
        <v>408</v>
      </c>
      <c r="O5802" s="14">
        <v>89.0</v>
      </c>
      <c r="P5802" s="21">
        <v>2.0</v>
      </c>
      <c r="Q5802" s="22" t="str">
        <f t="shared" ref="Q5802:Q5804" si="3468">"+0"</f>
        <v>+0</v>
      </c>
      <c r="R5802" s="18" t="str">
        <f>"+2"</f>
        <v>+2</v>
      </c>
      <c r="S5802" s="14" t="s">
        <v>1294</v>
      </c>
    </row>
    <row r="5803">
      <c r="A5803" s="13">
        <v>45901.0</v>
      </c>
      <c r="B5803" s="14" t="s">
        <v>47</v>
      </c>
      <c r="C5803" s="14" t="s">
        <v>48</v>
      </c>
      <c r="D5803" s="14" t="s">
        <v>129</v>
      </c>
      <c r="E5803" s="14" t="s">
        <v>130</v>
      </c>
      <c r="F5803" s="15" t="s">
        <v>51</v>
      </c>
      <c r="G5803" s="14" t="s">
        <v>131</v>
      </c>
      <c r="H5803" s="14" t="s">
        <v>129</v>
      </c>
      <c r="I5803" s="14" t="s">
        <v>59</v>
      </c>
      <c r="J5803" s="14" t="s">
        <v>200</v>
      </c>
      <c r="K5803" s="14" t="s">
        <v>231</v>
      </c>
      <c r="L5803" s="14" t="s">
        <v>751</v>
      </c>
      <c r="M5803" s="14" t="s">
        <v>1120</v>
      </c>
      <c r="N5803" s="14" t="s">
        <v>1121</v>
      </c>
      <c r="O5803" s="14">
        <v>0.0</v>
      </c>
      <c r="P5803" s="21">
        <v>0.0</v>
      </c>
      <c r="Q5803" s="22" t="str">
        <f t="shared" si="3468"/>
        <v>+0</v>
      </c>
      <c r="R5803" s="18" t="str">
        <f t="shared" ref="R5803:R5804" si="3469">"+0"</f>
        <v>+0</v>
      </c>
      <c r="S5803" s="14" t="s">
        <v>260</v>
      </c>
    </row>
    <row r="5804">
      <c r="A5804" s="13">
        <v>45901.0</v>
      </c>
      <c r="B5804" s="14" t="s">
        <v>47</v>
      </c>
      <c r="C5804" s="14" t="s">
        <v>48</v>
      </c>
      <c r="D5804" s="14" t="s">
        <v>96</v>
      </c>
      <c r="E5804" s="14" t="s">
        <v>97</v>
      </c>
      <c r="F5804" s="15" t="s">
        <v>51</v>
      </c>
      <c r="G5804" s="14" t="s">
        <v>98</v>
      </c>
      <c r="H5804" s="14" t="s">
        <v>96</v>
      </c>
      <c r="I5804" s="14" t="s">
        <v>59</v>
      </c>
      <c r="J5804" s="14" t="s">
        <v>200</v>
      </c>
      <c r="K5804" s="14" t="s">
        <v>223</v>
      </c>
      <c r="L5804" s="14" t="s">
        <v>363</v>
      </c>
      <c r="M5804" s="14" t="s">
        <v>842</v>
      </c>
      <c r="N5804" s="14" t="s">
        <v>843</v>
      </c>
      <c r="O5804" s="14">
        <v>100.0</v>
      </c>
      <c r="P5804" s="21">
        <v>113.0</v>
      </c>
      <c r="Q5804" s="22" t="str">
        <f t="shared" si="3468"/>
        <v>+0</v>
      </c>
      <c r="R5804" s="18" t="str">
        <f t="shared" si="3469"/>
        <v>+0</v>
      </c>
      <c r="S5804" s="14" t="s">
        <v>260</v>
      </c>
    </row>
    <row r="5805">
      <c r="A5805" s="13">
        <v>45901.0</v>
      </c>
      <c r="B5805" s="14" t="s">
        <v>47</v>
      </c>
      <c r="C5805" s="14" t="s">
        <v>48</v>
      </c>
      <c r="D5805" s="14" t="s">
        <v>125</v>
      </c>
      <c r="E5805" s="14" t="s">
        <v>126</v>
      </c>
      <c r="F5805" s="15" t="s">
        <v>51</v>
      </c>
      <c r="G5805" s="14" t="s">
        <v>127</v>
      </c>
      <c r="H5805" s="14" t="s">
        <v>125</v>
      </c>
      <c r="I5805" s="14" t="s">
        <v>59</v>
      </c>
      <c r="J5805" s="14" t="s">
        <v>200</v>
      </c>
      <c r="K5805" s="14" t="s">
        <v>232</v>
      </c>
      <c r="L5805" s="14" t="s">
        <v>487</v>
      </c>
      <c r="M5805" s="14" t="s">
        <v>788</v>
      </c>
      <c r="N5805" s="14" t="s">
        <v>789</v>
      </c>
      <c r="O5805" s="14">
        <v>0.0</v>
      </c>
      <c r="P5805" s="23">
        <v>0.0</v>
      </c>
      <c r="Q5805" s="22" t="str">
        <f t="shared" ref="Q5805:R5805" si="3470">"+0.00%"</f>
        <v>+0.00%</v>
      </c>
      <c r="R5805" s="18" t="str">
        <f t="shared" si="3470"/>
        <v>+0.00%</v>
      </c>
      <c r="S5805" s="14" t="s">
        <v>285</v>
      </c>
    </row>
    <row r="5806">
      <c r="A5806" s="13">
        <v>45901.0</v>
      </c>
      <c r="B5806" s="14" t="s">
        <v>47</v>
      </c>
      <c r="C5806" s="14" t="s">
        <v>48</v>
      </c>
      <c r="D5806" s="14" t="s">
        <v>69</v>
      </c>
      <c r="E5806" s="14" t="s">
        <v>70</v>
      </c>
      <c r="F5806" s="15" t="s">
        <v>51</v>
      </c>
      <c r="G5806" s="14" t="s">
        <v>115</v>
      </c>
      <c r="H5806" s="14" t="s">
        <v>72</v>
      </c>
      <c r="I5806" s="14" t="s">
        <v>54</v>
      </c>
      <c r="J5806" s="14" t="s">
        <v>200</v>
      </c>
      <c r="K5806" s="14" t="s">
        <v>211</v>
      </c>
      <c r="L5806" s="14" t="s">
        <v>889</v>
      </c>
      <c r="M5806" s="14" t="s">
        <v>890</v>
      </c>
      <c r="N5806" s="14" t="s">
        <v>891</v>
      </c>
      <c r="O5806" s="14">
        <v>24.0</v>
      </c>
      <c r="P5806" s="23">
        <v>-0.5009</v>
      </c>
      <c r="Q5806" s="22" t="str">
        <f>"-17.24%"</f>
        <v>-17.24%</v>
      </c>
      <c r="R5806" s="18" t="str">
        <f>"-33.69%"</f>
        <v>-33.69%</v>
      </c>
      <c r="S5806" s="14" t="s">
        <v>1984</v>
      </c>
    </row>
    <row r="5807">
      <c r="A5807" s="13">
        <v>45901.0</v>
      </c>
      <c r="B5807" s="14" t="s">
        <v>47</v>
      </c>
      <c r="C5807" s="14" t="s">
        <v>48</v>
      </c>
      <c r="D5807" s="14" t="s">
        <v>85</v>
      </c>
      <c r="E5807" s="14" t="s">
        <v>86</v>
      </c>
      <c r="F5807" s="15" t="s">
        <v>51</v>
      </c>
      <c r="G5807" s="14" t="s">
        <v>148</v>
      </c>
      <c r="H5807" s="14" t="s">
        <v>85</v>
      </c>
      <c r="I5807" s="14" t="s">
        <v>59</v>
      </c>
      <c r="J5807" s="14" t="s">
        <v>200</v>
      </c>
      <c r="K5807" s="14" t="s">
        <v>213</v>
      </c>
      <c r="L5807" s="14" t="s">
        <v>359</v>
      </c>
      <c r="M5807" s="14" t="s">
        <v>628</v>
      </c>
      <c r="N5807" s="14" t="s">
        <v>629</v>
      </c>
      <c r="O5807" s="14">
        <v>100.0</v>
      </c>
      <c r="P5807" s="21">
        <v>132.0</v>
      </c>
      <c r="Q5807" s="22" t="str">
        <f t="shared" ref="Q5807:R5807" si="3471">"+1"</f>
        <v>+1</v>
      </c>
      <c r="R5807" s="18" t="str">
        <f t="shared" si="3471"/>
        <v>+1</v>
      </c>
      <c r="S5807" s="14" t="s">
        <v>260</v>
      </c>
    </row>
    <row r="5808">
      <c r="A5808" s="13">
        <v>45901.0</v>
      </c>
      <c r="B5808" s="14" t="s">
        <v>47</v>
      </c>
      <c r="C5808" s="14" t="s">
        <v>48</v>
      </c>
      <c r="D5808" s="14" t="s">
        <v>85</v>
      </c>
      <c r="E5808" s="14" t="s">
        <v>86</v>
      </c>
      <c r="F5808" s="14" t="s">
        <v>146</v>
      </c>
      <c r="G5808" s="14" t="s">
        <v>162</v>
      </c>
      <c r="H5808" s="14" t="s">
        <v>85</v>
      </c>
      <c r="I5808" s="14" t="s">
        <v>107</v>
      </c>
      <c r="J5808" s="14" t="s">
        <v>199</v>
      </c>
      <c r="K5808" s="14" t="s">
        <v>206</v>
      </c>
      <c r="L5808" s="14" t="s">
        <v>295</v>
      </c>
      <c r="M5808" s="14" t="s">
        <v>651</v>
      </c>
      <c r="N5808" s="14" t="s">
        <v>652</v>
      </c>
      <c r="O5808" s="14">
        <v>0.0</v>
      </c>
      <c r="P5808" s="21">
        <v>0.0</v>
      </c>
      <c r="Q5808" s="22" t="str">
        <f t="shared" ref="Q5808:R5808" si="3472">"+0"</f>
        <v>+0</v>
      </c>
      <c r="R5808" s="18" t="str">
        <f t="shared" si="3472"/>
        <v>+0</v>
      </c>
      <c r="S5808" s="14" t="s">
        <v>260</v>
      </c>
    </row>
    <row r="5809">
      <c r="A5809" s="13">
        <v>45901.0</v>
      </c>
      <c r="B5809" s="14" t="s">
        <v>47</v>
      </c>
      <c r="C5809" s="14" t="s">
        <v>48</v>
      </c>
      <c r="D5809" s="14" t="s">
        <v>77</v>
      </c>
      <c r="E5809" s="14" t="s">
        <v>78</v>
      </c>
      <c r="F5809" s="15" t="s">
        <v>51</v>
      </c>
      <c r="G5809" s="14" t="s">
        <v>128</v>
      </c>
      <c r="H5809" s="14" t="s">
        <v>81</v>
      </c>
      <c r="I5809" s="14" t="s">
        <v>59</v>
      </c>
      <c r="J5809" s="14" t="s">
        <v>200</v>
      </c>
      <c r="K5809" s="14" t="s">
        <v>223</v>
      </c>
      <c r="L5809" s="14" t="s">
        <v>286</v>
      </c>
      <c r="M5809" s="14" t="s">
        <v>730</v>
      </c>
      <c r="N5809" s="14" t="s">
        <v>731</v>
      </c>
      <c r="O5809" s="14">
        <v>0.0</v>
      </c>
      <c r="P5809" s="23">
        <v>0.0</v>
      </c>
      <c r="Q5809" s="22" t="str">
        <f t="shared" ref="Q5809:R5809" si="3473">"+0.00%"</f>
        <v>+0.00%</v>
      </c>
      <c r="R5809" s="18" t="str">
        <f t="shared" si="3473"/>
        <v>+0.00%</v>
      </c>
      <c r="S5809" s="14" t="s">
        <v>285</v>
      </c>
    </row>
    <row r="5810">
      <c r="A5810" s="13">
        <v>45901.0</v>
      </c>
      <c r="B5810" s="14" t="s">
        <v>47</v>
      </c>
      <c r="C5810" s="14" t="s">
        <v>48</v>
      </c>
      <c r="D5810" s="14" t="s">
        <v>77</v>
      </c>
      <c r="E5810" s="14" t="s">
        <v>78</v>
      </c>
      <c r="F5810" s="14" t="s">
        <v>79</v>
      </c>
      <c r="G5810" s="14" t="s">
        <v>80</v>
      </c>
      <c r="H5810" s="14" t="s">
        <v>81</v>
      </c>
      <c r="J5810" s="14" t="s">
        <v>199</v>
      </c>
      <c r="K5810" s="14" t="s">
        <v>206</v>
      </c>
      <c r="L5810" s="14" t="s">
        <v>433</v>
      </c>
      <c r="M5810" s="14" t="s">
        <v>433</v>
      </c>
      <c r="N5810" s="14" t="s">
        <v>434</v>
      </c>
      <c r="O5810" s="14">
        <v>100.0</v>
      </c>
      <c r="P5810" s="21">
        <v>181.0</v>
      </c>
      <c r="Q5810" s="22" t="str">
        <f>"+20"</f>
        <v>+20</v>
      </c>
      <c r="R5810" s="18" t="str">
        <f>"+126"</f>
        <v>+126</v>
      </c>
      <c r="S5810" s="14" t="s">
        <v>383</v>
      </c>
    </row>
    <row r="5811">
      <c r="A5811" s="13">
        <v>45901.0</v>
      </c>
      <c r="B5811" s="14" t="s">
        <v>47</v>
      </c>
      <c r="C5811" s="14" t="s">
        <v>48</v>
      </c>
      <c r="D5811" s="14" t="s">
        <v>112</v>
      </c>
      <c r="E5811" s="14" t="s">
        <v>113</v>
      </c>
      <c r="F5811" s="15" t="s">
        <v>51</v>
      </c>
      <c r="G5811" s="14" t="s">
        <v>114</v>
      </c>
      <c r="H5811" s="14" t="s">
        <v>112</v>
      </c>
      <c r="I5811" s="14" t="s">
        <v>59</v>
      </c>
      <c r="J5811" s="14" t="s">
        <v>200</v>
      </c>
      <c r="K5811" s="14" t="s">
        <v>227</v>
      </c>
      <c r="L5811" s="14" t="s">
        <v>721</v>
      </c>
      <c r="M5811" s="14" t="s">
        <v>1060</v>
      </c>
      <c r="N5811" s="14" t="s">
        <v>1061</v>
      </c>
      <c r="O5811" s="14">
        <v>12.0</v>
      </c>
      <c r="P5811" s="23">
        <v>-0.7565</v>
      </c>
      <c r="Q5811" s="22" t="str">
        <f>"+5.92%"</f>
        <v>+5.92%</v>
      </c>
      <c r="R5811" s="18" t="str">
        <f>"-12.08%"</f>
        <v>-12.08%</v>
      </c>
      <c r="S5811" s="14" t="s">
        <v>1062</v>
      </c>
    </row>
    <row r="5812">
      <c r="A5812" s="13">
        <v>45901.0</v>
      </c>
      <c r="B5812" s="14" t="s">
        <v>47</v>
      </c>
      <c r="C5812" s="14" t="s">
        <v>48</v>
      </c>
      <c r="D5812" s="14" t="s">
        <v>112</v>
      </c>
      <c r="E5812" s="14" t="s">
        <v>113</v>
      </c>
      <c r="F5812" s="15" t="s">
        <v>51</v>
      </c>
      <c r="G5812" s="14" t="s">
        <v>114</v>
      </c>
      <c r="H5812" s="14" t="s">
        <v>112</v>
      </c>
      <c r="I5812" s="14" t="s">
        <v>59</v>
      </c>
      <c r="J5812" s="14" t="s">
        <v>200</v>
      </c>
      <c r="K5812" s="14" t="s">
        <v>227</v>
      </c>
      <c r="L5812" s="14" t="s">
        <v>270</v>
      </c>
      <c r="M5812" s="14" t="s">
        <v>417</v>
      </c>
      <c r="N5812" s="14" t="s">
        <v>418</v>
      </c>
      <c r="O5812" s="14">
        <v>100.0</v>
      </c>
      <c r="P5812" s="21">
        <v>1.0</v>
      </c>
      <c r="Q5812" s="22" t="str">
        <f t="shared" ref="Q5812:R5812" si="3474">"+1"</f>
        <v>+1</v>
      </c>
      <c r="R5812" s="18" t="str">
        <f t="shared" si="3474"/>
        <v>+1</v>
      </c>
      <c r="S5812" s="14" t="s">
        <v>260</v>
      </c>
    </row>
    <row r="5813">
      <c r="A5813" s="13">
        <v>45901.0</v>
      </c>
      <c r="B5813" s="14" t="s">
        <v>47</v>
      </c>
      <c r="C5813" s="14" t="s">
        <v>48</v>
      </c>
      <c r="D5813" s="14" t="s">
        <v>108</v>
      </c>
      <c r="E5813" s="14" t="s">
        <v>109</v>
      </c>
      <c r="F5813" s="15" t="s">
        <v>51</v>
      </c>
      <c r="G5813" s="14" t="s">
        <v>110</v>
      </c>
      <c r="H5813" s="14" t="s">
        <v>108</v>
      </c>
      <c r="I5813" s="14" t="s">
        <v>59</v>
      </c>
      <c r="J5813" s="14" t="s">
        <v>200</v>
      </c>
      <c r="K5813" s="14" t="s">
        <v>213</v>
      </c>
      <c r="L5813" s="14" t="s">
        <v>440</v>
      </c>
      <c r="M5813" s="14" t="s">
        <v>510</v>
      </c>
      <c r="N5813" s="14" t="s">
        <v>511</v>
      </c>
      <c r="O5813" s="14">
        <v>0.0</v>
      </c>
      <c r="P5813" s="23">
        <v>0.0</v>
      </c>
      <c r="Q5813" s="22" t="str">
        <f>"+0.00%"</f>
        <v>+0.00%</v>
      </c>
      <c r="S5813" s="14" t="s">
        <v>285</v>
      </c>
    </row>
    <row r="5814">
      <c r="A5814" s="13">
        <v>45901.0</v>
      </c>
      <c r="B5814" s="14" t="s">
        <v>47</v>
      </c>
      <c r="C5814" s="14" t="s">
        <v>48</v>
      </c>
      <c r="D5814" s="14" t="s">
        <v>158</v>
      </c>
      <c r="E5814" s="14" t="s">
        <v>159</v>
      </c>
      <c r="F5814" s="15" t="s">
        <v>51</v>
      </c>
      <c r="G5814" s="14" t="s">
        <v>160</v>
      </c>
      <c r="H5814" s="14" t="s">
        <v>158</v>
      </c>
      <c r="I5814" s="14" t="s">
        <v>54</v>
      </c>
      <c r="J5814" s="14" t="s">
        <v>198</v>
      </c>
      <c r="K5814" s="14" t="s">
        <v>210</v>
      </c>
      <c r="L5814" s="14" t="s">
        <v>264</v>
      </c>
      <c r="M5814" s="14" t="s">
        <v>804</v>
      </c>
      <c r="N5814" s="14" t="s">
        <v>805</v>
      </c>
      <c r="O5814" s="14">
        <v>0.0</v>
      </c>
      <c r="P5814" s="21">
        <v>0.0</v>
      </c>
      <c r="Q5814" s="22" t="str">
        <f t="shared" ref="Q5814:R5814" si="3475">"+0"</f>
        <v>+0</v>
      </c>
      <c r="R5814" s="18" t="str">
        <f t="shared" si="3475"/>
        <v>+0</v>
      </c>
      <c r="S5814" s="14" t="s">
        <v>277</v>
      </c>
    </row>
    <row r="5815">
      <c r="A5815" s="13">
        <v>45901.0</v>
      </c>
      <c r="B5815" s="14" t="s">
        <v>47</v>
      </c>
      <c r="C5815" s="14" t="s">
        <v>48</v>
      </c>
      <c r="D5815" s="14" t="s">
        <v>140</v>
      </c>
      <c r="E5815" s="14" t="s">
        <v>141</v>
      </c>
      <c r="F5815" s="15" t="s">
        <v>51</v>
      </c>
      <c r="G5815" s="14" t="s">
        <v>142</v>
      </c>
      <c r="H5815" s="14" t="s">
        <v>140</v>
      </c>
      <c r="I5815" s="14" t="s">
        <v>59</v>
      </c>
      <c r="J5815" s="14" t="s">
        <v>200</v>
      </c>
      <c r="K5815" s="14" t="s">
        <v>213</v>
      </c>
      <c r="L5815" s="14" t="s">
        <v>289</v>
      </c>
      <c r="M5815" s="14" t="s">
        <v>290</v>
      </c>
      <c r="N5815" s="14" t="s">
        <v>291</v>
      </c>
      <c r="O5815" s="14">
        <v>0.0</v>
      </c>
      <c r="P5815" s="23">
        <v>0.0</v>
      </c>
      <c r="Q5815" s="22" t="str">
        <f t="shared" ref="Q5815:R5815" si="3476">"+0.00%"</f>
        <v>+0.00%</v>
      </c>
      <c r="R5815" s="18" t="str">
        <f t="shared" si="3476"/>
        <v>+0.00%</v>
      </c>
      <c r="S5815" s="14" t="s">
        <v>285</v>
      </c>
    </row>
    <row r="5816">
      <c r="A5816" s="13">
        <v>45901.0</v>
      </c>
      <c r="B5816" s="14" t="s">
        <v>47</v>
      </c>
      <c r="C5816" s="14" t="s">
        <v>48</v>
      </c>
      <c r="D5816" s="14" t="s">
        <v>155</v>
      </c>
      <c r="E5816" s="14" t="s">
        <v>156</v>
      </c>
      <c r="F5816" s="15" t="s">
        <v>51</v>
      </c>
      <c r="G5816" s="14" t="s">
        <v>157</v>
      </c>
      <c r="H5816" s="14" t="s">
        <v>155</v>
      </c>
      <c r="I5816" s="14" t="s">
        <v>59</v>
      </c>
      <c r="J5816" s="14" t="s">
        <v>200</v>
      </c>
      <c r="K5816" s="14" t="s">
        <v>223</v>
      </c>
      <c r="L5816" s="14" t="s">
        <v>359</v>
      </c>
      <c r="M5816" s="14" t="s">
        <v>360</v>
      </c>
      <c r="N5816" s="14" t="s">
        <v>361</v>
      </c>
      <c r="O5816" s="14">
        <v>0.0</v>
      </c>
      <c r="P5816" s="17"/>
      <c r="Q5816" s="22"/>
      <c r="S5816" s="14" t="s">
        <v>2225</v>
      </c>
    </row>
    <row r="5817">
      <c r="A5817" s="13">
        <v>45901.0</v>
      </c>
      <c r="B5817" s="14" t="s">
        <v>47</v>
      </c>
      <c r="C5817" s="14" t="s">
        <v>48</v>
      </c>
      <c r="D5817" s="14" t="s">
        <v>56</v>
      </c>
      <c r="E5817" s="14" t="s">
        <v>57</v>
      </c>
      <c r="F5817" s="15" t="s">
        <v>51</v>
      </c>
      <c r="G5817" s="14" t="s">
        <v>58</v>
      </c>
      <c r="H5817" s="14" t="s">
        <v>56</v>
      </c>
      <c r="I5817" s="14" t="s">
        <v>59</v>
      </c>
      <c r="J5817" s="14" t="s">
        <v>200</v>
      </c>
      <c r="K5817" s="14" t="s">
        <v>223</v>
      </c>
      <c r="L5817" s="14" t="s">
        <v>363</v>
      </c>
      <c r="M5817" s="14" t="s">
        <v>364</v>
      </c>
      <c r="N5817" s="14" t="s">
        <v>365</v>
      </c>
      <c r="O5817" s="14">
        <v>0.0</v>
      </c>
      <c r="P5817" s="23">
        <v>0.0</v>
      </c>
      <c r="Q5817" s="22" t="str">
        <f>"-10.00%"</f>
        <v>-10.00%</v>
      </c>
      <c r="R5817" s="18" t="str">
        <f>"+0.00%"</f>
        <v>+0.00%</v>
      </c>
      <c r="S5817" s="14" t="s">
        <v>285</v>
      </c>
    </row>
    <row r="5818">
      <c r="A5818" s="13">
        <v>45901.0</v>
      </c>
      <c r="B5818" s="14" t="s">
        <v>47</v>
      </c>
      <c r="C5818" s="14" t="s">
        <v>48</v>
      </c>
      <c r="D5818" s="14" t="s">
        <v>56</v>
      </c>
      <c r="E5818" s="14" t="s">
        <v>57</v>
      </c>
      <c r="F5818" s="15" t="s">
        <v>51</v>
      </c>
      <c r="G5818" s="14" t="s">
        <v>58</v>
      </c>
      <c r="H5818" s="14" t="s">
        <v>56</v>
      </c>
      <c r="I5818" s="14" t="s">
        <v>59</v>
      </c>
      <c r="J5818" s="14" t="s">
        <v>200</v>
      </c>
      <c r="K5818" s="14" t="s">
        <v>209</v>
      </c>
      <c r="L5818" s="14" t="s">
        <v>253</v>
      </c>
      <c r="M5818" s="14" t="s">
        <v>402</v>
      </c>
      <c r="N5818" s="14" t="s">
        <v>403</v>
      </c>
      <c r="O5818" s="14">
        <v>1.0</v>
      </c>
      <c r="P5818" s="23">
        <v>0.0195</v>
      </c>
      <c r="Q5818" s="22" t="str">
        <f>"+0.15%"</f>
        <v>+0.15%</v>
      </c>
      <c r="R5818" s="18" t="str">
        <f>"+0.28%"</f>
        <v>+0.28%</v>
      </c>
      <c r="S5818" s="14" t="s">
        <v>2571</v>
      </c>
    </row>
    <row r="5819">
      <c r="A5819" s="13">
        <v>45901.0</v>
      </c>
      <c r="B5819" s="14" t="s">
        <v>47</v>
      </c>
      <c r="C5819" s="14" t="s">
        <v>48</v>
      </c>
      <c r="D5819" s="14" t="s">
        <v>56</v>
      </c>
      <c r="E5819" s="14" t="s">
        <v>57</v>
      </c>
      <c r="F5819" s="15" t="s">
        <v>51</v>
      </c>
      <c r="G5819" s="14" t="s">
        <v>58</v>
      </c>
      <c r="H5819" s="14" t="s">
        <v>56</v>
      </c>
      <c r="I5819" s="14" t="s">
        <v>59</v>
      </c>
      <c r="J5819" s="14" t="s">
        <v>200</v>
      </c>
      <c r="K5819" s="14" t="s">
        <v>201</v>
      </c>
      <c r="L5819" s="14" t="s">
        <v>253</v>
      </c>
      <c r="M5819" s="14" t="s">
        <v>1411</v>
      </c>
      <c r="N5819" s="14" t="s">
        <v>1412</v>
      </c>
      <c r="O5819" s="14">
        <v>1.0</v>
      </c>
      <c r="P5819" s="23">
        <v>1.0E-4</v>
      </c>
      <c r="Q5819" s="22" t="str">
        <f>"-0.01%"</f>
        <v>-0.01%</v>
      </c>
      <c r="R5819" s="18" t="str">
        <f>"+0.00%"</f>
        <v>+0.00%</v>
      </c>
      <c r="S5819" s="14" t="s">
        <v>2507</v>
      </c>
    </row>
    <row r="5820">
      <c r="A5820" s="13">
        <v>45901.0</v>
      </c>
      <c r="B5820" s="14" t="s">
        <v>47</v>
      </c>
      <c r="C5820" s="14" t="s">
        <v>48</v>
      </c>
      <c r="D5820" s="14" t="s">
        <v>155</v>
      </c>
      <c r="E5820" s="14" t="s">
        <v>156</v>
      </c>
      <c r="F5820" s="15" t="s">
        <v>51</v>
      </c>
      <c r="G5820" s="14" t="s">
        <v>157</v>
      </c>
      <c r="H5820" s="14" t="s">
        <v>155</v>
      </c>
      <c r="I5820" s="14" t="s">
        <v>59</v>
      </c>
      <c r="J5820" s="14" t="s">
        <v>200</v>
      </c>
      <c r="K5820" s="14" t="s">
        <v>204</v>
      </c>
      <c r="L5820" s="14" t="s">
        <v>253</v>
      </c>
      <c r="M5820" s="14" t="s">
        <v>490</v>
      </c>
      <c r="N5820" s="14" t="s">
        <v>491</v>
      </c>
      <c r="O5820" s="14">
        <v>0.0</v>
      </c>
      <c r="P5820" s="23">
        <v>0.0</v>
      </c>
      <c r="Q5820" s="22" t="str">
        <f t="shared" ref="Q5820:R5820" si="3477">"+0.00%"</f>
        <v>+0.00%</v>
      </c>
      <c r="R5820" s="18" t="str">
        <f t="shared" si="3477"/>
        <v>+0.00%</v>
      </c>
      <c r="S5820" s="14" t="s">
        <v>492</v>
      </c>
    </row>
    <row r="5821">
      <c r="A5821" s="13">
        <v>45901.0</v>
      </c>
      <c r="B5821" s="14" t="s">
        <v>47</v>
      </c>
      <c r="C5821" s="14" t="s">
        <v>48</v>
      </c>
      <c r="D5821" s="14" t="s">
        <v>56</v>
      </c>
      <c r="E5821" s="14" t="s">
        <v>57</v>
      </c>
      <c r="F5821" s="15" t="s">
        <v>51</v>
      </c>
      <c r="G5821" s="14" t="s">
        <v>58</v>
      </c>
      <c r="H5821" s="14" t="s">
        <v>56</v>
      </c>
      <c r="I5821" s="14" t="s">
        <v>59</v>
      </c>
      <c r="J5821" s="14" t="s">
        <v>200</v>
      </c>
      <c r="K5821" s="14" t="s">
        <v>223</v>
      </c>
      <c r="L5821" s="14" t="s">
        <v>710</v>
      </c>
      <c r="M5821" s="14" t="s">
        <v>806</v>
      </c>
      <c r="N5821" s="14" t="s">
        <v>807</v>
      </c>
      <c r="O5821" s="14">
        <v>0.0</v>
      </c>
      <c r="P5821" s="23">
        <v>0.0</v>
      </c>
      <c r="Q5821" s="22" t="str">
        <f t="shared" ref="Q5821:R5821" si="3478">"+0.00%"</f>
        <v>+0.00%</v>
      </c>
      <c r="R5821" s="18" t="str">
        <f t="shared" si="3478"/>
        <v>+0.00%</v>
      </c>
      <c r="S5821" s="14" t="s">
        <v>285</v>
      </c>
    </row>
    <row r="5822">
      <c r="A5822" s="13">
        <v>45901.0</v>
      </c>
      <c r="B5822" s="14" t="s">
        <v>47</v>
      </c>
      <c r="C5822" s="14" t="s">
        <v>48</v>
      </c>
      <c r="D5822" s="14" t="s">
        <v>165</v>
      </c>
      <c r="E5822" s="14" t="s">
        <v>166</v>
      </c>
      <c r="F5822" s="15" t="s">
        <v>51</v>
      </c>
      <c r="G5822" s="14" t="s">
        <v>167</v>
      </c>
      <c r="H5822" s="14" t="s">
        <v>165</v>
      </c>
      <c r="I5822" s="14" t="s">
        <v>54</v>
      </c>
      <c r="J5822" s="14" t="s">
        <v>199</v>
      </c>
      <c r="K5822" s="14" t="s">
        <v>203</v>
      </c>
      <c r="L5822" s="14" t="s">
        <v>736</v>
      </c>
      <c r="M5822" s="14" t="s">
        <v>736</v>
      </c>
      <c r="N5822" s="14" t="s">
        <v>737</v>
      </c>
      <c r="O5822" s="14">
        <v>0.0</v>
      </c>
      <c r="P5822" s="21">
        <v>0.0</v>
      </c>
      <c r="Q5822" s="22" t="str">
        <f t="shared" ref="Q5822:R5822" si="3479">"+0"</f>
        <v>+0</v>
      </c>
      <c r="R5822" s="18" t="str">
        <f t="shared" si="3479"/>
        <v>+0</v>
      </c>
      <c r="S5822" s="14" t="s">
        <v>260</v>
      </c>
    </row>
    <row r="5823">
      <c r="A5823" s="13">
        <v>45901.0</v>
      </c>
      <c r="B5823" s="14" t="s">
        <v>47</v>
      </c>
      <c r="C5823" s="14" t="s">
        <v>48</v>
      </c>
      <c r="D5823" s="14" t="s">
        <v>49</v>
      </c>
      <c r="E5823" s="14" t="s">
        <v>50</v>
      </c>
      <c r="F5823" s="15" t="s">
        <v>51</v>
      </c>
      <c r="G5823" s="14" t="s">
        <v>52</v>
      </c>
      <c r="H5823" s="14" t="s">
        <v>53</v>
      </c>
      <c r="I5823" s="14" t="s">
        <v>54</v>
      </c>
      <c r="J5823" s="14" t="s">
        <v>200</v>
      </c>
      <c r="K5823" s="14" t="s">
        <v>224</v>
      </c>
      <c r="L5823" s="14" t="s">
        <v>392</v>
      </c>
      <c r="M5823" s="14" t="s">
        <v>754</v>
      </c>
      <c r="N5823" s="14" t="s">
        <v>755</v>
      </c>
      <c r="O5823" s="14">
        <v>11.0</v>
      </c>
      <c r="P5823" s="23">
        <v>0.1111</v>
      </c>
      <c r="Q5823" s="22" t="str">
        <f>"-38.89%"</f>
        <v>-38.89%</v>
      </c>
      <c r="R5823" s="18" t="str">
        <f>"-3.17%"</f>
        <v>-3.17%</v>
      </c>
      <c r="S5823" s="14" t="s">
        <v>2572</v>
      </c>
    </row>
    <row r="5824">
      <c r="A5824" s="13">
        <v>45901.0</v>
      </c>
      <c r="B5824" s="14" t="s">
        <v>47</v>
      </c>
      <c r="C5824" s="14" t="s">
        <v>48</v>
      </c>
      <c r="D5824" s="14" t="s">
        <v>91</v>
      </c>
      <c r="E5824" s="14" t="s">
        <v>92</v>
      </c>
      <c r="F5824" s="14" t="s">
        <v>71</v>
      </c>
      <c r="G5824" s="14">
        <v>5.00008613E8</v>
      </c>
      <c r="H5824" s="14" t="s">
        <v>91</v>
      </c>
      <c r="I5824" s="14" t="s">
        <v>59</v>
      </c>
      <c r="J5824" s="14" t="s">
        <v>199</v>
      </c>
      <c r="K5824" s="14" t="s">
        <v>206</v>
      </c>
      <c r="L5824" s="14" t="s">
        <v>295</v>
      </c>
      <c r="M5824" s="14" t="s">
        <v>461</v>
      </c>
      <c r="N5824" s="14" t="s">
        <v>462</v>
      </c>
      <c r="O5824" s="14">
        <v>0.0</v>
      </c>
      <c r="P5824" s="21">
        <v>0.0</v>
      </c>
      <c r="Q5824" s="22" t="str">
        <f t="shared" ref="Q5824:R5824" si="3480">"+0"</f>
        <v>+0</v>
      </c>
      <c r="R5824" s="18" t="str">
        <f t="shared" si="3480"/>
        <v>+0</v>
      </c>
      <c r="S5824" s="14" t="s">
        <v>260</v>
      </c>
    </row>
    <row r="5825">
      <c r="A5825" s="13">
        <v>45901.0</v>
      </c>
      <c r="B5825" s="14" t="s">
        <v>47</v>
      </c>
      <c r="C5825" s="14" t="s">
        <v>48</v>
      </c>
      <c r="D5825" s="14" t="s">
        <v>91</v>
      </c>
      <c r="E5825" s="14" t="s">
        <v>92</v>
      </c>
      <c r="F5825" s="15" t="s">
        <v>51</v>
      </c>
      <c r="G5825" s="14" t="s">
        <v>163</v>
      </c>
      <c r="H5825" s="14" t="s">
        <v>91</v>
      </c>
      <c r="I5825" s="14" t="s">
        <v>59</v>
      </c>
      <c r="J5825" s="14" t="s">
        <v>200</v>
      </c>
      <c r="K5825" s="14" t="s">
        <v>223</v>
      </c>
      <c r="L5825" s="14" t="s">
        <v>286</v>
      </c>
      <c r="M5825" s="14" t="s">
        <v>730</v>
      </c>
      <c r="N5825" s="14" t="s">
        <v>731</v>
      </c>
      <c r="O5825" s="14">
        <v>0.0</v>
      </c>
      <c r="P5825" s="23">
        <v>0.0</v>
      </c>
      <c r="Q5825" s="22" t="str">
        <f t="shared" ref="Q5825:R5825" si="3481">"+0.00%"</f>
        <v>+0.00%</v>
      </c>
      <c r="R5825" s="18" t="str">
        <f t="shared" si="3481"/>
        <v>+0.00%</v>
      </c>
      <c r="S5825" s="14" t="s">
        <v>285</v>
      </c>
    </row>
    <row r="5826">
      <c r="A5826" s="13">
        <v>45901.0</v>
      </c>
      <c r="B5826" s="14" t="s">
        <v>47</v>
      </c>
      <c r="C5826" s="14" t="s">
        <v>48</v>
      </c>
      <c r="D5826" s="14" t="s">
        <v>91</v>
      </c>
      <c r="E5826" s="14" t="s">
        <v>92</v>
      </c>
      <c r="F5826" s="14" t="s">
        <v>71</v>
      </c>
      <c r="G5826" s="14">
        <v>5.00008612E8</v>
      </c>
      <c r="H5826" s="14" t="s">
        <v>91</v>
      </c>
      <c r="I5826" s="14" t="s">
        <v>59</v>
      </c>
      <c r="J5826" s="14" t="s">
        <v>200</v>
      </c>
      <c r="K5826" s="14" t="s">
        <v>218</v>
      </c>
      <c r="L5826" s="14" t="s">
        <v>253</v>
      </c>
      <c r="M5826" s="14" t="s">
        <v>1388</v>
      </c>
      <c r="N5826" s="14" t="s">
        <v>1389</v>
      </c>
      <c r="O5826" s="14">
        <v>100.0</v>
      </c>
      <c r="P5826" s="23">
        <v>1.0</v>
      </c>
      <c r="Q5826" s="22" t="str">
        <f t="shared" ref="Q5826:R5826" si="3482">"+0.00%"</f>
        <v>+0.00%</v>
      </c>
      <c r="R5826" s="18" t="str">
        <f t="shared" si="3482"/>
        <v>+0.00%</v>
      </c>
      <c r="S5826" s="14" t="s">
        <v>1954</v>
      </c>
    </row>
    <row r="5827">
      <c r="A5827" s="13">
        <v>45901.0</v>
      </c>
      <c r="B5827" s="14" t="s">
        <v>47</v>
      </c>
      <c r="C5827" s="14" t="s">
        <v>48</v>
      </c>
      <c r="D5827" s="14" t="s">
        <v>91</v>
      </c>
      <c r="E5827" s="14" t="s">
        <v>92</v>
      </c>
      <c r="F5827" s="15" t="s">
        <v>51</v>
      </c>
      <c r="G5827" s="14" t="s">
        <v>163</v>
      </c>
      <c r="H5827" s="14" t="s">
        <v>91</v>
      </c>
      <c r="I5827" s="14" t="s">
        <v>59</v>
      </c>
      <c r="J5827" s="14" t="s">
        <v>200</v>
      </c>
      <c r="K5827" s="14" t="s">
        <v>223</v>
      </c>
      <c r="L5827" s="14" t="s">
        <v>710</v>
      </c>
      <c r="M5827" s="14" t="s">
        <v>711</v>
      </c>
      <c r="N5827" s="14" t="s">
        <v>712</v>
      </c>
      <c r="O5827" s="14">
        <v>0.0</v>
      </c>
      <c r="P5827" s="23">
        <v>0.0</v>
      </c>
      <c r="Q5827" s="22" t="str">
        <f t="shared" ref="Q5827:R5827" si="3483">"+0.00%"</f>
        <v>+0.00%</v>
      </c>
      <c r="R5827" s="18" t="str">
        <f t="shared" si="3483"/>
        <v>+0.00%</v>
      </c>
      <c r="S5827" s="14" t="s">
        <v>285</v>
      </c>
    </row>
    <row r="5828">
      <c r="A5828" s="13">
        <v>45901.0</v>
      </c>
      <c r="B5828" s="14" t="s">
        <v>47</v>
      </c>
      <c r="C5828" s="14" t="s">
        <v>48</v>
      </c>
      <c r="D5828" s="14" t="s">
        <v>73</v>
      </c>
      <c r="E5828" s="14" t="s">
        <v>74</v>
      </c>
      <c r="F5828" s="15" t="s">
        <v>51</v>
      </c>
      <c r="G5828" s="14" t="s">
        <v>75</v>
      </c>
      <c r="H5828" s="14" t="s">
        <v>76</v>
      </c>
      <c r="I5828" s="14" t="s">
        <v>59</v>
      </c>
      <c r="J5828" s="14" t="s">
        <v>200</v>
      </c>
      <c r="K5828" s="14" t="s">
        <v>232</v>
      </c>
      <c r="L5828" s="14" t="s">
        <v>282</v>
      </c>
      <c r="M5828" s="14" t="s">
        <v>283</v>
      </c>
      <c r="N5828" s="14" t="s">
        <v>284</v>
      </c>
      <c r="O5828" s="14">
        <v>0.0</v>
      </c>
      <c r="P5828" s="23">
        <v>0.0</v>
      </c>
      <c r="Q5828" s="22" t="str">
        <f t="shared" ref="Q5828:R5828" si="3484">"+0.00%"</f>
        <v>+0.00%</v>
      </c>
      <c r="R5828" s="18" t="str">
        <f t="shared" si="3484"/>
        <v>+0.00%</v>
      </c>
      <c r="S5828" s="14" t="s">
        <v>285</v>
      </c>
    </row>
    <row r="5829">
      <c r="A5829" s="13">
        <v>45901.0</v>
      </c>
      <c r="B5829" s="14" t="s">
        <v>47</v>
      </c>
      <c r="C5829" s="14" t="s">
        <v>48</v>
      </c>
      <c r="D5829" s="14" t="s">
        <v>143</v>
      </c>
      <c r="E5829" s="14" t="s">
        <v>144</v>
      </c>
      <c r="F5829" s="15" t="s">
        <v>51</v>
      </c>
      <c r="G5829" s="14" t="s">
        <v>145</v>
      </c>
      <c r="H5829" s="14" t="s">
        <v>143</v>
      </c>
      <c r="I5829" s="14" t="s">
        <v>59</v>
      </c>
      <c r="J5829" s="14" t="s">
        <v>200</v>
      </c>
      <c r="K5829" s="14" t="s">
        <v>232</v>
      </c>
      <c r="L5829" s="14" t="s">
        <v>261</v>
      </c>
      <c r="M5829" s="14" t="s">
        <v>906</v>
      </c>
      <c r="N5829" s="14" t="s">
        <v>907</v>
      </c>
      <c r="O5829" s="14">
        <v>3.0</v>
      </c>
      <c r="P5829" s="23">
        <v>0.0385</v>
      </c>
      <c r="Q5829" s="22" t="str">
        <f>"+3.85%"</f>
        <v>+3.85%</v>
      </c>
      <c r="R5829" s="18" t="str">
        <f>"-5.83%"</f>
        <v>-5.83%</v>
      </c>
      <c r="S5829" s="14" t="s">
        <v>2573</v>
      </c>
    </row>
    <row r="5830">
      <c r="A5830" s="13">
        <v>45901.0</v>
      </c>
      <c r="B5830" s="14" t="s">
        <v>47</v>
      </c>
      <c r="C5830" s="14" t="s">
        <v>48</v>
      </c>
      <c r="D5830" s="14" t="s">
        <v>149</v>
      </c>
      <c r="E5830" s="14" t="s">
        <v>150</v>
      </c>
      <c r="F5830" s="15" t="s">
        <v>51</v>
      </c>
      <c r="G5830" s="14" t="s">
        <v>151</v>
      </c>
      <c r="H5830" s="14" t="s">
        <v>152</v>
      </c>
      <c r="I5830" s="14" t="s">
        <v>54</v>
      </c>
      <c r="J5830" s="14" t="s">
        <v>198</v>
      </c>
      <c r="K5830" s="14" t="s">
        <v>205</v>
      </c>
      <c r="L5830" s="14" t="s">
        <v>274</v>
      </c>
      <c r="M5830" s="14" t="s">
        <v>448</v>
      </c>
      <c r="N5830" s="14" t="s">
        <v>449</v>
      </c>
      <c r="O5830" s="14">
        <v>100.0</v>
      </c>
      <c r="P5830" s="21">
        <v>5.0</v>
      </c>
      <c r="Q5830" s="22" t="str">
        <f>"+0"</f>
        <v>+0</v>
      </c>
      <c r="S5830" s="14" t="s">
        <v>450</v>
      </c>
    </row>
    <row r="5831">
      <c r="A5831" s="13">
        <v>45901.0</v>
      </c>
      <c r="B5831" s="14" t="s">
        <v>47</v>
      </c>
      <c r="C5831" s="14" t="s">
        <v>48</v>
      </c>
      <c r="D5831" s="14" t="s">
        <v>149</v>
      </c>
      <c r="E5831" s="14" t="s">
        <v>150</v>
      </c>
      <c r="F5831" s="15" t="s">
        <v>51</v>
      </c>
      <c r="G5831" s="14" t="s">
        <v>151</v>
      </c>
      <c r="H5831" s="14" t="s">
        <v>152</v>
      </c>
      <c r="I5831" s="14" t="s">
        <v>54</v>
      </c>
      <c r="J5831" s="14" t="s">
        <v>200</v>
      </c>
      <c r="K5831" s="14" t="s">
        <v>204</v>
      </c>
      <c r="L5831" s="14" t="s">
        <v>253</v>
      </c>
      <c r="M5831" s="14" t="s">
        <v>844</v>
      </c>
      <c r="N5831" s="14" t="s">
        <v>845</v>
      </c>
      <c r="O5831" s="14">
        <v>0.0</v>
      </c>
      <c r="P5831" s="17"/>
      <c r="Q5831" s="22"/>
      <c r="S5831" s="14" t="s">
        <v>846</v>
      </c>
    </row>
    <row r="5832">
      <c r="A5832" s="13">
        <v>45901.0</v>
      </c>
      <c r="B5832" s="14" t="s">
        <v>47</v>
      </c>
      <c r="C5832" s="14" t="s">
        <v>48</v>
      </c>
      <c r="D5832" s="14" t="s">
        <v>87</v>
      </c>
      <c r="E5832" s="14" t="s">
        <v>88</v>
      </c>
      <c r="F5832" s="15" t="s">
        <v>51</v>
      </c>
      <c r="G5832" s="14" t="s">
        <v>89</v>
      </c>
      <c r="H5832" s="14" t="s">
        <v>90</v>
      </c>
      <c r="I5832" s="14" t="s">
        <v>59</v>
      </c>
      <c r="J5832" s="14" t="s">
        <v>198</v>
      </c>
      <c r="K5832" s="14" t="s">
        <v>205</v>
      </c>
      <c r="L5832" s="14" t="s">
        <v>274</v>
      </c>
      <c r="M5832" s="14" t="s">
        <v>636</v>
      </c>
      <c r="N5832" s="14" t="s">
        <v>637</v>
      </c>
      <c r="O5832" s="14">
        <v>0.0</v>
      </c>
      <c r="P5832" s="21">
        <v>0.0</v>
      </c>
      <c r="Q5832" s="22" t="str">
        <f t="shared" ref="Q5832:Q5834" si="3485">"+0"</f>
        <v>+0</v>
      </c>
      <c r="S5832" s="14" t="s">
        <v>281</v>
      </c>
    </row>
    <row r="5833">
      <c r="A5833" s="13">
        <v>45901.0</v>
      </c>
      <c r="B5833" s="14" t="s">
        <v>47</v>
      </c>
      <c r="C5833" s="14" t="s">
        <v>48</v>
      </c>
      <c r="D5833" s="14" t="s">
        <v>87</v>
      </c>
      <c r="E5833" s="14" t="s">
        <v>88</v>
      </c>
      <c r="F5833" s="15" t="s">
        <v>51</v>
      </c>
      <c r="G5833" s="14" t="s">
        <v>89</v>
      </c>
      <c r="H5833" s="14" t="s">
        <v>90</v>
      </c>
      <c r="I5833" s="14" t="s">
        <v>59</v>
      </c>
      <c r="J5833" s="14" t="s">
        <v>200</v>
      </c>
      <c r="K5833" s="14" t="s">
        <v>223</v>
      </c>
      <c r="L5833" s="14" t="s">
        <v>359</v>
      </c>
      <c r="M5833" s="14" t="s">
        <v>519</v>
      </c>
      <c r="N5833" s="14" t="s">
        <v>520</v>
      </c>
      <c r="O5833" s="14">
        <v>0.0</v>
      </c>
      <c r="P5833" s="21">
        <v>0.0</v>
      </c>
      <c r="Q5833" s="22" t="str">
        <f t="shared" si="3485"/>
        <v>+0</v>
      </c>
      <c r="R5833" s="18" t="str">
        <f t="shared" ref="R5833:R5834" si="3486">"+0"</f>
        <v>+0</v>
      </c>
      <c r="S5833" s="14" t="s">
        <v>260</v>
      </c>
    </row>
    <row r="5834">
      <c r="A5834" s="13">
        <v>45901.0</v>
      </c>
      <c r="B5834" s="14" t="s">
        <v>47</v>
      </c>
      <c r="C5834" s="14" t="s">
        <v>48</v>
      </c>
      <c r="D5834" s="14" t="s">
        <v>149</v>
      </c>
      <c r="E5834" s="14" t="s">
        <v>150</v>
      </c>
      <c r="F5834" s="15" t="s">
        <v>51</v>
      </c>
      <c r="G5834" s="14" t="s">
        <v>151</v>
      </c>
      <c r="H5834" s="14" t="s">
        <v>152</v>
      </c>
      <c r="I5834" s="14" t="s">
        <v>54</v>
      </c>
      <c r="J5834" s="14" t="s">
        <v>200</v>
      </c>
      <c r="K5834" s="14" t="s">
        <v>231</v>
      </c>
      <c r="L5834" s="14" t="s">
        <v>512</v>
      </c>
      <c r="M5834" s="14" t="s">
        <v>1738</v>
      </c>
      <c r="N5834" s="14" t="s">
        <v>1739</v>
      </c>
      <c r="O5834" s="14">
        <v>0.0</v>
      </c>
      <c r="P5834" s="21">
        <v>0.0</v>
      </c>
      <c r="Q5834" s="22" t="str">
        <f t="shared" si="3485"/>
        <v>+0</v>
      </c>
      <c r="R5834" s="18" t="str">
        <f t="shared" si="3486"/>
        <v>+0</v>
      </c>
      <c r="S5834" s="14" t="s">
        <v>260</v>
      </c>
    </row>
    <row r="5835">
      <c r="A5835" s="13">
        <v>45901.0</v>
      </c>
      <c r="B5835" s="14" t="s">
        <v>47</v>
      </c>
      <c r="C5835" s="14" t="s">
        <v>48</v>
      </c>
      <c r="D5835" s="14" t="s">
        <v>85</v>
      </c>
      <c r="E5835" s="14" t="s">
        <v>86</v>
      </c>
      <c r="F5835" s="15" t="s">
        <v>51</v>
      </c>
      <c r="G5835" s="14" t="s">
        <v>148</v>
      </c>
      <c r="H5835" s="14" t="s">
        <v>85</v>
      </c>
      <c r="I5835" s="14" t="s">
        <v>59</v>
      </c>
      <c r="J5835" s="14" t="s">
        <v>200</v>
      </c>
      <c r="K5835" s="14" t="s">
        <v>213</v>
      </c>
      <c r="L5835" s="14" t="s">
        <v>289</v>
      </c>
      <c r="M5835" s="14" t="s">
        <v>984</v>
      </c>
      <c r="N5835" s="14" t="s">
        <v>985</v>
      </c>
      <c r="O5835" s="14">
        <v>0.0</v>
      </c>
      <c r="P5835" s="23">
        <v>0.0</v>
      </c>
      <c r="Q5835" s="22" t="str">
        <f t="shared" ref="Q5835:R5835" si="3487">"+0.00%"</f>
        <v>+0.00%</v>
      </c>
      <c r="R5835" s="18" t="str">
        <f t="shared" si="3487"/>
        <v>+0.00%</v>
      </c>
      <c r="S5835" s="14" t="s">
        <v>285</v>
      </c>
    </row>
    <row r="5836">
      <c r="A5836" s="13">
        <v>45901.0</v>
      </c>
      <c r="B5836" s="14" t="s">
        <v>47</v>
      </c>
      <c r="C5836" s="14" t="s">
        <v>48</v>
      </c>
      <c r="D5836" s="14" t="s">
        <v>69</v>
      </c>
      <c r="E5836" s="14" t="s">
        <v>70</v>
      </c>
      <c r="F5836" s="14" t="s">
        <v>71</v>
      </c>
      <c r="G5836" s="14">
        <v>1.00002092E8</v>
      </c>
      <c r="H5836" s="14" t="s">
        <v>72</v>
      </c>
      <c r="I5836" s="14" t="s">
        <v>54</v>
      </c>
      <c r="J5836" s="14" t="s">
        <v>199</v>
      </c>
      <c r="K5836" s="14" t="s">
        <v>203</v>
      </c>
      <c r="L5836" s="14" t="s">
        <v>601</v>
      </c>
      <c r="M5836" s="14" t="s">
        <v>601</v>
      </c>
      <c r="N5836" s="14" t="s">
        <v>602</v>
      </c>
      <c r="O5836" s="14">
        <v>0.0</v>
      </c>
      <c r="P5836" s="21">
        <v>0.0</v>
      </c>
      <c r="Q5836" s="22" t="str">
        <f t="shared" ref="Q5836:R5836" si="3488">"+0"</f>
        <v>+0</v>
      </c>
      <c r="R5836" s="18" t="str">
        <f t="shared" si="3488"/>
        <v>+0</v>
      </c>
      <c r="S5836" s="14" t="s">
        <v>260</v>
      </c>
    </row>
    <row r="5837">
      <c r="A5837" s="13">
        <v>45901.0</v>
      </c>
      <c r="B5837" s="14" t="s">
        <v>47</v>
      </c>
      <c r="C5837" s="14" t="s">
        <v>48</v>
      </c>
      <c r="D5837" s="14" t="s">
        <v>96</v>
      </c>
      <c r="E5837" s="14" t="s">
        <v>97</v>
      </c>
      <c r="F5837" s="15" t="s">
        <v>51</v>
      </c>
      <c r="G5837" s="14" t="s">
        <v>98</v>
      </c>
      <c r="H5837" s="14" t="s">
        <v>96</v>
      </c>
      <c r="I5837" s="14" t="s">
        <v>59</v>
      </c>
      <c r="J5837" s="14" t="s">
        <v>200</v>
      </c>
      <c r="K5837" s="14" t="s">
        <v>223</v>
      </c>
      <c r="L5837" s="14" t="s">
        <v>307</v>
      </c>
      <c r="M5837" s="14" t="s">
        <v>502</v>
      </c>
      <c r="N5837" s="14" t="s">
        <v>503</v>
      </c>
      <c r="O5837" s="14">
        <v>0.0</v>
      </c>
      <c r="P5837" s="23">
        <v>0.0</v>
      </c>
      <c r="Q5837" s="22" t="str">
        <f t="shared" ref="Q5837:R5837" si="3489">"+0.00%"</f>
        <v>+0.00%</v>
      </c>
      <c r="R5837" s="18" t="str">
        <f t="shared" si="3489"/>
        <v>+0.00%</v>
      </c>
      <c r="S5837" s="14" t="s">
        <v>2574</v>
      </c>
    </row>
    <row r="5838">
      <c r="A5838" s="13">
        <v>45901.0</v>
      </c>
      <c r="B5838" s="14" t="s">
        <v>47</v>
      </c>
      <c r="C5838" s="14" t="s">
        <v>48</v>
      </c>
      <c r="D5838" s="14" t="s">
        <v>125</v>
      </c>
      <c r="E5838" s="14" t="s">
        <v>126</v>
      </c>
      <c r="F5838" s="15" t="s">
        <v>51</v>
      </c>
      <c r="G5838" s="14" t="s">
        <v>127</v>
      </c>
      <c r="H5838" s="14" t="s">
        <v>125</v>
      </c>
      <c r="I5838" s="14" t="s">
        <v>59</v>
      </c>
      <c r="J5838" s="14" t="s">
        <v>200</v>
      </c>
      <c r="K5838" s="14" t="s">
        <v>232</v>
      </c>
      <c r="L5838" s="14" t="s">
        <v>286</v>
      </c>
      <c r="M5838" s="14" t="s">
        <v>588</v>
      </c>
      <c r="N5838" s="14" t="s">
        <v>589</v>
      </c>
      <c r="O5838" s="14">
        <v>0.0</v>
      </c>
      <c r="P5838" s="23">
        <v>0.0</v>
      </c>
      <c r="Q5838" s="22" t="str">
        <f t="shared" ref="Q5838:R5838" si="3490">"+0.00%"</f>
        <v>+0.00%</v>
      </c>
      <c r="R5838" s="18" t="str">
        <f t="shared" si="3490"/>
        <v>+0.00%</v>
      </c>
      <c r="S5838" s="14" t="s">
        <v>285</v>
      </c>
    </row>
    <row r="5839">
      <c r="A5839" s="13">
        <v>45901.0</v>
      </c>
      <c r="B5839" s="14" t="s">
        <v>47</v>
      </c>
      <c r="C5839" s="14" t="s">
        <v>48</v>
      </c>
      <c r="D5839" s="14" t="s">
        <v>85</v>
      </c>
      <c r="E5839" s="14" t="s">
        <v>86</v>
      </c>
      <c r="F5839" s="14" t="s">
        <v>71</v>
      </c>
      <c r="G5839" s="14">
        <v>88285.0</v>
      </c>
      <c r="H5839" s="14" t="s">
        <v>85</v>
      </c>
      <c r="I5839" s="14" t="s">
        <v>59</v>
      </c>
      <c r="J5839" s="14" t="s">
        <v>200</v>
      </c>
      <c r="K5839" s="14" t="s">
        <v>218</v>
      </c>
      <c r="L5839" s="14" t="s">
        <v>253</v>
      </c>
      <c r="M5839" s="14" t="s">
        <v>1202</v>
      </c>
      <c r="N5839" s="14" t="s">
        <v>1203</v>
      </c>
      <c r="O5839" s="14">
        <v>6.0</v>
      </c>
      <c r="P5839" s="23">
        <v>0.067</v>
      </c>
      <c r="Q5839" s="22" t="str">
        <f>"+0.19%"</f>
        <v>+0.19%</v>
      </c>
      <c r="R5839" s="18" t="str">
        <f>"+0.24%"</f>
        <v>+0.24%</v>
      </c>
      <c r="S5839" s="14" t="s">
        <v>786</v>
      </c>
    </row>
    <row r="5840">
      <c r="A5840" s="13">
        <v>45901.0</v>
      </c>
      <c r="B5840" s="14" t="s">
        <v>47</v>
      </c>
      <c r="C5840" s="14" t="s">
        <v>48</v>
      </c>
      <c r="D5840" s="14" t="s">
        <v>112</v>
      </c>
      <c r="E5840" s="14" t="s">
        <v>113</v>
      </c>
      <c r="F5840" s="15" t="s">
        <v>51</v>
      </c>
      <c r="G5840" s="14" t="s">
        <v>114</v>
      </c>
      <c r="H5840" s="14" t="s">
        <v>112</v>
      </c>
      <c r="I5840" s="14" t="s">
        <v>59</v>
      </c>
      <c r="J5840" s="14" t="s">
        <v>199</v>
      </c>
      <c r="K5840" s="14" t="s">
        <v>206</v>
      </c>
      <c r="L5840" s="14" t="s">
        <v>381</v>
      </c>
      <c r="M5840" s="14" t="s">
        <v>381</v>
      </c>
      <c r="N5840" s="14" t="s">
        <v>382</v>
      </c>
      <c r="O5840" s="14">
        <v>0.0</v>
      </c>
      <c r="P5840" s="21">
        <v>0.0</v>
      </c>
      <c r="Q5840" s="22" t="str">
        <f t="shared" ref="Q5840:R5840" si="3491">"+0"</f>
        <v>+0</v>
      </c>
      <c r="R5840" s="18" t="str">
        <f t="shared" si="3491"/>
        <v>+0</v>
      </c>
      <c r="S5840" s="14" t="s">
        <v>383</v>
      </c>
    </row>
    <row r="5841">
      <c r="A5841" s="13">
        <v>45901.0</v>
      </c>
      <c r="B5841" s="14" t="s">
        <v>47</v>
      </c>
      <c r="C5841" s="14" t="s">
        <v>48</v>
      </c>
      <c r="D5841" s="14" t="s">
        <v>174</v>
      </c>
      <c r="E5841" s="14" t="s">
        <v>175</v>
      </c>
      <c r="F5841" s="15" t="s">
        <v>51</v>
      </c>
      <c r="G5841" s="14" t="s">
        <v>176</v>
      </c>
      <c r="H5841" s="14" t="s">
        <v>174</v>
      </c>
      <c r="I5841" s="14" t="s">
        <v>59</v>
      </c>
      <c r="J5841" s="14" t="s">
        <v>198</v>
      </c>
      <c r="K5841" s="14" t="s">
        <v>205</v>
      </c>
      <c r="L5841" s="14" t="s">
        <v>274</v>
      </c>
      <c r="M5841" s="14" t="s">
        <v>448</v>
      </c>
      <c r="N5841" s="14" t="s">
        <v>449</v>
      </c>
      <c r="O5841" s="14">
        <v>100.0</v>
      </c>
      <c r="P5841" s="21">
        <v>5.0</v>
      </c>
      <c r="Q5841" s="22" t="str">
        <f t="shared" ref="Q5841:Q5842" si="3492">"+0"</f>
        <v>+0</v>
      </c>
      <c r="S5841" s="14" t="s">
        <v>450</v>
      </c>
    </row>
    <row r="5842">
      <c r="A5842" s="13">
        <v>45901.0</v>
      </c>
      <c r="B5842" s="14" t="s">
        <v>47</v>
      </c>
      <c r="C5842" s="14" t="s">
        <v>48</v>
      </c>
      <c r="D5842" s="14" t="s">
        <v>108</v>
      </c>
      <c r="E5842" s="14" t="s">
        <v>109</v>
      </c>
      <c r="F5842" s="15" t="s">
        <v>51</v>
      </c>
      <c r="G5842" s="14" t="s">
        <v>110</v>
      </c>
      <c r="H5842" s="14" t="s">
        <v>108</v>
      </c>
      <c r="I5842" s="14" t="s">
        <v>59</v>
      </c>
      <c r="J5842" s="14" t="s">
        <v>198</v>
      </c>
      <c r="K5842" s="14" t="s">
        <v>205</v>
      </c>
      <c r="L5842" s="14" t="s">
        <v>274</v>
      </c>
      <c r="M5842" s="14" t="s">
        <v>354</v>
      </c>
      <c r="N5842" s="14" t="s">
        <v>355</v>
      </c>
      <c r="O5842" s="14">
        <v>28.0</v>
      </c>
      <c r="P5842" s="21">
        <v>10.0</v>
      </c>
      <c r="Q5842" s="22" t="str">
        <f t="shared" si="3492"/>
        <v>+0</v>
      </c>
      <c r="S5842" s="14" t="s">
        <v>356</v>
      </c>
    </row>
    <row r="5843">
      <c r="A5843" s="13">
        <v>45901.0</v>
      </c>
      <c r="B5843" s="14" t="s">
        <v>47</v>
      </c>
      <c r="C5843" s="14" t="s">
        <v>48</v>
      </c>
      <c r="D5843" s="14" t="s">
        <v>116</v>
      </c>
      <c r="E5843" s="14" t="s">
        <v>117</v>
      </c>
      <c r="F5843" s="15" t="s">
        <v>51</v>
      </c>
      <c r="G5843" s="14" t="s">
        <v>161</v>
      </c>
      <c r="H5843" s="14" t="s">
        <v>116</v>
      </c>
      <c r="I5843" s="14" t="s">
        <v>54</v>
      </c>
      <c r="J5843" s="14" t="s">
        <v>200</v>
      </c>
      <c r="K5843" s="14" t="s">
        <v>213</v>
      </c>
      <c r="L5843" s="14" t="s">
        <v>440</v>
      </c>
      <c r="M5843" s="14" t="s">
        <v>510</v>
      </c>
      <c r="N5843" s="14" t="s">
        <v>511</v>
      </c>
      <c r="O5843" s="14">
        <v>0.0</v>
      </c>
      <c r="P5843" s="23">
        <v>0.0</v>
      </c>
      <c r="Q5843" s="22" t="str">
        <f t="shared" ref="Q5843:R5843" si="3493">"+0.00%"</f>
        <v>+0.00%</v>
      </c>
      <c r="R5843" s="18" t="str">
        <f t="shared" si="3493"/>
        <v>+0.00%</v>
      </c>
      <c r="S5843" s="14" t="s">
        <v>285</v>
      </c>
    </row>
    <row r="5844">
      <c r="A5844" s="13">
        <v>45901.0</v>
      </c>
      <c r="B5844" s="14" t="s">
        <v>47</v>
      </c>
      <c r="C5844" s="14" t="s">
        <v>48</v>
      </c>
      <c r="D5844" s="14" t="s">
        <v>155</v>
      </c>
      <c r="E5844" s="14" t="s">
        <v>156</v>
      </c>
      <c r="F5844" s="15" t="s">
        <v>51</v>
      </c>
      <c r="G5844" s="14" t="s">
        <v>157</v>
      </c>
      <c r="H5844" s="14" t="s">
        <v>155</v>
      </c>
      <c r="I5844" s="14" t="s">
        <v>59</v>
      </c>
      <c r="J5844" s="14" t="s">
        <v>200</v>
      </c>
      <c r="K5844" s="14" t="s">
        <v>223</v>
      </c>
      <c r="L5844" s="14" t="s">
        <v>253</v>
      </c>
      <c r="M5844" s="14" t="s">
        <v>389</v>
      </c>
      <c r="N5844" s="14" t="s">
        <v>390</v>
      </c>
      <c r="O5844" s="14">
        <v>0.0</v>
      </c>
      <c r="P5844" s="23">
        <v>0.0</v>
      </c>
      <c r="Q5844" s="22" t="str">
        <f t="shared" ref="Q5844:R5844" si="3494">"+0.00%"</f>
        <v>+0.00%</v>
      </c>
      <c r="R5844" s="18" t="str">
        <f t="shared" si="3494"/>
        <v>+0.00%</v>
      </c>
      <c r="S5844" s="14" t="s">
        <v>2575</v>
      </c>
    </row>
    <row r="5845">
      <c r="A5845" s="13">
        <v>45901.0</v>
      </c>
      <c r="B5845" s="14" t="s">
        <v>47</v>
      </c>
      <c r="C5845" s="14" t="s">
        <v>48</v>
      </c>
      <c r="D5845" s="14" t="s">
        <v>155</v>
      </c>
      <c r="E5845" s="14" t="s">
        <v>156</v>
      </c>
      <c r="F5845" s="15" t="s">
        <v>51</v>
      </c>
      <c r="G5845" s="14" t="s">
        <v>157</v>
      </c>
      <c r="H5845" s="14" t="s">
        <v>155</v>
      </c>
      <c r="I5845" s="14" t="s">
        <v>59</v>
      </c>
      <c r="J5845" s="14" t="s">
        <v>200</v>
      </c>
      <c r="K5845" s="14" t="s">
        <v>223</v>
      </c>
      <c r="L5845" s="14" t="s">
        <v>286</v>
      </c>
      <c r="M5845" s="14" t="s">
        <v>1199</v>
      </c>
      <c r="N5845" s="14" t="s">
        <v>1200</v>
      </c>
      <c r="O5845" s="14">
        <v>0.0</v>
      </c>
      <c r="P5845" s="17"/>
      <c r="Q5845" s="22"/>
      <c r="S5845" s="14" t="s">
        <v>285</v>
      </c>
    </row>
    <row r="5846">
      <c r="A5846" s="13">
        <v>45901.0</v>
      </c>
      <c r="B5846" s="14" t="s">
        <v>47</v>
      </c>
      <c r="C5846" s="14" t="s">
        <v>48</v>
      </c>
      <c r="D5846" s="14" t="s">
        <v>165</v>
      </c>
      <c r="E5846" s="14" t="s">
        <v>166</v>
      </c>
      <c r="F5846" s="15" t="s">
        <v>51</v>
      </c>
      <c r="G5846" s="14" t="s">
        <v>167</v>
      </c>
      <c r="H5846" s="14" t="s">
        <v>165</v>
      </c>
      <c r="I5846" s="14" t="s">
        <v>54</v>
      </c>
      <c r="J5846" s="14" t="s">
        <v>200</v>
      </c>
      <c r="K5846" s="14" t="s">
        <v>213</v>
      </c>
      <c r="L5846" s="14" t="s">
        <v>257</v>
      </c>
      <c r="M5846" s="14" t="s">
        <v>298</v>
      </c>
      <c r="N5846" s="14" t="s">
        <v>299</v>
      </c>
      <c r="O5846" s="14">
        <v>0.0</v>
      </c>
      <c r="P5846" s="23">
        <v>0.0</v>
      </c>
      <c r="Q5846" s="22" t="str">
        <f t="shared" ref="Q5846:R5846" si="3495">"+0.00%"</f>
        <v>+0.00%</v>
      </c>
      <c r="R5846" s="18" t="str">
        <f t="shared" si="3495"/>
        <v>+0.00%</v>
      </c>
      <c r="S5846" s="14" t="s">
        <v>643</v>
      </c>
    </row>
    <row r="5847">
      <c r="A5847" s="13">
        <v>45901.0</v>
      </c>
      <c r="B5847" s="14" t="s">
        <v>47</v>
      </c>
      <c r="C5847" s="14" t="s">
        <v>48</v>
      </c>
      <c r="D5847" s="14" t="s">
        <v>49</v>
      </c>
      <c r="E5847" s="14" t="s">
        <v>50</v>
      </c>
      <c r="F5847" s="15" t="s">
        <v>51</v>
      </c>
      <c r="G5847" s="14" t="s">
        <v>52</v>
      </c>
      <c r="H5847" s="14" t="s">
        <v>53</v>
      </c>
      <c r="I5847" s="14" t="s">
        <v>54</v>
      </c>
      <c r="J5847" s="14" t="s">
        <v>198</v>
      </c>
      <c r="K5847" s="14" t="s">
        <v>212</v>
      </c>
      <c r="L5847" s="14" t="s">
        <v>249</v>
      </c>
      <c r="M5847" s="14" t="s">
        <v>1149</v>
      </c>
      <c r="N5847" s="14" t="s">
        <v>1150</v>
      </c>
      <c r="O5847" s="14">
        <v>0.0</v>
      </c>
      <c r="P5847" s="21">
        <v>0.0</v>
      </c>
      <c r="Q5847" s="22" t="str">
        <f t="shared" ref="Q5847:R5847" si="3496">"+0"</f>
        <v>+0</v>
      </c>
      <c r="R5847" s="18" t="str">
        <f t="shared" si="3496"/>
        <v>+0</v>
      </c>
      <c r="S5847" s="14" t="s">
        <v>277</v>
      </c>
    </row>
    <row r="5848">
      <c r="A5848" s="13">
        <v>45901.0</v>
      </c>
      <c r="B5848" s="14" t="s">
        <v>47</v>
      </c>
      <c r="C5848" s="14" t="s">
        <v>48</v>
      </c>
      <c r="D5848" s="14" t="s">
        <v>63</v>
      </c>
      <c r="E5848" s="14" t="s">
        <v>64</v>
      </c>
      <c r="F5848" s="15" t="s">
        <v>51</v>
      </c>
      <c r="G5848" s="14" t="s">
        <v>65</v>
      </c>
      <c r="H5848" s="14" t="s">
        <v>63</v>
      </c>
      <c r="I5848" s="14" t="s">
        <v>54</v>
      </c>
      <c r="J5848" s="14" t="s">
        <v>200</v>
      </c>
      <c r="K5848" s="14" t="s">
        <v>224</v>
      </c>
      <c r="L5848" s="14" t="s">
        <v>436</v>
      </c>
      <c r="M5848" s="14" t="s">
        <v>1353</v>
      </c>
      <c r="N5848" s="14" t="s">
        <v>1354</v>
      </c>
      <c r="O5848" s="14">
        <v>10.0</v>
      </c>
      <c r="P5848" s="23">
        <v>0.1071</v>
      </c>
      <c r="Q5848" s="22" t="str">
        <f>"+5.95%"</f>
        <v>+5.95%</v>
      </c>
      <c r="R5848" s="18" t="str">
        <f>"+1.62%"</f>
        <v>+1.62%</v>
      </c>
      <c r="S5848" s="14" t="s">
        <v>2576</v>
      </c>
    </row>
    <row r="5849">
      <c r="A5849" s="13">
        <v>45901.0</v>
      </c>
      <c r="B5849" s="14" t="s">
        <v>47</v>
      </c>
      <c r="C5849" s="14" t="s">
        <v>48</v>
      </c>
      <c r="D5849" s="14" t="s">
        <v>91</v>
      </c>
      <c r="E5849" s="14" t="s">
        <v>92</v>
      </c>
      <c r="F5849" s="14" t="s">
        <v>71</v>
      </c>
      <c r="G5849" s="14">
        <v>5.00008343E8</v>
      </c>
      <c r="H5849" s="14" t="s">
        <v>91</v>
      </c>
      <c r="I5849" s="14" t="s">
        <v>59</v>
      </c>
      <c r="J5849" s="14" t="s">
        <v>199</v>
      </c>
      <c r="K5849" s="14" t="s">
        <v>206</v>
      </c>
      <c r="L5849" s="14" t="s">
        <v>295</v>
      </c>
      <c r="M5849" s="14" t="s">
        <v>529</v>
      </c>
      <c r="N5849" s="14" t="s">
        <v>530</v>
      </c>
      <c r="O5849" s="14">
        <v>100.0</v>
      </c>
      <c r="P5849" s="21">
        <v>20.0</v>
      </c>
      <c r="Q5849" s="22" t="str">
        <f t="shared" ref="Q5849:R5849" si="3497">"+0"</f>
        <v>+0</v>
      </c>
      <c r="R5849" s="18" t="str">
        <f t="shared" si="3497"/>
        <v>+0</v>
      </c>
      <c r="S5849" s="14" t="s">
        <v>260</v>
      </c>
    </row>
    <row r="5850">
      <c r="A5850" s="13">
        <v>45901.0</v>
      </c>
      <c r="B5850" s="14" t="s">
        <v>47</v>
      </c>
      <c r="C5850" s="14" t="s">
        <v>48</v>
      </c>
      <c r="D5850" s="14" t="s">
        <v>91</v>
      </c>
      <c r="E5850" s="14" t="s">
        <v>92</v>
      </c>
      <c r="F5850" s="14" t="s">
        <v>79</v>
      </c>
      <c r="G5850" s="14" t="s">
        <v>164</v>
      </c>
      <c r="H5850" s="14" t="s">
        <v>91</v>
      </c>
      <c r="I5850" s="14" t="s">
        <v>154</v>
      </c>
      <c r="J5850" s="14" t="s">
        <v>198</v>
      </c>
      <c r="K5850" s="14" t="s">
        <v>210</v>
      </c>
      <c r="L5850" s="14" t="s">
        <v>505</v>
      </c>
      <c r="M5850" s="14" t="s">
        <v>1431</v>
      </c>
      <c r="N5850" s="14" t="s">
        <v>1432</v>
      </c>
      <c r="O5850" s="14">
        <v>100.0</v>
      </c>
      <c r="P5850" s="21">
        <v>0.0</v>
      </c>
      <c r="Q5850" s="22" t="str">
        <f t="shared" ref="Q5850:Q5854" si="3498">"+0"</f>
        <v>+0</v>
      </c>
      <c r="S5850" s="14" t="s">
        <v>277</v>
      </c>
    </row>
    <row r="5851">
      <c r="A5851" s="13">
        <v>45901.0</v>
      </c>
      <c r="B5851" s="14" t="s">
        <v>47</v>
      </c>
      <c r="C5851" s="14" t="s">
        <v>48</v>
      </c>
      <c r="D5851" s="14" t="s">
        <v>91</v>
      </c>
      <c r="E5851" s="14" t="s">
        <v>92</v>
      </c>
      <c r="F5851" s="14" t="s">
        <v>71</v>
      </c>
      <c r="G5851" s="14">
        <v>5.10011769E8</v>
      </c>
      <c r="H5851" s="14" t="s">
        <v>91</v>
      </c>
      <c r="I5851" s="14" t="s">
        <v>59</v>
      </c>
      <c r="J5851" s="14" t="s">
        <v>199</v>
      </c>
      <c r="K5851" s="14" t="s">
        <v>208</v>
      </c>
      <c r="L5851" s="14" t="s">
        <v>412</v>
      </c>
      <c r="M5851" s="14" t="s">
        <v>412</v>
      </c>
      <c r="N5851" s="14" t="s">
        <v>413</v>
      </c>
      <c r="O5851" s="14">
        <v>0.0</v>
      </c>
      <c r="P5851" s="21">
        <v>0.0</v>
      </c>
      <c r="Q5851" s="22" t="str">
        <f t="shared" si="3498"/>
        <v>+0</v>
      </c>
      <c r="R5851" s="18" t="str">
        <f t="shared" ref="R5851:R5852" si="3499">"+0"</f>
        <v>+0</v>
      </c>
      <c r="S5851" s="14" t="s">
        <v>260</v>
      </c>
    </row>
    <row r="5852">
      <c r="A5852" s="13">
        <v>45901.0</v>
      </c>
      <c r="B5852" s="14" t="s">
        <v>47</v>
      </c>
      <c r="C5852" s="14" t="s">
        <v>48</v>
      </c>
      <c r="D5852" s="14" t="s">
        <v>118</v>
      </c>
      <c r="E5852" s="14" t="s">
        <v>119</v>
      </c>
      <c r="F5852" s="15" t="s">
        <v>51</v>
      </c>
      <c r="G5852" s="14" t="s">
        <v>120</v>
      </c>
      <c r="H5852" s="14" t="s">
        <v>118</v>
      </c>
      <c r="I5852" s="14" t="s">
        <v>59</v>
      </c>
      <c r="J5852" s="14" t="s">
        <v>199</v>
      </c>
      <c r="K5852" s="14" t="s">
        <v>206</v>
      </c>
      <c r="L5852" s="14" t="s">
        <v>295</v>
      </c>
      <c r="M5852" s="14" t="s">
        <v>461</v>
      </c>
      <c r="N5852" s="14" t="s">
        <v>462</v>
      </c>
      <c r="O5852" s="14">
        <v>0.0</v>
      </c>
      <c r="P5852" s="21">
        <v>0.0</v>
      </c>
      <c r="Q5852" s="22" t="str">
        <f t="shared" si="3498"/>
        <v>+0</v>
      </c>
      <c r="R5852" s="18" t="str">
        <f t="shared" si="3499"/>
        <v>+0</v>
      </c>
      <c r="S5852" s="14" t="s">
        <v>260</v>
      </c>
    </row>
    <row r="5853">
      <c r="A5853" s="13">
        <v>45901.0</v>
      </c>
      <c r="B5853" s="14" t="s">
        <v>47</v>
      </c>
      <c r="C5853" s="14" t="s">
        <v>48</v>
      </c>
      <c r="D5853" s="14" t="s">
        <v>82</v>
      </c>
      <c r="E5853" s="14" t="s">
        <v>83</v>
      </c>
      <c r="F5853" s="15" t="s">
        <v>51</v>
      </c>
      <c r="G5853" s="14" t="s">
        <v>84</v>
      </c>
      <c r="H5853" s="14" t="s">
        <v>82</v>
      </c>
      <c r="I5853" s="14" t="s">
        <v>59</v>
      </c>
      <c r="J5853" s="14" t="s">
        <v>198</v>
      </c>
      <c r="K5853" s="14" t="s">
        <v>205</v>
      </c>
      <c r="L5853" s="14" t="s">
        <v>274</v>
      </c>
      <c r="M5853" s="14" t="s">
        <v>636</v>
      </c>
      <c r="N5853" s="14" t="s">
        <v>637</v>
      </c>
      <c r="O5853" s="14">
        <v>0.0</v>
      </c>
      <c r="P5853" s="21">
        <v>0.0</v>
      </c>
      <c r="Q5853" s="22" t="str">
        <f t="shared" si="3498"/>
        <v>+0</v>
      </c>
      <c r="S5853" s="14" t="s">
        <v>281</v>
      </c>
    </row>
    <row r="5854">
      <c r="A5854" s="13">
        <v>45901.0</v>
      </c>
      <c r="B5854" s="14" t="s">
        <v>47</v>
      </c>
      <c r="C5854" s="14" t="s">
        <v>48</v>
      </c>
      <c r="D5854" s="14" t="s">
        <v>93</v>
      </c>
      <c r="E5854" s="14" t="s">
        <v>94</v>
      </c>
      <c r="F5854" s="15" t="s">
        <v>51</v>
      </c>
      <c r="G5854" s="14" t="s">
        <v>191</v>
      </c>
      <c r="H5854" s="14" t="s">
        <v>95</v>
      </c>
      <c r="I5854" s="14" t="s">
        <v>59</v>
      </c>
      <c r="J5854" s="14" t="s">
        <v>199</v>
      </c>
      <c r="K5854" s="14" t="s">
        <v>203</v>
      </c>
      <c r="L5854" s="14" t="s">
        <v>431</v>
      </c>
      <c r="M5854" s="14" t="s">
        <v>431</v>
      </c>
      <c r="N5854" s="14" t="s">
        <v>432</v>
      </c>
      <c r="O5854" s="14">
        <v>0.0</v>
      </c>
      <c r="P5854" s="21">
        <v>0.0</v>
      </c>
      <c r="Q5854" s="22" t="str">
        <f t="shared" si="3498"/>
        <v>+0</v>
      </c>
      <c r="R5854" s="18" t="str">
        <f>"+0"</f>
        <v>+0</v>
      </c>
      <c r="S5854" s="14" t="s">
        <v>260</v>
      </c>
    </row>
    <row r="5855">
      <c r="A5855" s="13">
        <v>45901.0</v>
      </c>
      <c r="B5855" s="14" t="s">
        <v>47</v>
      </c>
      <c r="C5855" s="14" t="s">
        <v>48</v>
      </c>
      <c r="D5855" s="14" t="s">
        <v>93</v>
      </c>
      <c r="E5855" s="14" t="s">
        <v>94</v>
      </c>
      <c r="F5855" s="15" t="s">
        <v>51</v>
      </c>
      <c r="G5855" s="14" t="s">
        <v>191</v>
      </c>
      <c r="H5855" s="14" t="s">
        <v>95</v>
      </c>
      <c r="I5855" s="14" t="s">
        <v>59</v>
      </c>
      <c r="J5855" s="14" t="s">
        <v>200</v>
      </c>
      <c r="K5855" s="14" t="s">
        <v>215</v>
      </c>
      <c r="L5855" s="14" t="s">
        <v>548</v>
      </c>
      <c r="M5855" s="14" t="s">
        <v>549</v>
      </c>
      <c r="N5855" s="14" t="s">
        <v>550</v>
      </c>
      <c r="O5855" s="14">
        <v>0.0</v>
      </c>
      <c r="P5855" s="23">
        <v>-1.0</v>
      </c>
      <c r="Q5855" s="22" t="str">
        <f t="shared" ref="Q5855:R5855" si="3500">"+0.00%"</f>
        <v>+0.00%</v>
      </c>
      <c r="R5855" s="18" t="str">
        <f t="shared" si="3500"/>
        <v>+0.00%</v>
      </c>
      <c r="S5855" s="14" t="s">
        <v>2577</v>
      </c>
    </row>
    <row r="5856">
      <c r="A5856" s="13">
        <v>45901.0</v>
      </c>
      <c r="B5856" s="14" t="s">
        <v>47</v>
      </c>
      <c r="C5856" s="14" t="s">
        <v>48</v>
      </c>
      <c r="D5856" s="14" t="s">
        <v>103</v>
      </c>
      <c r="E5856" s="14" t="s">
        <v>104</v>
      </c>
      <c r="F5856" s="15" t="s">
        <v>51</v>
      </c>
      <c r="G5856" s="14" t="s">
        <v>105</v>
      </c>
      <c r="H5856" s="14" t="s">
        <v>106</v>
      </c>
      <c r="I5856" s="14" t="s">
        <v>59</v>
      </c>
      <c r="J5856" s="14" t="s">
        <v>198</v>
      </c>
      <c r="K5856" s="14" t="s">
        <v>205</v>
      </c>
      <c r="L5856" s="14" t="s">
        <v>274</v>
      </c>
      <c r="M5856" s="14" t="s">
        <v>575</v>
      </c>
      <c r="N5856" s="14" t="s">
        <v>576</v>
      </c>
      <c r="O5856" s="14">
        <v>50.0</v>
      </c>
      <c r="P5856" s="21">
        <v>180.0</v>
      </c>
      <c r="Q5856" s="22" t="str">
        <f>"+0"</f>
        <v>+0</v>
      </c>
      <c r="S5856" s="14" t="s">
        <v>577</v>
      </c>
    </row>
    <row r="5857">
      <c r="A5857" s="13">
        <v>45901.0</v>
      </c>
      <c r="B5857" s="14" t="s">
        <v>47</v>
      </c>
      <c r="C5857" s="14" t="s">
        <v>48</v>
      </c>
      <c r="D5857" s="14" t="s">
        <v>143</v>
      </c>
      <c r="E5857" s="14" t="s">
        <v>144</v>
      </c>
      <c r="F5857" s="15" t="s">
        <v>51</v>
      </c>
      <c r="G5857" s="14" t="s">
        <v>145</v>
      </c>
      <c r="H5857" s="14" t="s">
        <v>143</v>
      </c>
      <c r="I5857" s="14" t="s">
        <v>59</v>
      </c>
      <c r="J5857" s="14" t="s">
        <v>198</v>
      </c>
      <c r="K5857" s="14" t="s">
        <v>210</v>
      </c>
      <c r="L5857" s="14" t="s">
        <v>278</v>
      </c>
      <c r="M5857" s="14" t="s">
        <v>839</v>
      </c>
      <c r="N5857" s="14" t="s">
        <v>840</v>
      </c>
      <c r="O5857" s="14">
        <v>30.0</v>
      </c>
      <c r="P5857" s="21">
        <v>1773.0</v>
      </c>
      <c r="Q5857" s="22" t="str">
        <f>"-443"</f>
        <v>-443</v>
      </c>
      <c r="R5857" s="18" t="str">
        <f>"+21"</f>
        <v>+21</v>
      </c>
      <c r="S5857" s="14" t="s">
        <v>2578</v>
      </c>
    </row>
    <row r="5858">
      <c r="A5858" s="13">
        <v>45901.0</v>
      </c>
      <c r="B5858" s="14" t="s">
        <v>47</v>
      </c>
      <c r="C5858" s="14" t="s">
        <v>48</v>
      </c>
      <c r="D5858" s="14" t="s">
        <v>149</v>
      </c>
      <c r="E5858" s="14" t="s">
        <v>150</v>
      </c>
      <c r="F5858" s="15" t="s">
        <v>51</v>
      </c>
      <c r="G5858" s="14" t="s">
        <v>151</v>
      </c>
      <c r="H5858" s="14" t="s">
        <v>152</v>
      </c>
      <c r="I5858" s="14" t="s">
        <v>54</v>
      </c>
      <c r="J5858" s="14" t="s">
        <v>200</v>
      </c>
      <c r="K5858" s="14" t="s">
        <v>227</v>
      </c>
      <c r="L5858" s="14" t="s">
        <v>270</v>
      </c>
      <c r="M5858" s="14" t="s">
        <v>400</v>
      </c>
      <c r="N5858" s="14" t="s">
        <v>401</v>
      </c>
      <c r="O5858" s="14">
        <v>45.0</v>
      </c>
      <c r="P5858" s="21">
        <v>15.0</v>
      </c>
      <c r="Q5858" s="22" t="str">
        <f t="shared" ref="Q5858:R5858" si="3501">"+3"</f>
        <v>+3</v>
      </c>
      <c r="R5858" s="18" t="str">
        <f t="shared" si="3501"/>
        <v>+3</v>
      </c>
      <c r="S5858" s="14" t="s">
        <v>260</v>
      </c>
    </row>
    <row r="5859">
      <c r="A5859" s="13">
        <v>45901.0</v>
      </c>
      <c r="B5859" s="14" t="s">
        <v>47</v>
      </c>
      <c r="C5859" s="14" t="s">
        <v>48</v>
      </c>
      <c r="D5859" s="14" t="s">
        <v>87</v>
      </c>
      <c r="E5859" s="14" t="s">
        <v>88</v>
      </c>
      <c r="F5859" s="15" t="s">
        <v>51</v>
      </c>
      <c r="G5859" s="14" t="s">
        <v>89</v>
      </c>
      <c r="H5859" s="14" t="s">
        <v>90</v>
      </c>
      <c r="I5859" s="14" t="s">
        <v>59</v>
      </c>
      <c r="J5859" s="14" t="s">
        <v>200</v>
      </c>
      <c r="K5859" s="14" t="s">
        <v>223</v>
      </c>
      <c r="L5859" s="14" t="s">
        <v>422</v>
      </c>
      <c r="M5859" s="14" t="s">
        <v>423</v>
      </c>
      <c r="N5859" s="14" t="s">
        <v>424</v>
      </c>
      <c r="O5859" s="14">
        <v>100.0</v>
      </c>
      <c r="P5859" s="21">
        <v>5.0</v>
      </c>
      <c r="Q5859" s="22" t="str">
        <f t="shared" ref="Q5859:R5859" si="3502">"+0"</f>
        <v>+0</v>
      </c>
      <c r="R5859" s="18" t="str">
        <f t="shared" si="3502"/>
        <v>+0</v>
      </c>
      <c r="S5859" s="14" t="s">
        <v>260</v>
      </c>
    </row>
    <row r="5860">
      <c r="A5860" s="13">
        <v>45901.0</v>
      </c>
      <c r="B5860" s="14" t="s">
        <v>47</v>
      </c>
      <c r="C5860" s="14" t="s">
        <v>48</v>
      </c>
      <c r="D5860" s="14" t="s">
        <v>136</v>
      </c>
      <c r="E5860" s="14" t="s">
        <v>137</v>
      </c>
      <c r="F5860" s="15" t="s">
        <v>51</v>
      </c>
      <c r="G5860" s="14" t="s">
        <v>138</v>
      </c>
      <c r="H5860" s="14" t="s">
        <v>139</v>
      </c>
      <c r="I5860" s="14" t="s">
        <v>59</v>
      </c>
      <c r="J5860" s="14" t="s">
        <v>200</v>
      </c>
      <c r="K5860" s="14" t="s">
        <v>213</v>
      </c>
      <c r="L5860" s="14" t="s">
        <v>440</v>
      </c>
      <c r="M5860" s="14" t="s">
        <v>441</v>
      </c>
      <c r="N5860" s="14" t="s">
        <v>442</v>
      </c>
      <c r="O5860" s="14">
        <v>0.0</v>
      </c>
      <c r="P5860" s="23">
        <v>0.0</v>
      </c>
      <c r="Q5860" s="22" t="str">
        <f t="shared" ref="Q5860:R5860" si="3503">"+0.00%"</f>
        <v>+0.00%</v>
      </c>
      <c r="R5860" s="18" t="str">
        <f t="shared" si="3503"/>
        <v>+0.00%</v>
      </c>
      <c r="S5860" s="14" t="s">
        <v>285</v>
      </c>
    </row>
    <row r="5861">
      <c r="A5861" s="13">
        <v>45901.0</v>
      </c>
      <c r="B5861" s="14" t="s">
        <v>47</v>
      </c>
      <c r="C5861" s="14" t="s">
        <v>48</v>
      </c>
      <c r="D5861" s="14" t="s">
        <v>129</v>
      </c>
      <c r="E5861" s="14" t="s">
        <v>130</v>
      </c>
      <c r="F5861" s="15" t="s">
        <v>51</v>
      </c>
      <c r="G5861" s="14" t="s">
        <v>131</v>
      </c>
      <c r="H5861" s="14" t="s">
        <v>129</v>
      </c>
      <c r="I5861" s="14" t="s">
        <v>59</v>
      </c>
      <c r="J5861" s="14" t="s">
        <v>198</v>
      </c>
      <c r="K5861" s="14" t="s">
        <v>205</v>
      </c>
      <c r="L5861" s="14" t="s">
        <v>274</v>
      </c>
      <c r="M5861" s="14" t="s">
        <v>354</v>
      </c>
      <c r="N5861" s="14" t="s">
        <v>355</v>
      </c>
      <c r="O5861" s="14">
        <v>28.0</v>
      </c>
      <c r="P5861" s="21">
        <v>10.0</v>
      </c>
      <c r="Q5861" s="22" t="str">
        <f>"+0"</f>
        <v>+0</v>
      </c>
      <c r="S5861" s="14" t="s">
        <v>356</v>
      </c>
    </row>
    <row r="5862">
      <c r="A5862" s="13">
        <v>45901.0</v>
      </c>
      <c r="B5862" s="14" t="s">
        <v>47</v>
      </c>
      <c r="C5862" s="14" t="s">
        <v>48</v>
      </c>
      <c r="D5862" s="14" t="s">
        <v>129</v>
      </c>
      <c r="E5862" s="14" t="s">
        <v>130</v>
      </c>
      <c r="F5862" s="15" t="s">
        <v>51</v>
      </c>
      <c r="G5862" s="14" t="s">
        <v>131</v>
      </c>
      <c r="H5862" s="14" t="s">
        <v>129</v>
      </c>
      <c r="I5862" s="14" t="s">
        <v>59</v>
      </c>
      <c r="J5862" s="14" t="s">
        <v>200</v>
      </c>
      <c r="K5862" s="14" t="s">
        <v>201</v>
      </c>
      <c r="L5862" s="14" t="s">
        <v>253</v>
      </c>
      <c r="M5862" s="14" t="s">
        <v>1411</v>
      </c>
      <c r="N5862" s="14" t="s">
        <v>1412</v>
      </c>
      <c r="O5862" s="14">
        <v>1.0</v>
      </c>
      <c r="P5862" s="23">
        <v>0.0147</v>
      </c>
      <c r="Q5862" s="22" t="str">
        <f>"-0.22%"</f>
        <v>-0.22%</v>
      </c>
      <c r="R5862" s="18" t="str">
        <f>"-0.55%"</f>
        <v>-0.55%</v>
      </c>
      <c r="S5862" s="14" t="s">
        <v>1413</v>
      </c>
    </row>
    <row r="5863">
      <c r="A5863" s="13">
        <v>45901.0</v>
      </c>
      <c r="B5863" s="14" t="s">
        <v>47</v>
      </c>
      <c r="C5863" s="14" t="s">
        <v>48</v>
      </c>
      <c r="D5863" s="14" t="s">
        <v>129</v>
      </c>
      <c r="E5863" s="14" t="s">
        <v>130</v>
      </c>
      <c r="F5863" s="15" t="s">
        <v>51</v>
      </c>
      <c r="G5863" s="14" t="s">
        <v>131</v>
      </c>
      <c r="H5863" s="14" t="s">
        <v>129</v>
      </c>
      <c r="I5863" s="14" t="s">
        <v>59</v>
      </c>
      <c r="J5863" s="14" t="s">
        <v>200</v>
      </c>
      <c r="K5863" s="14" t="s">
        <v>231</v>
      </c>
      <c r="L5863" s="14" t="s">
        <v>512</v>
      </c>
      <c r="M5863" s="14" t="s">
        <v>1810</v>
      </c>
      <c r="N5863" s="14" t="s">
        <v>1811</v>
      </c>
      <c r="O5863" s="14">
        <v>0.0</v>
      </c>
      <c r="P5863" s="21">
        <v>0.0</v>
      </c>
      <c r="Q5863" s="22" t="str">
        <f t="shared" ref="Q5863:R5863" si="3504">"+0"</f>
        <v>+0</v>
      </c>
      <c r="R5863" s="18" t="str">
        <f t="shared" si="3504"/>
        <v>+0</v>
      </c>
      <c r="S5863" s="14" t="s">
        <v>260</v>
      </c>
    </row>
    <row r="5864">
      <c r="A5864" s="13">
        <v>45901.0</v>
      </c>
      <c r="B5864" s="14" t="s">
        <v>47</v>
      </c>
      <c r="C5864" s="14" t="s">
        <v>48</v>
      </c>
      <c r="D5864" s="14" t="s">
        <v>116</v>
      </c>
      <c r="E5864" s="14" t="s">
        <v>117</v>
      </c>
      <c r="F5864" s="15" t="s">
        <v>51</v>
      </c>
      <c r="G5864" s="14" t="s">
        <v>161</v>
      </c>
      <c r="H5864" s="14" t="s">
        <v>116</v>
      </c>
      <c r="I5864" s="14" t="s">
        <v>54</v>
      </c>
      <c r="J5864" s="14" t="s">
        <v>200</v>
      </c>
      <c r="K5864" s="14" t="s">
        <v>224</v>
      </c>
      <c r="L5864" s="14" t="s">
        <v>253</v>
      </c>
      <c r="M5864" s="14" t="s">
        <v>1224</v>
      </c>
      <c r="N5864" s="14" t="s">
        <v>1225</v>
      </c>
      <c r="O5864" s="14">
        <v>6.0</v>
      </c>
      <c r="P5864" s="23">
        <v>0.0606</v>
      </c>
      <c r="Q5864" s="22" t="str">
        <f t="shared" ref="Q5864:R5864" si="3505">"+6.06%"</f>
        <v>+6.06%</v>
      </c>
      <c r="R5864" s="18" t="str">
        <f t="shared" si="3505"/>
        <v>+6.06%</v>
      </c>
      <c r="S5864" s="14" t="s">
        <v>2579</v>
      </c>
    </row>
    <row r="5865">
      <c r="A5865" s="13">
        <v>45901.0</v>
      </c>
      <c r="B5865" s="14" t="s">
        <v>47</v>
      </c>
      <c r="C5865" s="14" t="s">
        <v>48</v>
      </c>
      <c r="D5865" s="14" t="s">
        <v>112</v>
      </c>
      <c r="E5865" s="14" t="s">
        <v>113</v>
      </c>
      <c r="F5865" s="15" t="s">
        <v>51</v>
      </c>
      <c r="G5865" s="14" t="s">
        <v>114</v>
      </c>
      <c r="H5865" s="14" t="s">
        <v>112</v>
      </c>
      <c r="I5865" s="14" t="s">
        <v>59</v>
      </c>
      <c r="J5865" s="14" t="s">
        <v>199</v>
      </c>
      <c r="K5865" s="14" t="s">
        <v>203</v>
      </c>
      <c r="L5865" s="14" t="s">
        <v>725</v>
      </c>
      <c r="M5865" s="14" t="s">
        <v>725</v>
      </c>
      <c r="N5865" s="14" t="s">
        <v>726</v>
      </c>
      <c r="O5865" s="14">
        <v>0.0</v>
      </c>
      <c r="P5865" s="21">
        <v>0.0</v>
      </c>
      <c r="Q5865" s="22" t="str">
        <f t="shared" ref="Q5865:R5865" si="3506">"+0"</f>
        <v>+0</v>
      </c>
      <c r="R5865" s="18" t="str">
        <f t="shared" si="3506"/>
        <v>+0</v>
      </c>
      <c r="S5865" s="14" t="s">
        <v>260</v>
      </c>
    </row>
    <row r="5866">
      <c r="A5866" s="13">
        <v>45901.0</v>
      </c>
      <c r="B5866" s="14" t="s">
        <v>47</v>
      </c>
      <c r="C5866" s="14" t="s">
        <v>48</v>
      </c>
      <c r="D5866" s="14" t="s">
        <v>77</v>
      </c>
      <c r="E5866" s="14" t="s">
        <v>78</v>
      </c>
      <c r="F5866" s="15" t="s">
        <v>51</v>
      </c>
      <c r="G5866" s="14" t="s">
        <v>128</v>
      </c>
      <c r="H5866" s="14" t="s">
        <v>81</v>
      </c>
      <c r="I5866" s="14" t="s">
        <v>59</v>
      </c>
      <c r="J5866" s="14" t="s">
        <v>198</v>
      </c>
      <c r="K5866" s="14" t="s">
        <v>210</v>
      </c>
      <c r="L5866" s="14" t="s">
        <v>264</v>
      </c>
      <c r="M5866" s="14" t="s">
        <v>265</v>
      </c>
      <c r="N5866" s="14" t="s">
        <v>266</v>
      </c>
      <c r="O5866" s="14">
        <v>73.0</v>
      </c>
      <c r="P5866" s="21">
        <v>60.0</v>
      </c>
      <c r="Q5866" s="22" t="str">
        <f>"-25"</f>
        <v>-25</v>
      </c>
      <c r="R5866" s="18" t="str">
        <f>"-181"</f>
        <v>-181</v>
      </c>
      <c r="S5866" s="14" t="s">
        <v>1867</v>
      </c>
    </row>
    <row r="5867">
      <c r="A5867" s="13">
        <v>45901.0</v>
      </c>
      <c r="B5867" s="14" t="s">
        <v>47</v>
      </c>
      <c r="C5867" s="14" t="s">
        <v>48</v>
      </c>
      <c r="D5867" s="14" t="s">
        <v>174</v>
      </c>
      <c r="E5867" s="14" t="s">
        <v>175</v>
      </c>
      <c r="F5867" s="15" t="s">
        <v>51</v>
      </c>
      <c r="G5867" s="14" t="s">
        <v>176</v>
      </c>
      <c r="H5867" s="14" t="s">
        <v>174</v>
      </c>
      <c r="I5867" s="14" t="s">
        <v>59</v>
      </c>
      <c r="J5867" s="14" t="s">
        <v>200</v>
      </c>
      <c r="K5867" s="14" t="s">
        <v>213</v>
      </c>
      <c r="L5867" s="14" t="s">
        <v>289</v>
      </c>
      <c r="M5867" s="14" t="s">
        <v>331</v>
      </c>
      <c r="N5867" s="14" t="s">
        <v>332</v>
      </c>
      <c r="O5867" s="14">
        <v>0.0</v>
      </c>
      <c r="P5867" s="23">
        <v>0.0</v>
      </c>
      <c r="Q5867" s="22" t="str">
        <f t="shared" ref="Q5867:R5867" si="3507">"+0.00%"</f>
        <v>+0.00%</v>
      </c>
      <c r="R5867" s="18" t="str">
        <f t="shared" si="3507"/>
        <v>+0.00%</v>
      </c>
      <c r="S5867" s="14" t="s">
        <v>285</v>
      </c>
    </row>
    <row r="5868">
      <c r="A5868" s="13">
        <v>45901.0</v>
      </c>
      <c r="B5868" s="14" t="s">
        <v>47</v>
      </c>
      <c r="C5868" s="14" t="s">
        <v>48</v>
      </c>
      <c r="D5868" s="14" t="s">
        <v>108</v>
      </c>
      <c r="E5868" s="14" t="s">
        <v>109</v>
      </c>
      <c r="F5868" s="14" t="s">
        <v>146</v>
      </c>
      <c r="G5868" s="14" t="s">
        <v>180</v>
      </c>
      <c r="H5868" s="14" t="s">
        <v>108</v>
      </c>
      <c r="I5868" s="14" t="s">
        <v>59</v>
      </c>
      <c r="J5868" s="14" t="s">
        <v>199</v>
      </c>
      <c r="K5868" s="14" t="s">
        <v>206</v>
      </c>
      <c r="L5868" s="14" t="s">
        <v>295</v>
      </c>
      <c r="M5868" s="14" t="s">
        <v>461</v>
      </c>
      <c r="N5868" s="14" t="s">
        <v>462</v>
      </c>
      <c r="O5868" s="14">
        <v>0.0</v>
      </c>
      <c r="P5868" s="21">
        <v>0.0</v>
      </c>
      <c r="Q5868" s="22" t="str">
        <f>"+0"</f>
        <v>+0</v>
      </c>
      <c r="S5868" s="14" t="s">
        <v>260</v>
      </c>
    </row>
    <row r="5869">
      <c r="A5869" s="13">
        <v>45901.0</v>
      </c>
      <c r="B5869" s="14" t="s">
        <v>47</v>
      </c>
      <c r="C5869" s="14" t="s">
        <v>48</v>
      </c>
      <c r="D5869" s="14" t="s">
        <v>77</v>
      </c>
      <c r="E5869" s="14" t="s">
        <v>78</v>
      </c>
      <c r="F5869" s="15" t="s">
        <v>51</v>
      </c>
      <c r="G5869" s="14" t="s">
        <v>128</v>
      </c>
      <c r="H5869" s="14" t="s">
        <v>81</v>
      </c>
      <c r="I5869" s="14" t="s">
        <v>59</v>
      </c>
      <c r="J5869" s="14" t="s">
        <v>200</v>
      </c>
      <c r="K5869" s="14" t="s">
        <v>223</v>
      </c>
      <c r="L5869" s="14" t="s">
        <v>440</v>
      </c>
      <c r="M5869" s="14" t="s">
        <v>441</v>
      </c>
      <c r="N5869" s="14" t="s">
        <v>442</v>
      </c>
      <c r="O5869" s="14">
        <v>0.0</v>
      </c>
      <c r="P5869" s="23">
        <v>0.0</v>
      </c>
      <c r="Q5869" s="22" t="str">
        <f t="shared" ref="Q5869:R5869" si="3508">"+0.00%"</f>
        <v>+0.00%</v>
      </c>
      <c r="R5869" s="18" t="str">
        <f t="shared" si="3508"/>
        <v>+0.00%</v>
      </c>
      <c r="S5869" s="14" t="s">
        <v>285</v>
      </c>
    </row>
    <row r="5870">
      <c r="A5870" s="13">
        <v>45901.0</v>
      </c>
      <c r="B5870" s="14" t="s">
        <v>47</v>
      </c>
      <c r="C5870" s="14" t="s">
        <v>48</v>
      </c>
      <c r="D5870" s="14" t="s">
        <v>108</v>
      </c>
      <c r="E5870" s="14" t="s">
        <v>109</v>
      </c>
      <c r="F5870" s="14" t="s">
        <v>146</v>
      </c>
      <c r="G5870" s="14" t="s">
        <v>180</v>
      </c>
      <c r="H5870" s="14" t="s">
        <v>108</v>
      </c>
      <c r="I5870" s="14" t="s">
        <v>59</v>
      </c>
      <c r="J5870" s="14" t="s">
        <v>200</v>
      </c>
      <c r="K5870" s="14" t="s">
        <v>226</v>
      </c>
      <c r="L5870" s="14" t="s">
        <v>672</v>
      </c>
      <c r="M5870" s="14" t="s">
        <v>1888</v>
      </c>
      <c r="N5870" s="14" t="s">
        <v>1889</v>
      </c>
      <c r="O5870" s="14">
        <v>100.0</v>
      </c>
      <c r="P5870" s="23">
        <v>1.0</v>
      </c>
      <c r="Q5870" s="22" t="str">
        <f>"+82.35%"</f>
        <v>+82.35%</v>
      </c>
      <c r="S5870" s="14" t="s">
        <v>2580</v>
      </c>
    </row>
    <row r="5871">
      <c r="A5871" s="13">
        <v>45901.0</v>
      </c>
      <c r="B5871" s="14" t="s">
        <v>47</v>
      </c>
      <c r="C5871" s="14" t="s">
        <v>48</v>
      </c>
      <c r="D5871" s="14" t="s">
        <v>60</v>
      </c>
      <c r="E5871" s="14" t="s">
        <v>61</v>
      </c>
      <c r="F5871" s="15" t="s">
        <v>51</v>
      </c>
      <c r="G5871" s="14" t="s">
        <v>62</v>
      </c>
      <c r="H5871" s="14" t="s">
        <v>60</v>
      </c>
      <c r="I5871" s="14" t="s">
        <v>59</v>
      </c>
      <c r="J5871" s="14" t="s">
        <v>200</v>
      </c>
      <c r="K5871" s="14" t="s">
        <v>223</v>
      </c>
      <c r="L5871" s="14" t="s">
        <v>363</v>
      </c>
      <c r="M5871" s="14" t="s">
        <v>364</v>
      </c>
      <c r="N5871" s="14" t="s">
        <v>365</v>
      </c>
      <c r="O5871" s="14">
        <v>0.0</v>
      </c>
      <c r="P5871" s="23">
        <v>0.0</v>
      </c>
      <c r="Q5871" s="22" t="str">
        <f t="shared" ref="Q5871:R5871" si="3509">"+0.00%"</f>
        <v>+0.00%</v>
      </c>
      <c r="R5871" s="18" t="str">
        <f t="shared" si="3509"/>
        <v>+0.00%</v>
      </c>
      <c r="S5871" s="14" t="s">
        <v>285</v>
      </c>
    </row>
    <row r="5872">
      <c r="A5872" s="13">
        <v>45901.0</v>
      </c>
      <c r="B5872" s="14" t="s">
        <v>47</v>
      </c>
      <c r="C5872" s="14" t="s">
        <v>48</v>
      </c>
      <c r="D5872" s="14" t="s">
        <v>56</v>
      </c>
      <c r="E5872" s="14" t="s">
        <v>57</v>
      </c>
      <c r="F5872" s="15" t="s">
        <v>51</v>
      </c>
      <c r="G5872" s="14" t="s">
        <v>58</v>
      </c>
      <c r="H5872" s="14" t="s">
        <v>56</v>
      </c>
      <c r="I5872" s="14" t="s">
        <v>59</v>
      </c>
      <c r="J5872" s="14" t="s">
        <v>199</v>
      </c>
      <c r="K5872" s="14" t="s">
        <v>203</v>
      </c>
      <c r="L5872" s="14" t="s">
        <v>601</v>
      </c>
      <c r="M5872" s="14" t="s">
        <v>601</v>
      </c>
      <c r="N5872" s="14" t="s">
        <v>602</v>
      </c>
      <c r="O5872" s="14">
        <v>0.0</v>
      </c>
      <c r="P5872" s="21">
        <v>0.0</v>
      </c>
      <c r="Q5872" s="22" t="str">
        <f t="shared" ref="Q5872:R5872" si="3510">"+0"</f>
        <v>+0</v>
      </c>
      <c r="R5872" s="18" t="str">
        <f t="shared" si="3510"/>
        <v>+0</v>
      </c>
      <c r="S5872" s="14" t="s">
        <v>260</v>
      </c>
    </row>
    <row r="5873">
      <c r="A5873" s="13">
        <v>45901.0</v>
      </c>
      <c r="B5873" s="14" t="s">
        <v>47</v>
      </c>
      <c r="C5873" s="14" t="s">
        <v>48</v>
      </c>
      <c r="D5873" s="14" t="s">
        <v>56</v>
      </c>
      <c r="E5873" s="14" t="s">
        <v>57</v>
      </c>
      <c r="F5873" s="15" t="s">
        <v>51</v>
      </c>
      <c r="G5873" s="14" t="s">
        <v>58</v>
      </c>
      <c r="H5873" s="14" t="s">
        <v>56</v>
      </c>
      <c r="I5873" s="14" t="s">
        <v>59</v>
      </c>
      <c r="J5873" s="14" t="s">
        <v>198</v>
      </c>
      <c r="K5873" s="14" t="s">
        <v>205</v>
      </c>
      <c r="L5873" s="14" t="s">
        <v>274</v>
      </c>
      <c r="M5873" s="14" t="s">
        <v>387</v>
      </c>
      <c r="N5873" s="14" t="s">
        <v>388</v>
      </c>
      <c r="O5873" s="14">
        <v>0.0</v>
      </c>
      <c r="P5873" s="21">
        <v>0.0</v>
      </c>
      <c r="Q5873" s="22" t="str">
        <f t="shared" ref="Q5873:Q5875" si="3511">"+0"</f>
        <v>+0</v>
      </c>
      <c r="S5873" s="14" t="s">
        <v>281</v>
      </c>
    </row>
    <row r="5874">
      <c r="A5874" s="13">
        <v>45901.0</v>
      </c>
      <c r="B5874" s="14" t="s">
        <v>47</v>
      </c>
      <c r="C5874" s="14" t="s">
        <v>48</v>
      </c>
      <c r="D5874" s="14" t="s">
        <v>165</v>
      </c>
      <c r="E5874" s="14" t="s">
        <v>166</v>
      </c>
      <c r="F5874" s="15" t="s">
        <v>51</v>
      </c>
      <c r="G5874" s="14" t="s">
        <v>167</v>
      </c>
      <c r="H5874" s="14" t="s">
        <v>165</v>
      </c>
      <c r="I5874" s="14" t="s">
        <v>54</v>
      </c>
      <c r="J5874" s="14" t="s">
        <v>198</v>
      </c>
      <c r="K5874" s="14" t="s">
        <v>210</v>
      </c>
      <c r="L5874" s="14" t="s">
        <v>264</v>
      </c>
      <c r="M5874" s="14" t="s">
        <v>989</v>
      </c>
      <c r="N5874" s="14" t="s">
        <v>990</v>
      </c>
      <c r="O5874" s="14">
        <v>0.0</v>
      </c>
      <c r="P5874" s="21">
        <v>0.0</v>
      </c>
      <c r="Q5874" s="22" t="str">
        <f t="shared" si="3511"/>
        <v>+0</v>
      </c>
      <c r="R5874" s="18" t="str">
        <f>"+0"</f>
        <v>+0</v>
      </c>
      <c r="S5874" s="14" t="s">
        <v>277</v>
      </c>
    </row>
    <row r="5875">
      <c r="A5875" s="13">
        <v>45901.0</v>
      </c>
      <c r="B5875" s="14" t="s">
        <v>47</v>
      </c>
      <c r="C5875" s="14" t="s">
        <v>48</v>
      </c>
      <c r="D5875" s="14" t="s">
        <v>49</v>
      </c>
      <c r="E5875" s="14" t="s">
        <v>50</v>
      </c>
      <c r="F5875" s="15" t="s">
        <v>51</v>
      </c>
      <c r="G5875" s="14" t="s">
        <v>52</v>
      </c>
      <c r="H5875" s="14" t="s">
        <v>53</v>
      </c>
      <c r="I5875" s="14" t="s">
        <v>54</v>
      </c>
      <c r="J5875" s="14" t="s">
        <v>198</v>
      </c>
      <c r="K5875" s="14" t="s">
        <v>207</v>
      </c>
      <c r="L5875" s="14" t="s">
        <v>318</v>
      </c>
      <c r="M5875" s="14" t="s">
        <v>508</v>
      </c>
      <c r="N5875" s="14" t="s">
        <v>509</v>
      </c>
      <c r="O5875" s="14">
        <v>100.0</v>
      </c>
      <c r="P5875" s="21">
        <v>1.0</v>
      </c>
      <c r="Q5875" s="22" t="str">
        <f t="shared" si="3511"/>
        <v>+0</v>
      </c>
      <c r="S5875" s="14" t="s">
        <v>281</v>
      </c>
    </row>
    <row r="5876">
      <c r="A5876" s="13">
        <v>45901.0</v>
      </c>
      <c r="B5876" s="14" t="s">
        <v>47</v>
      </c>
      <c r="C5876" s="14" t="s">
        <v>48</v>
      </c>
      <c r="D5876" s="14" t="s">
        <v>165</v>
      </c>
      <c r="E5876" s="14" t="s">
        <v>166</v>
      </c>
      <c r="F5876" s="15" t="s">
        <v>51</v>
      </c>
      <c r="G5876" s="14" t="s">
        <v>167</v>
      </c>
      <c r="H5876" s="14" t="s">
        <v>165</v>
      </c>
      <c r="I5876" s="14" t="s">
        <v>54</v>
      </c>
      <c r="J5876" s="14" t="s">
        <v>200</v>
      </c>
      <c r="K5876" s="14" t="s">
        <v>224</v>
      </c>
      <c r="L5876" s="14" t="s">
        <v>436</v>
      </c>
      <c r="M5876" s="14" t="s">
        <v>437</v>
      </c>
      <c r="N5876" s="14" t="s">
        <v>438</v>
      </c>
      <c r="O5876" s="14">
        <v>9.0</v>
      </c>
      <c r="P5876" s="23">
        <v>0.0909</v>
      </c>
      <c r="Q5876" s="22" t="str">
        <f>"-3.41%"</f>
        <v>-3.41%</v>
      </c>
      <c r="R5876" s="18" t="str">
        <f>"-1.44%"</f>
        <v>-1.44%</v>
      </c>
      <c r="S5876" s="14" t="s">
        <v>1530</v>
      </c>
    </row>
    <row r="5877">
      <c r="A5877" s="13">
        <v>45901.0</v>
      </c>
      <c r="B5877" s="14" t="s">
        <v>47</v>
      </c>
      <c r="C5877" s="14" t="s">
        <v>48</v>
      </c>
      <c r="D5877" s="14" t="s">
        <v>165</v>
      </c>
      <c r="E5877" s="14" t="s">
        <v>166</v>
      </c>
      <c r="F5877" s="15" t="s">
        <v>51</v>
      </c>
      <c r="G5877" s="14" t="s">
        <v>167</v>
      </c>
      <c r="H5877" s="14" t="s">
        <v>165</v>
      </c>
      <c r="I5877" s="14" t="s">
        <v>54</v>
      </c>
      <c r="J5877" s="14" t="s">
        <v>198</v>
      </c>
      <c r="K5877" s="14" t="s">
        <v>210</v>
      </c>
      <c r="L5877" s="14" t="s">
        <v>458</v>
      </c>
      <c r="M5877" s="14" t="s">
        <v>1401</v>
      </c>
      <c r="N5877" s="14" t="s">
        <v>1402</v>
      </c>
      <c r="O5877" s="14">
        <v>0.0</v>
      </c>
      <c r="P5877" s="21">
        <v>0.0</v>
      </c>
      <c r="Q5877" s="22" t="str">
        <f t="shared" ref="Q5877:R5877" si="3512">"+0"</f>
        <v>+0</v>
      </c>
      <c r="R5877" s="18" t="str">
        <f t="shared" si="3512"/>
        <v>+0</v>
      </c>
      <c r="S5877" s="14" t="s">
        <v>277</v>
      </c>
    </row>
    <row r="5878">
      <c r="A5878" s="13">
        <v>45901.0</v>
      </c>
      <c r="B5878" s="14" t="s">
        <v>47</v>
      </c>
      <c r="C5878" s="14" t="s">
        <v>48</v>
      </c>
      <c r="D5878" s="14" t="s">
        <v>165</v>
      </c>
      <c r="E5878" s="14" t="s">
        <v>166</v>
      </c>
      <c r="F5878" s="15" t="s">
        <v>51</v>
      </c>
      <c r="G5878" s="14" t="s">
        <v>167</v>
      </c>
      <c r="H5878" s="14" t="s">
        <v>165</v>
      </c>
      <c r="I5878" s="14" t="s">
        <v>54</v>
      </c>
      <c r="J5878" s="14" t="s">
        <v>198</v>
      </c>
      <c r="K5878" s="14" t="s">
        <v>212</v>
      </c>
      <c r="L5878" s="14" t="s">
        <v>249</v>
      </c>
      <c r="M5878" s="14" t="s">
        <v>604</v>
      </c>
      <c r="N5878" s="14" t="s">
        <v>605</v>
      </c>
      <c r="O5878" s="14">
        <v>0.0</v>
      </c>
      <c r="P5878" s="21">
        <v>0.0</v>
      </c>
      <c r="Q5878" s="22" t="str">
        <f t="shared" ref="Q5878:R5878" si="3513">"+0"</f>
        <v>+0</v>
      </c>
      <c r="R5878" s="18" t="str">
        <f t="shared" si="3513"/>
        <v>+0</v>
      </c>
      <c r="S5878" s="14" t="s">
        <v>277</v>
      </c>
    </row>
    <row r="5879">
      <c r="A5879" s="13">
        <v>45901.0</v>
      </c>
      <c r="B5879" s="14" t="s">
        <v>47</v>
      </c>
      <c r="C5879" s="14" t="s">
        <v>48</v>
      </c>
      <c r="D5879" s="14" t="s">
        <v>99</v>
      </c>
      <c r="E5879" s="14" t="s">
        <v>100</v>
      </c>
      <c r="F5879" s="15" t="s">
        <v>51</v>
      </c>
      <c r="G5879" s="14" t="s">
        <v>101</v>
      </c>
      <c r="H5879" s="14" t="s">
        <v>102</v>
      </c>
      <c r="I5879" s="14" t="s">
        <v>54</v>
      </c>
      <c r="J5879" s="14" t="s">
        <v>199</v>
      </c>
      <c r="K5879" s="14" t="s">
        <v>206</v>
      </c>
      <c r="L5879" s="14" t="s">
        <v>569</v>
      </c>
      <c r="M5879" s="14" t="s">
        <v>569</v>
      </c>
      <c r="N5879" s="14" t="s">
        <v>570</v>
      </c>
      <c r="O5879" s="14">
        <v>0.0</v>
      </c>
      <c r="P5879" s="21">
        <v>0.0</v>
      </c>
      <c r="Q5879" s="22" t="str">
        <f t="shared" ref="Q5879:R5879" si="3514">"+0"</f>
        <v>+0</v>
      </c>
      <c r="R5879" s="18" t="str">
        <f t="shared" si="3514"/>
        <v>+0</v>
      </c>
      <c r="S5879" s="14" t="s">
        <v>383</v>
      </c>
    </row>
    <row r="5880">
      <c r="A5880" s="13">
        <v>45901.0</v>
      </c>
      <c r="B5880" s="14" t="s">
        <v>47</v>
      </c>
      <c r="C5880" s="14" t="s">
        <v>48</v>
      </c>
      <c r="D5880" s="14" t="s">
        <v>91</v>
      </c>
      <c r="E5880" s="14" t="s">
        <v>92</v>
      </c>
      <c r="F5880" s="14" t="s">
        <v>71</v>
      </c>
      <c r="G5880" s="14">
        <v>5.10001669E8</v>
      </c>
      <c r="H5880" s="14" t="s">
        <v>91</v>
      </c>
      <c r="I5880" s="14" t="s">
        <v>107</v>
      </c>
      <c r="J5880" s="14" t="s">
        <v>200</v>
      </c>
      <c r="K5880" s="14" t="s">
        <v>218</v>
      </c>
      <c r="L5880" s="14" t="s">
        <v>253</v>
      </c>
      <c r="M5880" s="14" t="s">
        <v>463</v>
      </c>
      <c r="N5880" s="14" t="s">
        <v>464</v>
      </c>
      <c r="O5880" s="14">
        <v>100.0</v>
      </c>
      <c r="P5880" s="23">
        <v>1.0</v>
      </c>
      <c r="Q5880" s="22" t="str">
        <f t="shared" ref="Q5880:R5880" si="3515">"+0.00%"</f>
        <v>+0.00%</v>
      </c>
      <c r="R5880" s="18" t="str">
        <f t="shared" si="3515"/>
        <v>+0.00%</v>
      </c>
      <c r="S5880" s="14" t="s">
        <v>439</v>
      </c>
    </row>
    <row r="5881">
      <c r="A5881" s="13">
        <v>45901.0</v>
      </c>
      <c r="B5881" s="14" t="s">
        <v>47</v>
      </c>
      <c r="C5881" s="14" t="s">
        <v>48</v>
      </c>
      <c r="D5881" s="14" t="s">
        <v>99</v>
      </c>
      <c r="E5881" s="14" t="s">
        <v>100</v>
      </c>
      <c r="F5881" s="15" t="s">
        <v>51</v>
      </c>
      <c r="G5881" s="14" t="s">
        <v>101</v>
      </c>
      <c r="H5881" s="14" t="s">
        <v>102</v>
      </c>
      <c r="I5881" s="14" t="s">
        <v>54</v>
      </c>
      <c r="J5881" s="14" t="s">
        <v>199</v>
      </c>
      <c r="K5881" s="14" t="s">
        <v>203</v>
      </c>
      <c r="L5881" s="14" t="s">
        <v>1095</v>
      </c>
      <c r="M5881" s="14" t="s">
        <v>1095</v>
      </c>
      <c r="N5881" s="14" t="s">
        <v>1096</v>
      </c>
      <c r="O5881" s="14">
        <v>100.0</v>
      </c>
      <c r="P5881" s="21">
        <v>1.0</v>
      </c>
      <c r="Q5881" s="22" t="str">
        <f t="shared" ref="Q5881:R5881" si="3516">"+0"</f>
        <v>+0</v>
      </c>
      <c r="R5881" s="18" t="str">
        <f t="shared" si="3516"/>
        <v>+0</v>
      </c>
      <c r="S5881" s="14" t="s">
        <v>260</v>
      </c>
    </row>
    <row r="5882">
      <c r="A5882" s="13">
        <v>45901.0</v>
      </c>
      <c r="B5882" s="14" t="s">
        <v>47</v>
      </c>
      <c r="C5882" s="14" t="s">
        <v>48</v>
      </c>
      <c r="D5882" s="14" t="s">
        <v>63</v>
      </c>
      <c r="E5882" s="14" t="s">
        <v>64</v>
      </c>
      <c r="F5882" s="15" t="s">
        <v>51</v>
      </c>
      <c r="G5882" s="14" t="s">
        <v>65</v>
      </c>
      <c r="H5882" s="14" t="s">
        <v>63</v>
      </c>
      <c r="I5882" s="14" t="s">
        <v>54</v>
      </c>
      <c r="J5882" s="14" t="s">
        <v>198</v>
      </c>
      <c r="K5882" s="14" t="s">
        <v>210</v>
      </c>
      <c r="L5882" s="14" t="s">
        <v>505</v>
      </c>
      <c r="M5882" s="14" t="s">
        <v>1111</v>
      </c>
      <c r="N5882" s="14" t="s">
        <v>1112</v>
      </c>
      <c r="O5882" s="14">
        <v>0.0</v>
      </c>
      <c r="P5882" s="21">
        <v>0.0</v>
      </c>
      <c r="Q5882" s="22" t="str">
        <f t="shared" ref="Q5882:R5882" si="3517">"+0"</f>
        <v>+0</v>
      </c>
      <c r="R5882" s="18" t="str">
        <f t="shared" si="3517"/>
        <v>+0</v>
      </c>
      <c r="S5882" s="14" t="s">
        <v>277</v>
      </c>
    </row>
    <row r="5883">
      <c r="A5883" s="13">
        <v>45901.0</v>
      </c>
      <c r="B5883" s="14" t="s">
        <v>47</v>
      </c>
      <c r="C5883" s="14" t="s">
        <v>48</v>
      </c>
      <c r="D5883" s="14" t="s">
        <v>118</v>
      </c>
      <c r="E5883" s="14" t="s">
        <v>119</v>
      </c>
      <c r="F5883" s="15" t="s">
        <v>51</v>
      </c>
      <c r="G5883" s="14" t="s">
        <v>120</v>
      </c>
      <c r="H5883" s="14" t="s">
        <v>118</v>
      </c>
      <c r="I5883" s="14" t="s">
        <v>59</v>
      </c>
      <c r="J5883" s="14" t="s">
        <v>199</v>
      </c>
      <c r="K5883" s="14" t="s">
        <v>203</v>
      </c>
      <c r="L5883" s="14" t="s">
        <v>431</v>
      </c>
      <c r="M5883" s="14" t="s">
        <v>431</v>
      </c>
      <c r="N5883" s="14" t="s">
        <v>432</v>
      </c>
      <c r="O5883" s="14">
        <v>0.0</v>
      </c>
      <c r="P5883" s="21">
        <v>0.0</v>
      </c>
      <c r="Q5883" s="22" t="str">
        <f t="shared" ref="Q5883:R5883" si="3518">"+0"</f>
        <v>+0</v>
      </c>
      <c r="R5883" s="18" t="str">
        <f t="shared" si="3518"/>
        <v>+0</v>
      </c>
      <c r="S5883" s="14" t="s">
        <v>260</v>
      </c>
    </row>
    <row r="5884">
      <c r="A5884" s="13">
        <v>45901.0</v>
      </c>
      <c r="B5884" s="14" t="s">
        <v>47</v>
      </c>
      <c r="C5884" s="14" t="s">
        <v>48</v>
      </c>
      <c r="D5884" s="14" t="s">
        <v>184</v>
      </c>
      <c r="E5884" s="14" t="s">
        <v>185</v>
      </c>
      <c r="F5884" s="15" t="s">
        <v>51</v>
      </c>
      <c r="G5884" s="14" t="s">
        <v>186</v>
      </c>
      <c r="H5884" s="14" t="s">
        <v>187</v>
      </c>
      <c r="I5884" s="14" t="s">
        <v>59</v>
      </c>
      <c r="J5884" s="14" t="s">
        <v>200</v>
      </c>
      <c r="K5884" s="14" t="s">
        <v>204</v>
      </c>
      <c r="L5884" s="14" t="s">
        <v>253</v>
      </c>
      <c r="M5884" s="14" t="s">
        <v>490</v>
      </c>
      <c r="N5884" s="14" t="s">
        <v>491</v>
      </c>
      <c r="O5884" s="14">
        <v>0.0</v>
      </c>
      <c r="P5884" s="23">
        <v>0.0</v>
      </c>
      <c r="Q5884" s="22" t="str">
        <f t="shared" ref="Q5884:R5884" si="3519">"+0.00%"</f>
        <v>+0.00%</v>
      </c>
      <c r="R5884" s="18" t="str">
        <f t="shared" si="3519"/>
        <v>+0.00%</v>
      </c>
      <c r="S5884" s="14" t="s">
        <v>1862</v>
      </c>
    </row>
    <row r="5885">
      <c r="A5885" s="13">
        <v>45901.0</v>
      </c>
      <c r="B5885" s="14" t="s">
        <v>47</v>
      </c>
      <c r="C5885" s="14" t="s">
        <v>48</v>
      </c>
      <c r="D5885" s="14" t="s">
        <v>149</v>
      </c>
      <c r="E5885" s="14" t="s">
        <v>150</v>
      </c>
      <c r="F5885" s="15" t="s">
        <v>51</v>
      </c>
      <c r="G5885" s="14" t="s">
        <v>151</v>
      </c>
      <c r="H5885" s="14" t="s">
        <v>152</v>
      </c>
      <c r="I5885" s="14" t="s">
        <v>54</v>
      </c>
      <c r="J5885" s="14" t="s">
        <v>200</v>
      </c>
      <c r="K5885" s="14" t="s">
        <v>202</v>
      </c>
      <c r="L5885" s="14" t="s">
        <v>253</v>
      </c>
      <c r="M5885" s="14" t="s">
        <v>874</v>
      </c>
      <c r="N5885" s="14" t="s">
        <v>875</v>
      </c>
      <c r="O5885" s="14">
        <v>94.0</v>
      </c>
      <c r="P5885" s="23">
        <v>0.9499</v>
      </c>
      <c r="Q5885" s="22" t="str">
        <f>"-0.77%"</f>
        <v>-0.77%</v>
      </c>
      <c r="R5885" s="18" t="str">
        <f>"+0.05%"</f>
        <v>+0.05%</v>
      </c>
      <c r="S5885" s="14" t="s">
        <v>876</v>
      </c>
    </row>
    <row r="5886">
      <c r="A5886" s="13">
        <v>45901.0</v>
      </c>
      <c r="B5886" s="14" t="s">
        <v>47</v>
      </c>
      <c r="C5886" s="14" t="s">
        <v>48</v>
      </c>
      <c r="D5886" s="14" t="s">
        <v>171</v>
      </c>
      <c r="E5886" s="14" t="s">
        <v>172</v>
      </c>
      <c r="F5886" s="15" t="s">
        <v>51</v>
      </c>
      <c r="G5886" s="14" t="s">
        <v>173</v>
      </c>
      <c r="H5886" s="14" t="s">
        <v>171</v>
      </c>
      <c r="I5886" s="14" t="s">
        <v>59</v>
      </c>
      <c r="J5886" s="14" t="s">
        <v>198</v>
      </c>
      <c r="K5886" s="14" t="s">
        <v>210</v>
      </c>
      <c r="L5886" s="14" t="s">
        <v>264</v>
      </c>
      <c r="M5886" s="14" t="s">
        <v>470</v>
      </c>
      <c r="N5886" s="14" t="s">
        <v>471</v>
      </c>
      <c r="O5886" s="14">
        <v>100.0</v>
      </c>
      <c r="P5886" s="21">
        <v>0.0</v>
      </c>
      <c r="Q5886" s="22" t="str">
        <f t="shared" ref="Q5886:R5886" si="3520">"+0"</f>
        <v>+0</v>
      </c>
      <c r="R5886" s="18" t="str">
        <f t="shared" si="3520"/>
        <v>+0</v>
      </c>
      <c r="S5886" s="14" t="s">
        <v>281</v>
      </c>
    </row>
    <row r="5887">
      <c r="A5887" s="13">
        <v>45901.0</v>
      </c>
      <c r="B5887" s="14" t="s">
        <v>47</v>
      </c>
      <c r="C5887" s="14" t="s">
        <v>48</v>
      </c>
      <c r="D5887" s="14" t="s">
        <v>149</v>
      </c>
      <c r="E5887" s="14" t="s">
        <v>150</v>
      </c>
      <c r="F5887" s="15" t="s">
        <v>51</v>
      </c>
      <c r="G5887" s="14" t="s">
        <v>151</v>
      </c>
      <c r="H5887" s="14" t="s">
        <v>152</v>
      </c>
      <c r="I5887" s="14" t="s">
        <v>54</v>
      </c>
      <c r="J5887" s="14" t="s">
        <v>198</v>
      </c>
      <c r="K5887" s="14" t="s">
        <v>210</v>
      </c>
      <c r="L5887" s="14" t="s">
        <v>264</v>
      </c>
      <c r="M5887" s="14" t="s">
        <v>1064</v>
      </c>
      <c r="N5887" s="14" t="s">
        <v>1065</v>
      </c>
      <c r="O5887" s="14">
        <v>100.0</v>
      </c>
      <c r="P5887" s="21">
        <v>1.0</v>
      </c>
      <c r="Q5887" s="22" t="str">
        <f t="shared" ref="Q5887:R5887" si="3521">"+1"</f>
        <v>+1</v>
      </c>
      <c r="R5887" s="18" t="str">
        <f t="shared" si="3521"/>
        <v>+1</v>
      </c>
      <c r="S5887" s="14" t="s">
        <v>277</v>
      </c>
    </row>
    <row r="5888">
      <c r="A5888" s="13">
        <v>45901.0</v>
      </c>
      <c r="B5888" s="14" t="s">
        <v>47</v>
      </c>
      <c r="C5888" s="14" t="s">
        <v>48</v>
      </c>
      <c r="D5888" s="14" t="s">
        <v>85</v>
      </c>
      <c r="E5888" s="14" t="s">
        <v>86</v>
      </c>
      <c r="F5888" s="14" t="s">
        <v>146</v>
      </c>
      <c r="G5888" s="14" t="s">
        <v>162</v>
      </c>
      <c r="H5888" s="14" t="s">
        <v>85</v>
      </c>
      <c r="I5888" s="14" t="s">
        <v>107</v>
      </c>
      <c r="J5888" s="14" t="s">
        <v>199</v>
      </c>
      <c r="K5888" s="14" t="s">
        <v>206</v>
      </c>
      <c r="L5888" s="14" t="s">
        <v>433</v>
      </c>
      <c r="M5888" s="14" t="s">
        <v>433</v>
      </c>
      <c r="N5888" s="14" t="s">
        <v>434</v>
      </c>
      <c r="O5888" s="14">
        <v>100.0</v>
      </c>
      <c r="P5888" s="21">
        <v>25.0</v>
      </c>
      <c r="Q5888" s="22" t="str">
        <f>"-4"</f>
        <v>-4</v>
      </c>
      <c r="R5888" s="18" t="str">
        <f>"+9"</f>
        <v>+9</v>
      </c>
      <c r="S5888" s="14" t="s">
        <v>383</v>
      </c>
    </row>
    <row r="5889">
      <c r="A5889" s="13">
        <v>45901.0</v>
      </c>
      <c r="B5889" s="14" t="s">
        <v>47</v>
      </c>
      <c r="C5889" s="14" t="s">
        <v>48</v>
      </c>
      <c r="D5889" s="14" t="s">
        <v>69</v>
      </c>
      <c r="E5889" s="14" t="s">
        <v>70</v>
      </c>
      <c r="F5889" s="15" t="s">
        <v>51</v>
      </c>
      <c r="G5889" s="14" t="s">
        <v>115</v>
      </c>
      <c r="H5889" s="14" t="s">
        <v>72</v>
      </c>
      <c r="I5889" s="14" t="s">
        <v>54</v>
      </c>
      <c r="J5889" s="14" t="s">
        <v>198</v>
      </c>
      <c r="K5889" s="14" t="s">
        <v>205</v>
      </c>
      <c r="L5889" s="14" t="s">
        <v>274</v>
      </c>
      <c r="M5889" s="14" t="s">
        <v>791</v>
      </c>
      <c r="N5889" s="14" t="s">
        <v>792</v>
      </c>
      <c r="O5889" s="14">
        <v>100.0</v>
      </c>
      <c r="P5889" s="21">
        <v>4.0</v>
      </c>
      <c r="Q5889" s="22" t="str">
        <f>"+0"</f>
        <v>+0</v>
      </c>
      <c r="S5889" s="14" t="s">
        <v>260</v>
      </c>
    </row>
    <row r="5890">
      <c r="A5890" s="13">
        <v>45901.0</v>
      </c>
      <c r="B5890" s="14" t="s">
        <v>47</v>
      </c>
      <c r="C5890" s="14" t="s">
        <v>48</v>
      </c>
      <c r="D5890" s="14" t="s">
        <v>96</v>
      </c>
      <c r="E5890" s="14" t="s">
        <v>97</v>
      </c>
      <c r="F5890" s="15" t="s">
        <v>51</v>
      </c>
      <c r="G5890" s="14" t="s">
        <v>98</v>
      </c>
      <c r="H5890" s="14" t="s">
        <v>96</v>
      </c>
      <c r="I5890" s="14" t="s">
        <v>59</v>
      </c>
      <c r="J5890" s="14" t="s">
        <v>198</v>
      </c>
      <c r="K5890" s="14" t="s">
        <v>212</v>
      </c>
      <c r="L5890" s="14" t="s">
        <v>249</v>
      </c>
      <c r="M5890" s="14" t="s">
        <v>250</v>
      </c>
      <c r="N5890" s="14" t="s">
        <v>251</v>
      </c>
      <c r="O5890" s="14">
        <v>82.0</v>
      </c>
      <c r="P5890" s="21">
        <v>402.0</v>
      </c>
      <c r="Q5890" s="22" t="str">
        <f>"+193"</f>
        <v>+193</v>
      </c>
      <c r="R5890" s="18" t="str">
        <f>"-2,418"</f>
        <v>-2,418</v>
      </c>
      <c r="S5890" s="14" t="s">
        <v>2581</v>
      </c>
    </row>
    <row r="5891">
      <c r="A5891" s="13">
        <v>45901.0</v>
      </c>
      <c r="B5891" s="14" t="s">
        <v>47</v>
      </c>
      <c r="C5891" s="14" t="s">
        <v>48</v>
      </c>
      <c r="D5891" s="14" t="s">
        <v>195</v>
      </c>
      <c r="E5891" s="14" t="s">
        <v>196</v>
      </c>
      <c r="F5891" s="14" t="s">
        <v>111</v>
      </c>
      <c r="G5891" s="14">
        <v>5252823.0</v>
      </c>
      <c r="H5891" s="14" t="s">
        <v>197</v>
      </c>
      <c r="I5891" s="14" t="s">
        <v>59</v>
      </c>
      <c r="J5891" s="14" t="s">
        <v>199</v>
      </c>
      <c r="K5891" s="14" t="s">
        <v>203</v>
      </c>
      <c r="L5891" s="14" t="s">
        <v>725</v>
      </c>
      <c r="M5891" s="14" t="s">
        <v>725</v>
      </c>
      <c r="N5891" s="14" t="s">
        <v>726</v>
      </c>
      <c r="O5891" s="14">
        <v>0.0</v>
      </c>
      <c r="P5891" s="21">
        <v>0.0</v>
      </c>
      <c r="Q5891" s="22" t="str">
        <f t="shared" ref="Q5891:R5891" si="3522">"+0"</f>
        <v>+0</v>
      </c>
      <c r="R5891" s="18" t="str">
        <f t="shared" si="3522"/>
        <v>+0</v>
      </c>
      <c r="S5891" s="14" t="s">
        <v>260</v>
      </c>
    </row>
    <row r="5892">
      <c r="A5892" s="13">
        <v>45901.0</v>
      </c>
      <c r="B5892" s="14" t="s">
        <v>47</v>
      </c>
      <c r="C5892" s="14" t="s">
        <v>48</v>
      </c>
      <c r="D5892" s="14" t="s">
        <v>96</v>
      </c>
      <c r="E5892" s="14" t="s">
        <v>97</v>
      </c>
      <c r="F5892" s="15" t="s">
        <v>51</v>
      </c>
      <c r="G5892" s="14" t="s">
        <v>98</v>
      </c>
      <c r="H5892" s="14" t="s">
        <v>96</v>
      </c>
      <c r="I5892" s="14" t="s">
        <v>59</v>
      </c>
      <c r="J5892" s="14" t="s">
        <v>200</v>
      </c>
      <c r="K5892" s="14" t="s">
        <v>223</v>
      </c>
      <c r="L5892" s="14" t="s">
        <v>607</v>
      </c>
      <c r="M5892" s="14" t="s">
        <v>758</v>
      </c>
      <c r="N5892" s="14" t="s">
        <v>759</v>
      </c>
      <c r="O5892" s="14">
        <v>0.0</v>
      </c>
      <c r="P5892" s="23">
        <v>-1.0</v>
      </c>
      <c r="Q5892" s="22" t="str">
        <f t="shared" ref="Q5892:R5892" si="3523">"+0.00%"</f>
        <v>+0.00%</v>
      </c>
      <c r="R5892" s="18" t="str">
        <f t="shared" si="3523"/>
        <v>+0.00%</v>
      </c>
      <c r="S5892" s="14" t="s">
        <v>2582</v>
      </c>
    </row>
    <row r="5893">
      <c r="A5893" s="13">
        <v>45901.0</v>
      </c>
      <c r="B5893" s="14" t="s">
        <v>47</v>
      </c>
      <c r="C5893" s="14" t="s">
        <v>48</v>
      </c>
      <c r="D5893" s="14" t="s">
        <v>69</v>
      </c>
      <c r="E5893" s="14" t="s">
        <v>70</v>
      </c>
      <c r="F5893" s="15" t="s">
        <v>51</v>
      </c>
      <c r="G5893" s="14" t="s">
        <v>115</v>
      </c>
      <c r="H5893" s="14" t="s">
        <v>72</v>
      </c>
      <c r="I5893" s="14" t="s">
        <v>54</v>
      </c>
      <c r="J5893" s="14" t="s">
        <v>198</v>
      </c>
      <c r="K5893" s="14" t="s">
        <v>210</v>
      </c>
      <c r="L5893" s="14" t="s">
        <v>264</v>
      </c>
      <c r="M5893" s="14" t="s">
        <v>1274</v>
      </c>
      <c r="N5893" s="14" t="s">
        <v>1275</v>
      </c>
      <c r="O5893" s="14">
        <v>0.0</v>
      </c>
      <c r="P5893" s="21">
        <v>0.0</v>
      </c>
      <c r="Q5893" s="22" t="str">
        <f t="shared" ref="Q5893:R5893" si="3524">"+0"</f>
        <v>+0</v>
      </c>
      <c r="R5893" s="18" t="str">
        <f t="shared" si="3524"/>
        <v>+0</v>
      </c>
      <c r="S5893" s="14" t="s">
        <v>277</v>
      </c>
    </row>
    <row r="5894">
      <c r="A5894" s="13">
        <v>45901.0</v>
      </c>
      <c r="B5894" s="14" t="s">
        <v>47</v>
      </c>
      <c r="C5894" s="14" t="s">
        <v>48</v>
      </c>
      <c r="D5894" s="14" t="s">
        <v>116</v>
      </c>
      <c r="E5894" s="14" t="s">
        <v>117</v>
      </c>
      <c r="F5894" s="15" t="s">
        <v>51</v>
      </c>
      <c r="G5894" s="14" t="s">
        <v>161</v>
      </c>
      <c r="H5894" s="14" t="s">
        <v>116</v>
      </c>
      <c r="I5894" s="14" t="s">
        <v>54</v>
      </c>
      <c r="J5894" s="14" t="s">
        <v>198</v>
      </c>
      <c r="K5894" s="14" t="s">
        <v>210</v>
      </c>
      <c r="L5894" s="14" t="s">
        <v>458</v>
      </c>
      <c r="M5894" s="14" t="s">
        <v>1401</v>
      </c>
      <c r="N5894" s="14" t="s">
        <v>1402</v>
      </c>
      <c r="O5894" s="14">
        <v>0.0</v>
      </c>
      <c r="P5894" s="21">
        <v>0.0</v>
      </c>
      <c r="Q5894" s="22" t="str">
        <f t="shared" ref="Q5894:R5894" si="3525">"+0"</f>
        <v>+0</v>
      </c>
      <c r="R5894" s="18" t="str">
        <f t="shared" si="3525"/>
        <v>+0</v>
      </c>
      <c r="S5894" s="14" t="s">
        <v>277</v>
      </c>
    </row>
    <row r="5895">
      <c r="A5895" s="13">
        <v>45901.0</v>
      </c>
      <c r="B5895" s="14" t="s">
        <v>47</v>
      </c>
      <c r="C5895" s="14" t="s">
        <v>48</v>
      </c>
      <c r="D5895" s="14" t="s">
        <v>108</v>
      </c>
      <c r="E5895" s="14" t="s">
        <v>109</v>
      </c>
      <c r="F5895" s="15" t="s">
        <v>51</v>
      </c>
      <c r="G5895" s="14" t="s">
        <v>110</v>
      </c>
      <c r="H5895" s="14" t="s">
        <v>108</v>
      </c>
      <c r="I5895" s="14" t="s">
        <v>59</v>
      </c>
      <c r="J5895" s="14" t="s">
        <v>198</v>
      </c>
      <c r="K5895" s="14" t="s">
        <v>210</v>
      </c>
      <c r="L5895" s="14" t="s">
        <v>278</v>
      </c>
      <c r="M5895" s="14" t="s">
        <v>443</v>
      </c>
      <c r="N5895" s="14" t="s">
        <v>444</v>
      </c>
      <c r="O5895" s="14">
        <v>62.0</v>
      </c>
      <c r="P5895" s="21">
        <v>77.0</v>
      </c>
      <c r="Q5895" s="22" t="str">
        <f>"+6"</f>
        <v>+6</v>
      </c>
      <c r="R5895" s="18" t="str">
        <f>"+16"</f>
        <v>+16</v>
      </c>
      <c r="S5895" s="14" t="s">
        <v>2583</v>
      </c>
    </row>
    <row r="5896">
      <c r="A5896" s="13">
        <v>45901.0</v>
      </c>
      <c r="B5896" s="14" t="s">
        <v>47</v>
      </c>
      <c r="C5896" s="14" t="s">
        <v>48</v>
      </c>
      <c r="D5896" s="14" t="s">
        <v>116</v>
      </c>
      <c r="E5896" s="14" t="s">
        <v>117</v>
      </c>
      <c r="F5896" s="15" t="s">
        <v>51</v>
      </c>
      <c r="G5896" s="14" t="s">
        <v>161</v>
      </c>
      <c r="H5896" s="14" t="s">
        <v>116</v>
      </c>
      <c r="I5896" s="14" t="s">
        <v>54</v>
      </c>
      <c r="J5896" s="14" t="s">
        <v>200</v>
      </c>
      <c r="K5896" s="14" t="s">
        <v>211</v>
      </c>
      <c r="L5896" s="14" t="s">
        <v>991</v>
      </c>
      <c r="M5896" s="14" t="s">
        <v>1040</v>
      </c>
      <c r="N5896" s="14" t="s">
        <v>1041</v>
      </c>
      <c r="O5896" s="14">
        <v>0.0</v>
      </c>
      <c r="P5896" s="21">
        <v>1.0</v>
      </c>
      <c r="Q5896" s="22" t="str">
        <f t="shared" ref="Q5896:Q5897" si="3526">"+0"</f>
        <v>+0</v>
      </c>
      <c r="R5896" s="18" t="str">
        <f>"-1"</f>
        <v>-1</v>
      </c>
      <c r="S5896" s="14" t="s">
        <v>1042</v>
      </c>
    </row>
    <row r="5897">
      <c r="A5897" s="13">
        <v>45901.0</v>
      </c>
      <c r="B5897" s="14" t="s">
        <v>47</v>
      </c>
      <c r="C5897" s="14" t="s">
        <v>48</v>
      </c>
      <c r="D5897" s="14" t="s">
        <v>108</v>
      </c>
      <c r="E5897" s="14" t="s">
        <v>109</v>
      </c>
      <c r="F5897" s="15" t="s">
        <v>51</v>
      </c>
      <c r="G5897" s="14" t="s">
        <v>110</v>
      </c>
      <c r="H5897" s="14" t="s">
        <v>108</v>
      </c>
      <c r="I5897" s="14" t="s">
        <v>59</v>
      </c>
      <c r="J5897" s="14" t="s">
        <v>199</v>
      </c>
      <c r="K5897" s="14" t="s">
        <v>206</v>
      </c>
      <c r="L5897" s="14" t="s">
        <v>531</v>
      </c>
      <c r="M5897" s="14" t="s">
        <v>531</v>
      </c>
      <c r="N5897" s="14" t="s">
        <v>532</v>
      </c>
      <c r="O5897" s="14">
        <v>0.0</v>
      </c>
      <c r="P5897" s="21">
        <v>0.0</v>
      </c>
      <c r="Q5897" s="22" t="str">
        <f t="shared" si="3526"/>
        <v>+0</v>
      </c>
      <c r="R5897" s="18" t="str">
        <f>"+0"</f>
        <v>+0</v>
      </c>
      <c r="S5897" s="14" t="s">
        <v>260</v>
      </c>
    </row>
    <row r="5898">
      <c r="A5898" s="13">
        <v>45901.0</v>
      </c>
      <c r="B5898" s="14" t="s">
        <v>47</v>
      </c>
      <c r="C5898" s="14" t="s">
        <v>48</v>
      </c>
      <c r="D5898" s="14" t="s">
        <v>77</v>
      </c>
      <c r="E5898" s="14" t="s">
        <v>78</v>
      </c>
      <c r="F5898" s="15" t="s">
        <v>51</v>
      </c>
      <c r="G5898" s="14" t="s">
        <v>128</v>
      </c>
      <c r="H5898" s="14" t="s">
        <v>81</v>
      </c>
      <c r="I5898" s="14" t="s">
        <v>59</v>
      </c>
      <c r="J5898" s="14" t="s">
        <v>200</v>
      </c>
      <c r="K5898" s="14" t="s">
        <v>223</v>
      </c>
      <c r="L5898" s="14" t="s">
        <v>363</v>
      </c>
      <c r="M5898" s="14" t="s">
        <v>708</v>
      </c>
      <c r="N5898" s="14" t="s">
        <v>709</v>
      </c>
      <c r="O5898" s="14">
        <v>0.0</v>
      </c>
      <c r="P5898" s="23">
        <v>0.0</v>
      </c>
      <c r="Q5898" s="22" t="str">
        <f t="shared" ref="Q5898:R5898" si="3527">"+0.00%"</f>
        <v>+0.00%</v>
      </c>
      <c r="R5898" s="18" t="str">
        <f t="shared" si="3527"/>
        <v>+0.00%</v>
      </c>
      <c r="S5898" s="14" t="s">
        <v>285</v>
      </c>
    </row>
    <row r="5899">
      <c r="A5899" s="13">
        <v>45901.0</v>
      </c>
      <c r="B5899" s="14" t="s">
        <v>47</v>
      </c>
      <c r="C5899" s="14" t="s">
        <v>48</v>
      </c>
      <c r="D5899" s="14" t="s">
        <v>77</v>
      </c>
      <c r="E5899" s="14" t="s">
        <v>78</v>
      </c>
      <c r="F5899" s="14" t="s">
        <v>79</v>
      </c>
      <c r="G5899" s="14" t="s">
        <v>80</v>
      </c>
      <c r="H5899" s="14" t="s">
        <v>81</v>
      </c>
      <c r="J5899" s="14" t="s">
        <v>200</v>
      </c>
      <c r="K5899" s="14" t="s">
        <v>237</v>
      </c>
      <c r="L5899" s="14" t="s">
        <v>333</v>
      </c>
      <c r="M5899" s="14" t="s">
        <v>1315</v>
      </c>
      <c r="N5899" s="14" t="s">
        <v>1316</v>
      </c>
      <c r="O5899" s="14">
        <v>50.0</v>
      </c>
      <c r="P5899" s="23">
        <v>0.0</v>
      </c>
      <c r="Q5899" s="22" t="str">
        <f t="shared" ref="Q5899:Q5902" si="3528">"+0.00%"</f>
        <v>+0.00%</v>
      </c>
      <c r="R5899" s="18" t="str">
        <f>"+100.00%"</f>
        <v>+100.00%</v>
      </c>
      <c r="S5899" s="14" t="s">
        <v>336</v>
      </c>
    </row>
    <row r="5900">
      <c r="A5900" s="13">
        <v>45901.0</v>
      </c>
      <c r="B5900" s="14" t="s">
        <v>47</v>
      </c>
      <c r="C5900" s="14" t="s">
        <v>48</v>
      </c>
      <c r="D5900" s="14" t="s">
        <v>77</v>
      </c>
      <c r="E5900" s="14" t="s">
        <v>78</v>
      </c>
      <c r="F5900" s="15" t="s">
        <v>51</v>
      </c>
      <c r="G5900" s="14" t="s">
        <v>128</v>
      </c>
      <c r="H5900" s="14" t="s">
        <v>81</v>
      </c>
      <c r="I5900" s="14" t="s">
        <v>59</v>
      </c>
      <c r="J5900" s="14" t="s">
        <v>200</v>
      </c>
      <c r="K5900" s="14" t="s">
        <v>209</v>
      </c>
      <c r="L5900" s="14" t="s">
        <v>253</v>
      </c>
      <c r="M5900" s="14" t="s">
        <v>817</v>
      </c>
      <c r="N5900" s="14" t="s">
        <v>818</v>
      </c>
      <c r="O5900" s="14">
        <v>1.0</v>
      </c>
      <c r="P5900" s="23">
        <v>3.0E-4</v>
      </c>
      <c r="Q5900" s="22" t="str">
        <f t="shared" si="3528"/>
        <v>+0.00%</v>
      </c>
      <c r="R5900" s="18" t="str">
        <f t="shared" ref="R5900:R5902" si="3529">"+0.00%"</f>
        <v>+0.00%</v>
      </c>
      <c r="S5900" s="14" t="s">
        <v>2584</v>
      </c>
    </row>
    <row r="5901">
      <c r="A5901" s="13">
        <v>45901.0</v>
      </c>
      <c r="B5901" s="14" t="s">
        <v>47</v>
      </c>
      <c r="C5901" s="14" t="s">
        <v>48</v>
      </c>
      <c r="D5901" s="14" t="s">
        <v>168</v>
      </c>
      <c r="E5901" s="14" t="s">
        <v>169</v>
      </c>
      <c r="F5901" s="15" t="s">
        <v>51</v>
      </c>
      <c r="G5901" s="14" t="s">
        <v>170</v>
      </c>
      <c r="H5901" s="14" t="s">
        <v>168</v>
      </c>
      <c r="I5901" s="14" t="s">
        <v>59</v>
      </c>
      <c r="J5901" s="14" t="s">
        <v>200</v>
      </c>
      <c r="K5901" s="14" t="s">
        <v>213</v>
      </c>
      <c r="L5901" s="14" t="s">
        <v>307</v>
      </c>
      <c r="M5901" s="14" t="s">
        <v>1176</v>
      </c>
      <c r="N5901" s="14" t="s">
        <v>1177</v>
      </c>
      <c r="O5901" s="14">
        <v>0.0</v>
      </c>
      <c r="P5901" s="23">
        <v>0.0</v>
      </c>
      <c r="Q5901" s="22" t="str">
        <f t="shared" si="3528"/>
        <v>+0.00%</v>
      </c>
      <c r="R5901" s="18" t="str">
        <f t="shared" si="3529"/>
        <v>+0.00%</v>
      </c>
      <c r="S5901" s="14" t="s">
        <v>285</v>
      </c>
    </row>
    <row r="5902">
      <c r="A5902" s="13">
        <v>45901.0</v>
      </c>
      <c r="B5902" s="14" t="s">
        <v>47</v>
      </c>
      <c r="C5902" s="14" t="s">
        <v>48</v>
      </c>
      <c r="D5902" s="14" t="s">
        <v>56</v>
      </c>
      <c r="E5902" s="14" t="s">
        <v>57</v>
      </c>
      <c r="F5902" s="15" t="s">
        <v>51</v>
      </c>
      <c r="G5902" s="14" t="s">
        <v>58</v>
      </c>
      <c r="H5902" s="14" t="s">
        <v>56</v>
      </c>
      <c r="I5902" s="14" t="s">
        <v>59</v>
      </c>
      <c r="J5902" s="14" t="s">
        <v>200</v>
      </c>
      <c r="K5902" s="14" t="s">
        <v>223</v>
      </c>
      <c r="L5902" s="14" t="s">
        <v>261</v>
      </c>
      <c r="M5902" s="14" t="s">
        <v>864</v>
      </c>
      <c r="N5902" s="14" t="s">
        <v>865</v>
      </c>
      <c r="O5902" s="14">
        <v>0.0</v>
      </c>
      <c r="P5902" s="23">
        <v>0.0</v>
      </c>
      <c r="Q5902" s="22" t="str">
        <f t="shared" si="3528"/>
        <v>+0.00%</v>
      </c>
      <c r="R5902" s="18" t="str">
        <f t="shared" si="3529"/>
        <v>+0.00%</v>
      </c>
      <c r="S5902" s="14" t="s">
        <v>285</v>
      </c>
    </row>
    <row r="5903">
      <c r="A5903" s="13">
        <v>45901.0</v>
      </c>
      <c r="B5903" s="14" t="s">
        <v>47</v>
      </c>
      <c r="C5903" s="14" t="s">
        <v>48</v>
      </c>
      <c r="D5903" s="14" t="s">
        <v>168</v>
      </c>
      <c r="E5903" s="14" t="s">
        <v>169</v>
      </c>
      <c r="F5903" s="15" t="s">
        <v>51</v>
      </c>
      <c r="G5903" s="14" t="s">
        <v>170</v>
      </c>
      <c r="H5903" s="14" t="s">
        <v>168</v>
      </c>
      <c r="I5903" s="14" t="s">
        <v>59</v>
      </c>
      <c r="J5903" s="14" t="s">
        <v>199</v>
      </c>
      <c r="K5903" s="14" t="s">
        <v>206</v>
      </c>
      <c r="L5903" s="14" t="s">
        <v>268</v>
      </c>
      <c r="M5903" s="14" t="s">
        <v>268</v>
      </c>
      <c r="N5903" s="14" t="s">
        <v>269</v>
      </c>
      <c r="O5903" s="14">
        <v>0.0</v>
      </c>
      <c r="P5903" s="21">
        <v>0.0</v>
      </c>
      <c r="Q5903" s="22" t="str">
        <f t="shared" ref="Q5903:R5903" si="3530">"+0"</f>
        <v>+0</v>
      </c>
      <c r="R5903" s="18" t="str">
        <f t="shared" si="3530"/>
        <v>+0</v>
      </c>
      <c r="S5903" s="14" t="s">
        <v>260</v>
      </c>
    </row>
    <row r="5904">
      <c r="A5904" s="13">
        <v>45901.0</v>
      </c>
      <c r="B5904" s="14" t="s">
        <v>47</v>
      </c>
      <c r="C5904" s="14" t="s">
        <v>48</v>
      </c>
      <c r="D5904" s="14" t="s">
        <v>155</v>
      </c>
      <c r="E5904" s="14" t="s">
        <v>156</v>
      </c>
      <c r="F5904" s="15" t="s">
        <v>51</v>
      </c>
      <c r="G5904" s="14" t="s">
        <v>157</v>
      </c>
      <c r="H5904" s="14" t="s">
        <v>155</v>
      </c>
      <c r="I5904" s="14" t="s">
        <v>59</v>
      </c>
      <c r="J5904" s="14" t="s">
        <v>200</v>
      </c>
      <c r="K5904" s="14" t="s">
        <v>223</v>
      </c>
      <c r="L5904" s="14" t="s">
        <v>304</v>
      </c>
      <c r="M5904" s="14" t="s">
        <v>305</v>
      </c>
      <c r="N5904" s="14" t="s">
        <v>306</v>
      </c>
      <c r="O5904" s="14">
        <v>0.0</v>
      </c>
      <c r="P5904" s="21">
        <v>0.0</v>
      </c>
      <c r="Q5904" s="22" t="str">
        <f t="shared" ref="Q5904:R5904" si="3531">"+0"</f>
        <v>+0</v>
      </c>
      <c r="R5904" s="18" t="str">
        <f t="shared" si="3531"/>
        <v>+0</v>
      </c>
      <c r="S5904" s="14" t="s">
        <v>260</v>
      </c>
    </row>
    <row r="5905">
      <c r="A5905" s="13">
        <v>45901.0</v>
      </c>
      <c r="B5905" s="14" t="s">
        <v>47</v>
      </c>
      <c r="C5905" s="14" t="s">
        <v>48</v>
      </c>
      <c r="D5905" s="14" t="s">
        <v>165</v>
      </c>
      <c r="E5905" s="14" t="s">
        <v>166</v>
      </c>
      <c r="F5905" s="15" t="s">
        <v>51</v>
      </c>
      <c r="G5905" s="14" t="s">
        <v>167</v>
      </c>
      <c r="H5905" s="14" t="s">
        <v>165</v>
      </c>
      <c r="I5905" s="14" t="s">
        <v>54</v>
      </c>
      <c r="J5905" s="14" t="s">
        <v>200</v>
      </c>
      <c r="K5905" s="14" t="s">
        <v>213</v>
      </c>
      <c r="L5905" s="14" t="s">
        <v>676</v>
      </c>
      <c r="M5905" s="14" t="s">
        <v>836</v>
      </c>
      <c r="N5905" s="14" t="s">
        <v>837</v>
      </c>
      <c r="O5905" s="14">
        <v>7.0</v>
      </c>
      <c r="P5905" s="23">
        <v>0.0743</v>
      </c>
      <c r="Q5905" s="22" t="str">
        <f>"-0.12%"</f>
        <v>-0.12%</v>
      </c>
      <c r="R5905" s="18" t="str">
        <f>"-0.06%"</f>
        <v>-0.06%</v>
      </c>
      <c r="S5905" s="14" t="s">
        <v>2016</v>
      </c>
    </row>
    <row r="5906">
      <c r="A5906" s="13">
        <v>45901.0</v>
      </c>
      <c r="B5906" s="14" t="s">
        <v>47</v>
      </c>
      <c r="C5906" s="14" t="s">
        <v>48</v>
      </c>
      <c r="D5906" s="14" t="s">
        <v>49</v>
      </c>
      <c r="E5906" s="14" t="s">
        <v>50</v>
      </c>
      <c r="F5906" s="15" t="s">
        <v>51</v>
      </c>
      <c r="G5906" s="14" t="s">
        <v>52</v>
      </c>
      <c r="H5906" s="14" t="s">
        <v>53</v>
      </c>
      <c r="I5906" s="14" t="s">
        <v>54</v>
      </c>
      <c r="J5906" s="14" t="s">
        <v>200</v>
      </c>
      <c r="K5906" s="14" t="s">
        <v>224</v>
      </c>
      <c r="L5906" s="14" t="s">
        <v>453</v>
      </c>
      <c r="M5906" s="14" t="s">
        <v>716</v>
      </c>
      <c r="N5906" s="14" t="s">
        <v>717</v>
      </c>
      <c r="O5906" s="14">
        <v>0.0</v>
      </c>
      <c r="P5906" s="23">
        <v>0.0</v>
      </c>
      <c r="Q5906" s="22" t="str">
        <f t="shared" ref="Q5906:R5906" si="3532">"+0.00%"</f>
        <v>+0.00%</v>
      </c>
      <c r="R5906" s="18" t="str">
        <f t="shared" si="3532"/>
        <v>+0.00%</v>
      </c>
      <c r="S5906" s="14" t="s">
        <v>718</v>
      </c>
    </row>
    <row r="5907">
      <c r="A5907" s="13">
        <v>45901.0</v>
      </c>
      <c r="B5907" s="14" t="s">
        <v>47</v>
      </c>
      <c r="C5907" s="14" t="s">
        <v>48</v>
      </c>
      <c r="D5907" s="14" t="s">
        <v>63</v>
      </c>
      <c r="E5907" s="14" t="s">
        <v>64</v>
      </c>
      <c r="F5907" s="15" t="s">
        <v>51</v>
      </c>
      <c r="G5907" s="14" t="s">
        <v>65</v>
      </c>
      <c r="H5907" s="14" t="s">
        <v>63</v>
      </c>
      <c r="I5907" s="14" t="s">
        <v>54</v>
      </c>
      <c r="J5907" s="14" t="s">
        <v>200</v>
      </c>
      <c r="K5907" s="14" t="s">
        <v>227</v>
      </c>
      <c r="L5907" s="14" t="s">
        <v>270</v>
      </c>
      <c r="M5907" s="14" t="s">
        <v>271</v>
      </c>
      <c r="N5907" s="14" t="s">
        <v>272</v>
      </c>
      <c r="O5907" s="14">
        <v>50.0</v>
      </c>
      <c r="P5907" s="23">
        <v>0.0079</v>
      </c>
      <c r="Q5907" s="22" t="str">
        <f>"+100.79%"</f>
        <v>+100.79%</v>
      </c>
      <c r="R5907" s="18" t="str">
        <f>"+76.30%"</f>
        <v>+76.30%</v>
      </c>
      <c r="S5907" s="14" t="s">
        <v>273</v>
      </c>
    </row>
    <row r="5908">
      <c r="A5908" s="13">
        <v>45901.0</v>
      </c>
      <c r="B5908" s="14" t="s">
        <v>47</v>
      </c>
      <c r="C5908" s="14" t="s">
        <v>48</v>
      </c>
      <c r="D5908" s="14" t="s">
        <v>82</v>
      </c>
      <c r="E5908" s="14" t="s">
        <v>83</v>
      </c>
      <c r="F5908" s="15" t="s">
        <v>51</v>
      </c>
      <c r="G5908" s="14" t="s">
        <v>84</v>
      </c>
      <c r="H5908" s="14" t="s">
        <v>82</v>
      </c>
      <c r="I5908" s="14" t="s">
        <v>59</v>
      </c>
      <c r="J5908" s="14" t="s">
        <v>199</v>
      </c>
      <c r="K5908" s="14" t="s">
        <v>203</v>
      </c>
      <c r="L5908" s="14" t="s">
        <v>736</v>
      </c>
      <c r="M5908" s="14" t="s">
        <v>736</v>
      </c>
      <c r="N5908" s="14" t="s">
        <v>737</v>
      </c>
      <c r="O5908" s="14">
        <v>0.0</v>
      </c>
      <c r="P5908" s="21">
        <v>0.0</v>
      </c>
      <c r="Q5908" s="22" t="str">
        <f t="shared" ref="Q5908:R5908" si="3533">"+0"</f>
        <v>+0</v>
      </c>
      <c r="R5908" s="18" t="str">
        <f t="shared" si="3533"/>
        <v>+0</v>
      </c>
      <c r="S5908" s="14" t="s">
        <v>260</v>
      </c>
    </row>
    <row r="5909">
      <c r="A5909" s="13">
        <v>45901.0</v>
      </c>
      <c r="B5909" s="14" t="s">
        <v>47</v>
      </c>
      <c r="C5909" s="14" t="s">
        <v>48</v>
      </c>
      <c r="D5909" s="14" t="s">
        <v>192</v>
      </c>
      <c r="E5909" s="14" t="s">
        <v>193</v>
      </c>
      <c r="F5909" s="15" t="s">
        <v>51</v>
      </c>
      <c r="G5909" s="14" t="s">
        <v>194</v>
      </c>
      <c r="H5909" s="14" t="s">
        <v>192</v>
      </c>
      <c r="I5909" s="14" t="s">
        <v>54</v>
      </c>
      <c r="J5909" s="14" t="s">
        <v>200</v>
      </c>
      <c r="K5909" s="14" t="s">
        <v>223</v>
      </c>
      <c r="L5909" s="14" t="s">
        <v>282</v>
      </c>
      <c r="M5909" s="14" t="s">
        <v>283</v>
      </c>
      <c r="N5909" s="14" t="s">
        <v>284</v>
      </c>
      <c r="O5909" s="14">
        <v>0.0</v>
      </c>
      <c r="P5909" s="23">
        <v>0.0</v>
      </c>
      <c r="Q5909" s="22" t="str">
        <f t="shared" ref="Q5909:R5909" si="3534">"+0.00%"</f>
        <v>+0.00%</v>
      </c>
      <c r="R5909" s="18" t="str">
        <f t="shared" si="3534"/>
        <v>+0.00%</v>
      </c>
      <c r="S5909" s="14" t="s">
        <v>285</v>
      </c>
    </row>
    <row r="5910">
      <c r="A5910" s="13">
        <v>45901.0</v>
      </c>
      <c r="B5910" s="14" t="s">
        <v>47</v>
      </c>
      <c r="C5910" s="14" t="s">
        <v>48</v>
      </c>
      <c r="D5910" s="14" t="s">
        <v>66</v>
      </c>
      <c r="E5910" s="14" t="s">
        <v>67</v>
      </c>
      <c r="F5910" s="15" t="s">
        <v>51</v>
      </c>
      <c r="G5910" s="14" t="s">
        <v>68</v>
      </c>
      <c r="H5910" s="14" t="s">
        <v>66</v>
      </c>
      <c r="I5910" s="14" t="s">
        <v>59</v>
      </c>
      <c r="J5910" s="14" t="s">
        <v>200</v>
      </c>
      <c r="K5910" s="14" t="s">
        <v>209</v>
      </c>
      <c r="L5910" s="14" t="s">
        <v>253</v>
      </c>
      <c r="M5910" s="14" t="s">
        <v>402</v>
      </c>
      <c r="N5910" s="14" t="s">
        <v>403</v>
      </c>
      <c r="O5910" s="14">
        <v>1.0</v>
      </c>
      <c r="P5910" s="23">
        <v>0.0019</v>
      </c>
      <c r="Q5910" s="22" t="str">
        <f t="shared" ref="Q5910:Q5912" si="3535">"+0.00%"</f>
        <v>+0.00%</v>
      </c>
      <c r="R5910" s="18" t="str">
        <f>"+0.11%"</f>
        <v>+0.11%</v>
      </c>
      <c r="S5910" s="14" t="s">
        <v>2585</v>
      </c>
    </row>
    <row r="5911">
      <c r="A5911" s="13">
        <v>45901.0</v>
      </c>
      <c r="B5911" s="14" t="s">
        <v>47</v>
      </c>
      <c r="C5911" s="14" t="s">
        <v>48</v>
      </c>
      <c r="D5911" s="14" t="s">
        <v>192</v>
      </c>
      <c r="E5911" s="14" t="s">
        <v>193</v>
      </c>
      <c r="F5911" s="15" t="s">
        <v>51</v>
      </c>
      <c r="G5911" s="14" t="s">
        <v>194</v>
      </c>
      <c r="H5911" s="14" t="s">
        <v>192</v>
      </c>
      <c r="I5911" s="14" t="s">
        <v>54</v>
      </c>
      <c r="J5911" s="14" t="s">
        <v>200</v>
      </c>
      <c r="K5911" s="14" t="s">
        <v>223</v>
      </c>
      <c r="L5911" s="14" t="s">
        <v>257</v>
      </c>
      <c r="M5911" s="14" t="s">
        <v>499</v>
      </c>
      <c r="N5911" s="14" t="s">
        <v>500</v>
      </c>
      <c r="O5911" s="14">
        <v>0.0</v>
      </c>
      <c r="P5911" s="23">
        <v>0.0</v>
      </c>
      <c r="Q5911" s="22" t="str">
        <f t="shared" si="3535"/>
        <v>+0.00%</v>
      </c>
      <c r="R5911" s="18" t="str">
        <f t="shared" ref="R5911:R5912" si="3536">"+0.00%"</f>
        <v>+0.00%</v>
      </c>
      <c r="S5911" s="14" t="s">
        <v>2586</v>
      </c>
    </row>
    <row r="5912">
      <c r="A5912" s="13">
        <v>45901.0</v>
      </c>
      <c r="B5912" s="14" t="s">
        <v>47</v>
      </c>
      <c r="C5912" s="14" t="s">
        <v>48</v>
      </c>
      <c r="D5912" s="14" t="s">
        <v>66</v>
      </c>
      <c r="E5912" s="14" t="s">
        <v>67</v>
      </c>
      <c r="F5912" s="15" t="s">
        <v>51</v>
      </c>
      <c r="G5912" s="14" t="s">
        <v>68</v>
      </c>
      <c r="H5912" s="14" t="s">
        <v>66</v>
      </c>
      <c r="I5912" s="14" t="s">
        <v>59</v>
      </c>
      <c r="J5912" s="14" t="s">
        <v>200</v>
      </c>
      <c r="K5912" s="14" t="s">
        <v>223</v>
      </c>
      <c r="L5912" s="14" t="s">
        <v>289</v>
      </c>
      <c r="M5912" s="14" t="s">
        <v>984</v>
      </c>
      <c r="N5912" s="14" t="s">
        <v>985</v>
      </c>
      <c r="O5912" s="14">
        <v>0.0</v>
      </c>
      <c r="P5912" s="23">
        <v>0.0</v>
      </c>
      <c r="Q5912" s="22" t="str">
        <f t="shared" si="3535"/>
        <v>+0.00%</v>
      </c>
      <c r="R5912" s="18" t="str">
        <f t="shared" si="3536"/>
        <v>+0.00%</v>
      </c>
      <c r="S5912" s="14" t="s">
        <v>285</v>
      </c>
    </row>
    <row r="5913">
      <c r="A5913" s="13">
        <v>45901.0</v>
      </c>
      <c r="B5913" s="14" t="s">
        <v>47</v>
      </c>
      <c r="C5913" s="14" t="s">
        <v>48</v>
      </c>
      <c r="D5913" s="14" t="s">
        <v>103</v>
      </c>
      <c r="E5913" s="14" t="s">
        <v>104</v>
      </c>
      <c r="F5913" s="15" t="s">
        <v>51</v>
      </c>
      <c r="G5913" s="14" t="s">
        <v>105</v>
      </c>
      <c r="H5913" s="14" t="s">
        <v>106</v>
      </c>
      <c r="I5913" s="14" t="s">
        <v>59</v>
      </c>
      <c r="J5913" s="14" t="s">
        <v>199</v>
      </c>
      <c r="K5913" s="14" t="s">
        <v>206</v>
      </c>
      <c r="L5913" s="14" t="s">
        <v>515</v>
      </c>
      <c r="M5913" s="14" t="s">
        <v>515</v>
      </c>
      <c r="N5913" s="14" t="s">
        <v>516</v>
      </c>
      <c r="O5913" s="14">
        <v>0.0</v>
      </c>
      <c r="P5913" s="21">
        <v>0.0</v>
      </c>
      <c r="Q5913" s="22" t="str">
        <f t="shared" ref="Q5913:R5913" si="3537">"+0"</f>
        <v>+0</v>
      </c>
      <c r="R5913" s="18" t="str">
        <f t="shared" si="3537"/>
        <v>+0</v>
      </c>
      <c r="S5913" s="14" t="s">
        <v>383</v>
      </c>
    </row>
    <row r="5914">
      <c r="A5914" s="13">
        <v>45901.0</v>
      </c>
      <c r="B5914" s="14" t="s">
        <v>47</v>
      </c>
      <c r="C5914" s="14" t="s">
        <v>48</v>
      </c>
      <c r="D5914" s="14" t="s">
        <v>143</v>
      </c>
      <c r="E5914" s="14" t="s">
        <v>144</v>
      </c>
      <c r="F5914" s="15" t="s">
        <v>51</v>
      </c>
      <c r="G5914" s="14" t="s">
        <v>145</v>
      </c>
      <c r="H5914" s="14" t="s">
        <v>143</v>
      </c>
      <c r="I5914" s="14" t="s">
        <v>59</v>
      </c>
      <c r="J5914" s="14" t="s">
        <v>200</v>
      </c>
      <c r="K5914" s="14" t="s">
        <v>224</v>
      </c>
      <c r="L5914" s="14" t="s">
        <v>427</v>
      </c>
      <c r="M5914" s="14" t="s">
        <v>1575</v>
      </c>
      <c r="N5914" s="14" t="s">
        <v>1576</v>
      </c>
      <c r="O5914" s="14">
        <v>0.0</v>
      </c>
      <c r="P5914" s="23">
        <v>0.0</v>
      </c>
      <c r="Q5914" s="22" t="str">
        <f>"+0.00%"</f>
        <v>+0.00%</v>
      </c>
      <c r="S5914" s="14" t="s">
        <v>2587</v>
      </c>
    </row>
    <row r="5915">
      <c r="A5915" s="13">
        <v>45901.0</v>
      </c>
      <c r="B5915" s="14" t="s">
        <v>47</v>
      </c>
      <c r="C5915" s="14" t="s">
        <v>48</v>
      </c>
      <c r="D5915" s="14" t="s">
        <v>143</v>
      </c>
      <c r="E5915" s="14" t="s">
        <v>144</v>
      </c>
      <c r="F5915" s="15" t="s">
        <v>51</v>
      </c>
      <c r="G5915" s="14" t="s">
        <v>145</v>
      </c>
      <c r="H5915" s="14" t="s">
        <v>143</v>
      </c>
      <c r="I5915" s="14" t="s">
        <v>59</v>
      </c>
      <c r="J5915" s="14" t="s">
        <v>200</v>
      </c>
      <c r="K5915" s="14" t="s">
        <v>232</v>
      </c>
      <c r="L5915" s="14" t="s">
        <v>487</v>
      </c>
      <c r="M5915" s="14" t="s">
        <v>904</v>
      </c>
      <c r="N5915" s="14" t="s">
        <v>905</v>
      </c>
      <c r="O5915" s="14">
        <v>100.0</v>
      </c>
      <c r="P5915" s="21">
        <v>21.0</v>
      </c>
      <c r="Q5915" s="22" t="str">
        <f t="shared" ref="Q5915:R5915" si="3538">"+0"</f>
        <v>+0</v>
      </c>
      <c r="R5915" s="18" t="str">
        <f t="shared" si="3538"/>
        <v>+0</v>
      </c>
      <c r="S5915" s="14" t="s">
        <v>260</v>
      </c>
    </row>
    <row r="5916">
      <c r="A5916" s="13">
        <v>45901.0</v>
      </c>
      <c r="B5916" s="14" t="s">
        <v>47</v>
      </c>
      <c r="C5916" s="14" t="s">
        <v>48</v>
      </c>
      <c r="D5916" s="14" t="s">
        <v>143</v>
      </c>
      <c r="E5916" s="14" t="s">
        <v>144</v>
      </c>
      <c r="F5916" s="15" t="s">
        <v>51</v>
      </c>
      <c r="G5916" s="14" t="s">
        <v>145</v>
      </c>
      <c r="H5916" s="14" t="s">
        <v>143</v>
      </c>
      <c r="I5916" s="14" t="s">
        <v>59</v>
      </c>
      <c r="J5916" s="14" t="s">
        <v>198</v>
      </c>
      <c r="K5916" s="14" t="s">
        <v>205</v>
      </c>
      <c r="L5916" s="14" t="s">
        <v>274</v>
      </c>
      <c r="M5916" s="14" t="s">
        <v>354</v>
      </c>
      <c r="N5916" s="14" t="s">
        <v>355</v>
      </c>
      <c r="O5916" s="14">
        <v>100.0</v>
      </c>
      <c r="P5916" s="21">
        <v>3.0</v>
      </c>
      <c r="Q5916" s="22" t="str">
        <f>"+0"</f>
        <v>+0</v>
      </c>
      <c r="S5916" s="14" t="s">
        <v>356</v>
      </c>
    </row>
    <row r="5917">
      <c r="A5917" s="13">
        <v>45901.0</v>
      </c>
      <c r="B5917" s="14" t="s">
        <v>47</v>
      </c>
      <c r="C5917" s="14" t="s">
        <v>48</v>
      </c>
      <c r="D5917" s="14" t="s">
        <v>149</v>
      </c>
      <c r="E5917" s="14" t="s">
        <v>150</v>
      </c>
      <c r="F5917" s="15" t="s">
        <v>51</v>
      </c>
      <c r="G5917" s="14" t="s">
        <v>151</v>
      </c>
      <c r="H5917" s="14" t="s">
        <v>152</v>
      </c>
      <c r="I5917" s="14" t="s">
        <v>54</v>
      </c>
      <c r="J5917" s="14" t="s">
        <v>200</v>
      </c>
      <c r="K5917" s="14" t="s">
        <v>223</v>
      </c>
      <c r="L5917" s="14" t="s">
        <v>257</v>
      </c>
      <c r="M5917" s="14" t="s">
        <v>315</v>
      </c>
      <c r="N5917" s="14" t="s">
        <v>316</v>
      </c>
      <c r="O5917" s="14">
        <v>90.0</v>
      </c>
      <c r="P5917" s="23">
        <v>0.9046</v>
      </c>
      <c r="Q5917" s="22" t="str">
        <f>"-0.90%"</f>
        <v>-0.90%</v>
      </c>
      <c r="R5917" s="18" t="str">
        <f>"-0.00%"</f>
        <v>-0.00%</v>
      </c>
      <c r="S5917" s="14" t="s">
        <v>1804</v>
      </c>
    </row>
    <row r="5918">
      <c r="A5918" s="13">
        <v>45901.0</v>
      </c>
      <c r="B5918" s="14" t="s">
        <v>47</v>
      </c>
      <c r="C5918" s="14" t="s">
        <v>48</v>
      </c>
      <c r="D5918" s="14" t="s">
        <v>129</v>
      </c>
      <c r="E5918" s="14" t="s">
        <v>130</v>
      </c>
      <c r="F5918" s="15" t="s">
        <v>51</v>
      </c>
      <c r="G5918" s="14" t="s">
        <v>131</v>
      </c>
      <c r="H5918" s="14" t="s">
        <v>129</v>
      </c>
      <c r="I5918" s="14" t="s">
        <v>59</v>
      </c>
      <c r="J5918" s="14" t="s">
        <v>200</v>
      </c>
      <c r="K5918" s="14" t="s">
        <v>213</v>
      </c>
      <c r="L5918" s="14" t="s">
        <v>676</v>
      </c>
      <c r="M5918" s="14" t="s">
        <v>677</v>
      </c>
      <c r="N5918" s="14" t="s">
        <v>678</v>
      </c>
      <c r="O5918" s="14">
        <v>0.0</v>
      </c>
      <c r="P5918" s="23">
        <v>0.0</v>
      </c>
      <c r="Q5918" s="22" t="str">
        <f t="shared" ref="Q5918:R5918" si="3539">"+0.00%"</f>
        <v>+0.00%</v>
      </c>
      <c r="R5918" s="18" t="str">
        <f t="shared" si="3539"/>
        <v>+0.00%</v>
      </c>
      <c r="S5918" s="14" t="s">
        <v>285</v>
      </c>
    </row>
    <row r="5919">
      <c r="A5919" s="13">
        <v>45901.0</v>
      </c>
      <c r="B5919" s="14" t="s">
        <v>47</v>
      </c>
      <c r="C5919" s="14" t="s">
        <v>48</v>
      </c>
      <c r="D5919" s="14" t="s">
        <v>149</v>
      </c>
      <c r="E5919" s="14" t="s">
        <v>150</v>
      </c>
      <c r="F5919" s="15" t="s">
        <v>51</v>
      </c>
      <c r="G5919" s="14" t="s">
        <v>151</v>
      </c>
      <c r="H5919" s="14" t="s">
        <v>152</v>
      </c>
      <c r="I5919" s="14" t="s">
        <v>54</v>
      </c>
      <c r="J5919" s="14" t="s">
        <v>200</v>
      </c>
      <c r="K5919" s="14" t="s">
        <v>231</v>
      </c>
      <c r="L5919" s="14" t="s">
        <v>751</v>
      </c>
      <c r="M5919" s="14" t="s">
        <v>1527</v>
      </c>
      <c r="N5919" s="14" t="s">
        <v>1528</v>
      </c>
      <c r="O5919" s="14">
        <v>19.0</v>
      </c>
      <c r="P5919" s="23">
        <v>0.1912</v>
      </c>
      <c r="Q5919" s="22" t="str">
        <f>"+0.13%"</f>
        <v>+0.13%</v>
      </c>
      <c r="R5919" s="18" t="str">
        <f>"+4.25%"</f>
        <v>+4.25%</v>
      </c>
      <c r="S5919" s="14" t="s">
        <v>2588</v>
      </c>
    </row>
    <row r="5920">
      <c r="A5920" s="13">
        <v>45901.0</v>
      </c>
      <c r="B5920" s="14" t="s">
        <v>47</v>
      </c>
      <c r="C5920" s="14" t="s">
        <v>48</v>
      </c>
      <c r="D5920" s="14" t="s">
        <v>158</v>
      </c>
      <c r="E5920" s="14" t="s">
        <v>159</v>
      </c>
      <c r="F5920" s="15" t="s">
        <v>51</v>
      </c>
      <c r="G5920" s="14" t="s">
        <v>160</v>
      </c>
      <c r="H5920" s="14" t="s">
        <v>158</v>
      </c>
      <c r="I5920" s="14" t="s">
        <v>54</v>
      </c>
      <c r="J5920" s="14" t="s">
        <v>198</v>
      </c>
      <c r="K5920" s="14" t="s">
        <v>210</v>
      </c>
      <c r="L5920" s="14" t="s">
        <v>264</v>
      </c>
      <c r="M5920" s="14" t="s">
        <v>470</v>
      </c>
      <c r="N5920" s="14" t="s">
        <v>471</v>
      </c>
      <c r="O5920" s="14">
        <v>100.0</v>
      </c>
      <c r="P5920" s="21">
        <v>0.0</v>
      </c>
      <c r="Q5920" s="22" t="str">
        <f t="shared" ref="Q5920:R5920" si="3540">"+0"</f>
        <v>+0</v>
      </c>
      <c r="R5920" s="18" t="str">
        <f t="shared" si="3540"/>
        <v>+0</v>
      </c>
      <c r="S5920" s="14" t="s">
        <v>281</v>
      </c>
    </row>
    <row r="5921">
      <c r="A5921" s="13">
        <v>45901.0</v>
      </c>
      <c r="B5921" s="14" t="s">
        <v>47</v>
      </c>
      <c r="C5921" s="14" t="s">
        <v>48</v>
      </c>
      <c r="D5921" s="14" t="s">
        <v>108</v>
      </c>
      <c r="E5921" s="14" t="s">
        <v>109</v>
      </c>
      <c r="F5921" s="14" t="s">
        <v>146</v>
      </c>
      <c r="G5921" s="14" t="s">
        <v>180</v>
      </c>
      <c r="H5921" s="14" t="s">
        <v>108</v>
      </c>
      <c r="I5921" s="14" t="s">
        <v>59</v>
      </c>
      <c r="J5921" s="14" t="s">
        <v>200</v>
      </c>
      <c r="K5921" s="14" t="s">
        <v>226</v>
      </c>
      <c r="L5921" s="14" t="s">
        <v>672</v>
      </c>
      <c r="M5921" s="14" t="s">
        <v>2192</v>
      </c>
      <c r="N5921" s="14" t="s">
        <v>2193</v>
      </c>
      <c r="O5921" s="14">
        <v>100.0</v>
      </c>
      <c r="P5921" s="23">
        <v>1.0</v>
      </c>
      <c r="Q5921" s="22" t="str">
        <f>"+22.22%"</f>
        <v>+22.22%</v>
      </c>
      <c r="S5921" s="14" t="s">
        <v>2589</v>
      </c>
    </row>
    <row r="5922">
      <c r="A5922" s="13">
        <v>45901.0</v>
      </c>
      <c r="B5922" s="14" t="s">
        <v>47</v>
      </c>
      <c r="C5922" s="14" t="s">
        <v>48</v>
      </c>
      <c r="D5922" s="14" t="s">
        <v>116</v>
      </c>
      <c r="E5922" s="14" t="s">
        <v>117</v>
      </c>
      <c r="F5922" s="15" t="s">
        <v>51</v>
      </c>
      <c r="G5922" s="14" t="s">
        <v>161</v>
      </c>
      <c r="H5922" s="14" t="s">
        <v>116</v>
      </c>
      <c r="I5922" s="14" t="s">
        <v>54</v>
      </c>
      <c r="J5922" s="14" t="s">
        <v>198</v>
      </c>
      <c r="K5922" s="14" t="s">
        <v>210</v>
      </c>
      <c r="L5922" s="14" t="s">
        <v>278</v>
      </c>
      <c r="M5922" s="14" t="s">
        <v>1005</v>
      </c>
      <c r="N5922" s="14" t="s">
        <v>1006</v>
      </c>
      <c r="O5922" s="14">
        <v>0.0</v>
      </c>
      <c r="P5922" s="21">
        <v>0.0</v>
      </c>
      <c r="Q5922" s="22" t="str">
        <f t="shared" ref="Q5922:R5922" si="3541">"+0"</f>
        <v>+0</v>
      </c>
      <c r="R5922" s="18" t="str">
        <f t="shared" si="3541"/>
        <v>+0</v>
      </c>
      <c r="S5922" s="14" t="s">
        <v>277</v>
      </c>
    </row>
    <row r="5923">
      <c r="A5923" s="13">
        <v>45901.0</v>
      </c>
      <c r="B5923" s="14" t="s">
        <v>47</v>
      </c>
      <c r="C5923" s="14" t="s">
        <v>48</v>
      </c>
      <c r="D5923" s="14" t="s">
        <v>112</v>
      </c>
      <c r="E5923" s="14" t="s">
        <v>113</v>
      </c>
      <c r="F5923" s="15" t="s">
        <v>51</v>
      </c>
      <c r="G5923" s="14" t="s">
        <v>114</v>
      </c>
      <c r="H5923" s="14" t="s">
        <v>112</v>
      </c>
      <c r="I5923" s="14" t="s">
        <v>59</v>
      </c>
      <c r="J5923" s="14" t="s">
        <v>199</v>
      </c>
      <c r="K5923" s="14" t="s">
        <v>208</v>
      </c>
      <c r="L5923" s="14" t="s">
        <v>412</v>
      </c>
      <c r="M5923" s="14" t="s">
        <v>412</v>
      </c>
      <c r="N5923" s="14" t="s">
        <v>413</v>
      </c>
      <c r="O5923" s="14">
        <v>0.0</v>
      </c>
      <c r="P5923" s="21">
        <v>0.0</v>
      </c>
      <c r="Q5923" s="22" t="str">
        <f t="shared" ref="Q5923:R5923" si="3542">"+0"</f>
        <v>+0</v>
      </c>
      <c r="R5923" s="18" t="str">
        <f t="shared" si="3542"/>
        <v>+0</v>
      </c>
      <c r="S5923" s="14" t="s">
        <v>260</v>
      </c>
    </row>
    <row r="5924">
      <c r="A5924" s="13">
        <v>45901.0</v>
      </c>
      <c r="B5924" s="14" t="s">
        <v>47</v>
      </c>
      <c r="C5924" s="14" t="s">
        <v>48</v>
      </c>
      <c r="D5924" s="14" t="s">
        <v>174</v>
      </c>
      <c r="E5924" s="14" t="s">
        <v>175</v>
      </c>
      <c r="F5924" s="15" t="s">
        <v>51</v>
      </c>
      <c r="G5924" s="14" t="s">
        <v>176</v>
      </c>
      <c r="H5924" s="14" t="s">
        <v>174</v>
      </c>
      <c r="I5924" s="14" t="s">
        <v>59</v>
      </c>
      <c r="J5924" s="14" t="s">
        <v>198</v>
      </c>
      <c r="K5924" s="14" t="s">
        <v>207</v>
      </c>
      <c r="L5924" s="14" t="s">
        <v>318</v>
      </c>
      <c r="M5924" s="14" t="s">
        <v>508</v>
      </c>
      <c r="N5924" s="14" t="s">
        <v>509</v>
      </c>
      <c r="O5924" s="14">
        <v>0.0</v>
      </c>
      <c r="P5924" s="21">
        <v>0.0</v>
      </c>
      <c r="Q5924" s="22" t="str">
        <f t="shared" ref="Q5924:Q5925" si="3543">"+0"</f>
        <v>+0</v>
      </c>
      <c r="S5924" s="14" t="s">
        <v>281</v>
      </c>
    </row>
    <row r="5925">
      <c r="A5925" s="13">
        <v>45901.0</v>
      </c>
      <c r="B5925" s="14" t="s">
        <v>47</v>
      </c>
      <c r="C5925" s="14" t="s">
        <v>48</v>
      </c>
      <c r="D5925" s="14" t="s">
        <v>158</v>
      </c>
      <c r="E5925" s="14" t="s">
        <v>159</v>
      </c>
      <c r="F5925" s="15" t="s">
        <v>51</v>
      </c>
      <c r="G5925" s="14" t="s">
        <v>160</v>
      </c>
      <c r="H5925" s="14" t="s">
        <v>158</v>
      </c>
      <c r="I5925" s="14" t="s">
        <v>54</v>
      </c>
      <c r="J5925" s="14" t="s">
        <v>198</v>
      </c>
      <c r="K5925" s="14" t="s">
        <v>210</v>
      </c>
      <c r="L5925" s="14" t="s">
        <v>505</v>
      </c>
      <c r="M5925" s="14" t="s">
        <v>1128</v>
      </c>
      <c r="N5925" s="14" t="s">
        <v>1129</v>
      </c>
      <c r="O5925" s="14">
        <v>0.0</v>
      </c>
      <c r="P5925" s="21">
        <v>0.0</v>
      </c>
      <c r="Q5925" s="22" t="str">
        <f t="shared" si="3543"/>
        <v>+0</v>
      </c>
      <c r="R5925" s="18" t="str">
        <f>"+0"</f>
        <v>+0</v>
      </c>
      <c r="S5925" s="14" t="s">
        <v>277</v>
      </c>
    </row>
    <row r="5926">
      <c r="A5926" s="13">
        <v>45901.0</v>
      </c>
      <c r="B5926" s="14" t="s">
        <v>47</v>
      </c>
      <c r="C5926" s="14" t="s">
        <v>48</v>
      </c>
      <c r="D5926" s="14" t="s">
        <v>181</v>
      </c>
      <c r="E5926" s="14" t="s">
        <v>182</v>
      </c>
      <c r="F5926" s="15" t="s">
        <v>51</v>
      </c>
      <c r="G5926" s="14" t="s">
        <v>183</v>
      </c>
      <c r="H5926" s="14" t="s">
        <v>181</v>
      </c>
      <c r="I5926" s="14" t="s">
        <v>59</v>
      </c>
      <c r="J5926" s="14" t="s">
        <v>200</v>
      </c>
      <c r="K5926" s="14" t="s">
        <v>232</v>
      </c>
      <c r="L5926" s="14" t="s">
        <v>286</v>
      </c>
      <c r="M5926" s="14" t="s">
        <v>588</v>
      </c>
      <c r="N5926" s="14" t="s">
        <v>589</v>
      </c>
      <c r="O5926" s="14">
        <v>0.0</v>
      </c>
      <c r="P5926" s="23">
        <v>0.0</v>
      </c>
      <c r="Q5926" s="22" t="str">
        <f t="shared" ref="Q5926:R5926" si="3544">"+0.00%"</f>
        <v>+0.00%</v>
      </c>
      <c r="R5926" s="18" t="str">
        <f t="shared" si="3544"/>
        <v>+0.00%</v>
      </c>
      <c r="S5926" s="14" t="s">
        <v>285</v>
      </c>
    </row>
    <row r="5927">
      <c r="A5927" s="13">
        <v>45901.0</v>
      </c>
      <c r="B5927" s="14" t="s">
        <v>47</v>
      </c>
      <c r="C5927" s="14" t="s">
        <v>48</v>
      </c>
      <c r="D5927" s="14" t="s">
        <v>155</v>
      </c>
      <c r="E5927" s="14" t="s">
        <v>156</v>
      </c>
      <c r="F5927" s="15" t="s">
        <v>51</v>
      </c>
      <c r="G5927" s="14" t="s">
        <v>157</v>
      </c>
      <c r="H5927" s="14" t="s">
        <v>155</v>
      </c>
      <c r="I5927" s="14" t="s">
        <v>59</v>
      </c>
      <c r="J5927" s="14" t="s">
        <v>200</v>
      </c>
      <c r="K5927" s="14" t="s">
        <v>204</v>
      </c>
      <c r="L5927" s="14" t="s">
        <v>253</v>
      </c>
      <c r="M5927" s="14" t="s">
        <v>844</v>
      </c>
      <c r="N5927" s="14" t="s">
        <v>845</v>
      </c>
      <c r="O5927" s="14">
        <v>0.0</v>
      </c>
      <c r="P5927" s="17"/>
      <c r="Q5927" s="22"/>
      <c r="S5927" s="14" t="s">
        <v>846</v>
      </c>
    </row>
    <row r="5928">
      <c r="A5928" s="13">
        <v>45901.0</v>
      </c>
      <c r="B5928" s="14" t="s">
        <v>47</v>
      </c>
      <c r="C5928" s="14" t="s">
        <v>48</v>
      </c>
      <c r="D5928" s="14" t="s">
        <v>121</v>
      </c>
      <c r="E5928" s="14" t="s">
        <v>122</v>
      </c>
      <c r="F5928" s="15" t="s">
        <v>51</v>
      </c>
      <c r="G5928" s="14" t="s">
        <v>123</v>
      </c>
      <c r="H5928" s="14" t="s">
        <v>124</v>
      </c>
      <c r="I5928" s="14" t="s">
        <v>59</v>
      </c>
      <c r="J5928" s="14" t="s">
        <v>200</v>
      </c>
      <c r="K5928" s="14" t="s">
        <v>222</v>
      </c>
      <c r="L5928" s="14" t="s">
        <v>253</v>
      </c>
      <c r="M5928" s="14" t="s">
        <v>732</v>
      </c>
      <c r="N5928" s="14" t="s">
        <v>733</v>
      </c>
      <c r="O5928" s="14">
        <v>50.0</v>
      </c>
      <c r="P5928" s="21">
        <v>1.0</v>
      </c>
      <c r="Q5928" s="22" t="str">
        <f t="shared" ref="Q5928:R5928" si="3545">"+0"</f>
        <v>+0</v>
      </c>
      <c r="R5928" s="18" t="str">
        <f t="shared" si="3545"/>
        <v>+0</v>
      </c>
      <c r="S5928" s="14" t="s">
        <v>450</v>
      </c>
    </row>
    <row r="5929">
      <c r="A5929" s="13">
        <v>45901.0</v>
      </c>
      <c r="B5929" s="14" t="s">
        <v>47</v>
      </c>
      <c r="C5929" s="14" t="s">
        <v>48</v>
      </c>
      <c r="D5929" s="14" t="s">
        <v>60</v>
      </c>
      <c r="E5929" s="14" t="s">
        <v>61</v>
      </c>
      <c r="F5929" s="15" t="s">
        <v>51</v>
      </c>
      <c r="G5929" s="14" t="s">
        <v>62</v>
      </c>
      <c r="H5929" s="14" t="s">
        <v>60</v>
      </c>
      <c r="I5929" s="14" t="s">
        <v>59</v>
      </c>
      <c r="J5929" s="14" t="s">
        <v>200</v>
      </c>
      <c r="K5929" s="14" t="s">
        <v>223</v>
      </c>
      <c r="L5929" s="14" t="s">
        <v>710</v>
      </c>
      <c r="M5929" s="14" t="s">
        <v>711</v>
      </c>
      <c r="N5929" s="14" t="s">
        <v>712</v>
      </c>
      <c r="O5929" s="14">
        <v>0.0</v>
      </c>
      <c r="P5929" s="23">
        <v>0.0</v>
      </c>
      <c r="Q5929" s="22" t="str">
        <f t="shared" ref="Q5929:R5929" si="3546">"+0.00%"</f>
        <v>+0.00%</v>
      </c>
      <c r="R5929" s="18" t="str">
        <f t="shared" si="3546"/>
        <v>+0.00%</v>
      </c>
      <c r="S5929" s="14" t="s">
        <v>285</v>
      </c>
    </row>
    <row r="5930">
      <c r="A5930" s="13">
        <v>45901.0</v>
      </c>
      <c r="B5930" s="14" t="s">
        <v>47</v>
      </c>
      <c r="C5930" s="14" t="s">
        <v>48</v>
      </c>
      <c r="D5930" s="14" t="s">
        <v>181</v>
      </c>
      <c r="E5930" s="14" t="s">
        <v>182</v>
      </c>
      <c r="F5930" s="15" t="s">
        <v>51</v>
      </c>
      <c r="G5930" s="14" t="s">
        <v>183</v>
      </c>
      <c r="H5930" s="14" t="s">
        <v>181</v>
      </c>
      <c r="I5930" s="14" t="s">
        <v>59</v>
      </c>
      <c r="J5930" s="14" t="s">
        <v>198</v>
      </c>
      <c r="K5930" s="14" t="s">
        <v>207</v>
      </c>
      <c r="L5930" s="14" t="s">
        <v>318</v>
      </c>
      <c r="M5930" s="14" t="s">
        <v>319</v>
      </c>
      <c r="N5930" s="14" t="s">
        <v>320</v>
      </c>
      <c r="O5930" s="14">
        <v>0.0</v>
      </c>
      <c r="P5930" s="21">
        <v>0.0</v>
      </c>
      <c r="Q5930" s="22" t="str">
        <f>"+0"</f>
        <v>+0</v>
      </c>
      <c r="S5930" s="14" t="s">
        <v>281</v>
      </c>
    </row>
    <row r="5931">
      <c r="A5931" s="13">
        <v>45901.0</v>
      </c>
      <c r="B5931" s="14" t="s">
        <v>47</v>
      </c>
      <c r="C5931" s="14" t="s">
        <v>48</v>
      </c>
      <c r="D5931" s="14" t="s">
        <v>165</v>
      </c>
      <c r="E5931" s="14" t="s">
        <v>166</v>
      </c>
      <c r="F5931" s="14" t="s">
        <v>111</v>
      </c>
      <c r="G5931" s="14">
        <v>7116371.0</v>
      </c>
      <c r="H5931" s="14" t="s">
        <v>165</v>
      </c>
      <c r="I5931" s="14" t="s">
        <v>59</v>
      </c>
      <c r="J5931" s="14" t="s">
        <v>200</v>
      </c>
      <c r="K5931" s="14" t="s">
        <v>221</v>
      </c>
      <c r="L5931" s="14" t="s">
        <v>253</v>
      </c>
      <c r="M5931" s="14" t="s">
        <v>1768</v>
      </c>
      <c r="N5931" s="14" t="s">
        <v>1769</v>
      </c>
      <c r="O5931" s="14">
        <v>56.0</v>
      </c>
      <c r="P5931" s="23">
        <v>0.5699</v>
      </c>
      <c r="Q5931" s="22" t="str">
        <f t="shared" ref="Q5931:R5931" si="3547">"+0.00%"</f>
        <v>+0.00%</v>
      </c>
      <c r="R5931" s="18" t="str">
        <f t="shared" si="3547"/>
        <v>+0.00%</v>
      </c>
      <c r="S5931" s="14" t="s">
        <v>1589</v>
      </c>
    </row>
    <row r="5932">
      <c r="A5932" s="13">
        <v>45901.0</v>
      </c>
      <c r="B5932" s="14" t="s">
        <v>47</v>
      </c>
      <c r="C5932" s="14" t="s">
        <v>48</v>
      </c>
      <c r="D5932" s="14" t="s">
        <v>165</v>
      </c>
      <c r="E5932" s="14" t="s">
        <v>166</v>
      </c>
      <c r="F5932" s="15" t="s">
        <v>51</v>
      </c>
      <c r="G5932" s="14" t="s">
        <v>167</v>
      </c>
      <c r="H5932" s="14" t="s">
        <v>165</v>
      </c>
      <c r="I5932" s="14" t="s">
        <v>54</v>
      </c>
      <c r="J5932" s="14" t="s">
        <v>198</v>
      </c>
      <c r="K5932" s="14" t="s">
        <v>210</v>
      </c>
      <c r="L5932" s="14" t="s">
        <v>458</v>
      </c>
      <c r="M5932" s="14" t="s">
        <v>1939</v>
      </c>
      <c r="N5932" s="14" t="s">
        <v>1940</v>
      </c>
      <c r="O5932" s="14">
        <v>0.0</v>
      </c>
      <c r="P5932" s="21">
        <v>0.0</v>
      </c>
      <c r="Q5932" s="22" t="str">
        <f t="shared" ref="Q5932:R5932" si="3548">"+0"</f>
        <v>+0</v>
      </c>
      <c r="R5932" s="18" t="str">
        <f t="shared" si="3548"/>
        <v>+0</v>
      </c>
      <c r="S5932" s="14" t="s">
        <v>277</v>
      </c>
    </row>
    <row r="5933">
      <c r="A5933" s="13">
        <v>45901.0</v>
      </c>
      <c r="B5933" s="14" t="s">
        <v>47</v>
      </c>
      <c r="C5933" s="14" t="s">
        <v>48</v>
      </c>
      <c r="D5933" s="14" t="s">
        <v>165</v>
      </c>
      <c r="E5933" s="14" t="s">
        <v>166</v>
      </c>
      <c r="F5933" s="15" t="s">
        <v>51</v>
      </c>
      <c r="G5933" s="14" t="s">
        <v>167</v>
      </c>
      <c r="H5933" s="14" t="s">
        <v>165</v>
      </c>
      <c r="I5933" s="14" t="s">
        <v>54</v>
      </c>
      <c r="J5933" s="14" t="s">
        <v>198</v>
      </c>
      <c r="K5933" s="14" t="s">
        <v>210</v>
      </c>
      <c r="L5933" s="14" t="s">
        <v>264</v>
      </c>
      <c r="M5933" s="14" t="s">
        <v>1369</v>
      </c>
      <c r="N5933" s="14" t="s">
        <v>1370</v>
      </c>
      <c r="O5933" s="14">
        <v>0.0</v>
      </c>
      <c r="P5933" s="21">
        <v>0.0</v>
      </c>
      <c r="Q5933" s="22" t="str">
        <f>"+0"</f>
        <v>+0</v>
      </c>
      <c r="R5933" s="18" t="str">
        <f>"-2"</f>
        <v>-2</v>
      </c>
      <c r="S5933" s="14" t="s">
        <v>277</v>
      </c>
    </row>
    <row r="5934">
      <c r="A5934" s="13">
        <v>45901.0</v>
      </c>
      <c r="B5934" s="14" t="s">
        <v>47</v>
      </c>
      <c r="C5934" s="14" t="s">
        <v>48</v>
      </c>
      <c r="D5934" s="14" t="s">
        <v>165</v>
      </c>
      <c r="E5934" s="14" t="s">
        <v>166</v>
      </c>
      <c r="F5934" s="15" t="s">
        <v>51</v>
      </c>
      <c r="G5934" s="14" t="s">
        <v>167</v>
      </c>
      <c r="H5934" s="14" t="s">
        <v>165</v>
      </c>
      <c r="I5934" s="14" t="s">
        <v>54</v>
      </c>
      <c r="J5934" s="14" t="s">
        <v>200</v>
      </c>
      <c r="K5934" s="14" t="s">
        <v>204</v>
      </c>
      <c r="L5934" s="14" t="s">
        <v>253</v>
      </c>
      <c r="M5934" s="14" t="s">
        <v>844</v>
      </c>
      <c r="N5934" s="14" t="s">
        <v>845</v>
      </c>
      <c r="O5934" s="14">
        <v>0.0</v>
      </c>
      <c r="P5934" s="17"/>
      <c r="Q5934" s="22"/>
      <c r="S5934" s="14" t="s">
        <v>846</v>
      </c>
    </row>
    <row r="5935">
      <c r="A5935" s="13">
        <v>45901.0</v>
      </c>
      <c r="B5935" s="14" t="s">
        <v>47</v>
      </c>
      <c r="C5935" s="14" t="s">
        <v>48</v>
      </c>
      <c r="D5935" s="14" t="s">
        <v>91</v>
      </c>
      <c r="E5935" s="14" t="s">
        <v>92</v>
      </c>
      <c r="F5935" s="14" t="s">
        <v>71</v>
      </c>
      <c r="G5935" s="14">
        <v>5.10011769E8</v>
      </c>
      <c r="H5935" s="14" t="s">
        <v>91</v>
      </c>
      <c r="I5935" s="14" t="s">
        <v>59</v>
      </c>
      <c r="J5935" s="14" t="s">
        <v>200</v>
      </c>
      <c r="K5935" s="14" t="s">
        <v>218</v>
      </c>
      <c r="L5935" s="14" t="s">
        <v>253</v>
      </c>
      <c r="M5935" s="14" t="s">
        <v>1202</v>
      </c>
      <c r="N5935" s="14" t="s">
        <v>1203</v>
      </c>
      <c r="O5935" s="14">
        <v>1.0</v>
      </c>
      <c r="P5935" s="23">
        <v>0.0013</v>
      </c>
      <c r="Q5935" s="22" t="str">
        <f>"+0.11%"</f>
        <v>+0.11%</v>
      </c>
      <c r="R5935" s="18" t="str">
        <f>"+0.13%"</f>
        <v>+0.13%</v>
      </c>
      <c r="S5935" s="14" t="s">
        <v>2547</v>
      </c>
    </row>
    <row r="5936">
      <c r="A5936" s="13">
        <v>45901.0</v>
      </c>
      <c r="B5936" s="14" t="s">
        <v>47</v>
      </c>
      <c r="C5936" s="14" t="s">
        <v>48</v>
      </c>
      <c r="D5936" s="14" t="s">
        <v>91</v>
      </c>
      <c r="E5936" s="14" t="s">
        <v>92</v>
      </c>
      <c r="F5936" s="14" t="s">
        <v>71</v>
      </c>
      <c r="G5936" s="14">
        <v>1.00004432E8</v>
      </c>
      <c r="H5936" s="14" t="s">
        <v>91</v>
      </c>
      <c r="I5936" s="14" t="s">
        <v>59</v>
      </c>
      <c r="J5936" s="14" t="s">
        <v>199</v>
      </c>
      <c r="K5936" s="14" t="s">
        <v>203</v>
      </c>
      <c r="L5936" s="14" t="s">
        <v>340</v>
      </c>
      <c r="M5936" s="14" t="s">
        <v>340</v>
      </c>
      <c r="N5936" s="14" t="s">
        <v>341</v>
      </c>
      <c r="O5936" s="14">
        <v>0.0</v>
      </c>
      <c r="P5936" s="21">
        <v>0.0</v>
      </c>
      <c r="Q5936" s="22" t="str">
        <f>"-1"</f>
        <v>-1</v>
      </c>
      <c r="R5936" s="18" t="str">
        <f>"-3"</f>
        <v>-3</v>
      </c>
      <c r="S5936" s="14" t="s">
        <v>260</v>
      </c>
    </row>
    <row r="5937">
      <c r="A5937" s="13">
        <v>45901.0</v>
      </c>
      <c r="B5937" s="14" t="s">
        <v>47</v>
      </c>
      <c r="C5937" s="14" t="s">
        <v>48</v>
      </c>
      <c r="D5937" s="14" t="s">
        <v>118</v>
      </c>
      <c r="E5937" s="14" t="s">
        <v>119</v>
      </c>
      <c r="F5937" s="15" t="s">
        <v>51</v>
      </c>
      <c r="G5937" s="14" t="s">
        <v>120</v>
      </c>
      <c r="H5937" s="14" t="s">
        <v>118</v>
      </c>
      <c r="I5937" s="14" t="s">
        <v>59</v>
      </c>
      <c r="J5937" s="14" t="s">
        <v>200</v>
      </c>
      <c r="K5937" s="14" t="s">
        <v>213</v>
      </c>
      <c r="L5937" s="14" t="s">
        <v>676</v>
      </c>
      <c r="M5937" s="14" t="s">
        <v>677</v>
      </c>
      <c r="N5937" s="14" t="s">
        <v>678</v>
      </c>
      <c r="O5937" s="14">
        <v>0.0</v>
      </c>
      <c r="P5937" s="23">
        <v>0.0</v>
      </c>
      <c r="Q5937" s="22" t="str">
        <f t="shared" ref="Q5937:R5937" si="3549">"+0.00%"</f>
        <v>+0.00%</v>
      </c>
      <c r="R5937" s="18" t="str">
        <f t="shared" si="3549"/>
        <v>+0.00%</v>
      </c>
      <c r="S5937" s="14" t="s">
        <v>285</v>
      </c>
    </row>
    <row r="5938">
      <c r="A5938" s="13">
        <v>45901.0</v>
      </c>
      <c r="B5938" s="14" t="s">
        <v>47</v>
      </c>
      <c r="C5938" s="14" t="s">
        <v>48</v>
      </c>
      <c r="D5938" s="14" t="s">
        <v>91</v>
      </c>
      <c r="E5938" s="14" t="s">
        <v>92</v>
      </c>
      <c r="F5938" s="14" t="s">
        <v>71</v>
      </c>
      <c r="G5938" s="14">
        <v>7295600.0</v>
      </c>
      <c r="H5938" s="14" t="s">
        <v>91</v>
      </c>
      <c r="I5938" s="14" t="s">
        <v>54</v>
      </c>
      <c r="J5938" s="14" t="s">
        <v>199</v>
      </c>
      <c r="K5938" s="14" t="s">
        <v>206</v>
      </c>
      <c r="L5938" s="14" t="s">
        <v>295</v>
      </c>
      <c r="M5938" s="14" t="s">
        <v>296</v>
      </c>
      <c r="N5938" s="14" t="s">
        <v>297</v>
      </c>
      <c r="O5938" s="14">
        <v>100.0</v>
      </c>
      <c r="P5938" s="21">
        <v>2.0</v>
      </c>
      <c r="Q5938" s="22" t="str">
        <f t="shared" ref="Q5938:R5938" si="3550">"+0"</f>
        <v>+0</v>
      </c>
      <c r="R5938" s="18" t="str">
        <f t="shared" si="3550"/>
        <v>+0</v>
      </c>
      <c r="S5938" s="14" t="s">
        <v>260</v>
      </c>
    </row>
    <row r="5939">
      <c r="A5939" s="13">
        <v>45901.0</v>
      </c>
      <c r="B5939" s="14" t="s">
        <v>47</v>
      </c>
      <c r="C5939" s="14" t="s">
        <v>48</v>
      </c>
      <c r="D5939" s="14" t="s">
        <v>91</v>
      </c>
      <c r="E5939" s="14" t="s">
        <v>92</v>
      </c>
      <c r="F5939" s="14" t="s">
        <v>71</v>
      </c>
      <c r="G5939" s="14">
        <v>5.00008613E8</v>
      </c>
      <c r="H5939" s="14" t="s">
        <v>91</v>
      </c>
      <c r="I5939" s="14" t="s">
        <v>59</v>
      </c>
      <c r="J5939" s="14" t="s">
        <v>199</v>
      </c>
      <c r="K5939" s="14" t="s">
        <v>203</v>
      </c>
      <c r="L5939" s="14" t="s">
        <v>736</v>
      </c>
      <c r="M5939" s="14" t="s">
        <v>736</v>
      </c>
      <c r="N5939" s="14" t="s">
        <v>737</v>
      </c>
      <c r="O5939" s="14">
        <v>100.0</v>
      </c>
      <c r="P5939" s="21">
        <v>5.0</v>
      </c>
      <c r="Q5939" s="22" t="str">
        <f t="shared" ref="Q5939:R5939" si="3551">"+0"</f>
        <v>+0</v>
      </c>
      <c r="R5939" s="18" t="str">
        <f t="shared" si="3551"/>
        <v>+0</v>
      </c>
      <c r="S5939" s="14" t="s">
        <v>260</v>
      </c>
    </row>
    <row r="5940">
      <c r="A5940" s="13">
        <v>45901.0</v>
      </c>
      <c r="B5940" s="14" t="s">
        <v>47</v>
      </c>
      <c r="C5940" s="14" t="s">
        <v>48</v>
      </c>
      <c r="D5940" s="14" t="s">
        <v>91</v>
      </c>
      <c r="E5940" s="14" t="s">
        <v>92</v>
      </c>
      <c r="F5940" s="15" t="s">
        <v>51</v>
      </c>
      <c r="G5940" s="14" t="s">
        <v>163</v>
      </c>
      <c r="H5940" s="14" t="s">
        <v>91</v>
      </c>
      <c r="I5940" s="14" t="s">
        <v>59</v>
      </c>
      <c r="J5940" s="14" t="s">
        <v>200</v>
      </c>
      <c r="K5940" s="14" t="s">
        <v>223</v>
      </c>
      <c r="L5940" s="14" t="s">
        <v>307</v>
      </c>
      <c r="M5940" s="14" t="s">
        <v>308</v>
      </c>
      <c r="N5940" s="14" t="s">
        <v>309</v>
      </c>
      <c r="O5940" s="14">
        <v>0.0</v>
      </c>
      <c r="P5940" s="23">
        <v>0.0</v>
      </c>
      <c r="Q5940" s="22" t="str">
        <f t="shared" ref="Q5940:R5940" si="3552">"+0.00%"</f>
        <v>+0.00%</v>
      </c>
      <c r="R5940" s="18" t="str">
        <f t="shared" si="3552"/>
        <v>+0.00%</v>
      </c>
      <c r="S5940" s="14" t="s">
        <v>285</v>
      </c>
    </row>
    <row r="5941">
      <c r="A5941" s="13">
        <v>45901.0</v>
      </c>
      <c r="B5941" s="14" t="s">
        <v>47</v>
      </c>
      <c r="C5941" s="14" t="s">
        <v>48</v>
      </c>
      <c r="D5941" s="14" t="s">
        <v>66</v>
      </c>
      <c r="E5941" s="14" t="s">
        <v>67</v>
      </c>
      <c r="F5941" s="15" t="s">
        <v>51</v>
      </c>
      <c r="G5941" s="14" t="s">
        <v>68</v>
      </c>
      <c r="H5941" s="14" t="s">
        <v>66</v>
      </c>
      <c r="I5941" s="14" t="s">
        <v>59</v>
      </c>
      <c r="J5941" s="14" t="s">
        <v>200</v>
      </c>
      <c r="K5941" s="14" t="s">
        <v>223</v>
      </c>
      <c r="L5941" s="14" t="s">
        <v>282</v>
      </c>
      <c r="M5941" s="14" t="s">
        <v>914</v>
      </c>
      <c r="N5941" s="14" t="s">
        <v>915</v>
      </c>
      <c r="O5941" s="14">
        <v>0.0</v>
      </c>
      <c r="P5941" s="21">
        <v>0.0</v>
      </c>
      <c r="Q5941" s="22" t="str">
        <f t="shared" ref="Q5941:R5941" si="3553">"+0"</f>
        <v>+0</v>
      </c>
      <c r="R5941" s="18" t="str">
        <f t="shared" si="3553"/>
        <v>+0</v>
      </c>
      <c r="S5941" s="14" t="s">
        <v>260</v>
      </c>
    </row>
    <row r="5942">
      <c r="A5942" s="13">
        <v>45901.0</v>
      </c>
      <c r="B5942" s="14" t="s">
        <v>47</v>
      </c>
      <c r="C5942" s="14" t="s">
        <v>48</v>
      </c>
      <c r="D5942" s="14" t="s">
        <v>184</v>
      </c>
      <c r="E5942" s="14" t="s">
        <v>185</v>
      </c>
      <c r="F5942" s="15" t="s">
        <v>51</v>
      </c>
      <c r="G5942" s="14" t="s">
        <v>186</v>
      </c>
      <c r="H5942" s="14" t="s">
        <v>187</v>
      </c>
      <c r="I5942" s="14" t="s">
        <v>59</v>
      </c>
      <c r="J5942" s="14" t="s">
        <v>198</v>
      </c>
      <c r="K5942" s="14" t="s">
        <v>210</v>
      </c>
      <c r="L5942" s="14" t="s">
        <v>278</v>
      </c>
      <c r="M5942" s="14" t="s">
        <v>279</v>
      </c>
      <c r="N5942" s="14" t="s">
        <v>280</v>
      </c>
      <c r="O5942" s="14">
        <v>100.0</v>
      </c>
      <c r="P5942" s="21">
        <v>0.0</v>
      </c>
      <c r="Q5942" s="22" t="str">
        <f t="shared" ref="Q5942:R5942" si="3554">"+0"</f>
        <v>+0</v>
      </c>
      <c r="R5942" s="18" t="str">
        <f t="shared" si="3554"/>
        <v>+0</v>
      </c>
      <c r="S5942" s="14" t="s">
        <v>281</v>
      </c>
    </row>
    <row r="5943">
      <c r="A5943" s="13">
        <v>45901.0</v>
      </c>
      <c r="B5943" s="14" t="s">
        <v>47</v>
      </c>
      <c r="C5943" s="14" t="s">
        <v>48</v>
      </c>
      <c r="D5943" s="14" t="s">
        <v>184</v>
      </c>
      <c r="E5943" s="14" t="s">
        <v>185</v>
      </c>
      <c r="F5943" s="15" t="s">
        <v>51</v>
      </c>
      <c r="G5943" s="14" t="s">
        <v>186</v>
      </c>
      <c r="H5943" s="14" t="s">
        <v>187</v>
      </c>
      <c r="I5943" s="14" t="s">
        <v>59</v>
      </c>
      <c r="J5943" s="14" t="s">
        <v>200</v>
      </c>
      <c r="K5943" s="14" t="s">
        <v>224</v>
      </c>
      <c r="L5943" s="14" t="s">
        <v>427</v>
      </c>
      <c r="M5943" s="14" t="s">
        <v>617</v>
      </c>
      <c r="N5943" s="14" t="s">
        <v>618</v>
      </c>
      <c r="O5943" s="14">
        <v>0.0</v>
      </c>
      <c r="P5943" s="17"/>
      <c r="Q5943" s="22"/>
      <c r="S5943" s="14" t="s">
        <v>619</v>
      </c>
    </row>
    <row r="5944">
      <c r="A5944" s="13">
        <v>45901.0</v>
      </c>
      <c r="B5944" s="14" t="s">
        <v>47</v>
      </c>
      <c r="C5944" s="14" t="s">
        <v>48</v>
      </c>
      <c r="D5944" s="14" t="s">
        <v>132</v>
      </c>
      <c r="E5944" s="14" t="s">
        <v>133</v>
      </c>
      <c r="F5944" s="15" t="s">
        <v>51</v>
      </c>
      <c r="G5944" s="14" t="s">
        <v>134</v>
      </c>
      <c r="H5944" s="14" t="s">
        <v>135</v>
      </c>
      <c r="I5944" s="14" t="s">
        <v>59</v>
      </c>
      <c r="J5944" s="14" t="s">
        <v>198</v>
      </c>
      <c r="K5944" s="14" t="s">
        <v>210</v>
      </c>
      <c r="L5944" s="14" t="s">
        <v>264</v>
      </c>
      <c r="M5944" s="14" t="s">
        <v>357</v>
      </c>
      <c r="N5944" s="14" t="s">
        <v>358</v>
      </c>
      <c r="O5944" s="14">
        <v>100.0</v>
      </c>
      <c r="P5944" s="21">
        <v>0.0</v>
      </c>
      <c r="Q5944" s="22" t="str">
        <f t="shared" ref="Q5944:R5944" si="3555">"+0"</f>
        <v>+0</v>
      </c>
      <c r="R5944" s="18" t="str">
        <f t="shared" si="3555"/>
        <v>+0</v>
      </c>
      <c r="S5944" s="14" t="s">
        <v>281</v>
      </c>
    </row>
    <row r="5945">
      <c r="A5945" s="13">
        <v>45901.0</v>
      </c>
      <c r="B5945" s="14" t="s">
        <v>47</v>
      </c>
      <c r="C5945" s="14" t="s">
        <v>48</v>
      </c>
      <c r="D5945" s="14" t="s">
        <v>73</v>
      </c>
      <c r="E5945" s="14" t="s">
        <v>74</v>
      </c>
      <c r="F5945" s="15" t="s">
        <v>51</v>
      </c>
      <c r="G5945" s="14" t="s">
        <v>75</v>
      </c>
      <c r="H5945" s="14" t="s">
        <v>76</v>
      </c>
      <c r="I5945" s="14" t="s">
        <v>59</v>
      </c>
      <c r="J5945" s="14" t="s">
        <v>198</v>
      </c>
      <c r="K5945" s="14" t="s">
        <v>210</v>
      </c>
      <c r="L5945" s="14" t="s">
        <v>264</v>
      </c>
      <c r="M5945" s="14" t="s">
        <v>524</v>
      </c>
      <c r="N5945" s="14" t="s">
        <v>525</v>
      </c>
      <c r="O5945" s="14">
        <v>100.0</v>
      </c>
      <c r="P5945" s="21">
        <v>0.0</v>
      </c>
      <c r="Q5945" s="22" t="str">
        <f t="shared" ref="Q5945:R5945" si="3556">"+0"</f>
        <v>+0</v>
      </c>
      <c r="R5945" s="18" t="str">
        <f t="shared" si="3556"/>
        <v>+0</v>
      </c>
      <c r="S5945" s="14" t="s">
        <v>281</v>
      </c>
    </row>
    <row r="5946">
      <c r="A5946" s="13">
        <v>45901.0</v>
      </c>
      <c r="B5946" s="14" t="s">
        <v>47</v>
      </c>
      <c r="C5946" s="14" t="s">
        <v>48</v>
      </c>
      <c r="D5946" s="14" t="s">
        <v>143</v>
      </c>
      <c r="E5946" s="14" t="s">
        <v>144</v>
      </c>
      <c r="F5946" s="15" t="s">
        <v>51</v>
      </c>
      <c r="G5946" s="14" t="s">
        <v>145</v>
      </c>
      <c r="H5946" s="14" t="s">
        <v>143</v>
      </c>
      <c r="I5946" s="14" t="s">
        <v>59</v>
      </c>
      <c r="J5946" s="14" t="s">
        <v>198</v>
      </c>
      <c r="K5946" s="14" t="s">
        <v>205</v>
      </c>
      <c r="L5946" s="14" t="s">
        <v>274</v>
      </c>
      <c r="M5946" s="14" t="s">
        <v>466</v>
      </c>
      <c r="N5946" s="14" t="s">
        <v>467</v>
      </c>
      <c r="O5946" s="14">
        <v>100.0</v>
      </c>
      <c r="P5946" s="21">
        <v>1.0</v>
      </c>
      <c r="Q5946" s="22" t="str">
        <f t="shared" ref="Q5946:Q5947" si="3557">"+0"</f>
        <v>+0</v>
      </c>
      <c r="S5946" s="14" t="s">
        <v>281</v>
      </c>
    </row>
    <row r="5947">
      <c r="A5947" s="13">
        <v>45901.0</v>
      </c>
      <c r="B5947" s="14" t="s">
        <v>47</v>
      </c>
      <c r="C5947" s="14" t="s">
        <v>48</v>
      </c>
      <c r="D5947" s="14" t="s">
        <v>87</v>
      </c>
      <c r="E5947" s="14" t="s">
        <v>88</v>
      </c>
      <c r="F5947" s="15" t="s">
        <v>51</v>
      </c>
      <c r="G5947" s="14" t="s">
        <v>89</v>
      </c>
      <c r="H5947" s="14" t="s">
        <v>90</v>
      </c>
      <c r="I5947" s="14" t="s">
        <v>59</v>
      </c>
      <c r="J5947" s="14" t="s">
        <v>198</v>
      </c>
      <c r="K5947" s="14" t="s">
        <v>207</v>
      </c>
      <c r="L5947" s="14" t="s">
        <v>318</v>
      </c>
      <c r="M5947" s="14" t="s">
        <v>319</v>
      </c>
      <c r="N5947" s="14" t="s">
        <v>320</v>
      </c>
      <c r="O5947" s="14">
        <v>0.0</v>
      </c>
      <c r="P5947" s="21">
        <v>0.0</v>
      </c>
      <c r="Q5947" s="22" t="str">
        <f t="shared" si="3557"/>
        <v>+0</v>
      </c>
      <c r="S5947" s="14" t="s">
        <v>281</v>
      </c>
    </row>
    <row r="5948">
      <c r="A5948" s="13">
        <v>45901.0</v>
      </c>
      <c r="B5948" s="14" t="s">
        <v>47</v>
      </c>
      <c r="C5948" s="14" t="s">
        <v>48</v>
      </c>
      <c r="D5948" s="14" t="s">
        <v>129</v>
      </c>
      <c r="E5948" s="14" t="s">
        <v>130</v>
      </c>
      <c r="F5948" s="15" t="s">
        <v>51</v>
      </c>
      <c r="G5948" s="14" t="s">
        <v>131</v>
      </c>
      <c r="H5948" s="14" t="s">
        <v>129</v>
      </c>
      <c r="I5948" s="14" t="s">
        <v>59</v>
      </c>
      <c r="J5948" s="14" t="s">
        <v>200</v>
      </c>
      <c r="K5948" s="14" t="s">
        <v>213</v>
      </c>
      <c r="L5948" s="14" t="s">
        <v>676</v>
      </c>
      <c r="M5948" s="14" t="s">
        <v>858</v>
      </c>
      <c r="N5948" s="14" t="s">
        <v>859</v>
      </c>
      <c r="O5948" s="14">
        <v>0.0</v>
      </c>
      <c r="P5948" s="23">
        <v>-1.0</v>
      </c>
      <c r="Q5948" s="22" t="str">
        <f t="shared" ref="Q5948:R5948" si="3558">"+0.00%"</f>
        <v>+0.00%</v>
      </c>
      <c r="R5948" s="18" t="str">
        <f t="shared" si="3558"/>
        <v>+0.00%</v>
      </c>
      <c r="S5948" s="14" t="s">
        <v>2590</v>
      </c>
    </row>
    <row r="5949">
      <c r="A5949" s="13">
        <v>45901.0</v>
      </c>
      <c r="B5949" s="14" t="s">
        <v>47</v>
      </c>
      <c r="C5949" s="14" t="s">
        <v>48</v>
      </c>
      <c r="D5949" s="14" t="s">
        <v>85</v>
      </c>
      <c r="E5949" s="14" t="s">
        <v>86</v>
      </c>
      <c r="F5949" s="15" t="s">
        <v>51</v>
      </c>
      <c r="G5949" s="14" t="s">
        <v>148</v>
      </c>
      <c r="H5949" s="14" t="s">
        <v>85</v>
      </c>
      <c r="I5949" s="14" t="s">
        <v>59</v>
      </c>
      <c r="J5949" s="14" t="s">
        <v>200</v>
      </c>
      <c r="K5949" s="14" t="s">
        <v>213</v>
      </c>
      <c r="L5949" s="14" t="s">
        <v>253</v>
      </c>
      <c r="M5949" s="14" t="s">
        <v>389</v>
      </c>
      <c r="N5949" s="14" t="s">
        <v>390</v>
      </c>
      <c r="O5949" s="14">
        <v>100.0</v>
      </c>
      <c r="P5949" s="23">
        <v>1.0</v>
      </c>
      <c r="Q5949" s="22" t="str">
        <f>"+0.88%"</f>
        <v>+0.88%</v>
      </c>
      <c r="R5949" s="18" t="str">
        <f>"+0.00%"</f>
        <v>+0.00%</v>
      </c>
      <c r="S5949" s="14" t="s">
        <v>2591</v>
      </c>
    </row>
    <row r="5950">
      <c r="A5950" s="13">
        <v>45901.0</v>
      </c>
      <c r="B5950" s="14" t="s">
        <v>47</v>
      </c>
      <c r="C5950" s="14" t="s">
        <v>48</v>
      </c>
      <c r="D5950" s="14" t="s">
        <v>69</v>
      </c>
      <c r="E5950" s="14" t="s">
        <v>70</v>
      </c>
      <c r="F5950" s="15" t="s">
        <v>51</v>
      </c>
      <c r="G5950" s="14" t="s">
        <v>115</v>
      </c>
      <c r="H5950" s="14" t="s">
        <v>72</v>
      </c>
      <c r="I5950" s="14" t="s">
        <v>54</v>
      </c>
      <c r="J5950" s="14" t="s">
        <v>198</v>
      </c>
      <c r="K5950" s="14" t="s">
        <v>210</v>
      </c>
      <c r="L5950" s="14" t="s">
        <v>264</v>
      </c>
      <c r="M5950" s="14" t="s">
        <v>959</v>
      </c>
      <c r="N5950" s="14" t="s">
        <v>960</v>
      </c>
      <c r="O5950" s="14">
        <v>0.0</v>
      </c>
      <c r="P5950" s="21">
        <v>0.0</v>
      </c>
      <c r="Q5950" s="22" t="str">
        <f t="shared" ref="Q5950:R5950" si="3559">"+0"</f>
        <v>+0</v>
      </c>
      <c r="R5950" s="18" t="str">
        <f t="shared" si="3559"/>
        <v>+0</v>
      </c>
      <c r="S5950" s="14" t="s">
        <v>277</v>
      </c>
    </row>
    <row r="5951">
      <c r="A5951" s="13">
        <v>45901.0</v>
      </c>
      <c r="B5951" s="14" t="s">
        <v>47</v>
      </c>
      <c r="C5951" s="14" t="s">
        <v>48</v>
      </c>
      <c r="D5951" s="14" t="s">
        <v>125</v>
      </c>
      <c r="E5951" s="14" t="s">
        <v>126</v>
      </c>
      <c r="F5951" s="15" t="s">
        <v>51</v>
      </c>
      <c r="G5951" s="14" t="s">
        <v>127</v>
      </c>
      <c r="H5951" s="14" t="s">
        <v>125</v>
      </c>
      <c r="I5951" s="14" t="s">
        <v>59</v>
      </c>
      <c r="J5951" s="14" t="s">
        <v>198</v>
      </c>
      <c r="K5951" s="14" t="s">
        <v>212</v>
      </c>
      <c r="L5951" s="14" t="s">
        <v>249</v>
      </c>
      <c r="M5951" s="14" t="s">
        <v>250</v>
      </c>
      <c r="N5951" s="14" t="s">
        <v>251</v>
      </c>
      <c r="O5951" s="14">
        <v>100.0</v>
      </c>
      <c r="P5951" s="21">
        <v>0.0</v>
      </c>
      <c r="Q5951" s="22" t="str">
        <f t="shared" ref="Q5951:R5951" si="3560">"+0"</f>
        <v>+0</v>
      </c>
      <c r="R5951" s="18" t="str">
        <f t="shared" si="3560"/>
        <v>+0</v>
      </c>
      <c r="S5951" s="14" t="s">
        <v>281</v>
      </c>
    </row>
    <row r="5952">
      <c r="A5952" s="13">
        <v>45901.0</v>
      </c>
      <c r="B5952" s="14" t="s">
        <v>47</v>
      </c>
      <c r="C5952" s="14" t="s">
        <v>48</v>
      </c>
      <c r="D5952" s="14" t="s">
        <v>174</v>
      </c>
      <c r="E5952" s="14" t="s">
        <v>175</v>
      </c>
      <c r="F5952" s="15" t="s">
        <v>51</v>
      </c>
      <c r="G5952" s="14" t="s">
        <v>176</v>
      </c>
      <c r="H5952" s="14" t="s">
        <v>174</v>
      </c>
      <c r="I5952" s="14" t="s">
        <v>59</v>
      </c>
      <c r="J5952" s="14" t="s">
        <v>199</v>
      </c>
      <c r="K5952" s="14" t="s">
        <v>206</v>
      </c>
      <c r="L5952" s="14" t="s">
        <v>433</v>
      </c>
      <c r="M5952" s="14" t="s">
        <v>433</v>
      </c>
      <c r="N5952" s="14" t="s">
        <v>434</v>
      </c>
      <c r="O5952" s="14">
        <v>100.0</v>
      </c>
      <c r="P5952" s="21">
        <v>14.0</v>
      </c>
      <c r="Q5952" s="22" t="str">
        <f>"+4"</f>
        <v>+4</v>
      </c>
      <c r="R5952" s="18" t="str">
        <f>"+8"</f>
        <v>+8</v>
      </c>
      <c r="S5952" s="14" t="s">
        <v>383</v>
      </c>
    </row>
    <row r="5953">
      <c r="A5953" s="13">
        <v>45901.0</v>
      </c>
      <c r="B5953" s="14" t="s">
        <v>47</v>
      </c>
      <c r="C5953" s="14" t="s">
        <v>48</v>
      </c>
      <c r="D5953" s="14" t="s">
        <v>77</v>
      </c>
      <c r="E5953" s="14" t="s">
        <v>78</v>
      </c>
      <c r="F5953" s="15" t="s">
        <v>51</v>
      </c>
      <c r="G5953" s="14" t="s">
        <v>128</v>
      </c>
      <c r="H5953" s="14" t="s">
        <v>81</v>
      </c>
      <c r="I5953" s="14" t="s">
        <v>59</v>
      </c>
      <c r="J5953" s="14" t="s">
        <v>199</v>
      </c>
      <c r="K5953" s="14" t="s">
        <v>206</v>
      </c>
      <c r="L5953" s="14" t="s">
        <v>268</v>
      </c>
      <c r="M5953" s="14" t="s">
        <v>268</v>
      </c>
      <c r="N5953" s="14" t="s">
        <v>269</v>
      </c>
      <c r="O5953" s="14">
        <v>0.0</v>
      </c>
      <c r="P5953" s="21">
        <v>0.0</v>
      </c>
      <c r="Q5953" s="22" t="str">
        <f t="shared" ref="Q5953:R5953" si="3561">"+0"</f>
        <v>+0</v>
      </c>
      <c r="R5953" s="18" t="str">
        <f t="shared" si="3561"/>
        <v>+0</v>
      </c>
      <c r="S5953" s="14" t="s">
        <v>260</v>
      </c>
    </row>
    <row r="5954">
      <c r="A5954" s="13">
        <v>45901.0</v>
      </c>
      <c r="B5954" s="14" t="s">
        <v>47</v>
      </c>
      <c r="C5954" s="14" t="s">
        <v>48</v>
      </c>
      <c r="D5954" s="14" t="s">
        <v>77</v>
      </c>
      <c r="E5954" s="14" t="s">
        <v>78</v>
      </c>
      <c r="F5954" s="15" t="s">
        <v>51</v>
      </c>
      <c r="G5954" s="14" t="s">
        <v>128</v>
      </c>
      <c r="H5954" s="14" t="s">
        <v>81</v>
      </c>
      <c r="I5954" s="14" t="s">
        <v>59</v>
      </c>
      <c r="J5954" s="14" t="s">
        <v>200</v>
      </c>
      <c r="K5954" s="14" t="s">
        <v>223</v>
      </c>
      <c r="L5954" s="14" t="s">
        <v>307</v>
      </c>
      <c r="M5954" s="14" t="s">
        <v>1176</v>
      </c>
      <c r="N5954" s="14" t="s">
        <v>1177</v>
      </c>
      <c r="O5954" s="14">
        <v>0.0</v>
      </c>
      <c r="P5954" s="23">
        <v>0.0</v>
      </c>
      <c r="Q5954" s="22" t="str">
        <f t="shared" ref="Q5954:R5954" si="3562">"+0.00%"</f>
        <v>+0.00%</v>
      </c>
      <c r="R5954" s="18" t="str">
        <f t="shared" si="3562"/>
        <v>+0.00%</v>
      </c>
      <c r="S5954" s="14" t="s">
        <v>285</v>
      </c>
    </row>
    <row r="5955">
      <c r="A5955" s="13">
        <v>45901.0</v>
      </c>
      <c r="B5955" s="14" t="s">
        <v>47</v>
      </c>
      <c r="C5955" s="14" t="s">
        <v>48</v>
      </c>
      <c r="D5955" s="14" t="s">
        <v>108</v>
      </c>
      <c r="E5955" s="14" t="s">
        <v>109</v>
      </c>
      <c r="F5955" s="15" t="s">
        <v>51</v>
      </c>
      <c r="G5955" s="14" t="s">
        <v>110</v>
      </c>
      <c r="H5955" s="14" t="s">
        <v>108</v>
      </c>
      <c r="I5955" s="14" t="s">
        <v>59</v>
      </c>
      <c r="J5955" s="14" t="s">
        <v>200</v>
      </c>
      <c r="K5955" s="14" t="s">
        <v>233</v>
      </c>
      <c r="L5955" s="14" t="s">
        <v>253</v>
      </c>
      <c r="M5955" s="14" t="s">
        <v>2592</v>
      </c>
      <c r="N5955" s="14" t="s">
        <v>2593</v>
      </c>
      <c r="O5955" s="14">
        <v>1.0</v>
      </c>
      <c r="P5955" s="23">
        <v>0.0151</v>
      </c>
      <c r="Q5955" s="22" t="str">
        <f>"+1.51%"</f>
        <v>+1.51%</v>
      </c>
      <c r="S5955" s="14" t="s">
        <v>371</v>
      </c>
    </row>
    <row r="5956">
      <c r="A5956" s="13">
        <v>45901.0</v>
      </c>
      <c r="B5956" s="14" t="s">
        <v>47</v>
      </c>
      <c r="C5956" s="14" t="s">
        <v>48</v>
      </c>
      <c r="D5956" s="14" t="s">
        <v>181</v>
      </c>
      <c r="E5956" s="14" t="s">
        <v>182</v>
      </c>
      <c r="F5956" s="15" t="s">
        <v>51</v>
      </c>
      <c r="G5956" s="14" t="s">
        <v>183</v>
      </c>
      <c r="H5956" s="14" t="s">
        <v>181</v>
      </c>
      <c r="I5956" s="14" t="s">
        <v>59</v>
      </c>
      <c r="J5956" s="14" t="s">
        <v>200</v>
      </c>
      <c r="K5956" s="14" t="s">
        <v>232</v>
      </c>
      <c r="L5956" s="14" t="s">
        <v>304</v>
      </c>
      <c r="M5956" s="14" t="s">
        <v>305</v>
      </c>
      <c r="N5956" s="14" t="s">
        <v>306</v>
      </c>
      <c r="O5956" s="14">
        <v>100.0</v>
      </c>
      <c r="P5956" s="21">
        <v>3.0</v>
      </c>
      <c r="Q5956" s="22" t="str">
        <f t="shared" ref="Q5956:R5956" si="3563">"+0"</f>
        <v>+0</v>
      </c>
      <c r="R5956" s="18" t="str">
        <f t="shared" si="3563"/>
        <v>+0</v>
      </c>
      <c r="S5956" s="14" t="s">
        <v>260</v>
      </c>
    </row>
    <row r="5957">
      <c r="A5957" s="13">
        <v>45901.0</v>
      </c>
      <c r="B5957" s="14" t="s">
        <v>47</v>
      </c>
      <c r="C5957" s="14" t="s">
        <v>48</v>
      </c>
      <c r="D5957" s="14" t="s">
        <v>181</v>
      </c>
      <c r="E5957" s="14" t="s">
        <v>182</v>
      </c>
      <c r="F5957" s="15" t="s">
        <v>51</v>
      </c>
      <c r="G5957" s="14" t="s">
        <v>183</v>
      </c>
      <c r="H5957" s="14" t="s">
        <v>181</v>
      </c>
      <c r="I5957" s="14" t="s">
        <v>59</v>
      </c>
      <c r="J5957" s="14" t="s">
        <v>198</v>
      </c>
      <c r="K5957" s="14" t="s">
        <v>205</v>
      </c>
      <c r="L5957" s="14" t="s">
        <v>274</v>
      </c>
      <c r="M5957" s="14" t="s">
        <v>448</v>
      </c>
      <c r="N5957" s="14" t="s">
        <v>449</v>
      </c>
      <c r="O5957" s="14">
        <v>100.0</v>
      </c>
      <c r="P5957" s="21">
        <v>3.0</v>
      </c>
      <c r="Q5957" s="22" t="str">
        <f t="shared" ref="Q5957:Q5960" si="3564">"+0"</f>
        <v>+0</v>
      </c>
      <c r="S5957" s="14" t="s">
        <v>450</v>
      </c>
    </row>
    <row r="5958">
      <c r="A5958" s="13">
        <v>45901.0</v>
      </c>
      <c r="B5958" s="14" t="s">
        <v>47</v>
      </c>
      <c r="C5958" s="14" t="s">
        <v>48</v>
      </c>
      <c r="D5958" s="14" t="s">
        <v>181</v>
      </c>
      <c r="E5958" s="14" t="s">
        <v>182</v>
      </c>
      <c r="F5958" s="15" t="s">
        <v>51</v>
      </c>
      <c r="G5958" s="14" t="s">
        <v>183</v>
      </c>
      <c r="H5958" s="14" t="s">
        <v>181</v>
      </c>
      <c r="I5958" s="14" t="s">
        <v>59</v>
      </c>
      <c r="J5958" s="14" t="s">
        <v>200</v>
      </c>
      <c r="K5958" s="14" t="s">
        <v>232</v>
      </c>
      <c r="L5958" s="14" t="s">
        <v>363</v>
      </c>
      <c r="M5958" s="14" t="s">
        <v>379</v>
      </c>
      <c r="N5958" s="14" t="s">
        <v>380</v>
      </c>
      <c r="O5958" s="14">
        <v>0.0</v>
      </c>
      <c r="P5958" s="21">
        <v>0.0</v>
      </c>
      <c r="Q5958" s="22" t="str">
        <f t="shared" si="3564"/>
        <v>+0</v>
      </c>
      <c r="R5958" s="18" t="str">
        <f t="shared" ref="R5958:R5960" si="3565">"+0"</f>
        <v>+0</v>
      </c>
      <c r="S5958" s="14" t="s">
        <v>260</v>
      </c>
    </row>
    <row r="5959">
      <c r="A5959" s="13">
        <v>45901.0</v>
      </c>
      <c r="B5959" s="14" t="s">
        <v>47</v>
      </c>
      <c r="C5959" s="14" t="s">
        <v>48</v>
      </c>
      <c r="D5959" s="14" t="s">
        <v>155</v>
      </c>
      <c r="E5959" s="14" t="s">
        <v>156</v>
      </c>
      <c r="F5959" s="15" t="s">
        <v>51</v>
      </c>
      <c r="G5959" s="14" t="s">
        <v>157</v>
      </c>
      <c r="H5959" s="14" t="s">
        <v>155</v>
      </c>
      <c r="I5959" s="14" t="s">
        <v>59</v>
      </c>
      <c r="J5959" s="14" t="s">
        <v>199</v>
      </c>
      <c r="K5959" s="14" t="s">
        <v>206</v>
      </c>
      <c r="L5959" s="14" t="s">
        <v>295</v>
      </c>
      <c r="M5959" s="14" t="s">
        <v>529</v>
      </c>
      <c r="N5959" s="14" t="s">
        <v>530</v>
      </c>
      <c r="O5959" s="14">
        <v>0.0</v>
      </c>
      <c r="P5959" s="21">
        <v>0.0</v>
      </c>
      <c r="Q5959" s="22" t="str">
        <f t="shared" si="3564"/>
        <v>+0</v>
      </c>
      <c r="R5959" s="18" t="str">
        <f t="shared" si="3565"/>
        <v>+0</v>
      </c>
      <c r="S5959" s="14" t="s">
        <v>260</v>
      </c>
    </row>
    <row r="5960">
      <c r="A5960" s="13">
        <v>45901.0</v>
      </c>
      <c r="B5960" s="14" t="s">
        <v>47</v>
      </c>
      <c r="C5960" s="14" t="s">
        <v>48</v>
      </c>
      <c r="D5960" s="14" t="s">
        <v>60</v>
      </c>
      <c r="E5960" s="14" t="s">
        <v>61</v>
      </c>
      <c r="F5960" s="15" t="s">
        <v>51</v>
      </c>
      <c r="G5960" s="14" t="s">
        <v>62</v>
      </c>
      <c r="H5960" s="14" t="s">
        <v>60</v>
      </c>
      <c r="I5960" s="14" t="s">
        <v>59</v>
      </c>
      <c r="J5960" s="14" t="s">
        <v>200</v>
      </c>
      <c r="K5960" s="14" t="s">
        <v>223</v>
      </c>
      <c r="L5960" s="14" t="s">
        <v>359</v>
      </c>
      <c r="M5960" s="14" t="s">
        <v>628</v>
      </c>
      <c r="N5960" s="14" t="s">
        <v>629</v>
      </c>
      <c r="O5960" s="14">
        <v>100.0</v>
      </c>
      <c r="P5960" s="21">
        <v>1.0</v>
      </c>
      <c r="Q5960" s="22" t="str">
        <f t="shared" si="3564"/>
        <v>+0</v>
      </c>
      <c r="R5960" s="18" t="str">
        <f t="shared" si="3565"/>
        <v>+0</v>
      </c>
      <c r="S5960" s="14" t="s">
        <v>260</v>
      </c>
    </row>
    <row r="5961">
      <c r="A5961" s="13">
        <v>45901.0</v>
      </c>
      <c r="B5961" s="14" t="s">
        <v>47</v>
      </c>
      <c r="C5961" s="14" t="s">
        <v>48</v>
      </c>
      <c r="D5961" s="14" t="s">
        <v>168</v>
      </c>
      <c r="E5961" s="14" t="s">
        <v>169</v>
      </c>
      <c r="F5961" s="15" t="s">
        <v>51</v>
      </c>
      <c r="G5961" s="14" t="s">
        <v>170</v>
      </c>
      <c r="H5961" s="14" t="s">
        <v>168</v>
      </c>
      <c r="I5961" s="14" t="s">
        <v>59</v>
      </c>
      <c r="J5961" s="14" t="s">
        <v>200</v>
      </c>
      <c r="K5961" s="14" t="s">
        <v>214</v>
      </c>
      <c r="L5961" s="14" t="s">
        <v>253</v>
      </c>
      <c r="M5961" s="14" t="s">
        <v>366</v>
      </c>
      <c r="N5961" s="14" t="s">
        <v>367</v>
      </c>
      <c r="O5961" s="14">
        <v>1.0</v>
      </c>
      <c r="P5961" s="23">
        <v>0.0019</v>
      </c>
      <c r="Q5961" s="22" t="str">
        <f>"+0.00%"</f>
        <v>+0.00%</v>
      </c>
      <c r="R5961" s="18" t="str">
        <f>"-58.69%"</f>
        <v>-58.69%</v>
      </c>
      <c r="S5961" s="14" t="s">
        <v>2594</v>
      </c>
    </row>
    <row r="5962">
      <c r="A5962" s="13">
        <v>45901.0</v>
      </c>
      <c r="B5962" s="14" t="s">
        <v>47</v>
      </c>
      <c r="C5962" s="14" t="s">
        <v>48</v>
      </c>
      <c r="D5962" s="14" t="s">
        <v>165</v>
      </c>
      <c r="E5962" s="14" t="s">
        <v>166</v>
      </c>
      <c r="F5962" s="14" t="s">
        <v>111</v>
      </c>
      <c r="G5962" s="14">
        <v>7116371.0</v>
      </c>
      <c r="H5962" s="14" t="s">
        <v>165</v>
      </c>
      <c r="I5962" s="14" t="s">
        <v>59</v>
      </c>
      <c r="J5962" s="14" t="s">
        <v>199</v>
      </c>
      <c r="K5962" s="14" t="s">
        <v>206</v>
      </c>
      <c r="L5962" s="14" t="s">
        <v>295</v>
      </c>
      <c r="M5962" s="14" t="s">
        <v>461</v>
      </c>
      <c r="N5962" s="14" t="s">
        <v>462</v>
      </c>
      <c r="O5962" s="14">
        <v>0.0</v>
      </c>
      <c r="P5962" s="21">
        <v>0.0</v>
      </c>
      <c r="Q5962" s="22" t="str">
        <f t="shared" ref="Q5962:R5962" si="3566">"+0"</f>
        <v>+0</v>
      </c>
      <c r="R5962" s="18" t="str">
        <f t="shared" si="3566"/>
        <v>+0</v>
      </c>
      <c r="S5962" s="14" t="s">
        <v>260</v>
      </c>
    </row>
    <row r="5963">
      <c r="A5963" s="13">
        <v>45901.0</v>
      </c>
      <c r="B5963" s="14" t="s">
        <v>47</v>
      </c>
      <c r="C5963" s="14" t="s">
        <v>48</v>
      </c>
      <c r="D5963" s="14" t="s">
        <v>91</v>
      </c>
      <c r="E5963" s="14" t="s">
        <v>92</v>
      </c>
      <c r="F5963" s="14" t="s">
        <v>71</v>
      </c>
      <c r="G5963" s="14">
        <v>7295600.0</v>
      </c>
      <c r="H5963" s="14" t="s">
        <v>91</v>
      </c>
      <c r="I5963" s="14" t="s">
        <v>54</v>
      </c>
      <c r="J5963" s="14" t="s">
        <v>199</v>
      </c>
      <c r="K5963" s="14" t="s">
        <v>206</v>
      </c>
      <c r="L5963" s="14" t="s">
        <v>515</v>
      </c>
      <c r="M5963" s="14" t="s">
        <v>515</v>
      </c>
      <c r="N5963" s="14" t="s">
        <v>516</v>
      </c>
      <c r="O5963" s="14">
        <v>25.0</v>
      </c>
      <c r="P5963" s="21">
        <v>1.0</v>
      </c>
      <c r="Q5963" s="22" t="str">
        <f t="shared" ref="Q5963:R5963" si="3567">"+0"</f>
        <v>+0</v>
      </c>
      <c r="R5963" s="18" t="str">
        <f t="shared" si="3567"/>
        <v>+0</v>
      </c>
      <c r="S5963" s="14" t="s">
        <v>383</v>
      </c>
    </row>
    <row r="5964">
      <c r="A5964" s="13">
        <v>45901.0</v>
      </c>
      <c r="B5964" s="14" t="s">
        <v>47</v>
      </c>
      <c r="C5964" s="14" t="s">
        <v>48</v>
      </c>
      <c r="D5964" s="14" t="s">
        <v>91</v>
      </c>
      <c r="E5964" s="14" t="s">
        <v>92</v>
      </c>
      <c r="F5964" s="15" t="s">
        <v>51</v>
      </c>
      <c r="G5964" s="14" t="s">
        <v>163</v>
      </c>
      <c r="H5964" s="14" t="s">
        <v>91</v>
      </c>
      <c r="I5964" s="14" t="s">
        <v>59</v>
      </c>
      <c r="J5964" s="14" t="s">
        <v>200</v>
      </c>
      <c r="K5964" s="14" t="s">
        <v>223</v>
      </c>
      <c r="L5964" s="14" t="s">
        <v>304</v>
      </c>
      <c r="M5964" s="14" t="s">
        <v>688</v>
      </c>
      <c r="N5964" s="14" t="s">
        <v>689</v>
      </c>
      <c r="O5964" s="14">
        <v>0.0</v>
      </c>
      <c r="P5964" s="23">
        <v>0.0</v>
      </c>
      <c r="Q5964" s="22" t="str">
        <f t="shared" ref="Q5964:R5964" si="3568">"+0.00%"</f>
        <v>+0.00%</v>
      </c>
      <c r="R5964" s="18" t="str">
        <f t="shared" si="3568"/>
        <v>+0.00%</v>
      </c>
      <c r="S5964" s="14" t="s">
        <v>2595</v>
      </c>
    </row>
    <row r="5965">
      <c r="A5965" s="13">
        <v>45901.0</v>
      </c>
      <c r="B5965" s="14" t="s">
        <v>47</v>
      </c>
      <c r="C5965" s="14" t="s">
        <v>48</v>
      </c>
      <c r="D5965" s="14" t="s">
        <v>118</v>
      </c>
      <c r="E5965" s="14" t="s">
        <v>119</v>
      </c>
      <c r="F5965" s="15" t="s">
        <v>51</v>
      </c>
      <c r="G5965" s="14" t="s">
        <v>120</v>
      </c>
      <c r="H5965" s="14" t="s">
        <v>118</v>
      </c>
      <c r="I5965" s="14" t="s">
        <v>59</v>
      </c>
      <c r="J5965" s="14" t="s">
        <v>198</v>
      </c>
      <c r="K5965" s="14" t="s">
        <v>205</v>
      </c>
      <c r="L5965" s="14" t="s">
        <v>274</v>
      </c>
      <c r="M5965" s="14" t="s">
        <v>275</v>
      </c>
      <c r="N5965" s="14" t="s">
        <v>276</v>
      </c>
      <c r="O5965" s="14">
        <v>0.0</v>
      </c>
      <c r="P5965" s="21">
        <v>1.0</v>
      </c>
      <c r="Q5965" s="22" t="str">
        <f t="shared" ref="Q5965:Q5970" si="3569">"+0"</f>
        <v>+0</v>
      </c>
      <c r="S5965" s="14" t="s">
        <v>277</v>
      </c>
    </row>
    <row r="5966">
      <c r="A5966" s="13">
        <v>45901.0</v>
      </c>
      <c r="B5966" s="14" t="s">
        <v>47</v>
      </c>
      <c r="C5966" s="14" t="s">
        <v>48</v>
      </c>
      <c r="D5966" s="14" t="s">
        <v>63</v>
      </c>
      <c r="E5966" s="14" t="s">
        <v>64</v>
      </c>
      <c r="F5966" s="15" t="s">
        <v>51</v>
      </c>
      <c r="G5966" s="14" t="s">
        <v>65</v>
      </c>
      <c r="H5966" s="14" t="s">
        <v>63</v>
      </c>
      <c r="I5966" s="14" t="s">
        <v>54</v>
      </c>
      <c r="J5966" s="14" t="s">
        <v>198</v>
      </c>
      <c r="K5966" s="14" t="s">
        <v>210</v>
      </c>
      <c r="L5966" s="14" t="s">
        <v>458</v>
      </c>
      <c r="M5966" s="14" t="s">
        <v>744</v>
      </c>
      <c r="N5966" s="14" t="s">
        <v>745</v>
      </c>
      <c r="O5966" s="14">
        <v>100.0</v>
      </c>
      <c r="P5966" s="21">
        <v>1.0</v>
      </c>
      <c r="Q5966" s="22" t="str">
        <f t="shared" si="3569"/>
        <v>+0</v>
      </c>
      <c r="R5966" s="18" t="str">
        <f>"+1"</f>
        <v>+1</v>
      </c>
      <c r="S5966" s="14" t="s">
        <v>277</v>
      </c>
    </row>
    <row r="5967">
      <c r="A5967" s="13">
        <v>45901.0</v>
      </c>
      <c r="B5967" s="14" t="s">
        <v>47</v>
      </c>
      <c r="C5967" s="14" t="s">
        <v>48</v>
      </c>
      <c r="D5967" s="14" t="s">
        <v>99</v>
      </c>
      <c r="E5967" s="14" t="s">
        <v>100</v>
      </c>
      <c r="F5967" s="15" t="s">
        <v>51</v>
      </c>
      <c r="G5967" s="14" t="s">
        <v>101</v>
      </c>
      <c r="H5967" s="14" t="s">
        <v>102</v>
      </c>
      <c r="I5967" s="14" t="s">
        <v>54</v>
      </c>
      <c r="J5967" s="14" t="s">
        <v>198</v>
      </c>
      <c r="K5967" s="14" t="s">
        <v>210</v>
      </c>
      <c r="L5967" s="14" t="s">
        <v>458</v>
      </c>
      <c r="M5967" s="14" t="s">
        <v>744</v>
      </c>
      <c r="N5967" s="14" t="s">
        <v>745</v>
      </c>
      <c r="O5967" s="14">
        <v>0.0</v>
      </c>
      <c r="P5967" s="21">
        <v>0.0</v>
      </c>
      <c r="Q5967" s="22" t="str">
        <f t="shared" si="3569"/>
        <v>+0</v>
      </c>
      <c r="R5967" s="18" t="str">
        <f t="shared" ref="R5967:R5968" si="3570">"+0"</f>
        <v>+0</v>
      </c>
      <c r="S5967" s="14" t="s">
        <v>277</v>
      </c>
    </row>
    <row r="5968">
      <c r="A5968" s="13">
        <v>45901.0</v>
      </c>
      <c r="B5968" s="14" t="s">
        <v>47</v>
      </c>
      <c r="C5968" s="14" t="s">
        <v>48</v>
      </c>
      <c r="D5968" s="14" t="s">
        <v>118</v>
      </c>
      <c r="E5968" s="14" t="s">
        <v>119</v>
      </c>
      <c r="F5968" s="15" t="s">
        <v>51</v>
      </c>
      <c r="G5968" s="14" t="s">
        <v>120</v>
      </c>
      <c r="H5968" s="14" t="s">
        <v>118</v>
      </c>
      <c r="I5968" s="14" t="s">
        <v>59</v>
      </c>
      <c r="J5968" s="14" t="s">
        <v>199</v>
      </c>
      <c r="K5968" s="14" t="s">
        <v>206</v>
      </c>
      <c r="L5968" s="14" t="s">
        <v>295</v>
      </c>
      <c r="M5968" s="14" t="s">
        <v>296</v>
      </c>
      <c r="N5968" s="14" t="s">
        <v>297</v>
      </c>
      <c r="O5968" s="14">
        <v>0.0</v>
      </c>
      <c r="P5968" s="21">
        <v>0.0</v>
      </c>
      <c r="Q5968" s="22" t="str">
        <f t="shared" si="3569"/>
        <v>+0</v>
      </c>
      <c r="R5968" s="18" t="str">
        <f t="shared" si="3570"/>
        <v>+0</v>
      </c>
      <c r="S5968" s="14" t="s">
        <v>260</v>
      </c>
    </row>
    <row r="5969">
      <c r="A5969" s="13">
        <v>45901.0</v>
      </c>
      <c r="B5969" s="14" t="s">
        <v>47</v>
      </c>
      <c r="C5969" s="14" t="s">
        <v>48</v>
      </c>
      <c r="D5969" s="14" t="s">
        <v>108</v>
      </c>
      <c r="E5969" s="14" t="s">
        <v>109</v>
      </c>
      <c r="F5969" s="14" t="s">
        <v>79</v>
      </c>
      <c r="G5969" s="14" t="s">
        <v>153</v>
      </c>
      <c r="H5969" s="14" t="s">
        <v>108</v>
      </c>
      <c r="I5969" s="14" t="s">
        <v>154</v>
      </c>
      <c r="J5969" s="14" t="s">
        <v>199</v>
      </c>
      <c r="K5969" s="14" t="s">
        <v>206</v>
      </c>
      <c r="L5969" s="14" t="s">
        <v>295</v>
      </c>
      <c r="M5969" s="14" t="s">
        <v>986</v>
      </c>
      <c r="N5969" s="14" t="s">
        <v>987</v>
      </c>
      <c r="O5969" s="14">
        <v>0.0</v>
      </c>
      <c r="P5969" s="21">
        <v>0.0</v>
      </c>
      <c r="Q5969" s="22" t="str">
        <f t="shared" si="3569"/>
        <v>+0</v>
      </c>
      <c r="S5969" s="14" t="s">
        <v>260</v>
      </c>
    </row>
    <row r="5970">
      <c r="A5970" s="13">
        <v>45901.0</v>
      </c>
      <c r="B5970" s="14" t="s">
        <v>47</v>
      </c>
      <c r="C5970" s="14" t="s">
        <v>48</v>
      </c>
      <c r="D5970" s="14" t="s">
        <v>56</v>
      </c>
      <c r="E5970" s="14" t="s">
        <v>57</v>
      </c>
      <c r="F5970" s="14" t="s">
        <v>71</v>
      </c>
      <c r="G5970" s="14">
        <v>5.36003976E8</v>
      </c>
      <c r="H5970" s="14" t="s">
        <v>56</v>
      </c>
      <c r="I5970" s="14" t="s">
        <v>59</v>
      </c>
      <c r="J5970" s="14" t="s">
        <v>199</v>
      </c>
      <c r="K5970" s="14" t="s">
        <v>203</v>
      </c>
      <c r="L5970" s="14" t="s">
        <v>725</v>
      </c>
      <c r="M5970" s="14" t="s">
        <v>725</v>
      </c>
      <c r="N5970" s="14" t="s">
        <v>726</v>
      </c>
      <c r="O5970" s="14">
        <v>0.0</v>
      </c>
      <c r="P5970" s="21">
        <v>0.0</v>
      </c>
      <c r="Q5970" s="22" t="str">
        <f t="shared" si="3569"/>
        <v>+0</v>
      </c>
      <c r="R5970" s="18" t="str">
        <f>"+0"</f>
        <v>+0</v>
      </c>
      <c r="S5970" s="14" t="s">
        <v>260</v>
      </c>
    </row>
    <row r="5971">
      <c r="A5971" s="13">
        <v>45901.0</v>
      </c>
      <c r="B5971" s="14" t="s">
        <v>47</v>
      </c>
      <c r="C5971" s="14" t="s">
        <v>48</v>
      </c>
      <c r="D5971" s="14" t="s">
        <v>192</v>
      </c>
      <c r="E5971" s="14" t="s">
        <v>193</v>
      </c>
      <c r="F5971" s="15" t="s">
        <v>51</v>
      </c>
      <c r="G5971" s="14" t="s">
        <v>194</v>
      </c>
      <c r="H5971" s="14" t="s">
        <v>192</v>
      </c>
      <c r="I5971" s="14" t="s">
        <v>54</v>
      </c>
      <c r="J5971" s="14" t="s">
        <v>200</v>
      </c>
      <c r="K5971" s="14" t="s">
        <v>223</v>
      </c>
      <c r="L5971" s="14" t="s">
        <v>286</v>
      </c>
      <c r="M5971" s="14" t="s">
        <v>979</v>
      </c>
      <c r="N5971" s="14" t="s">
        <v>980</v>
      </c>
      <c r="O5971" s="14">
        <v>77.0</v>
      </c>
      <c r="P5971" s="23">
        <v>0.7718</v>
      </c>
      <c r="Q5971" s="22" t="str">
        <f>"+2.27%"</f>
        <v>+2.27%</v>
      </c>
      <c r="R5971" s="18" t="str">
        <f>"-2.36%"</f>
        <v>-2.36%</v>
      </c>
      <c r="S5971" s="14" t="s">
        <v>2596</v>
      </c>
    </row>
    <row r="5972">
      <c r="A5972" s="13">
        <v>45901.0</v>
      </c>
      <c r="B5972" s="14" t="s">
        <v>47</v>
      </c>
      <c r="C5972" s="14" t="s">
        <v>48</v>
      </c>
      <c r="D5972" s="14" t="s">
        <v>73</v>
      </c>
      <c r="E5972" s="14" t="s">
        <v>74</v>
      </c>
      <c r="F5972" s="15" t="s">
        <v>51</v>
      </c>
      <c r="G5972" s="14" t="s">
        <v>75</v>
      </c>
      <c r="H5972" s="14" t="s">
        <v>76</v>
      </c>
      <c r="I5972" s="14" t="s">
        <v>59</v>
      </c>
      <c r="J5972" s="14" t="s">
        <v>198</v>
      </c>
      <c r="K5972" s="14" t="s">
        <v>210</v>
      </c>
      <c r="L5972" s="14" t="s">
        <v>278</v>
      </c>
      <c r="M5972" s="14" t="s">
        <v>279</v>
      </c>
      <c r="N5972" s="14" t="s">
        <v>280</v>
      </c>
      <c r="O5972" s="14">
        <v>100.0</v>
      </c>
      <c r="P5972" s="21">
        <v>0.0</v>
      </c>
      <c r="Q5972" s="22" t="str">
        <f t="shared" ref="Q5972:R5972" si="3571">"+0"</f>
        <v>+0</v>
      </c>
      <c r="R5972" s="18" t="str">
        <f t="shared" si="3571"/>
        <v>+0</v>
      </c>
      <c r="S5972" s="14" t="s">
        <v>281</v>
      </c>
    </row>
    <row r="5973">
      <c r="A5973" s="13">
        <v>45901.0</v>
      </c>
      <c r="B5973" s="14" t="s">
        <v>47</v>
      </c>
      <c r="C5973" s="14" t="s">
        <v>48</v>
      </c>
      <c r="D5973" s="14" t="s">
        <v>132</v>
      </c>
      <c r="E5973" s="14" t="s">
        <v>133</v>
      </c>
      <c r="F5973" s="15" t="s">
        <v>51</v>
      </c>
      <c r="G5973" s="14" t="s">
        <v>134</v>
      </c>
      <c r="H5973" s="14" t="s">
        <v>135</v>
      </c>
      <c r="I5973" s="14" t="s">
        <v>59</v>
      </c>
      <c r="J5973" s="14" t="s">
        <v>200</v>
      </c>
      <c r="K5973" s="14" t="s">
        <v>213</v>
      </c>
      <c r="L5973" s="14" t="s">
        <v>359</v>
      </c>
      <c r="M5973" s="14" t="s">
        <v>628</v>
      </c>
      <c r="N5973" s="14" t="s">
        <v>629</v>
      </c>
      <c r="O5973" s="14">
        <v>0.0</v>
      </c>
      <c r="P5973" s="21">
        <v>0.0</v>
      </c>
      <c r="Q5973" s="22" t="str">
        <f t="shared" ref="Q5973:R5973" si="3572">"+0"</f>
        <v>+0</v>
      </c>
      <c r="R5973" s="18" t="str">
        <f t="shared" si="3572"/>
        <v>+0</v>
      </c>
      <c r="S5973" s="14" t="s">
        <v>260</v>
      </c>
    </row>
    <row r="5974">
      <c r="A5974" s="13">
        <v>45901.0</v>
      </c>
      <c r="B5974" s="14" t="s">
        <v>47</v>
      </c>
      <c r="C5974" s="14" t="s">
        <v>48</v>
      </c>
      <c r="D5974" s="14" t="s">
        <v>192</v>
      </c>
      <c r="E5974" s="14" t="s">
        <v>193</v>
      </c>
      <c r="F5974" s="15" t="s">
        <v>51</v>
      </c>
      <c r="G5974" s="14" t="s">
        <v>194</v>
      </c>
      <c r="H5974" s="14" t="s">
        <v>192</v>
      </c>
      <c r="I5974" s="14" t="s">
        <v>54</v>
      </c>
      <c r="J5974" s="14" t="s">
        <v>200</v>
      </c>
      <c r="K5974" s="14" t="s">
        <v>223</v>
      </c>
      <c r="L5974" s="14" t="s">
        <v>289</v>
      </c>
      <c r="M5974" s="14" t="s">
        <v>384</v>
      </c>
      <c r="N5974" s="14" t="s">
        <v>385</v>
      </c>
      <c r="O5974" s="14">
        <v>69.0</v>
      </c>
      <c r="P5974" s="23">
        <v>0.6989</v>
      </c>
      <c r="Q5974" s="22" t="str">
        <f>"+1.43%"</f>
        <v>+1.43%</v>
      </c>
      <c r="R5974" s="18" t="str">
        <f>"-1.10%"</f>
        <v>-1.10%</v>
      </c>
      <c r="S5974" s="14" t="s">
        <v>2597</v>
      </c>
    </row>
    <row r="5975">
      <c r="A5975" s="13">
        <v>45901.0</v>
      </c>
      <c r="B5975" s="14" t="s">
        <v>47</v>
      </c>
      <c r="C5975" s="14" t="s">
        <v>48</v>
      </c>
      <c r="D5975" s="14" t="s">
        <v>149</v>
      </c>
      <c r="E5975" s="14" t="s">
        <v>150</v>
      </c>
      <c r="F5975" s="15" t="s">
        <v>51</v>
      </c>
      <c r="G5975" s="14" t="s">
        <v>151</v>
      </c>
      <c r="H5975" s="14" t="s">
        <v>152</v>
      </c>
      <c r="I5975" s="14" t="s">
        <v>54</v>
      </c>
      <c r="J5975" s="14" t="s">
        <v>200</v>
      </c>
      <c r="K5975" s="14" t="s">
        <v>224</v>
      </c>
      <c r="L5975" s="14" t="s">
        <v>453</v>
      </c>
      <c r="M5975" s="14" t="s">
        <v>555</v>
      </c>
      <c r="N5975" s="14" t="s">
        <v>556</v>
      </c>
      <c r="O5975" s="14">
        <v>0.0</v>
      </c>
      <c r="P5975" s="23">
        <v>0.0</v>
      </c>
      <c r="Q5975" s="22" t="str">
        <f t="shared" ref="Q5975:R5975" si="3573">"+0.00%"</f>
        <v>+0.00%</v>
      </c>
      <c r="R5975" s="18" t="str">
        <f t="shared" si="3573"/>
        <v>+0.00%</v>
      </c>
      <c r="S5975" s="14" t="s">
        <v>557</v>
      </c>
    </row>
    <row r="5976">
      <c r="A5976" s="13">
        <v>45901.0</v>
      </c>
      <c r="B5976" s="14" t="s">
        <v>47</v>
      </c>
      <c r="C5976" s="14" t="s">
        <v>48</v>
      </c>
      <c r="D5976" s="14" t="s">
        <v>129</v>
      </c>
      <c r="E5976" s="14" t="s">
        <v>130</v>
      </c>
      <c r="F5976" s="15" t="s">
        <v>51</v>
      </c>
      <c r="G5976" s="14" t="s">
        <v>131</v>
      </c>
      <c r="H5976" s="14" t="s">
        <v>129</v>
      </c>
      <c r="I5976" s="14" t="s">
        <v>59</v>
      </c>
      <c r="J5976" s="14" t="s">
        <v>200</v>
      </c>
      <c r="K5976" s="14" t="s">
        <v>213</v>
      </c>
      <c r="L5976" s="14" t="s">
        <v>440</v>
      </c>
      <c r="M5976" s="14" t="s">
        <v>510</v>
      </c>
      <c r="N5976" s="14" t="s">
        <v>511</v>
      </c>
      <c r="O5976" s="14">
        <v>0.0</v>
      </c>
      <c r="P5976" s="23">
        <v>0.0</v>
      </c>
      <c r="Q5976" s="22" t="str">
        <f t="shared" ref="Q5976:R5976" si="3574">"+0.00%"</f>
        <v>+0.00%</v>
      </c>
      <c r="R5976" s="18" t="str">
        <f t="shared" si="3574"/>
        <v>+0.00%</v>
      </c>
      <c r="S5976" s="14" t="s">
        <v>285</v>
      </c>
    </row>
    <row r="5977">
      <c r="A5977" s="13">
        <v>45901.0</v>
      </c>
      <c r="B5977" s="14" t="s">
        <v>47</v>
      </c>
      <c r="C5977" s="14" t="s">
        <v>48</v>
      </c>
      <c r="D5977" s="14" t="s">
        <v>49</v>
      </c>
      <c r="E5977" s="14" t="s">
        <v>50</v>
      </c>
      <c r="F5977" s="15" t="s">
        <v>51</v>
      </c>
      <c r="G5977" s="14" t="s">
        <v>52</v>
      </c>
      <c r="H5977" s="14" t="s">
        <v>53</v>
      </c>
      <c r="I5977" s="14" t="s">
        <v>54</v>
      </c>
      <c r="J5977" s="14" t="s">
        <v>198</v>
      </c>
      <c r="K5977" s="14" t="s">
        <v>210</v>
      </c>
      <c r="L5977" s="14" t="s">
        <v>458</v>
      </c>
      <c r="M5977" s="14" t="s">
        <v>796</v>
      </c>
      <c r="N5977" s="14" t="s">
        <v>797</v>
      </c>
      <c r="O5977" s="14">
        <v>0.0</v>
      </c>
      <c r="P5977" s="21">
        <v>0.0</v>
      </c>
      <c r="Q5977" s="22" t="str">
        <f t="shared" ref="Q5977:R5977" si="3575">"+0"</f>
        <v>+0</v>
      </c>
      <c r="R5977" s="18" t="str">
        <f t="shared" si="3575"/>
        <v>+0</v>
      </c>
      <c r="S5977" s="14" t="s">
        <v>277</v>
      </c>
    </row>
    <row r="5978">
      <c r="A5978" s="13">
        <v>45901.0</v>
      </c>
      <c r="B5978" s="14" t="s">
        <v>47</v>
      </c>
      <c r="C5978" s="14" t="s">
        <v>48</v>
      </c>
      <c r="D5978" s="14" t="s">
        <v>192</v>
      </c>
      <c r="E5978" s="14" t="s">
        <v>193</v>
      </c>
      <c r="F5978" s="15" t="s">
        <v>51</v>
      </c>
      <c r="G5978" s="14" t="s">
        <v>194</v>
      </c>
      <c r="H5978" s="14" t="s">
        <v>192</v>
      </c>
      <c r="I5978" s="14" t="s">
        <v>54</v>
      </c>
      <c r="J5978" s="14" t="s">
        <v>198</v>
      </c>
      <c r="K5978" s="14" t="s">
        <v>212</v>
      </c>
      <c r="L5978" s="14" t="s">
        <v>249</v>
      </c>
      <c r="M5978" s="14" t="s">
        <v>250</v>
      </c>
      <c r="N5978" s="14" t="s">
        <v>251</v>
      </c>
      <c r="O5978" s="14">
        <v>100.0</v>
      </c>
      <c r="P5978" s="21">
        <v>0.0</v>
      </c>
      <c r="Q5978" s="22" t="str">
        <f t="shared" ref="Q5978:R5978" si="3576">"+0"</f>
        <v>+0</v>
      </c>
      <c r="R5978" s="18" t="str">
        <f t="shared" si="3576"/>
        <v>+0</v>
      </c>
      <c r="S5978" s="14" t="s">
        <v>281</v>
      </c>
    </row>
    <row r="5979">
      <c r="A5979" s="13">
        <v>45901.0</v>
      </c>
      <c r="B5979" s="14" t="s">
        <v>47</v>
      </c>
      <c r="C5979" s="14" t="s">
        <v>48</v>
      </c>
      <c r="D5979" s="14" t="s">
        <v>192</v>
      </c>
      <c r="E5979" s="14" t="s">
        <v>193</v>
      </c>
      <c r="F5979" s="15" t="s">
        <v>51</v>
      </c>
      <c r="G5979" s="14" t="s">
        <v>194</v>
      </c>
      <c r="H5979" s="14" t="s">
        <v>192</v>
      </c>
      <c r="I5979" s="14" t="s">
        <v>54</v>
      </c>
      <c r="J5979" s="14" t="s">
        <v>199</v>
      </c>
      <c r="K5979" s="14" t="s">
        <v>203</v>
      </c>
      <c r="L5979" s="14" t="s">
        <v>679</v>
      </c>
      <c r="M5979" s="14" t="s">
        <v>679</v>
      </c>
      <c r="N5979" s="14" t="s">
        <v>680</v>
      </c>
      <c r="O5979" s="14">
        <v>0.0</v>
      </c>
      <c r="P5979" s="21">
        <v>0.0</v>
      </c>
      <c r="Q5979" s="22" t="str">
        <f t="shared" ref="Q5979:R5979" si="3577">"+0"</f>
        <v>+0</v>
      </c>
      <c r="R5979" s="18" t="str">
        <f t="shared" si="3577"/>
        <v>+0</v>
      </c>
      <c r="S5979" s="14" t="s">
        <v>260</v>
      </c>
    </row>
    <row r="5980">
      <c r="A5980" s="13">
        <v>45901.0</v>
      </c>
      <c r="B5980" s="14" t="s">
        <v>47</v>
      </c>
      <c r="C5980" s="14" t="s">
        <v>48</v>
      </c>
      <c r="D5980" s="14" t="s">
        <v>73</v>
      </c>
      <c r="E5980" s="14" t="s">
        <v>74</v>
      </c>
      <c r="F5980" s="15" t="s">
        <v>51</v>
      </c>
      <c r="G5980" s="14" t="s">
        <v>75</v>
      </c>
      <c r="H5980" s="14" t="s">
        <v>76</v>
      </c>
      <c r="I5980" s="14" t="s">
        <v>59</v>
      </c>
      <c r="J5980" s="14" t="s">
        <v>200</v>
      </c>
      <c r="K5980" s="14" t="s">
        <v>232</v>
      </c>
      <c r="L5980" s="14" t="s">
        <v>363</v>
      </c>
      <c r="M5980" s="14" t="s">
        <v>1634</v>
      </c>
      <c r="N5980" s="14" t="s">
        <v>1635</v>
      </c>
      <c r="O5980" s="14">
        <v>0.0</v>
      </c>
      <c r="P5980" s="23">
        <v>0.0</v>
      </c>
      <c r="Q5980" s="22" t="str">
        <f t="shared" ref="Q5980:R5980" si="3578">"+0.00%"</f>
        <v>+0.00%</v>
      </c>
      <c r="R5980" s="18" t="str">
        <f t="shared" si="3578"/>
        <v>+0.00%</v>
      </c>
      <c r="S5980" s="14" t="s">
        <v>285</v>
      </c>
    </row>
    <row r="5981">
      <c r="A5981" s="13">
        <v>45901.0</v>
      </c>
      <c r="B5981" s="14" t="s">
        <v>47</v>
      </c>
      <c r="C5981" s="14" t="s">
        <v>48</v>
      </c>
      <c r="D5981" s="14" t="s">
        <v>171</v>
      </c>
      <c r="E5981" s="14" t="s">
        <v>172</v>
      </c>
      <c r="F5981" s="15" t="s">
        <v>51</v>
      </c>
      <c r="G5981" s="14" t="s">
        <v>173</v>
      </c>
      <c r="H5981" s="14" t="s">
        <v>171</v>
      </c>
      <c r="I5981" s="14" t="s">
        <v>59</v>
      </c>
      <c r="J5981" s="14" t="s">
        <v>198</v>
      </c>
      <c r="K5981" s="14" t="s">
        <v>212</v>
      </c>
      <c r="L5981" s="14" t="s">
        <v>344</v>
      </c>
      <c r="M5981" s="14" t="s">
        <v>580</v>
      </c>
      <c r="N5981" s="14" t="s">
        <v>581</v>
      </c>
      <c r="O5981" s="14">
        <v>100.0</v>
      </c>
      <c r="P5981" s="21">
        <v>1.0</v>
      </c>
      <c r="Q5981" s="22" t="str">
        <f>"+1"</f>
        <v>+1</v>
      </c>
      <c r="S5981" s="14" t="s">
        <v>281</v>
      </c>
    </row>
    <row r="5982">
      <c r="A5982" s="13">
        <v>45901.0</v>
      </c>
      <c r="B5982" s="14" t="s">
        <v>47</v>
      </c>
      <c r="C5982" s="14" t="s">
        <v>48</v>
      </c>
      <c r="D5982" s="14" t="s">
        <v>87</v>
      </c>
      <c r="E5982" s="14" t="s">
        <v>88</v>
      </c>
      <c r="F5982" s="15" t="s">
        <v>51</v>
      </c>
      <c r="G5982" s="14" t="s">
        <v>89</v>
      </c>
      <c r="H5982" s="14" t="s">
        <v>90</v>
      </c>
      <c r="I5982" s="14" t="s">
        <v>59</v>
      </c>
      <c r="J5982" s="14" t="s">
        <v>200</v>
      </c>
      <c r="K5982" s="14" t="s">
        <v>204</v>
      </c>
      <c r="L5982" s="14" t="s">
        <v>253</v>
      </c>
      <c r="M5982" s="14" t="s">
        <v>793</v>
      </c>
      <c r="N5982" s="14" t="s">
        <v>794</v>
      </c>
      <c r="O5982" s="14">
        <v>3.0</v>
      </c>
      <c r="P5982" s="23">
        <v>0.0314</v>
      </c>
      <c r="Q5982" s="22" t="str">
        <f t="shared" ref="Q5982:R5982" si="3579">"-1.57%"</f>
        <v>-1.57%</v>
      </c>
      <c r="R5982" s="18" t="str">
        <f t="shared" si="3579"/>
        <v>-1.57%</v>
      </c>
      <c r="S5982" s="14" t="s">
        <v>2598</v>
      </c>
    </row>
    <row r="5983">
      <c r="A5983" s="13">
        <v>45901.0</v>
      </c>
      <c r="B5983" s="14" t="s">
        <v>47</v>
      </c>
      <c r="C5983" s="14" t="s">
        <v>48</v>
      </c>
      <c r="D5983" s="14" t="s">
        <v>136</v>
      </c>
      <c r="E5983" s="14" t="s">
        <v>137</v>
      </c>
      <c r="F5983" s="15" t="s">
        <v>51</v>
      </c>
      <c r="G5983" s="14" t="s">
        <v>138</v>
      </c>
      <c r="H5983" s="14" t="s">
        <v>139</v>
      </c>
      <c r="I5983" s="14" t="s">
        <v>59</v>
      </c>
      <c r="J5983" s="14" t="s">
        <v>199</v>
      </c>
      <c r="K5983" s="14" t="s">
        <v>203</v>
      </c>
      <c r="L5983" s="14" t="s">
        <v>431</v>
      </c>
      <c r="M5983" s="14" t="s">
        <v>431</v>
      </c>
      <c r="N5983" s="14" t="s">
        <v>432</v>
      </c>
      <c r="O5983" s="14">
        <v>0.0</v>
      </c>
      <c r="P5983" s="21">
        <v>0.0</v>
      </c>
      <c r="Q5983" s="22" t="str">
        <f t="shared" ref="Q5983:R5983" si="3580">"+0"</f>
        <v>+0</v>
      </c>
      <c r="R5983" s="18" t="str">
        <f t="shared" si="3580"/>
        <v>+0</v>
      </c>
      <c r="S5983" s="14" t="s">
        <v>260</v>
      </c>
    </row>
    <row r="5984">
      <c r="A5984" s="13">
        <v>45901.0</v>
      </c>
      <c r="B5984" s="14" t="s">
        <v>47</v>
      </c>
      <c r="C5984" s="14" t="s">
        <v>48</v>
      </c>
      <c r="D5984" s="14" t="s">
        <v>129</v>
      </c>
      <c r="E5984" s="14" t="s">
        <v>130</v>
      </c>
      <c r="F5984" s="15" t="s">
        <v>51</v>
      </c>
      <c r="G5984" s="14" t="s">
        <v>131</v>
      </c>
      <c r="H5984" s="14" t="s">
        <v>129</v>
      </c>
      <c r="I5984" s="14" t="s">
        <v>59</v>
      </c>
      <c r="J5984" s="14" t="s">
        <v>198</v>
      </c>
      <c r="K5984" s="14" t="s">
        <v>205</v>
      </c>
      <c r="L5984" s="14" t="s">
        <v>274</v>
      </c>
      <c r="M5984" s="14" t="s">
        <v>275</v>
      </c>
      <c r="N5984" s="14" t="s">
        <v>276</v>
      </c>
      <c r="O5984" s="14">
        <v>100.0</v>
      </c>
      <c r="P5984" s="21">
        <v>0.0</v>
      </c>
      <c r="Q5984" s="22" t="str">
        <f>"+0"</f>
        <v>+0</v>
      </c>
      <c r="S5984" s="14" t="s">
        <v>277</v>
      </c>
    </row>
    <row r="5985">
      <c r="A5985" s="13">
        <v>45901.0</v>
      </c>
      <c r="B5985" s="14" t="s">
        <v>47</v>
      </c>
      <c r="C5985" s="14" t="s">
        <v>48</v>
      </c>
      <c r="D5985" s="14" t="s">
        <v>69</v>
      </c>
      <c r="E5985" s="14" t="s">
        <v>70</v>
      </c>
      <c r="F5985" s="15" t="s">
        <v>51</v>
      </c>
      <c r="G5985" s="14" t="s">
        <v>115</v>
      </c>
      <c r="H5985" s="14" t="s">
        <v>72</v>
      </c>
      <c r="I5985" s="14" t="s">
        <v>54</v>
      </c>
      <c r="J5985" s="14" t="s">
        <v>200</v>
      </c>
      <c r="K5985" s="14" t="s">
        <v>201</v>
      </c>
      <c r="L5985" s="14" t="s">
        <v>253</v>
      </c>
      <c r="M5985" s="14" t="s">
        <v>1411</v>
      </c>
      <c r="N5985" s="14" t="s">
        <v>1412</v>
      </c>
      <c r="O5985" s="14">
        <v>100.0</v>
      </c>
      <c r="P5985" s="23">
        <v>1.0</v>
      </c>
      <c r="Q5985" s="22" t="str">
        <f t="shared" ref="Q5985:R5985" si="3581">"+0.00%"</f>
        <v>+0.00%</v>
      </c>
      <c r="R5985" s="18" t="str">
        <f t="shared" si="3581"/>
        <v>+0.00%</v>
      </c>
      <c r="S5985" s="14" t="s">
        <v>1413</v>
      </c>
    </row>
    <row r="5986">
      <c r="A5986" s="13">
        <v>45901.0</v>
      </c>
      <c r="B5986" s="14" t="s">
        <v>47</v>
      </c>
      <c r="C5986" s="14" t="s">
        <v>48</v>
      </c>
      <c r="D5986" s="14" t="s">
        <v>96</v>
      </c>
      <c r="E5986" s="14" t="s">
        <v>97</v>
      </c>
      <c r="F5986" s="15" t="s">
        <v>51</v>
      </c>
      <c r="G5986" s="14" t="s">
        <v>98</v>
      </c>
      <c r="H5986" s="14" t="s">
        <v>96</v>
      </c>
      <c r="I5986" s="14" t="s">
        <v>59</v>
      </c>
      <c r="J5986" s="14" t="s">
        <v>198</v>
      </c>
      <c r="K5986" s="14" t="s">
        <v>212</v>
      </c>
      <c r="L5986" s="14" t="s">
        <v>344</v>
      </c>
      <c r="M5986" s="14" t="s">
        <v>580</v>
      </c>
      <c r="N5986" s="14" t="s">
        <v>581</v>
      </c>
      <c r="O5986" s="14">
        <v>100.0</v>
      </c>
      <c r="P5986" s="21">
        <v>1.0</v>
      </c>
      <c r="Q5986" s="22" t="str">
        <f>"+1"</f>
        <v>+1</v>
      </c>
      <c r="S5986" s="14" t="s">
        <v>281</v>
      </c>
    </row>
    <row r="5987">
      <c r="A5987" s="13">
        <v>45901.0</v>
      </c>
      <c r="B5987" s="14" t="s">
        <v>47</v>
      </c>
      <c r="C5987" s="14" t="s">
        <v>48</v>
      </c>
      <c r="D5987" s="14" t="s">
        <v>125</v>
      </c>
      <c r="E5987" s="14" t="s">
        <v>126</v>
      </c>
      <c r="F5987" s="15" t="s">
        <v>51</v>
      </c>
      <c r="G5987" s="14" t="s">
        <v>127</v>
      </c>
      <c r="H5987" s="14" t="s">
        <v>125</v>
      </c>
      <c r="I5987" s="14" t="s">
        <v>59</v>
      </c>
      <c r="J5987" s="14" t="s">
        <v>200</v>
      </c>
      <c r="K5987" s="14" t="s">
        <v>232</v>
      </c>
      <c r="L5987" s="14" t="s">
        <v>710</v>
      </c>
      <c r="M5987" s="14" t="s">
        <v>711</v>
      </c>
      <c r="N5987" s="14" t="s">
        <v>712</v>
      </c>
      <c r="O5987" s="14">
        <v>0.0</v>
      </c>
      <c r="P5987" s="23">
        <v>0.0</v>
      </c>
      <c r="Q5987" s="22" t="str">
        <f t="shared" ref="Q5987:R5987" si="3582">"+0.00%"</f>
        <v>+0.00%</v>
      </c>
      <c r="R5987" s="18" t="str">
        <f t="shared" si="3582"/>
        <v>+0.00%</v>
      </c>
      <c r="S5987" s="14" t="s">
        <v>285</v>
      </c>
    </row>
    <row r="5988">
      <c r="A5988" s="13">
        <v>45901.0</v>
      </c>
      <c r="B5988" s="14" t="s">
        <v>47</v>
      </c>
      <c r="C5988" s="14" t="s">
        <v>48</v>
      </c>
      <c r="D5988" s="14" t="s">
        <v>125</v>
      </c>
      <c r="E5988" s="14" t="s">
        <v>126</v>
      </c>
      <c r="F5988" s="15" t="s">
        <v>51</v>
      </c>
      <c r="G5988" s="14" t="s">
        <v>127</v>
      </c>
      <c r="H5988" s="14" t="s">
        <v>125</v>
      </c>
      <c r="I5988" s="14" t="s">
        <v>59</v>
      </c>
      <c r="J5988" s="14" t="s">
        <v>198</v>
      </c>
      <c r="K5988" s="14" t="s">
        <v>205</v>
      </c>
      <c r="L5988" s="14" t="s">
        <v>274</v>
      </c>
      <c r="M5988" s="14" t="s">
        <v>466</v>
      </c>
      <c r="N5988" s="14" t="s">
        <v>467</v>
      </c>
      <c r="O5988" s="14">
        <v>0.0</v>
      </c>
      <c r="P5988" s="21">
        <v>0.0</v>
      </c>
      <c r="Q5988" s="22" t="str">
        <f t="shared" ref="Q5988:Q5989" si="3583">"+0"</f>
        <v>+0</v>
      </c>
      <c r="S5988" s="14" t="s">
        <v>281</v>
      </c>
    </row>
    <row r="5989">
      <c r="A5989" s="13">
        <v>45901.0</v>
      </c>
      <c r="B5989" s="14" t="s">
        <v>47</v>
      </c>
      <c r="C5989" s="14" t="s">
        <v>48</v>
      </c>
      <c r="D5989" s="14" t="s">
        <v>112</v>
      </c>
      <c r="E5989" s="14" t="s">
        <v>113</v>
      </c>
      <c r="F5989" s="15" t="s">
        <v>51</v>
      </c>
      <c r="G5989" s="14" t="s">
        <v>114</v>
      </c>
      <c r="H5989" s="14" t="s">
        <v>112</v>
      </c>
      <c r="I5989" s="14" t="s">
        <v>59</v>
      </c>
      <c r="J5989" s="14" t="s">
        <v>198</v>
      </c>
      <c r="K5989" s="14" t="s">
        <v>205</v>
      </c>
      <c r="L5989" s="14" t="s">
        <v>274</v>
      </c>
      <c r="M5989" s="14" t="s">
        <v>473</v>
      </c>
      <c r="N5989" s="14" t="s">
        <v>474</v>
      </c>
      <c r="O5989" s="14">
        <v>50.0</v>
      </c>
      <c r="P5989" s="21">
        <v>15.0</v>
      </c>
      <c r="Q5989" s="22" t="str">
        <f t="shared" si="3583"/>
        <v>+0</v>
      </c>
      <c r="S5989" s="14" t="s">
        <v>475</v>
      </c>
    </row>
    <row r="5990">
      <c r="A5990" s="13">
        <v>45901.0</v>
      </c>
      <c r="B5990" s="14" t="s">
        <v>47</v>
      </c>
      <c r="C5990" s="14" t="s">
        <v>48</v>
      </c>
      <c r="D5990" s="14" t="s">
        <v>77</v>
      </c>
      <c r="E5990" s="14" t="s">
        <v>78</v>
      </c>
      <c r="F5990" s="14" t="s">
        <v>79</v>
      </c>
      <c r="G5990" s="14" t="s">
        <v>80</v>
      </c>
      <c r="H5990" s="14" t="s">
        <v>81</v>
      </c>
      <c r="J5990" s="14" t="s">
        <v>200</v>
      </c>
      <c r="K5990" s="14" t="s">
        <v>237</v>
      </c>
      <c r="L5990" s="14" t="s">
        <v>333</v>
      </c>
      <c r="M5990" s="14" t="s">
        <v>1373</v>
      </c>
      <c r="N5990" s="14" t="s">
        <v>1374</v>
      </c>
      <c r="O5990" s="14">
        <v>69.0</v>
      </c>
      <c r="P5990" s="23">
        <v>0.3856</v>
      </c>
      <c r="Q5990" s="22" t="str">
        <f>"-61.44%"</f>
        <v>-61.44%</v>
      </c>
      <c r="R5990" s="18" t="str">
        <f>"+138.56%"</f>
        <v>+138.56%</v>
      </c>
      <c r="S5990" s="14" t="s">
        <v>336</v>
      </c>
    </row>
    <row r="5991">
      <c r="A5991" s="13">
        <v>45901.0</v>
      </c>
      <c r="B5991" s="14" t="s">
        <v>47</v>
      </c>
      <c r="C5991" s="14" t="s">
        <v>48</v>
      </c>
      <c r="D5991" s="14" t="s">
        <v>77</v>
      </c>
      <c r="E5991" s="14" t="s">
        <v>78</v>
      </c>
      <c r="F5991" s="15" t="s">
        <v>51</v>
      </c>
      <c r="G5991" s="14" t="s">
        <v>128</v>
      </c>
      <c r="H5991" s="14" t="s">
        <v>81</v>
      </c>
      <c r="I5991" s="14" t="s">
        <v>59</v>
      </c>
      <c r="J5991" s="14" t="s">
        <v>200</v>
      </c>
      <c r="K5991" s="14" t="s">
        <v>223</v>
      </c>
      <c r="L5991" s="14" t="s">
        <v>286</v>
      </c>
      <c r="M5991" s="14" t="s">
        <v>287</v>
      </c>
      <c r="N5991" s="14" t="s">
        <v>288</v>
      </c>
      <c r="O5991" s="14">
        <v>0.0</v>
      </c>
      <c r="P5991" s="23">
        <v>0.0</v>
      </c>
      <c r="Q5991" s="22" t="str">
        <f t="shared" ref="Q5991:R5991" si="3584">"+0.00%"</f>
        <v>+0.00%</v>
      </c>
      <c r="R5991" s="18" t="str">
        <f t="shared" si="3584"/>
        <v>+0.00%</v>
      </c>
      <c r="S5991" s="14" t="s">
        <v>285</v>
      </c>
    </row>
    <row r="5992">
      <c r="A5992" s="13">
        <v>45901.0</v>
      </c>
      <c r="B5992" s="14" t="s">
        <v>47</v>
      </c>
      <c r="C5992" s="14" t="s">
        <v>48</v>
      </c>
      <c r="D5992" s="14" t="s">
        <v>158</v>
      </c>
      <c r="E5992" s="14" t="s">
        <v>159</v>
      </c>
      <c r="F5992" s="15" t="s">
        <v>51</v>
      </c>
      <c r="G5992" s="14" t="s">
        <v>160</v>
      </c>
      <c r="H5992" s="14" t="s">
        <v>158</v>
      </c>
      <c r="I5992" s="14" t="s">
        <v>54</v>
      </c>
      <c r="J5992" s="14" t="s">
        <v>200</v>
      </c>
      <c r="K5992" s="14" t="s">
        <v>224</v>
      </c>
      <c r="L5992" s="14" t="s">
        <v>427</v>
      </c>
      <c r="M5992" s="14" t="s">
        <v>428</v>
      </c>
      <c r="N5992" s="14" t="s">
        <v>429</v>
      </c>
      <c r="O5992" s="14">
        <v>0.0</v>
      </c>
      <c r="P5992" s="17"/>
      <c r="Q5992" s="22"/>
      <c r="S5992" s="14" t="s">
        <v>2599</v>
      </c>
    </row>
    <row r="5993">
      <c r="A5993" s="13">
        <v>45901.0</v>
      </c>
      <c r="B5993" s="14" t="s">
        <v>47</v>
      </c>
      <c r="C5993" s="14" t="s">
        <v>48</v>
      </c>
      <c r="D5993" s="14" t="s">
        <v>174</v>
      </c>
      <c r="E5993" s="14" t="s">
        <v>175</v>
      </c>
      <c r="F5993" s="15" t="s">
        <v>51</v>
      </c>
      <c r="G5993" s="14" t="s">
        <v>176</v>
      </c>
      <c r="H5993" s="14" t="s">
        <v>174</v>
      </c>
      <c r="I5993" s="14" t="s">
        <v>59</v>
      </c>
      <c r="J5993" s="14" t="s">
        <v>198</v>
      </c>
      <c r="K5993" s="14" t="s">
        <v>210</v>
      </c>
      <c r="L5993" s="14" t="s">
        <v>278</v>
      </c>
      <c r="M5993" s="14" t="s">
        <v>839</v>
      </c>
      <c r="N5993" s="14" t="s">
        <v>840</v>
      </c>
      <c r="O5993" s="14">
        <v>32.0</v>
      </c>
      <c r="P5993" s="21">
        <v>1730.0</v>
      </c>
      <c r="Q5993" s="22" t="str">
        <f>"+301"</f>
        <v>+301</v>
      </c>
      <c r="R5993" s="18" t="str">
        <f>"-47"</f>
        <v>-47</v>
      </c>
      <c r="S5993" s="14" t="s">
        <v>2600</v>
      </c>
    </row>
    <row r="5994">
      <c r="A5994" s="13">
        <v>45901.0</v>
      </c>
      <c r="B5994" s="14" t="s">
        <v>47</v>
      </c>
      <c r="C5994" s="14" t="s">
        <v>48</v>
      </c>
      <c r="D5994" s="14" t="s">
        <v>56</v>
      </c>
      <c r="E5994" s="14" t="s">
        <v>57</v>
      </c>
      <c r="F5994" s="15" t="s">
        <v>51</v>
      </c>
      <c r="G5994" s="14" t="s">
        <v>58</v>
      </c>
      <c r="H5994" s="14" t="s">
        <v>56</v>
      </c>
      <c r="I5994" s="14" t="s">
        <v>59</v>
      </c>
      <c r="J5994" s="14" t="s">
        <v>200</v>
      </c>
      <c r="K5994" s="14" t="s">
        <v>227</v>
      </c>
      <c r="L5994" s="14" t="s">
        <v>721</v>
      </c>
      <c r="M5994" s="14" t="s">
        <v>722</v>
      </c>
      <c r="N5994" s="14" t="s">
        <v>723</v>
      </c>
      <c r="O5994" s="14">
        <v>75.0</v>
      </c>
      <c r="P5994" s="23">
        <v>0.5</v>
      </c>
      <c r="Q5994" s="22" t="str">
        <f>"+35.06%"</f>
        <v>+35.06%</v>
      </c>
      <c r="R5994" s="18" t="str">
        <f>"-40.05%"</f>
        <v>-40.05%</v>
      </c>
      <c r="S5994" s="14" t="s">
        <v>724</v>
      </c>
    </row>
    <row r="5995">
      <c r="A5995" s="13">
        <v>45901.0</v>
      </c>
      <c r="B5995" s="14" t="s">
        <v>47</v>
      </c>
      <c r="C5995" s="14" t="s">
        <v>48</v>
      </c>
      <c r="D5995" s="14" t="s">
        <v>60</v>
      </c>
      <c r="E5995" s="14" t="s">
        <v>61</v>
      </c>
      <c r="F5995" s="15" t="s">
        <v>51</v>
      </c>
      <c r="G5995" s="14" t="s">
        <v>62</v>
      </c>
      <c r="H5995" s="14" t="s">
        <v>60</v>
      </c>
      <c r="I5995" s="14" t="s">
        <v>59</v>
      </c>
      <c r="J5995" s="14" t="s">
        <v>200</v>
      </c>
      <c r="K5995" s="14" t="s">
        <v>227</v>
      </c>
      <c r="L5995" s="14" t="s">
        <v>721</v>
      </c>
      <c r="M5995" s="14" t="s">
        <v>748</v>
      </c>
      <c r="N5995" s="14" t="s">
        <v>749</v>
      </c>
      <c r="O5995" s="14">
        <v>0.0</v>
      </c>
      <c r="P5995" s="23">
        <v>-1.0</v>
      </c>
      <c r="Q5995" s="22" t="str">
        <f t="shared" ref="Q5995:R5995" si="3585">"+0.00%"</f>
        <v>+0.00%</v>
      </c>
      <c r="R5995" s="18" t="str">
        <f t="shared" si="3585"/>
        <v>+0.00%</v>
      </c>
      <c r="S5995" s="14" t="s">
        <v>750</v>
      </c>
    </row>
    <row r="5996">
      <c r="A5996" s="13">
        <v>45901.0</v>
      </c>
      <c r="B5996" s="14" t="s">
        <v>47</v>
      </c>
      <c r="C5996" s="14" t="s">
        <v>48</v>
      </c>
      <c r="D5996" s="14" t="s">
        <v>60</v>
      </c>
      <c r="E5996" s="14" t="s">
        <v>61</v>
      </c>
      <c r="F5996" s="15" t="s">
        <v>51</v>
      </c>
      <c r="G5996" s="14" t="s">
        <v>62</v>
      </c>
      <c r="H5996" s="14" t="s">
        <v>60</v>
      </c>
      <c r="I5996" s="14" t="s">
        <v>59</v>
      </c>
      <c r="J5996" s="14" t="s">
        <v>200</v>
      </c>
      <c r="K5996" s="14" t="s">
        <v>223</v>
      </c>
      <c r="L5996" s="14" t="s">
        <v>363</v>
      </c>
      <c r="M5996" s="14" t="s">
        <v>1043</v>
      </c>
      <c r="N5996" s="14" t="s">
        <v>1044</v>
      </c>
      <c r="O5996" s="14">
        <v>0.0</v>
      </c>
      <c r="P5996" s="23">
        <v>0.0</v>
      </c>
      <c r="Q5996" s="22" t="str">
        <f t="shared" ref="Q5996:R5996" si="3586">"+0.00%"</f>
        <v>+0.00%</v>
      </c>
      <c r="R5996" s="18" t="str">
        <f t="shared" si="3586"/>
        <v>+0.00%</v>
      </c>
      <c r="S5996" s="14" t="s">
        <v>285</v>
      </c>
    </row>
    <row r="5997">
      <c r="A5997" s="13">
        <v>45901.0</v>
      </c>
      <c r="B5997" s="14" t="s">
        <v>47</v>
      </c>
      <c r="C5997" s="14" t="s">
        <v>48</v>
      </c>
      <c r="D5997" s="14" t="s">
        <v>49</v>
      </c>
      <c r="E5997" s="14" t="s">
        <v>50</v>
      </c>
      <c r="F5997" s="15" t="s">
        <v>51</v>
      </c>
      <c r="G5997" s="14" t="s">
        <v>52</v>
      </c>
      <c r="H5997" s="14" t="s">
        <v>53</v>
      </c>
      <c r="I5997" s="14" t="s">
        <v>54</v>
      </c>
      <c r="J5997" s="14" t="s">
        <v>198</v>
      </c>
      <c r="K5997" s="14" t="s">
        <v>210</v>
      </c>
      <c r="L5997" s="14" t="s">
        <v>505</v>
      </c>
      <c r="M5997" s="14" t="s">
        <v>1049</v>
      </c>
      <c r="N5997" s="14" t="s">
        <v>1050</v>
      </c>
      <c r="O5997" s="14">
        <v>0.0</v>
      </c>
      <c r="P5997" s="21">
        <v>0.0</v>
      </c>
      <c r="Q5997" s="22" t="str">
        <f t="shared" ref="Q5997:R5997" si="3587">"+0"</f>
        <v>+0</v>
      </c>
      <c r="R5997" s="18" t="str">
        <f t="shared" si="3587"/>
        <v>+0</v>
      </c>
      <c r="S5997" s="14" t="s">
        <v>277</v>
      </c>
    </row>
    <row r="5998">
      <c r="A5998" s="13">
        <v>45901.0</v>
      </c>
      <c r="B5998" s="14" t="s">
        <v>47</v>
      </c>
      <c r="C5998" s="14" t="s">
        <v>48</v>
      </c>
      <c r="D5998" s="14" t="s">
        <v>165</v>
      </c>
      <c r="E5998" s="14" t="s">
        <v>166</v>
      </c>
      <c r="F5998" s="15" t="s">
        <v>51</v>
      </c>
      <c r="G5998" s="14" t="s">
        <v>167</v>
      </c>
      <c r="H5998" s="14" t="s">
        <v>165</v>
      </c>
      <c r="I5998" s="14" t="s">
        <v>54</v>
      </c>
      <c r="J5998" s="14" t="s">
        <v>198</v>
      </c>
      <c r="K5998" s="14" t="s">
        <v>212</v>
      </c>
      <c r="L5998" s="14" t="s">
        <v>249</v>
      </c>
      <c r="M5998" s="14" t="s">
        <v>1149</v>
      </c>
      <c r="N5998" s="14" t="s">
        <v>1150</v>
      </c>
      <c r="O5998" s="14">
        <v>0.0</v>
      </c>
      <c r="P5998" s="21">
        <v>0.0</v>
      </c>
      <c r="Q5998" s="22" t="str">
        <f t="shared" ref="Q5998:R5998" si="3588">"+0"</f>
        <v>+0</v>
      </c>
      <c r="R5998" s="18" t="str">
        <f t="shared" si="3588"/>
        <v>+0</v>
      </c>
      <c r="S5998" s="14" t="s">
        <v>277</v>
      </c>
    </row>
    <row r="5999">
      <c r="A5999" s="13">
        <v>45901.0</v>
      </c>
      <c r="B5999" s="14" t="s">
        <v>47</v>
      </c>
      <c r="C5999" s="14" t="s">
        <v>48</v>
      </c>
      <c r="D5999" s="14" t="s">
        <v>99</v>
      </c>
      <c r="E5999" s="14" t="s">
        <v>100</v>
      </c>
      <c r="F5999" s="15" t="s">
        <v>51</v>
      </c>
      <c r="G5999" s="14" t="s">
        <v>101</v>
      </c>
      <c r="H5999" s="14" t="s">
        <v>102</v>
      </c>
      <c r="I5999" s="14" t="s">
        <v>54</v>
      </c>
      <c r="J5999" s="14" t="s">
        <v>198</v>
      </c>
      <c r="K5999" s="14" t="s">
        <v>205</v>
      </c>
      <c r="L5999" s="14" t="s">
        <v>274</v>
      </c>
      <c r="M5999" s="14" t="s">
        <v>575</v>
      </c>
      <c r="N5999" s="14" t="s">
        <v>576</v>
      </c>
      <c r="O5999" s="14">
        <v>100.0</v>
      </c>
      <c r="P5999" s="21">
        <v>90.0</v>
      </c>
      <c r="Q5999" s="22" t="str">
        <f t="shared" ref="Q5999:Q6000" si="3589">"+0"</f>
        <v>+0</v>
      </c>
      <c r="S5999" s="14" t="s">
        <v>577</v>
      </c>
    </row>
    <row r="6000">
      <c r="A6000" s="13">
        <v>45901.0</v>
      </c>
      <c r="B6000" s="14" t="s">
        <v>47</v>
      </c>
      <c r="C6000" s="14" t="s">
        <v>48</v>
      </c>
      <c r="D6000" s="14" t="s">
        <v>99</v>
      </c>
      <c r="E6000" s="14" t="s">
        <v>100</v>
      </c>
      <c r="F6000" s="15" t="s">
        <v>51</v>
      </c>
      <c r="G6000" s="14" t="s">
        <v>101</v>
      </c>
      <c r="H6000" s="14" t="s">
        <v>102</v>
      </c>
      <c r="I6000" s="14" t="s">
        <v>54</v>
      </c>
      <c r="J6000" s="14" t="s">
        <v>200</v>
      </c>
      <c r="K6000" s="14" t="s">
        <v>213</v>
      </c>
      <c r="L6000" s="14" t="s">
        <v>359</v>
      </c>
      <c r="M6000" s="14" t="s">
        <v>628</v>
      </c>
      <c r="N6000" s="14" t="s">
        <v>629</v>
      </c>
      <c r="O6000" s="14">
        <v>0.0</v>
      </c>
      <c r="P6000" s="21">
        <v>0.0</v>
      </c>
      <c r="Q6000" s="22" t="str">
        <f t="shared" si="3589"/>
        <v>+0</v>
      </c>
      <c r="R6000" s="18" t="str">
        <f>"+0"</f>
        <v>+0</v>
      </c>
      <c r="S6000" s="14" t="s">
        <v>260</v>
      </c>
    </row>
    <row r="6001">
      <c r="A6001" s="13">
        <v>45901.0</v>
      </c>
      <c r="B6001" s="14" t="s">
        <v>47</v>
      </c>
      <c r="C6001" s="14" t="s">
        <v>48</v>
      </c>
      <c r="D6001" s="14" t="s">
        <v>91</v>
      </c>
      <c r="E6001" s="14" t="s">
        <v>92</v>
      </c>
      <c r="F6001" s="15" t="s">
        <v>51</v>
      </c>
      <c r="G6001" s="14" t="s">
        <v>163</v>
      </c>
      <c r="H6001" s="14" t="s">
        <v>91</v>
      </c>
      <c r="I6001" s="14" t="s">
        <v>59</v>
      </c>
      <c r="J6001" s="14" t="s">
        <v>200</v>
      </c>
      <c r="K6001" s="14" t="s">
        <v>223</v>
      </c>
      <c r="L6001" s="14" t="s">
        <v>363</v>
      </c>
      <c r="M6001" s="14" t="s">
        <v>1043</v>
      </c>
      <c r="N6001" s="14" t="s">
        <v>1044</v>
      </c>
      <c r="O6001" s="14">
        <v>0.0</v>
      </c>
      <c r="P6001" s="23">
        <v>0.0</v>
      </c>
      <c r="Q6001" s="22" t="str">
        <f t="shared" ref="Q6001:R6001" si="3590">"+0.00%"</f>
        <v>+0.00%</v>
      </c>
      <c r="R6001" s="18" t="str">
        <f t="shared" si="3590"/>
        <v>+0.00%</v>
      </c>
      <c r="S6001" s="14" t="s">
        <v>285</v>
      </c>
    </row>
    <row r="6002">
      <c r="A6002" s="13">
        <v>45901.0</v>
      </c>
      <c r="B6002" s="14" t="s">
        <v>47</v>
      </c>
      <c r="C6002" s="14" t="s">
        <v>48</v>
      </c>
      <c r="D6002" s="14" t="s">
        <v>99</v>
      </c>
      <c r="E6002" s="14" t="s">
        <v>100</v>
      </c>
      <c r="F6002" s="15" t="s">
        <v>51</v>
      </c>
      <c r="G6002" s="14" t="s">
        <v>101</v>
      </c>
      <c r="H6002" s="14" t="s">
        <v>102</v>
      </c>
      <c r="I6002" s="14" t="s">
        <v>54</v>
      </c>
      <c r="J6002" s="14" t="s">
        <v>198</v>
      </c>
      <c r="K6002" s="14" t="s">
        <v>210</v>
      </c>
      <c r="L6002" s="14" t="s">
        <v>505</v>
      </c>
      <c r="M6002" s="14" t="s">
        <v>1097</v>
      </c>
      <c r="N6002" s="14" t="s">
        <v>1098</v>
      </c>
      <c r="O6002" s="14">
        <v>0.0</v>
      </c>
      <c r="P6002" s="21">
        <v>0.0</v>
      </c>
      <c r="Q6002" s="22" t="str">
        <f t="shared" ref="Q6002:R6002" si="3591">"+0"</f>
        <v>+0</v>
      </c>
      <c r="R6002" s="18" t="str">
        <f t="shared" si="3591"/>
        <v>+0</v>
      </c>
      <c r="S6002" s="14" t="s">
        <v>277</v>
      </c>
    </row>
    <row r="6003">
      <c r="A6003" s="13">
        <v>45901.0</v>
      </c>
      <c r="B6003" s="14" t="s">
        <v>47</v>
      </c>
      <c r="C6003" s="14" t="s">
        <v>48</v>
      </c>
      <c r="D6003" s="14" t="s">
        <v>63</v>
      </c>
      <c r="E6003" s="14" t="s">
        <v>64</v>
      </c>
      <c r="F6003" s="15" t="s">
        <v>51</v>
      </c>
      <c r="G6003" s="14" t="s">
        <v>65</v>
      </c>
      <c r="H6003" s="14" t="s">
        <v>63</v>
      </c>
      <c r="I6003" s="14" t="s">
        <v>54</v>
      </c>
      <c r="J6003" s="14" t="s">
        <v>199</v>
      </c>
      <c r="K6003" s="14" t="s">
        <v>203</v>
      </c>
      <c r="L6003" s="14" t="s">
        <v>1083</v>
      </c>
      <c r="M6003" s="14" t="s">
        <v>1083</v>
      </c>
      <c r="N6003" s="14" t="s">
        <v>1084</v>
      </c>
      <c r="O6003" s="14">
        <v>100.0</v>
      </c>
      <c r="P6003" s="21">
        <v>1.0</v>
      </c>
      <c r="Q6003" s="22" t="str">
        <f t="shared" ref="Q6003:Q6007" si="3592">"+0"</f>
        <v>+0</v>
      </c>
      <c r="R6003" s="18" t="str">
        <f>"-2"</f>
        <v>-2</v>
      </c>
      <c r="S6003" s="14" t="s">
        <v>260</v>
      </c>
    </row>
    <row r="6004">
      <c r="A6004" s="13">
        <v>45901.0</v>
      </c>
      <c r="B6004" s="14" t="s">
        <v>47</v>
      </c>
      <c r="C6004" s="14" t="s">
        <v>48</v>
      </c>
      <c r="D6004" s="14" t="s">
        <v>192</v>
      </c>
      <c r="E6004" s="14" t="s">
        <v>193</v>
      </c>
      <c r="F6004" s="15" t="s">
        <v>51</v>
      </c>
      <c r="G6004" s="14" t="s">
        <v>194</v>
      </c>
      <c r="H6004" s="14" t="s">
        <v>192</v>
      </c>
      <c r="I6004" s="14" t="s">
        <v>54</v>
      </c>
      <c r="J6004" s="14" t="s">
        <v>199</v>
      </c>
      <c r="K6004" s="14" t="s">
        <v>203</v>
      </c>
      <c r="L6004" s="14" t="s">
        <v>601</v>
      </c>
      <c r="M6004" s="14" t="s">
        <v>601</v>
      </c>
      <c r="N6004" s="14" t="s">
        <v>602</v>
      </c>
      <c r="O6004" s="14">
        <v>0.0</v>
      </c>
      <c r="P6004" s="21">
        <v>0.0</v>
      </c>
      <c r="Q6004" s="22" t="str">
        <f t="shared" si="3592"/>
        <v>+0</v>
      </c>
      <c r="R6004" s="18" t="str">
        <f t="shared" ref="R6004:R6007" si="3593">"+0"</f>
        <v>+0</v>
      </c>
      <c r="S6004" s="14" t="s">
        <v>260</v>
      </c>
    </row>
    <row r="6005">
      <c r="A6005" s="13">
        <v>45901.0</v>
      </c>
      <c r="B6005" s="14" t="s">
        <v>47</v>
      </c>
      <c r="C6005" s="14" t="s">
        <v>48</v>
      </c>
      <c r="D6005" s="14" t="s">
        <v>184</v>
      </c>
      <c r="E6005" s="14" t="s">
        <v>185</v>
      </c>
      <c r="F6005" s="15" t="s">
        <v>51</v>
      </c>
      <c r="G6005" s="14" t="s">
        <v>186</v>
      </c>
      <c r="H6005" s="14" t="s">
        <v>187</v>
      </c>
      <c r="I6005" s="14" t="s">
        <v>59</v>
      </c>
      <c r="J6005" s="14" t="s">
        <v>200</v>
      </c>
      <c r="K6005" s="14" t="s">
        <v>222</v>
      </c>
      <c r="L6005" s="14" t="s">
        <v>253</v>
      </c>
      <c r="M6005" s="14" t="s">
        <v>732</v>
      </c>
      <c r="N6005" s="14" t="s">
        <v>733</v>
      </c>
      <c r="O6005" s="14">
        <v>50.0</v>
      </c>
      <c r="P6005" s="21">
        <v>1.0</v>
      </c>
      <c r="Q6005" s="22" t="str">
        <f t="shared" si="3592"/>
        <v>+0</v>
      </c>
      <c r="R6005" s="18" t="str">
        <f t="shared" si="3593"/>
        <v>+0</v>
      </c>
      <c r="S6005" s="14" t="s">
        <v>450</v>
      </c>
    </row>
    <row r="6006">
      <c r="A6006" s="13">
        <v>45901.0</v>
      </c>
      <c r="B6006" s="14" t="s">
        <v>47</v>
      </c>
      <c r="C6006" s="14" t="s">
        <v>48</v>
      </c>
      <c r="D6006" s="14" t="s">
        <v>66</v>
      </c>
      <c r="E6006" s="14" t="s">
        <v>67</v>
      </c>
      <c r="F6006" s="15" t="s">
        <v>51</v>
      </c>
      <c r="G6006" s="14" t="s">
        <v>68</v>
      </c>
      <c r="H6006" s="14" t="s">
        <v>66</v>
      </c>
      <c r="I6006" s="14" t="s">
        <v>59</v>
      </c>
      <c r="J6006" s="14" t="s">
        <v>200</v>
      </c>
      <c r="K6006" s="14" t="s">
        <v>231</v>
      </c>
      <c r="L6006" s="14" t="s">
        <v>372</v>
      </c>
      <c r="M6006" s="14" t="s">
        <v>373</v>
      </c>
      <c r="N6006" s="14" t="s">
        <v>374</v>
      </c>
      <c r="O6006" s="14">
        <v>0.0</v>
      </c>
      <c r="P6006" s="21">
        <v>0.0</v>
      </c>
      <c r="Q6006" s="22" t="str">
        <f t="shared" si="3592"/>
        <v>+0</v>
      </c>
      <c r="R6006" s="18" t="str">
        <f t="shared" si="3593"/>
        <v>+0</v>
      </c>
      <c r="S6006" s="14" t="s">
        <v>260</v>
      </c>
    </row>
    <row r="6007">
      <c r="A6007" s="13">
        <v>45901.0</v>
      </c>
      <c r="B6007" s="14" t="s">
        <v>47</v>
      </c>
      <c r="C6007" s="14" t="s">
        <v>48</v>
      </c>
      <c r="D6007" s="14" t="s">
        <v>82</v>
      </c>
      <c r="E6007" s="14" t="s">
        <v>83</v>
      </c>
      <c r="F6007" s="15" t="s">
        <v>51</v>
      </c>
      <c r="G6007" s="14" t="s">
        <v>84</v>
      </c>
      <c r="H6007" s="14" t="s">
        <v>82</v>
      </c>
      <c r="I6007" s="14" t="s">
        <v>59</v>
      </c>
      <c r="J6007" s="14" t="s">
        <v>198</v>
      </c>
      <c r="K6007" s="14" t="s">
        <v>210</v>
      </c>
      <c r="L6007" s="14" t="s">
        <v>264</v>
      </c>
      <c r="M6007" s="14" t="s">
        <v>407</v>
      </c>
      <c r="N6007" s="14" t="s">
        <v>408</v>
      </c>
      <c r="O6007" s="14">
        <v>100.0</v>
      </c>
      <c r="P6007" s="21">
        <v>0.0</v>
      </c>
      <c r="Q6007" s="22" t="str">
        <f t="shared" si="3592"/>
        <v>+0</v>
      </c>
      <c r="R6007" s="18" t="str">
        <f t="shared" si="3593"/>
        <v>+0</v>
      </c>
      <c r="S6007" s="14" t="s">
        <v>281</v>
      </c>
    </row>
    <row r="6008">
      <c r="A6008" s="13">
        <v>45901.0</v>
      </c>
      <c r="B6008" s="14" t="s">
        <v>47</v>
      </c>
      <c r="C6008" s="14" t="s">
        <v>48</v>
      </c>
      <c r="D6008" s="14" t="s">
        <v>192</v>
      </c>
      <c r="E6008" s="14" t="s">
        <v>193</v>
      </c>
      <c r="F6008" s="15" t="s">
        <v>51</v>
      </c>
      <c r="G6008" s="14" t="s">
        <v>194</v>
      </c>
      <c r="H6008" s="14" t="s">
        <v>192</v>
      </c>
      <c r="I6008" s="14" t="s">
        <v>54</v>
      </c>
      <c r="J6008" s="14" t="s">
        <v>200</v>
      </c>
      <c r="K6008" s="14" t="s">
        <v>211</v>
      </c>
      <c r="L6008" s="14" t="s">
        <v>253</v>
      </c>
      <c r="M6008" s="14" t="s">
        <v>2185</v>
      </c>
      <c r="N6008" s="14" t="s">
        <v>2186</v>
      </c>
      <c r="O6008" s="14">
        <v>100.0</v>
      </c>
      <c r="P6008" s="23">
        <v>1.0</v>
      </c>
      <c r="Q6008" s="22" t="str">
        <f>"+32.55%"</f>
        <v>+32.55%</v>
      </c>
      <c r="R6008" s="18" t="str">
        <f>"+100.00%"</f>
        <v>+100.00%</v>
      </c>
      <c r="S6008" s="14" t="s">
        <v>2187</v>
      </c>
    </row>
    <row r="6009">
      <c r="A6009" s="13">
        <v>45901.0</v>
      </c>
      <c r="B6009" s="14" t="s">
        <v>47</v>
      </c>
      <c r="C6009" s="14" t="s">
        <v>48</v>
      </c>
      <c r="D6009" s="14" t="s">
        <v>143</v>
      </c>
      <c r="E6009" s="14" t="s">
        <v>144</v>
      </c>
      <c r="F6009" s="15" t="s">
        <v>51</v>
      </c>
      <c r="G6009" s="14" t="s">
        <v>145</v>
      </c>
      <c r="H6009" s="14" t="s">
        <v>143</v>
      </c>
      <c r="I6009" s="14" t="s">
        <v>59</v>
      </c>
      <c r="J6009" s="14" t="s">
        <v>198</v>
      </c>
      <c r="K6009" s="14" t="s">
        <v>205</v>
      </c>
      <c r="L6009" s="14" t="s">
        <v>274</v>
      </c>
      <c r="M6009" s="14" t="s">
        <v>275</v>
      </c>
      <c r="N6009" s="14" t="s">
        <v>276</v>
      </c>
      <c r="O6009" s="14">
        <v>0.0</v>
      </c>
      <c r="P6009" s="21">
        <v>1.0</v>
      </c>
      <c r="Q6009" s="22" t="str">
        <f>"+0"</f>
        <v>+0</v>
      </c>
      <c r="S6009" s="14" t="s">
        <v>277</v>
      </c>
    </row>
    <row r="6010">
      <c r="A6010" s="13">
        <v>45901.0</v>
      </c>
      <c r="B6010" s="14" t="s">
        <v>47</v>
      </c>
      <c r="C6010" s="14" t="s">
        <v>48</v>
      </c>
      <c r="D6010" s="14" t="s">
        <v>149</v>
      </c>
      <c r="E6010" s="14" t="s">
        <v>150</v>
      </c>
      <c r="F6010" s="15" t="s">
        <v>51</v>
      </c>
      <c r="G6010" s="14" t="s">
        <v>151</v>
      </c>
      <c r="H6010" s="14" t="s">
        <v>152</v>
      </c>
      <c r="I6010" s="14" t="s">
        <v>54</v>
      </c>
      <c r="J6010" s="14" t="s">
        <v>200</v>
      </c>
      <c r="K6010" s="14" t="s">
        <v>223</v>
      </c>
      <c r="L6010" s="14" t="s">
        <v>363</v>
      </c>
      <c r="M6010" s="14" t="s">
        <v>1043</v>
      </c>
      <c r="N6010" s="14" t="s">
        <v>1044</v>
      </c>
      <c r="O6010" s="14">
        <v>100.0</v>
      </c>
      <c r="P6010" s="23">
        <v>0.4921</v>
      </c>
      <c r="Q6010" s="22" t="str">
        <f>"+0.89%"</f>
        <v>+0.89%</v>
      </c>
      <c r="R6010" s="18" t="str">
        <f>"+2.40%"</f>
        <v>+2.40%</v>
      </c>
      <c r="S6010" s="14" t="s">
        <v>285</v>
      </c>
    </row>
    <row r="6011">
      <c r="A6011" s="13">
        <v>45901.0</v>
      </c>
      <c r="B6011" s="14" t="s">
        <v>47</v>
      </c>
      <c r="C6011" s="14" t="s">
        <v>48</v>
      </c>
      <c r="D6011" s="14" t="s">
        <v>96</v>
      </c>
      <c r="E6011" s="14" t="s">
        <v>97</v>
      </c>
      <c r="F6011" s="15" t="s">
        <v>51</v>
      </c>
      <c r="G6011" s="14" t="s">
        <v>98</v>
      </c>
      <c r="H6011" s="14" t="s">
        <v>96</v>
      </c>
      <c r="I6011" s="14" t="s">
        <v>59</v>
      </c>
      <c r="J6011" s="14" t="s">
        <v>200</v>
      </c>
      <c r="K6011" s="14" t="s">
        <v>223</v>
      </c>
      <c r="L6011" s="14" t="s">
        <v>710</v>
      </c>
      <c r="M6011" s="14" t="s">
        <v>806</v>
      </c>
      <c r="N6011" s="14" t="s">
        <v>807</v>
      </c>
      <c r="O6011" s="14">
        <v>0.0</v>
      </c>
      <c r="P6011" s="23">
        <v>0.0</v>
      </c>
      <c r="Q6011" s="22" t="str">
        <f t="shared" ref="Q6011:R6011" si="3594">"+0.00%"</f>
        <v>+0.00%</v>
      </c>
      <c r="R6011" s="18" t="str">
        <f t="shared" si="3594"/>
        <v>+0.00%</v>
      </c>
      <c r="S6011" s="14" t="s">
        <v>285</v>
      </c>
    </row>
    <row r="6012">
      <c r="A6012" s="13">
        <v>45901.0</v>
      </c>
      <c r="B6012" s="14" t="s">
        <v>47</v>
      </c>
      <c r="C6012" s="14" t="s">
        <v>48</v>
      </c>
      <c r="D6012" s="14" t="s">
        <v>125</v>
      </c>
      <c r="E6012" s="14" t="s">
        <v>126</v>
      </c>
      <c r="F6012" s="15" t="s">
        <v>51</v>
      </c>
      <c r="G6012" s="14" t="s">
        <v>127</v>
      </c>
      <c r="H6012" s="14" t="s">
        <v>125</v>
      </c>
      <c r="I6012" s="14" t="s">
        <v>59</v>
      </c>
      <c r="J6012" s="14" t="s">
        <v>200</v>
      </c>
      <c r="K6012" s="14" t="s">
        <v>232</v>
      </c>
      <c r="L6012" s="14" t="s">
        <v>607</v>
      </c>
      <c r="M6012" s="14" t="s">
        <v>758</v>
      </c>
      <c r="N6012" s="14" t="s">
        <v>759</v>
      </c>
      <c r="O6012" s="14">
        <v>0.0</v>
      </c>
      <c r="P6012" s="23">
        <v>-1.0</v>
      </c>
      <c r="Q6012" s="22" t="str">
        <f t="shared" ref="Q6012:R6012" si="3595">"+0.00%"</f>
        <v>+0.00%</v>
      </c>
      <c r="R6012" s="18" t="str">
        <f t="shared" si="3595"/>
        <v>+0.00%</v>
      </c>
      <c r="S6012" s="14" t="s">
        <v>2601</v>
      </c>
    </row>
    <row r="6013">
      <c r="A6013" s="13">
        <v>45901.0</v>
      </c>
      <c r="B6013" s="14" t="s">
        <v>47</v>
      </c>
      <c r="C6013" s="14" t="s">
        <v>48</v>
      </c>
      <c r="D6013" s="14" t="s">
        <v>77</v>
      </c>
      <c r="E6013" s="14" t="s">
        <v>78</v>
      </c>
      <c r="F6013" s="15" t="s">
        <v>51</v>
      </c>
      <c r="G6013" s="14" t="s">
        <v>128</v>
      </c>
      <c r="H6013" s="14" t="s">
        <v>81</v>
      </c>
      <c r="I6013" s="14" t="s">
        <v>59</v>
      </c>
      <c r="J6013" s="14" t="s">
        <v>200</v>
      </c>
      <c r="K6013" s="14" t="s">
        <v>227</v>
      </c>
      <c r="L6013" s="14" t="s">
        <v>270</v>
      </c>
      <c r="M6013" s="14" t="s">
        <v>400</v>
      </c>
      <c r="N6013" s="14" t="s">
        <v>401</v>
      </c>
      <c r="O6013" s="14">
        <v>0.0</v>
      </c>
      <c r="P6013" s="21">
        <v>0.0</v>
      </c>
      <c r="Q6013" s="22" t="str">
        <f t="shared" ref="Q6013:R6013" si="3596">"+0"</f>
        <v>+0</v>
      </c>
      <c r="R6013" s="18" t="str">
        <f t="shared" si="3596"/>
        <v>+0</v>
      </c>
      <c r="S6013" s="14" t="s">
        <v>260</v>
      </c>
    </row>
    <row r="6014">
      <c r="A6014" s="13">
        <v>45901.0</v>
      </c>
      <c r="B6014" s="14" t="s">
        <v>47</v>
      </c>
      <c r="C6014" s="14" t="s">
        <v>48</v>
      </c>
      <c r="D6014" s="14" t="s">
        <v>77</v>
      </c>
      <c r="E6014" s="14" t="s">
        <v>78</v>
      </c>
      <c r="F6014" s="15" t="s">
        <v>51</v>
      </c>
      <c r="G6014" s="14" t="s">
        <v>128</v>
      </c>
      <c r="H6014" s="14" t="s">
        <v>81</v>
      </c>
      <c r="I6014" s="14" t="s">
        <v>59</v>
      </c>
      <c r="J6014" s="14" t="s">
        <v>200</v>
      </c>
      <c r="K6014" s="14" t="s">
        <v>223</v>
      </c>
      <c r="L6014" s="14" t="s">
        <v>487</v>
      </c>
      <c r="M6014" s="14" t="s">
        <v>962</v>
      </c>
      <c r="N6014" s="14" t="s">
        <v>963</v>
      </c>
      <c r="O6014" s="14">
        <v>0.0</v>
      </c>
      <c r="P6014" s="23">
        <v>0.0</v>
      </c>
      <c r="Q6014" s="22" t="str">
        <f t="shared" ref="Q6014:R6014" si="3597">"+0.00%"</f>
        <v>+0.00%</v>
      </c>
      <c r="R6014" s="18" t="str">
        <f t="shared" si="3597"/>
        <v>+0.00%</v>
      </c>
      <c r="S6014" s="14" t="s">
        <v>285</v>
      </c>
    </row>
    <row r="6015">
      <c r="A6015" s="13">
        <v>45901.0</v>
      </c>
      <c r="B6015" s="14" t="s">
        <v>47</v>
      </c>
      <c r="C6015" s="14" t="s">
        <v>48</v>
      </c>
      <c r="D6015" s="14" t="s">
        <v>181</v>
      </c>
      <c r="E6015" s="14" t="s">
        <v>182</v>
      </c>
      <c r="F6015" s="15" t="s">
        <v>51</v>
      </c>
      <c r="G6015" s="14" t="s">
        <v>183</v>
      </c>
      <c r="H6015" s="14" t="s">
        <v>181</v>
      </c>
      <c r="I6015" s="14" t="s">
        <v>59</v>
      </c>
      <c r="J6015" s="14" t="s">
        <v>200</v>
      </c>
      <c r="K6015" s="14" t="s">
        <v>232</v>
      </c>
      <c r="L6015" s="14" t="s">
        <v>261</v>
      </c>
      <c r="M6015" s="14" t="s">
        <v>414</v>
      </c>
      <c r="N6015" s="14" t="s">
        <v>415</v>
      </c>
      <c r="O6015" s="14">
        <v>7.0</v>
      </c>
      <c r="P6015" s="23">
        <v>-0.85</v>
      </c>
      <c r="Q6015" s="22" t="str">
        <f>"-100.07%"</f>
        <v>-100.07%</v>
      </c>
      <c r="R6015" s="18" t="str">
        <f>"-185.00%"</f>
        <v>-185.00%</v>
      </c>
      <c r="S6015" s="14" t="s">
        <v>2602</v>
      </c>
    </row>
    <row r="6016">
      <c r="A6016" s="13">
        <v>45901.0</v>
      </c>
      <c r="B6016" s="14" t="s">
        <v>47</v>
      </c>
      <c r="C6016" s="14" t="s">
        <v>48</v>
      </c>
      <c r="D6016" s="14" t="s">
        <v>165</v>
      </c>
      <c r="E6016" s="14" t="s">
        <v>166</v>
      </c>
      <c r="F6016" s="15" t="s">
        <v>51</v>
      </c>
      <c r="G6016" s="14" t="s">
        <v>167</v>
      </c>
      <c r="H6016" s="14" t="s">
        <v>165</v>
      </c>
      <c r="I6016" s="14" t="s">
        <v>54</v>
      </c>
      <c r="J6016" s="14" t="s">
        <v>198</v>
      </c>
      <c r="K6016" s="14" t="s">
        <v>210</v>
      </c>
      <c r="L6016" s="14" t="s">
        <v>458</v>
      </c>
      <c r="M6016" s="14" t="s">
        <v>620</v>
      </c>
      <c r="N6016" s="14" t="s">
        <v>621</v>
      </c>
      <c r="O6016" s="14">
        <v>0.0</v>
      </c>
      <c r="P6016" s="21">
        <v>0.0</v>
      </c>
      <c r="Q6016" s="22" t="str">
        <f t="shared" ref="Q6016:R6016" si="3598">"+0"</f>
        <v>+0</v>
      </c>
      <c r="R6016" s="18" t="str">
        <f t="shared" si="3598"/>
        <v>+0</v>
      </c>
      <c r="S6016" s="14" t="s">
        <v>277</v>
      </c>
    </row>
    <row r="6017">
      <c r="A6017" s="13">
        <v>45901.0</v>
      </c>
      <c r="B6017" s="14" t="s">
        <v>47</v>
      </c>
      <c r="C6017" s="14" t="s">
        <v>48</v>
      </c>
      <c r="D6017" s="14" t="s">
        <v>91</v>
      </c>
      <c r="E6017" s="14" t="s">
        <v>92</v>
      </c>
      <c r="F6017" s="14" t="s">
        <v>71</v>
      </c>
      <c r="G6017" s="14">
        <v>1.00005882E8</v>
      </c>
      <c r="H6017" s="14" t="s">
        <v>91</v>
      </c>
      <c r="I6017" s="14" t="s">
        <v>59</v>
      </c>
      <c r="J6017" s="14" t="s">
        <v>199</v>
      </c>
      <c r="K6017" s="14" t="s">
        <v>206</v>
      </c>
      <c r="L6017" s="14" t="s">
        <v>433</v>
      </c>
      <c r="M6017" s="14" t="s">
        <v>433</v>
      </c>
      <c r="N6017" s="14" t="s">
        <v>434</v>
      </c>
      <c r="O6017" s="14">
        <v>100.0</v>
      </c>
      <c r="P6017" s="21">
        <v>101.0</v>
      </c>
      <c r="Q6017" s="22" t="str">
        <f>"-32"</f>
        <v>-32</v>
      </c>
      <c r="R6017" s="18" t="str">
        <f>"+4"</f>
        <v>+4</v>
      </c>
      <c r="S6017" s="14" t="s">
        <v>383</v>
      </c>
    </row>
    <row r="6018">
      <c r="A6018" s="13">
        <v>45901.0</v>
      </c>
      <c r="B6018" s="14" t="s">
        <v>47</v>
      </c>
      <c r="C6018" s="14" t="s">
        <v>48</v>
      </c>
      <c r="D6018" s="14" t="s">
        <v>91</v>
      </c>
      <c r="E6018" s="14" t="s">
        <v>92</v>
      </c>
      <c r="F6018" s="14" t="s">
        <v>71</v>
      </c>
      <c r="G6018" s="14">
        <v>5.00008343E8</v>
      </c>
      <c r="H6018" s="14" t="s">
        <v>91</v>
      </c>
      <c r="I6018" s="14" t="s">
        <v>59</v>
      </c>
      <c r="J6018" s="14" t="s">
        <v>199</v>
      </c>
      <c r="K6018" s="14" t="s">
        <v>203</v>
      </c>
      <c r="L6018" s="14" t="s">
        <v>601</v>
      </c>
      <c r="M6018" s="14" t="s">
        <v>601</v>
      </c>
      <c r="N6018" s="14" t="s">
        <v>602</v>
      </c>
      <c r="O6018" s="14">
        <v>0.0</v>
      </c>
      <c r="P6018" s="21">
        <v>0.0</v>
      </c>
      <c r="Q6018" s="22" t="str">
        <f t="shared" ref="Q6018:R6018" si="3599">"+0"</f>
        <v>+0</v>
      </c>
      <c r="R6018" s="18" t="str">
        <f t="shared" si="3599"/>
        <v>+0</v>
      </c>
      <c r="S6018" s="14" t="s">
        <v>260</v>
      </c>
    </row>
    <row r="6019">
      <c r="A6019" s="13">
        <v>45901.0</v>
      </c>
      <c r="B6019" s="14" t="s">
        <v>47</v>
      </c>
      <c r="C6019" s="14" t="s">
        <v>48</v>
      </c>
      <c r="D6019" s="14" t="s">
        <v>63</v>
      </c>
      <c r="E6019" s="14" t="s">
        <v>64</v>
      </c>
      <c r="F6019" s="15" t="s">
        <v>51</v>
      </c>
      <c r="G6019" s="14" t="s">
        <v>65</v>
      </c>
      <c r="H6019" s="14" t="s">
        <v>63</v>
      </c>
      <c r="I6019" s="14" t="s">
        <v>54</v>
      </c>
      <c r="J6019" s="14" t="s">
        <v>200</v>
      </c>
      <c r="K6019" s="14" t="s">
        <v>214</v>
      </c>
      <c r="L6019" s="14" t="s">
        <v>253</v>
      </c>
      <c r="M6019" s="14" t="s">
        <v>366</v>
      </c>
      <c r="N6019" s="14" t="s">
        <v>367</v>
      </c>
      <c r="O6019" s="14">
        <v>48.0</v>
      </c>
      <c r="P6019" s="23">
        <v>0.4864</v>
      </c>
      <c r="Q6019" s="22" t="str">
        <f>"-1.73%"</f>
        <v>-1.73%</v>
      </c>
      <c r="R6019" s="18" t="str">
        <f>"-13.25%"</f>
        <v>-13.25%</v>
      </c>
      <c r="S6019" s="14" t="s">
        <v>2603</v>
      </c>
    </row>
    <row r="6020">
      <c r="A6020" s="13">
        <v>45901.0</v>
      </c>
      <c r="B6020" s="14" t="s">
        <v>47</v>
      </c>
      <c r="C6020" s="14" t="s">
        <v>48</v>
      </c>
      <c r="D6020" s="14" t="s">
        <v>93</v>
      </c>
      <c r="E6020" s="14" t="s">
        <v>94</v>
      </c>
      <c r="F6020" s="15" t="s">
        <v>51</v>
      </c>
      <c r="G6020" s="14" t="s">
        <v>191</v>
      </c>
      <c r="H6020" s="14" t="s">
        <v>95</v>
      </c>
      <c r="I6020" s="14" t="s">
        <v>59</v>
      </c>
      <c r="J6020" s="14" t="s">
        <v>198</v>
      </c>
      <c r="K6020" s="14" t="s">
        <v>205</v>
      </c>
      <c r="L6020" s="14" t="s">
        <v>274</v>
      </c>
      <c r="M6020" s="14" t="s">
        <v>473</v>
      </c>
      <c r="N6020" s="14" t="s">
        <v>474</v>
      </c>
      <c r="O6020" s="14">
        <v>50.0</v>
      </c>
      <c r="P6020" s="21">
        <v>15.0</v>
      </c>
      <c r="Q6020" s="22" t="str">
        <f>"+0"</f>
        <v>+0</v>
      </c>
      <c r="S6020" s="14" t="s">
        <v>475</v>
      </c>
    </row>
    <row r="6021">
      <c r="A6021" s="13">
        <v>45901.0</v>
      </c>
      <c r="B6021" s="14" t="s">
        <v>47</v>
      </c>
      <c r="C6021" s="14" t="s">
        <v>48</v>
      </c>
      <c r="D6021" s="14" t="s">
        <v>132</v>
      </c>
      <c r="E6021" s="14" t="s">
        <v>133</v>
      </c>
      <c r="F6021" s="15" t="s">
        <v>51</v>
      </c>
      <c r="G6021" s="14" t="s">
        <v>134</v>
      </c>
      <c r="H6021" s="14" t="s">
        <v>135</v>
      </c>
      <c r="I6021" s="14" t="s">
        <v>59</v>
      </c>
      <c r="J6021" s="14" t="s">
        <v>200</v>
      </c>
      <c r="K6021" s="14" t="s">
        <v>213</v>
      </c>
      <c r="L6021" s="14" t="s">
        <v>289</v>
      </c>
      <c r="M6021" s="14" t="s">
        <v>684</v>
      </c>
      <c r="N6021" s="14" t="s">
        <v>685</v>
      </c>
      <c r="O6021" s="14">
        <v>0.0</v>
      </c>
      <c r="P6021" s="23">
        <v>0.0</v>
      </c>
      <c r="Q6021" s="22" t="str">
        <f t="shared" ref="Q6021:R6021" si="3600">"+0.00%"</f>
        <v>+0.00%</v>
      </c>
      <c r="R6021" s="18" t="str">
        <f t="shared" si="3600"/>
        <v>+0.00%</v>
      </c>
      <c r="S6021" s="14" t="s">
        <v>285</v>
      </c>
    </row>
    <row r="6022">
      <c r="A6022" s="13">
        <v>45901.0</v>
      </c>
      <c r="B6022" s="14" t="s">
        <v>47</v>
      </c>
      <c r="C6022" s="14" t="s">
        <v>48</v>
      </c>
      <c r="D6022" s="14" t="s">
        <v>73</v>
      </c>
      <c r="E6022" s="14" t="s">
        <v>74</v>
      </c>
      <c r="F6022" s="15" t="s">
        <v>51</v>
      </c>
      <c r="G6022" s="14" t="s">
        <v>75</v>
      </c>
      <c r="H6022" s="14" t="s">
        <v>76</v>
      </c>
      <c r="I6022" s="14" t="s">
        <v>59</v>
      </c>
      <c r="J6022" s="14" t="s">
        <v>200</v>
      </c>
      <c r="K6022" s="14" t="s">
        <v>227</v>
      </c>
      <c r="L6022" s="14" t="s">
        <v>253</v>
      </c>
      <c r="M6022" s="14" t="s">
        <v>849</v>
      </c>
      <c r="N6022" s="14" t="s">
        <v>850</v>
      </c>
      <c r="O6022" s="14">
        <v>0.0</v>
      </c>
      <c r="P6022" s="23">
        <v>0.0</v>
      </c>
      <c r="Q6022" s="22" t="str">
        <f t="shared" ref="Q6022:R6022" si="3601">"+0.00%"</f>
        <v>+0.00%</v>
      </c>
      <c r="R6022" s="18" t="str">
        <f t="shared" si="3601"/>
        <v>+0.00%</v>
      </c>
      <c r="S6022" s="14" t="s">
        <v>851</v>
      </c>
    </row>
    <row r="6023">
      <c r="A6023" s="13">
        <v>45901.0</v>
      </c>
      <c r="B6023" s="14" t="s">
        <v>47</v>
      </c>
      <c r="C6023" s="14" t="s">
        <v>48</v>
      </c>
      <c r="D6023" s="14" t="s">
        <v>73</v>
      </c>
      <c r="E6023" s="14" t="s">
        <v>74</v>
      </c>
      <c r="F6023" s="15" t="s">
        <v>51</v>
      </c>
      <c r="G6023" s="14" t="s">
        <v>75</v>
      </c>
      <c r="H6023" s="14" t="s">
        <v>76</v>
      </c>
      <c r="I6023" s="14" t="s">
        <v>59</v>
      </c>
      <c r="J6023" s="14" t="s">
        <v>200</v>
      </c>
      <c r="K6023" s="14" t="s">
        <v>227</v>
      </c>
      <c r="L6023" s="14" t="s">
        <v>721</v>
      </c>
      <c r="M6023" s="14" t="s">
        <v>722</v>
      </c>
      <c r="N6023" s="14" t="s">
        <v>723</v>
      </c>
      <c r="O6023" s="14">
        <v>38.0</v>
      </c>
      <c r="P6023" s="23">
        <v>-0.234</v>
      </c>
      <c r="Q6023" s="22" t="str">
        <f>"+4.60%"</f>
        <v>+4.60%</v>
      </c>
      <c r="R6023" s="18" t="str">
        <f>"+15.58%"</f>
        <v>+15.58%</v>
      </c>
      <c r="S6023" s="14" t="s">
        <v>724</v>
      </c>
    </row>
    <row r="6024">
      <c r="A6024" s="13">
        <v>45901.0</v>
      </c>
      <c r="B6024" s="14" t="s">
        <v>47</v>
      </c>
      <c r="C6024" s="14" t="s">
        <v>48</v>
      </c>
      <c r="D6024" s="14" t="s">
        <v>143</v>
      </c>
      <c r="E6024" s="14" t="s">
        <v>144</v>
      </c>
      <c r="F6024" s="15" t="s">
        <v>51</v>
      </c>
      <c r="G6024" s="14" t="s">
        <v>145</v>
      </c>
      <c r="H6024" s="14" t="s">
        <v>143</v>
      </c>
      <c r="I6024" s="14" t="s">
        <v>59</v>
      </c>
      <c r="J6024" s="14" t="s">
        <v>200</v>
      </c>
      <c r="K6024" s="14" t="s">
        <v>232</v>
      </c>
      <c r="L6024" s="14" t="s">
        <v>487</v>
      </c>
      <c r="M6024" s="14" t="s">
        <v>670</v>
      </c>
      <c r="N6024" s="14" t="s">
        <v>671</v>
      </c>
      <c r="O6024" s="14">
        <v>0.0</v>
      </c>
      <c r="P6024" s="21">
        <v>0.0</v>
      </c>
      <c r="Q6024" s="22" t="str">
        <f t="shared" ref="Q6024:R6024" si="3602">"+0"</f>
        <v>+0</v>
      </c>
      <c r="R6024" s="18" t="str">
        <f t="shared" si="3602"/>
        <v>+0</v>
      </c>
      <c r="S6024" s="14" t="s">
        <v>260</v>
      </c>
    </row>
    <row r="6025">
      <c r="A6025" s="13">
        <v>45901.0</v>
      </c>
      <c r="B6025" s="14" t="s">
        <v>47</v>
      </c>
      <c r="C6025" s="14" t="s">
        <v>48</v>
      </c>
      <c r="D6025" s="14" t="s">
        <v>132</v>
      </c>
      <c r="E6025" s="14" t="s">
        <v>133</v>
      </c>
      <c r="F6025" s="15" t="s">
        <v>51</v>
      </c>
      <c r="G6025" s="14" t="s">
        <v>134</v>
      </c>
      <c r="H6025" s="14" t="s">
        <v>135</v>
      </c>
      <c r="I6025" s="14" t="s">
        <v>59</v>
      </c>
      <c r="J6025" s="14" t="s">
        <v>200</v>
      </c>
      <c r="K6025" s="14" t="s">
        <v>202</v>
      </c>
      <c r="L6025" s="14" t="s">
        <v>253</v>
      </c>
      <c r="M6025" s="14" t="s">
        <v>347</v>
      </c>
      <c r="N6025" s="14" t="s">
        <v>348</v>
      </c>
      <c r="O6025" s="14">
        <v>0.0</v>
      </c>
      <c r="P6025" s="23">
        <v>0.0</v>
      </c>
      <c r="Q6025" s="22" t="str">
        <f t="shared" ref="Q6025:R6025" si="3603">"+0.00%"</f>
        <v>+0.00%</v>
      </c>
      <c r="R6025" s="18" t="str">
        <f t="shared" si="3603"/>
        <v>+0.00%</v>
      </c>
      <c r="S6025" s="14" t="s">
        <v>1608</v>
      </c>
    </row>
    <row r="6026">
      <c r="A6026" s="13">
        <v>45901.0</v>
      </c>
      <c r="B6026" s="14" t="s">
        <v>47</v>
      </c>
      <c r="C6026" s="14" t="s">
        <v>48</v>
      </c>
      <c r="D6026" s="14" t="s">
        <v>87</v>
      </c>
      <c r="E6026" s="14" t="s">
        <v>88</v>
      </c>
      <c r="F6026" s="15" t="s">
        <v>51</v>
      </c>
      <c r="G6026" s="14" t="s">
        <v>89</v>
      </c>
      <c r="H6026" s="14" t="s">
        <v>90</v>
      </c>
      <c r="I6026" s="14" t="s">
        <v>59</v>
      </c>
      <c r="J6026" s="14" t="s">
        <v>198</v>
      </c>
      <c r="K6026" s="14" t="s">
        <v>212</v>
      </c>
      <c r="L6026" s="14" t="s">
        <v>344</v>
      </c>
      <c r="M6026" s="14" t="s">
        <v>580</v>
      </c>
      <c r="N6026" s="14" t="s">
        <v>581</v>
      </c>
      <c r="O6026" s="14">
        <v>100.0</v>
      </c>
      <c r="P6026" s="21">
        <v>1.0</v>
      </c>
      <c r="Q6026" s="22" t="str">
        <f>"+1"</f>
        <v>+1</v>
      </c>
      <c r="S6026" s="14" t="s">
        <v>281</v>
      </c>
    </row>
    <row r="6027">
      <c r="A6027" s="13">
        <v>45901.0</v>
      </c>
      <c r="B6027" s="14" t="s">
        <v>47</v>
      </c>
      <c r="C6027" s="14" t="s">
        <v>48</v>
      </c>
      <c r="D6027" s="14" t="s">
        <v>87</v>
      </c>
      <c r="E6027" s="14" t="s">
        <v>88</v>
      </c>
      <c r="F6027" s="15" t="s">
        <v>51</v>
      </c>
      <c r="G6027" s="14" t="s">
        <v>89</v>
      </c>
      <c r="H6027" s="14" t="s">
        <v>90</v>
      </c>
      <c r="I6027" s="14" t="s">
        <v>59</v>
      </c>
      <c r="J6027" s="14" t="s">
        <v>200</v>
      </c>
      <c r="K6027" s="14" t="s">
        <v>246</v>
      </c>
      <c r="L6027" s="14" t="s">
        <v>614</v>
      </c>
      <c r="M6027" s="14" t="s">
        <v>2604</v>
      </c>
      <c r="N6027" s="14" t="s">
        <v>2605</v>
      </c>
      <c r="O6027" s="14">
        <v>0.0</v>
      </c>
      <c r="P6027" s="23">
        <v>-1.0</v>
      </c>
      <c r="Q6027" s="22" t="str">
        <f t="shared" ref="Q6027:R6027" si="3604">"+0.00%"</f>
        <v>+0.00%</v>
      </c>
      <c r="R6027" s="18" t="str">
        <f t="shared" si="3604"/>
        <v>+0.00%</v>
      </c>
      <c r="S6027" s="14" t="s">
        <v>2606</v>
      </c>
    </row>
    <row r="6028">
      <c r="A6028" s="13">
        <v>45901.0</v>
      </c>
      <c r="B6028" s="14" t="s">
        <v>47</v>
      </c>
      <c r="C6028" s="14" t="s">
        <v>48</v>
      </c>
      <c r="D6028" s="14" t="s">
        <v>149</v>
      </c>
      <c r="E6028" s="14" t="s">
        <v>150</v>
      </c>
      <c r="F6028" s="15" t="s">
        <v>51</v>
      </c>
      <c r="G6028" s="14" t="s">
        <v>151</v>
      </c>
      <c r="H6028" s="14" t="s">
        <v>152</v>
      </c>
      <c r="I6028" s="14" t="s">
        <v>54</v>
      </c>
      <c r="J6028" s="14" t="s">
        <v>200</v>
      </c>
      <c r="K6028" s="14" t="s">
        <v>223</v>
      </c>
      <c r="L6028" s="14" t="s">
        <v>257</v>
      </c>
      <c r="M6028" s="14" t="s">
        <v>622</v>
      </c>
      <c r="N6028" s="14" t="s">
        <v>623</v>
      </c>
      <c r="O6028" s="14">
        <v>49.0</v>
      </c>
      <c r="P6028" s="23">
        <v>-0.0083</v>
      </c>
      <c r="Q6028" s="22" t="str">
        <f>"+3.56%"</f>
        <v>+3.56%</v>
      </c>
      <c r="R6028" s="18" t="str">
        <f>"+1.22%"</f>
        <v>+1.22%</v>
      </c>
      <c r="S6028" s="14" t="s">
        <v>2607</v>
      </c>
    </row>
    <row r="6029">
      <c r="A6029" s="13">
        <v>45901.0</v>
      </c>
      <c r="B6029" s="14" t="s">
        <v>47</v>
      </c>
      <c r="C6029" s="14" t="s">
        <v>48</v>
      </c>
      <c r="D6029" s="14" t="s">
        <v>149</v>
      </c>
      <c r="E6029" s="14" t="s">
        <v>150</v>
      </c>
      <c r="F6029" s="15" t="s">
        <v>51</v>
      </c>
      <c r="G6029" s="14" t="s">
        <v>151</v>
      </c>
      <c r="H6029" s="14" t="s">
        <v>152</v>
      </c>
      <c r="I6029" s="14" t="s">
        <v>54</v>
      </c>
      <c r="J6029" s="14" t="s">
        <v>198</v>
      </c>
      <c r="K6029" s="14" t="s">
        <v>205</v>
      </c>
      <c r="L6029" s="14" t="s">
        <v>274</v>
      </c>
      <c r="M6029" s="14" t="s">
        <v>466</v>
      </c>
      <c r="N6029" s="14" t="s">
        <v>467</v>
      </c>
      <c r="O6029" s="14">
        <v>100.0</v>
      </c>
      <c r="P6029" s="21">
        <v>1.0</v>
      </c>
      <c r="Q6029" s="22" t="str">
        <f>"+0"</f>
        <v>+0</v>
      </c>
      <c r="S6029" s="14" t="s">
        <v>281</v>
      </c>
    </row>
    <row r="6030">
      <c r="A6030" s="13">
        <v>45901.0</v>
      </c>
      <c r="B6030" s="14" t="s">
        <v>47</v>
      </c>
      <c r="C6030" s="14" t="s">
        <v>48</v>
      </c>
      <c r="D6030" s="14" t="s">
        <v>149</v>
      </c>
      <c r="E6030" s="14" t="s">
        <v>150</v>
      </c>
      <c r="F6030" s="15" t="s">
        <v>51</v>
      </c>
      <c r="G6030" s="14" t="s">
        <v>151</v>
      </c>
      <c r="H6030" s="14" t="s">
        <v>152</v>
      </c>
      <c r="I6030" s="14" t="s">
        <v>54</v>
      </c>
      <c r="J6030" s="14" t="s">
        <v>200</v>
      </c>
      <c r="K6030" s="14" t="s">
        <v>209</v>
      </c>
      <c r="L6030" s="14" t="s">
        <v>253</v>
      </c>
      <c r="M6030" s="14" t="s">
        <v>402</v>
      </c>
      <c r="N6030" s="14" t="s">
        <v>403</v>
      </c>
      <c r="O6030" s="14">
        <v>95.0</v>
      </c>
      <c r="P6030" s="23">
        <v>0.9542</v>
      </c>
      <c r="Q6030" s="22" t="str">
        <f t="shared" ref="Q6030:R6030" si="3605">"-4.58%"</f>
        <v>-4.58%</v>
      </c>
      <c r="R6030" s="18" t="str">
        <f t="shared" si="3605"/>
        <v>-4.58%</v>
      </c>
      <c r="S6030" s="14" t="s">
        <v>1679</v>
      </c>
    </row>
    <row r="6031">
      <c r="A6031" s="13">
        <v>45901.0</v>
      </c>
      <c r="B6031" s="14" t="s">
        <v>47</v>
      </c>
      <c r="C6031" s="14" t="s">
        <v>48</v>
      </c>
      <c r="D6031" s="14" t="s">
        <v>87</v>
      </c>
      <c r="E6031" s="14" t="s">
        <v>88</v>
      </c>
      <c r="F6031" s="15" t="s">
        <v>51</v>
      </c>
      <c r="G6031" s="14" t="s">
        <v>89</v>
      </c>
      <c r="H6031" s="14" t="s">
        <v>90</v>
      </c>
      <c r="I6031" s="14" t="s">
        <v>59</v>
      </c>
      <c r="J6031" s="14" t="s">
        <v>200</v>
      </c>
      <c r="K6031" s="14" t="s">
        <v>227</v>
      </c>
      <c r="L6031" s="14" t="s">
        <v>270</v>
      </c>
      <c r="M6031" s="14" t="s">
        <v>321</v>
      </c>
      <c r="N6031" s="14" t="s">
        <v>322</v>
      </c>
      <c r="O6031" s="14">
        <v>62.0</v>
      </c>
      <c r="P6031" s="23">
        <v>0.2512</v>
      </c>
      <c r="Q6031" s="22" t="str">
        <f>"+22.26%"</f>
        <v>+22.26%</v>
      </c>
      <c r="R6031" s="18" t="str">
        <f>"-32.78%"</f>
        <v>-32.78%</v>
      </c>
      <c r="S6031" s="14" t="s">
        <v>323</v>
      </c>
    </row>
    <row r="6032">
      <c r="A6032" s="13">
        <v>45901.0</v>
      </c>
      <c r="B6032" s="14" t="s">
        <v>47</v>
      </c>
      <c r="C6032" s="14" t="s">
        <v>48</v>
      </c>
      <c r="D6032" s="14" t="s">
        <v>85</v>
      </c>
      <c r="E6032" s="14" t="s">
        <v>86</v>
      </c>
      <c r="F6032" s="15" t="s">
        <v>51</v>
      </c>
      <c r="G6032" s="14" t="s">
        <v>148</v>
      </c>
      <c r="H6032" s="14" t="s">
        <v>85</v>
      </c>
      <c r="I6032" s="14" t="s">
        <v>59</v>
      </c>
      <c r="J6032" s="14" t="s">
        <v>200</v>
      </c>
      <c r="K6032" s="14" t="s">
        <v>213</v>
      </c>
      <c r="L6032" s="14" t="s">
        <v>257</v>
      </c>
      <c r="M6032" s="14" t="s">
        <v>493</v>
      </c>
      <c r="N6032" s="14" t="s">
        <v>494</v>
      </c>
      <c r="O6032" s="14">
        <v>90.0</v>
      </c>
      <c r="P6032" s="23">
        <v>0.8196</v>
      </c>
      <c r="Q6032" s="22" t="str">
        <f>"+99.81%"</f>
        <v>+99.81%</v>
      </c>
      <c r="R6032" s="18" t="str">
        <f>"+13.33%"</f>
        <v>+13.33%</v>
      </c>
      <c r="S6032" s="14" t="s">
        <v>2317</v>
      </c>
    </row>
    <row r="6033">
      <c r="A6033" s="13">
        <v>45901.0</v>
      </c>
      <c r="B6033" s="14" t="s">
        <v>47</v>
      </c>
      <c r="C6033" s="14" t="s">
        <v>48</v>
      </c>
      <c r="D6033" s="14" t="s">
        <v>69</v>
      </c>
      <c r="E6033" s="14" t="s">
        <v>70</v>
      </c>
      <c r="F6033" s="14" t="s">
        <v>71</v>
      </c>
      <c r="G6033" s="14">
        <v>1.00002092E8</v>
      </c>
      <c r="H6033" s="14" t="s">
        <v>72</v>
      </c>
      <c r="I6033" s="14" t="s">
        <v>54</v>
      </c>
      <c r="J6033" s="14" t="s">
        <v>199</v>
      </c>
      <c r="K6033" s="14" t="s">
        <v>206</v>
      </c>
      <c r="L6033" s="14" t="s">
        <v>295</v>
      </c>
      <c r="M6033" s="14" t="s">
        <v>461</v>
      </c>
      <c r="N6033" s="14" t="s">
        <v>462</v>
      </c>
      <c r="O6033" s="14">
        <v>0.0</v>
      </c>
      <c r="P6033" s="21">
        <v>0.0</v>
      </c>
      <c r="Q6033" s="22" t="str">
        <f t="shared" ref="Q6033:R6033" si="3606">"+0"</f>
        <v>+0</v>
      </c>
      <c r="R6033" s="18" t="str">
        <f t="shared" si="3606"/>
        <v>+0</v>
      </c>
      <c r="S6033" s="14" t="s">
        <v>260</v>
      </c>
    </row>
    <row r="6034">
      <c r="A6034" s="13">
        <v>45901.0</v>
      </c>
      <c r="B6034" s="14" t="s">
        <v>47</v>
      </c>
      <c r="C6034" s="14" t="s">
        <v>48</v>
      </c>
      <c r="D6034" s="14" t="s">
        <v>69</v>
      </c>
      <c r="E6034" s="14" t="s">
        <v>70</v>
      </c>
      <c r="F6034" s="15" t="s">
        <v>51</v>
      </c>
      <c r="G6034" s="14" t="s">
        <v>115</v>
      </c>
      <c r="H6034" s="14" t="s">
        <v>72</v>
      </c>
      <c r="I6034" s="14" t="s">
        <v>54</v>
      </c>
      <c r="J6034" s="14" t="s">
        <v>198</v>
      </c>
      <c r="K6034" s="14" t="s">
        <v>210</v>
      </c>
      <c r="L6034" s="14" t="s">
        <v>278</v>
      </c>
      <c r="M6034" s="14" t="s">
        <v>1227</v>
      </c>
      <c r="N6034" s="14" t="s">
        <v>1228</v>
      </c>
      <c r="O6034" s="14">
        <v>0.0</v>
      </c>
      <c r="P6034" s="21">
        <v>0.0</v>
      </c>
      <c r="Q6034" s="22" t="str">
        <f t="shared" ref="Q6034:R6034" si="3607">"+0"</f>
        <v>+0</v>
      </c>
      <c r="R6034" s="18" t="str">
        <f t="shared" si="3607"/>
        <v>+0</v>
      </c>
      <c r="S6034" s="14" t="s">
        <v>277</v>
      </c>
    </row>
    <row r="6035">
      <c r="A6035" s="13">
        <v>45901.0</v>
      </c>
      <c r="B6035" s="14" t="s">
        <v>47</v>
      </c>
      <c r="C6035" s="14" t="s">
        <v>48</v>
      </c>
      <c r="D6035" s="14" t="s">
        <v>158</v>
      </c>
      <c r="E6035" s="14" t="s">
        <v>159</v>
      </c>
      <c r="F6035" s="15" t="s">
        <v>51</v>
      </c>
      <c r="G6035" s="14" t="s">
        <v>160</v>
      </c>
      <c r="H6035" s="14" t="s">
        <v>158</v>
      </c>
      <c r="I6035" s="14" t="s">
        <v>54</v>
      </c>
      <c r="J6035" s="14" t="s">
        <v>199</v>
      </c>
      <c r="K6035" s="14" t="s">
        <v>206</v>
      </c>
      <c r="L6035" s="14" t="s">
        <v>268</v>
      </c>
      <c r="M6035" s="14" t="s">
        <v>268</v>
      </c>
      <c r="N6035" s="14" t="s">
        <v>269</v>
      </c>
      <c r="O6035" s="14">
        <v>0.0</v>
      </c>
      <c r="P6035" s="21">
        <v>0.0</v>
      </c>
      <c r="Q6035" s="22" t="str">
        <f t="shared" ref="Q6035:R6035" si="3608">"+0"</f>
        <v>+0</v>
      </c>
      <c r="R6035" s="18" t="str">
        <f t="shared" si="3608"/>
        <v>+0</v>
      </c>
      <c r="S6035" s="14" t="s">
        <v>260</v>
      </c>
    </row>
    <row r="6036">
      <c r="A6036" s="13">
        <v>45901.0</v>
      </c>
      <c r="B6036" s="14" t="s">
        <v>47</v>
      </c>
      <c r="C6036" s="14" t="s">
        <v>48</v>
      </c>
      <c r="D6036" s="14" t="s">
        <v>77</v>
      </c>
      <c r="E6036" s="14" t="s">
        <v>78</v>
      </c>
      <c r="F6036" s="15" t="s">
        <v>51</v>
      </c>
      <c r="G6036" s="14" t="s">
        <v>128</v>
      </c>
      <c r="H6036" s="14" t="s">
        <v>81</v>
      </c>
      <c r="I6036" s="14" t="s">
        <v>59</v>
      </c>
      <c r="J6036" s="14" t="s">
        <v>200</v>
      </c>
      <c r="K6036" s="14" t="s">
        <v>223</v>
      </c>
      <c r="L6036" s="14" t="s">
        <v>591</v>
      </c>
      <c r="M6036" s="14" t="s">
        <v>592</v>
      </c>
      <c r="N6036" s="14" t="s">
        <v>593</v>
      </c>
      <c r="O6036" s="14">
        <v>0.0</v>
      </c>
      <c r="P6036" s="23">
        <v>0.0</v>
      </c>
      <c r="Q6036" s="22" t="str">
        <f t="shared" ref="Q6036:R6036" si="3609">"+0.00%"</f>
        <v>+0.00%</v>
      </c>
      <c r="R6036" s="18" t="str">
        <f t="shared" si="3609"/>
        <v>+0.00%</v>
      </c>
      <c r="S6036" s="14" t="s">
        <v>285</v>
      </c>
    </row>
    <row r="6037">
      <c r="A6037" s="13">
        <v>45901.0</v>
      </c>
      <c r="B6037" s="14" t="s">
        <v>47</v>
      </c>
      <c r="C6037" s="14" t="s">
        <v>48</v>
      </c>
      <c r="D6037" s="14" t="s">
        <v>108</v>
      </c>
      <c r="E6037" s="14" t="s">
        <v>109</v>
      </c>
      <c r="F6037" s="14" t="s">
        <v>146</v>
      </c>
      <c r="G6037" s="14" t="s">
        <v>180</v>
      </c>
      <c r="H6037" s="14" t="s">
        <v>108</v>
      </c>
      <c r="I6037" s="14" t="s">
        <v>59</v>
      </c>
      <c r="J6037" s="14" t="s">
        <v>199</v>
      </c>
      <c r="K6037" s="14" t="s">
        <v>203</v>
      </c>
      <c r="L6037" s="14" t="s">
        <v>736</v>
      </c>
      <c r="M6037" s="14" t="s">
        <v>736</v>
      </c>
      <c r="N6037" s="14" t="s">
        <v>737</v>
      </c>
      <c r="O6037" s="14">
        <v>0.0</v>
      </c>
      <c r="P6037" s="21">
        <v>0.0</v>
      </c>
      <c r="Q6037" s="22" t="str">
        <f>"+0"</f>
        <v>+0</v>
      </c>
      <c r="S6037" s="14" t="s">
        <v>260</v>
      </c>
    </row>
    <row r="6038">
      <c r="A6038" s="13">
        <v>45901.0</v>
      </c>
      <c r="B6038" s="14" t="s">
        <v>47</v>
      </c>
      <c r="C6038" s="14" t="s">
        <v>48</v>
      </c>
      <c r="D6038" s="14" t="s">
        <v>174</v>
      </c>
      <c r="E6038" s="14" t="s">
        <v>175</v>
      </c>
      <c r="F6038" s="15" t="s">
        <v>51</v>
      </c>
      <c r="G6038" s="14" t="s">
        <v>176</v>
      </c>
      <c r="H6038" s="14" t="s">
        <v>174</v>
      </c>
      <c r="I6038" s="14" t="s">
        <v>59</v>
      </c>
      <c r="J6038" s="14" t="s">
        <v>200</v>
      </c>
      <c r="K6038" s="14" t="s">
        <v>213</v>
      </c>
      <c r="L6038" s="14" t="s">
        <v>289</v>
      </c>
      <c r="M6038" s="14" t="s">
        <v>984</v>
      </c>
      <c r="N6038" s="14" t="s">
        <v>985</v>
      </c>
      <c r="O6038" s="14">
        <v>0.0</v>
      </c>
      <c r="P6038" s="23">
        <v>0.0</v>
      </c>
      <c r="Q6038" s="22" t="str">
        <f t="shared" ref="Q6038:R6038" si="3610">"+0.00%"</f>
        <v>+0.00%</v>
      </c>
      <c r="R6038" s="18" t="str">
        <f t="shared" si="3610"/>
        <v>+0.00%</v>
      </c>
      <c r="S6038" s="14" t="s">
        <v>285</v>
      </c>
    </row>
    <row r="6039">
      <c r="A6039" s="13">
        <v>45901.0</v>
      </c>
      <c r="B6039" s="14" t="s">
        <v>47</v>
      </c>
      <c r="C6039" s="14" t="s">
        <v>48</v>
      </c>
      <c r="D6039" s="14" t="s">
        <v>121</v>
      </c>
      <c r="E6039" s="14" t="s">
        <v>122</v>
      </c>
      <c r="F6039" s="15" t="s">
        <v>51</v>
      </c>
      <c r="G6039" s="14" t="s">
        <v>123</v>
      </c>
      <c r="H6039" s="14" t="s">
        <v>124</v>
      </c>
      <c r="I6039" s="14" t="s">
        <v>59</v>
      </c>
      <c r="J6039" s="14" t="s">
        <v>200</v>
      </c>
      <c r="K6039" s="14" t="s">
        <v>232</v>
      </c>
      <c r="L6039" s="14" t="s">
        <v>304</v>
      </c>
      <c r="M6039" s="14" t="s">
        <v>305</v>
      </c>
      <c r="N6039" s="14" t="s">
        <v>306</v>
      </c>
      <c r="O6039" s="14">
        <v>0.0</v>
      </c>
      <c r="P6039" s="21">
        <v>0.0</v>
      </c>
      <c r="Q6039" s="22" t="str">
        <f t="shared" ref="Q6039:R6039" si="3611">"+0"</f>
        <v>+0</v>
      </c>
      <c r="R6039" s="18" t="str">
        <f t="shared" si="3611"/>
        <v>+0</v>
      </c>
      <c r="S6039" s="14" t="s">
        <v>260</v>
      </c>
    </row>
    <row r="6040">
      <c r="A6040" s="13">
        <v>45901.0</v>
      </c>
      <c r="B6040" s="14" t="s">
        <v>47</v>
      </c>
      <c r="C6040" s="14" t="s">
        <v>48</v>
      </c>
      <c r="D6040" s="14" t="s">
        <v>60</v>
      </c>
      <c r="E6040" s="14" t="s">
        <v>61</v>
      </c>
      <c r="F6040" s="15" t="s">
        <v>51</v>
      </c>
      <c r="G6040" s="14" t="s">
        <v>62</v>
      </c>
      <c r="H6040" s="14" t="s">
        <v>60</v>
      </c>
      <c r="I6040" s="14" t="s">
        <v>59</v>
      </c>
      <c r="J6040" s="14" t="s">
        <v>199</v>
      </c>
      <c r="K6040" s="14" t="s">
        <v>206</v>
      </c>
      <c r="L6040" s="14" t="s">
        <v>515</v>
      </c>
      <c r="M6040" s="14" t="s">
        <v>515</v>
      </c>
      <c r="N6040" s="14" t="s">
        <v>516</v>
      </c>
      <c r="O6040" s="14">
        <v>0.0</v>
      </c>
      <c r="P6040" s="21">
        <v>0.0</v>
      </c>
      <c r="Q6040" s="22" t="str">
        <f t="shared" ref="Q6040:R6040" si="3612">"+0"</f>
        <v>+0</v>
      </c>
      <c r="R6040" s="18" t="str">
        <f t="shared" si="3612"/>
        <v>+0</v>
      </c>
      <c r="S6040" s="14" t="s">
        <v>383</v>
      </c>
    </row>
    <row r="6041">
      <c r="A6041" s="13">
        <v>45901.0</v>
      </c>
      <c r="B6041" s="14" t="s">
        <v>47</v>
      </c>
      <c r="C6041" s="14" t="s">
        <v>48</v>
      </c>
      <c r="D6041" s="14" t="s">
        <v>56</v>
      </c>
      <c r="E6041" s="14" t="s">
        <v>57</v>
      </c>
      <c r="F6041" s="15" t="s">
        <v>51</v>
      </c>
      <c r="G6041" s="14" t="s">
        <v>58</v>
      </c>
      <c r="H6041" s="14" t="s">
        <v>56</v>
      </c>
      <c r="I6041" s="14" t="s">
        <v>59</v>
      </c>
      <c r="J6041" s="14" t="s">
        <v>199</v>
      </c>
      <c r="K6041" s="14" t="s">
        <v>206</v>
      </c>
      <c r="L6041" s="14" t="s">
        <v>569</v>
      </c>
      <c r="M6041" s="14" t="s">
        <v>569</v>
      </c>
      <c r="N6041" s="14" t="s">
        <v>570</v>
      </c>
      <c r="O6041" s="14">
        <v>0.0</v>
      </c>
      <c r="P6041" s="21">
        <v>0.0</v>
      </c>
      <c r="Q6041" s="22" t="str">
        <f t="shared" ref="Q6041:R6041" si="3613">"+0"</f>
        <v>+0</v>
      </c>
      <c r="R6041" s="18" t="str">
        <f t="shared" si="3613"/>
        <v>+0</v>
      </c>
      <c r="S6041" s="14" t="s">
        <v>383</v>
      </c>
    </row>
    <row r="6042">
      <c r="A6042" s="13">
        <v>45901.0</v>
      </c>
      <c r="B6042" s="14" t="s">
        <v>47</v>
      </c>
      <c r="C6042" s="14" t="s">
        <v>48</v>
      </c>
      <c r="D6042" s="14" t="s">
        <v>181</v>
      </c>
      <c r="E6042" s="14" t="s">
        <v>182</v>
      </c>
      <c r="F6042" s="15" t="s">
        <v>51</v>
      </c>
      <c r="G6042" s="14" t="s">
        <v>183</v>
      </c>
      <c r="H6042" s="14" t="s">
        <v>181</v>
      </c>
      <c r="I6042" s="14" t="s">
        <v>59</v>
      </c>
      <c r="J6042" s="14" t="s">
        <v>200</v>
      </c>
      <c r="K6042" s="14" t="s">
        <v>232</v>
      </c>
      <c r="L6042" s="14" t="s">
        <v>422</v>
      </c>
      <c r="M6042" s="14" t="s">
        <v>423</v>
      </c>
      <c r="N6042" s="14" t="s">
        <v>424</v>
      </c>
      <c r="O6042" s="14">
        <v>100.0</v>
      </c>
      <c r="P6042" s="21">
        <v>2.0</v>
      </c>
      <c r="Q6042" s="22" t="str">
        <f t="shared" ref="Q6042:R6042" si="3614">"+0"</f>
        <v>+0</v>
      </c>
      <c r="R6042" s="18" t="str">
        <f t="shared" si="3614"/>
        <v>+0</v>
      </c>
      <c r="S6042" s="14" t="s">
        <v>260</v>
      </c>
    </row>
    <row r="6043">
      <c r="A6043" s="13">
        <v>45901.0</v>
      </c>
      <c r="B6043" s="14" t="s">
        <v>47</v>
      </c>
      <c r="C6043" s="14" t="s">
        <v>48</v>
      </c>
      <c r="D6043" s="14" t="s">
        <v>56</v>
      </c>
      <c r="E6043" s="14" t="s">
        <v>57</v>
      </c>
      <c r="F6043" s="15" t="s">
        <v>51</v>
      </c>
      <c r="G6043" s="14" t="s">
        <v>58</v>
      </c>
      <c r="H6043" s="14" t="s">
        <v>56</v>
      </c>
      <c r="I6043" s="14" t="s">
        <v>59</v>
      </c>
      <c r="J6043" s="14" t="s">
        <v>200</v>
      </c>
      <c r="K6043" s="14" t="s">
        <v>204</v>
      </c>
      <c r="L6043" s="14" t="s">
        <v>253</v>
      </c>
      <c r="M6043" s="14" t="s">
        <v>793</v>
      </c>
      <c r="N6043" s="14" t="s">
        <v>794</v>
      </c>
      <c r="O6043" s="14">
        <v>3.0</v>
      </c>
      <c r="P6043" s="23">
        <v>0.0333</v>
      </c>
      <c r="Q6043" s="22" t="str">
        <f>"+0.00%"</f>
        <v>+0.00%</v>
      </c>
      <c r="R6043" s="18" t="str">
        <f>"-3.33%"</f>
        <v>-3.33%</v>
      </c>
      <c r="S6043" s="14" t="s">
        <v>1454</v>
      </c>
    </row>
    <row r="6044">
      <c r="A6044" s="13">
        <v>45901.0</v>
      </c>
      <c r="B6044" s="14" t="s">
        <v>47</v>
      </c>
      <c r="C6044" s="14" t="s">
        <v>48</v>
      </c>
      <c r="D6044" s="14" t="s">
        <v>56</v>
      </c>
      <c r="E6044" s="14" t="s">
        <v>57</v>
      </c>
      <c r="F6044" s="15" t="s">
        <v>51</v>
      </c>
      <c r="G6044" s="14" t="s">
        <v>58</v>
      </c>
      <c r="H6044" s="14" t="s">
        <v>56</v>
      </c>
      <c r="I6044" s="14" t="s">
        <v>59</v>
      </c>
      <c r="J6044" s="14" t="s">
        <v>200</v>
      </c>
      <c r="K6044" s="14" t="s">
        <v>223</v>
      </c>
      <c r="L6044" s="14" t="s">
        <v>607</v>
      </c>
      <c r="M6044" s="14" t="s">
        <v>1035</v>
      </c>
      <c r="N6044" s="14" t="s">
        <v>1036</v>
      </c>
      <c r="O6044" s="14">
        <v>12.0</v>
      </c>
      <c r="P6044" s="23">
        <v>0.12</v>
      </c>
      <c r="Q6044" s="22" t="str">
        <f>"+2.00%"</f>
        <v>+2.00%</v>
      </c>
      <c r="R6044" s="18" t="str">
        <f>"-13.00%"</f>
        <v>-13.00%</v>
      </c>
      <c r="S6044" s="14" t="s">
        <v>2608</v>
      </c>
    </row>
    <row r="6045">
      <c r="A6045" s="13">
        <v>45901.0</v>
      </c>
      <c r="B6045" s="14" t="s">
        <v>47</v>
      </c>
      <c r="C6045" s="14" t="s">
        <v>48</v>
      </c>
      <c r="D6045" s="14" t="s">
        <v>60</v>
      </c>
      <c r="E6045" s="14" t="s">
        <v>61</v>
      </c>
      <c r="F6045" s="15" t="s">
        <v>51</v>
      </c>
      <c r="G6045" s="14" t="s">
        <v>62</v>
      </c>
      <c r="H6045" s="14" t="s">
        <v>60</v>
      </c>
      <c r="I6045" s="14" t="s">
        <v>59</v>
      </c>
      <c r="J6045" s="14" t="s">
        <v>200</v>
      </c>
      <c r="K6045" s="14" t="s">
        <v>216</v>
      </c>
      <c r="L6045" s="14" t="s">
        <v>799</v>
      </c>
      <c r="M6045" s="14" t="s">
        <v>2486</v>
      </c>
      <c r="N6045" s="14" t="s">
        <v>2487</v>
      </c>
      <c r="O6045" s="14">
        <v>0.0</v>
      </c>
      <c r="P6045" s="21">
        <v>0.0</v>
      </c>
      <c r="Q6045" s="22" t="str">
        <f t="shared" ref="Q6045:R6045" si="3615">"+0"</f>
        <v>+0</v>
      </c>
      <c r="R6045" s="18" t="str">
        <f t="shared" si="3615"/>
        <v>+0</v>
      </c>
      <c r="S6045" s="14" t="s">
        <v>260</v>
      </c>
    </row>
    <row r="6046">
      <c r="A6046" s="13">
        <v>45901.0</v>
      </c>
      <c r="B6046" s="14" t="s">
        <v>47</v>
      </c>
      <c r="C6046" s="14" t="s">
        <v>48</v>
      </c>
      <c r="D6046" s="14" t="s">
        <v>60</v>
      </c>
      <c r="E6046" s="14" t="s">
        <v>61</v>
      </c>
      <c r="F6046" s="15" t="s">
        <v>51</v>
      </c>
      <c r="G6046" s="14" t="s">
        <v>62</v>
      </c>
      <c r="H6046" s="14" t="s">
        <v>60</v>
      </c>
      <c r="I6046" s="14" t="s">
        <v>59</v>
      </c>
      <c r="J6046" s="14" t="s">
        <v>200</v>
      </c>
      <c r="K6046" s="14" t="s">
        <v>223</v>
      </c>
      <c r="L6046" s="14" t="s">
        <v>286</v>
      </c>
      <c r="M6046" s="14" t="s">
        <v>588</v>
      </c>
      <c r="N6046" s="14" t="s">
        <v>589</v>
      </c>
      <c r="O6046" s="14">
        <v>0.0</v>
      </c>
      <c r="P6046" s="23">
        <v>0.0</v>
      </c>
      <c r="Q6046" s="22" t="str">
        <f t="shared" ref="Q6046:R6046" si="3616">"+0.00%"</f>
        <v>+0.00%</v>
      </c>
      <c r="R6046" s="18" t="str">
        <f t="shared" si="3616"/>
        <v>+0.00%</v>
      </c>
      <c r="S6046" s="14" t="s">
        <v>285</v>
      </c>
    </row>
    <row r="6047">
      <c r="A6047" s="13">
        <v>45901.0</v>
      </c>
      <c r="B6047" s="14" t="s">
        <v>47</v>
      </c>
      <c r="C6047" s="14" t="s">
        <v>48</v>
      </c>
      <c r="D6047" s="14" t="s">
        <v>49</v>
      </c>
      <c r="E6047" s="14" t="s">
        <v>50</v>
      </c>
      <c r="F6047" s="15" t="s">
        <v>51</v>
      </c>
      <c r="G6047" s="14" t="s">
        <v>52</v>
      </c>
      <c r="H6047" s="14" t="s">
        <v>53</v>
      </c>
      <c r="I6047" s="14" t="s">
        <v>54</v>
      </c>
      <c r="J6047" s="14" t="s">
        <v>199</v>
      </c>
      <c r="K6047" s="14" t="s">
        <v>206</v>
      </c>
      <c r="L6047" s="14" t="s">
        <v>515</v>
      </c>
      <c r="M6047" s="14" t="s">
        <v>515</v>
      </c>
      <c r="N6047" s="14" t="s">
        <v>516</v>
      </c>
      <c r="O6047" s="14">
        <v>0.0</v>
      </c>
      <c r="P6047" s="21">
        <v>0.0</v>
      </c>
      <c r="Q6047" s="22" t="str">
        <f t="shared" ref="Q6047:R6047" si="3617">"+0"</f>
        <v>+0</v>
      </c>
      <c r="R6047" s="18" t="str">
        <f t="shared" si="3617"/>
        <v>+0</v>
      </c>
      <c r="S6047" s="14" t="s">
        <v>383</v>
      </c>
    </row>
    <row r="6048">
      <c r="A6048" s="13">
        <v>45901.0</v>
      </c>
      <c r="B6048" s="14" t="s">
        <v>47</v>
      </c>
      <c r="C6048" s="14" t="s">
        <v>48</v>
      </c>
      <c r="D6048" s="14" t="s">
        <v>49</v>
      </c>
      <c r="E6048" s="14" t="s">
        <v>50</v>
      </c>
      <c r="F6048" s="15" t="s">
        <v>51</v>
      </c>
      <c r="G6048" s="14" t="s">
        <v>52</v>
      </c>
      <c r="H6048" s="14" t="s">
        <v>53</v>
      </c>
      <c r="I6048" s="14" t="s">
        <v>54</v>
      </c>
      <c r="J6048" s="14" t="s">
        <v>199</v>
      </c>
      <c r="K6048" s="14" t="s">
        <v>206</v>
      </c>
      <c r="L6048" s="14" t="s">
        <v>295</v>
      </c>
      <c r="M6048" s="14" t="s">
        <v>529</v>
      </c>
      <c r="N6048" s="14" t="s">
        <v>530</v>
      </c>
      <c r="O6048" s="14">
        <v>100.0</v>
      </c>
      <c r="P6048" s="21">
        <v>9.0</v>
      </c>
      <c r="Q6048" s="22" t="str">
        <f t="shared" ref="Q6048:R6048" si="3618">"+0"</f>
        <v>+0</v>
      </c>
      <c r="R6048" s="18" t="str">
        <f t="shared" si="3618"/>
        <v>+0</v>
      </c>
      <c r="S6048" s="14" t="s">
        <v>260</v>
      </c>
    </row>
    <row r="6049">
      <c r="A6049" s="13">
        <v>45901.0</v>
      </c>
      <c r="B6049" s="14" t="s">
        <v>47</v>
      </c>
      <c r="C6049" s="14" t="s">
        <v>48</v>
      </c>
      <c r="D6049" s="14" t="s">
        <v>165</v>
      </c>
      <c r="E6049" s="14" t="s">
        <v>166</v>
      </c>
      <c r="F6049" s="15" t="s">
        <v>51</v>
      </c>
      <c r="G6049" s="14" t="s">
        <v>167</v>
      </c>
      <c r="H6049" s="14" t="s">
        <v>165</v>
      </c>
      <c r="I6049" s="14" t="s">
        <v>54</v>
      </c>
      <c r="J6049" s="14" t="s">
        <v>200</v>
      </c>
      <c r="K6049" s="14" t="s">
        <v>224</v>
      </c>
      <c r="L6049" s="14" t="s">
        <v>594</v>
      </c>
      <c r="M6049" s="14" t="s">
        <v>595</v>
      </c>
      <c r="N6049" s="14" t="s">
        <v>596</v>
      </c>
      <c r="O6049" s="14">
        <v>100.0</v>
      </c>
      <c r="P6049" s="23">
        <v>1.0</v>
      </c>
      <c r="Q6049" s="22" t="str">
        <f>"+0.00%"</f>
        <v>+0.00%</v>
      </c>
      <c r="R6049" s="18" t="str">
        <f>"+10.53%"</f>
        <v>+10.53%</v>
      </c>
      <c r="S6049" s="14" t="s">
        <v>1340</v>
      </c>
    </row>
    <row r="6050">
      <c r="A6050" s="13">
        <v>45901.0</v>
      </c>
      <c r="B6050" s="14" t="s">
        <v>47</v>
      </c>
      <c r="C6050" s="14" t="s">
        <v>48</v>
      </c>
      <c r="D6050" s="14" t="s">
        <v>91</v>
      </c>
      <c r="E6050" s="14" t="s">
        <v>92</v>
      </c>
      <c r="F6050" s="14" t="s">
        <v>71</v>
      </c>
      <c r="G6050" s="14">
        <v>7295600.0</v>
      </c>
      <c r="H6050" s="14" t="s">
        <v>91</v>
      </c>
      <c r="I6050" s="14" t="s">
        <v>54</v>
      </c>
      <c r="J6050" s="14" t="s">
        <v>199</v>
      </c>
      <c r="K6050" s="14" t="s">
        <v>203</v>
      </c>
      <c r="L6050" s="14" t="s">
        <v>485</v>
      </c>
      <c r="M6050" s="14" t="s">
        <v>485</v>
      </c>
      <c r="N6050" s="14" t="s">
        <v>486</v>
      </c>
      <c r="O6050" s="14">
        <v>0.0</v>
      </c>
      <c r="P6050" s="21">
        <v>0.0</v>
      </c>
      <c r="Q6050" s="22" t="str">
        <f t="shared" ref="Q6050:R6050" si="3619">"+0"</f>
        <v>+0</v>
      </c>
      <c r="R6050" s="18" t="str">
        <f t="shared" si="3619"/>
        <v>+0</v>
      </c>
      <c r="S6050" s="14" t="s">
        <v>260</v>
      </c>
    </row>
    <row r="6051">
      <c r="A6051" s="13">
        <v>45901.0</v>
      </c>
      <c r="B6051" s="14" t="s">
        <v>47</v>
      </c>
      <c r="C6051" s="14" t="s">
        <v>48</v>
      </c>
      <c r="D6051" s="14" t="s">
        <v>118</v>
      </c>
      <c r="E6051" s="14" t="s">
        <v>119</v>
      </c>
      <c r="F6051" s="15" t="s">
        <v>51</v>
      </c>
      <c r="G6051" s="14" t="s">
        <v>120</v>
      </c>
      <c r="H6051" s="14" t="s">
        <v>118</v>
      </c>
      <c r="I6051" s="14" t="s">
        <v>59</v>
      </c>
      <c r="J6051" s="14" t="s">
        <v>200</v>
      </c>
      <c r="K6051" s="14" t="s">
        <v>213</v>
      </c>
      <c r="L6051" s="14" t="s">
        <v>440</v>
      </c>
      <c r="M6051" s="14" t="s">
        <v>510</v>
      </c>
      <c r="N6051" s="14" t="s">
        <v>511</v>
      </c>
      <c r="O6051" s="14">
        <v>0.0</v>
      </c>
      <c r="P6051" s="23">
        <v>0.0</v>
      </c>
      <c r="Q6051" s="22" t="str">
        <f t="shared" ref="Q6051:R6051" si="3620">"+0.00%"</f>
        <v>+0.00%</v>
      </c>
      <c r="R6051" s="18" t="str">
        <f t="shared" si="3620"/>
        <v>+0.00%</v>
      </c>
      <c r="S6051" s="14" t="s">
        <v>285</v>
      </c>
    </row>
    <row r="6052">
      <c r="A6052" s="13">
        <v>45901.0</v>
      </c>
      <c r="B6052" s="14" t="s">
        <v>47</v>
      </c>
      <c r="C6052" s="14" t="s">
        <v>48</v>
      </c>
      <c r="D6052" s="14" t="s">
        <v>99</v>
      </c>
      <c r="E6052" s="14" t="s">
        <v>100</v>
      </c>
      <c r="F6052" s="15" t="s">
        <v>51</v>
      </c>
      <c r="G6052" s="14" t="s">
        <v>101</v>
      </c>
      <c r="H6052" s="14" t="s">
        <v>102</v>
      </c>
      <c r="I6052" s="14" t="s">
        <v>54</v>
      </c>
      <c r="J6052" s="14" t="s">
        <v>198</v>
      </c>
      <c r="K6052" s="14" t="s">
        <v>210</v>
      </c>
      <c r="L6052" s="14" t="s">
        <v>458</v>
      </c>
      <c r="M6052" s="14" t="s">
        <v>945</v>
      </c>
      <c r="N6052" s="14" t="s">
        <v>946</v>
      </c>
      <c r="O6052" s="14">
        <v>0.0</v>
      </c>
      <c r="P6052" s="21">
        <v>0.0</v>
      </c>
      <c r="Q6052" s="22" t="str">
        <f t="shared" ref="Q6052:R6052" si="3621">"+0"</f>
        <v>+0</v>
      </c>
      <c r="R6052" s="18" t="str">
        <f t="shared" si="3621"/>
        <v>+0</v>
      </c>
      <c r="S6052" s="14" t="s">
        <v>277</v>
      </c>
    </row>
    <row r="6053">
      <c r="A6053" s="13">
        <v>45901.0</v>
      </c>
      <c r="B6053" s="14" t="s">
        <v>47</v>
      </c>
      <c r="C6053" s="14" t="s">
        <v>48</v>
      </c>
      <c r="D6053" s="14" t="s">
        <v>103</v>
      </c>
      <c r="E6053" s="14" t="s">
        <v>104</v>
      </c>
      <c r="F6053" s="15" t="s">
        <v>51</v>
      </c>
      <c r="G6053" s="14" t="s">
        <v>105</v>
      </c>
      <c r="H6053" s="14" t="s">
        <v>106</v>
      </c>
      <c r="I6053" s="14" t="s">
        <v>59</v>
      </c>
      <c r="J6053" s="14" t="s">
        <v>198</v>
      </c>
      <c r="K6053" s="14" t="s">
        <v>210</v>
      </c>
      <c r="L6053" s="14" t="s">
        <v>264</v>
      </c>
      <c r="M6053" s="14" t="s">
        <v>407</v>
      </c>
      <c r="N6053" s="14" t="s">
        <v>408</v>
      </c>
      <c r="O6053" s="14">
        <v>100.0</v>
      </c>
      <c r="P6053" s="21">
        <v>0.0</v>
      </c>
      <c r="Q6053" s="22" t="str">
        <f t="shared" ref="Q6053:R6053" si="3622">"+0"</f>
        <v>+0</v>
      </c>
      <c r="R6053" s="18" t="str">
        <f t="shared" si="3622"/>
        <v>+0</v>
      </c>
      <c r="S6053" s="14" t="s">
        <v>281</v>
      </c>
    </row>
    <row r="6054">
      <c r="A6054" s="13">
        <v>45901.0</v>
      </c>
      <c r="B6054" s="14" t="s">
        <v>47</v>
      </c>
      <c r="C6054" s="14" t="s">
        <v>48</v>
      </c>
      <c r="D6054" s="14" t="s">
        <v>143</v>
      </c>
      <c r="E6054" s="14" t="s">
        <v>144</v>
      </c>
      <c r="F6054" s="15" t="s">
        <v>51</v>
      </c>
      <c r="G6054" s="14" t="s">
        <v>145</v>
      </c>
      <c r="H6054" s="14" t="s">
        <v>143</v>
      </c>
      <c r="I6054" s="14" t="s">
        <v>59</v>
      </c>
      <c r="J6054" s="14" t="s">
        <v>200</v>
      </c>
      <c r="K6054" s="14" t="s">
        <v>224</v>
      </c>
      <c r="L6054" s="14" t="s">
        <v>453</v>
      </c>
      <c r="M6054" s="14" t="s">
        <v>716</v>
      </c>
      <c r="N6054" s="14" t="s">
        <v>717</v>
      </c>
      <c r="O6054" s="14">
        <v>0.0</v>
      </c>
      <c r="P6054" s="23">
        <v>0.0</v>
      </c>
      <c r="Q6054" s="22" t="str">
        <f t="shared" ref="Q6054:Q6055" si="3623">"+0.00%"</f>
        <v>+0.00%</v>
      </c>
      <c r="S6054" s="14" t="s">
        <v>718</v>
      </c>
    </row>
    <row r="6055">
      <c r="A6055" s="13">
        <v>45901.0</v>
      </c>
      <c r="B6055" s="14" t="s">
        <v>47</v>
      </c>
      <c r="C6055" s="14" t="s">
        <v>48</v>
      </c>
      <c r="D6055" s="14" t="s">
        <v>143</v>
      </c>
      <c r="E6055" s="14" t="s">
        <v>144</v>
      </c>
      <c r="F6055" s="15" t="s">
        <v>51</v>
      </c>
      <c r="G6055" s="14" t="s">
        <v>145</v>
      </c>
      <c r="H6055" s="14" t="s">
        <v>143</v>
      </c>
      <c r="I6055" s="14" t="s">
        <v>59</v>
      </c>
      <c r="J6055" s="14" t="s">
        <v>200</v>
      </c>
      <c r="K6055" s="14" t="s">
        <v>232</v>
      </c>
      <c r="L6055" s="14" t="s">
        <v>487</v>
      </c>
      <c r="M6055" s="14" t="s">
        <v>1075</v>
      </c>
      <c r="N6055" s="14" t="s">
        <v>1076</v>
      </c>
      <c r="O6055" s="14">
        <v>0.0</v>
      </c>
      <c r="P6055" s="23">
        <v>0.0</v>
      </c>
      <c r="Q6055" s="22" t="str">
        <f t="shared" si="3623"/>
        <v>+0.00%</v>
      </c>
      <c r="R6055" s="18" t="str">
        <f>"+0.00%"</f>
        <v>+0.00%</v>
      </c>
      <c r="S6055" s="14" t="s">
        <v>285</v>
      </c>
    </row>
    <row r="6056">
      <c r="A6056" s="13">
        <v>45901.0</v>
      </c>
      <c r="B6056" s="14" t="s">
        <v>47</v>
      </c>
      <c r="C6056" s="14" t="s">
        <v>48</v>
      </c>
      <c r="D6056" s="14" t="s">
        <v>143</v>
      </c>
      <c r="E6056" s="14" t="s">
        <v>144</v>
      </c>
      <c r="F6056" s="15" t="s">
        <v>51</v>
      </c>
      <c r="G6056" s="14" t="s">
        <v>145</v>
      </c>
      <c r="H6056" s="14" t="s">
        <v>143</v>
      </c>
      <c r="I6056" s="14" t="s">
        <v>59</v>
      </c>
      <c r="J6056" s="14" t="s">
        <v>200</v>
      </c>
      <c r="K6056" s="14" t="s">
        <v>232</v>
      </c>
      <c r="L6056" s="14" t="s">
        <v>261</v>
      </c>
      <c r="M6056" s="14" t="s">
        <v>414</v>
      </c>
      <c r="N6056" s="14" t="s">
        <v>415</v>
      </c>
      <c r="O6056" s="14">
        <v>43.0</v>
      </c>
      <c r="P6056" s="23">
        <v>-0.1367</v>
      </c>
      <c r="Q6056" s="22" t="str">
        <f>"+66.34%"</f>
        <v>+66.34%</v>
      </c>
      <c r="R6056" s="18" t="str">
        <f>"-28.22%"</f>
        <v>-28.22%</v>
      </c>
      <c r="S6056" s="14" t="s">
        <v>2609</v>
      </c>
    </row>
    <row r="6057">
      <c r="A6057" s="13">
        <v>45901.0</v>
      </c>
      <c r="B6057" s="14" t="s">
        <v>47</v>
      </c>
      <c r="C6057" s="14" t="s">
        <v>48</v>
      </c>
      <c r="D6057" s="14" t="s">
        <v>73</v>
      </c>
      <c r="E6057" s="14" t="s">
        <v>74</v>
      </c>
      <c r="F6057" s="15" t="s">
        <v>51</v>
      </c>
      <c r="G6057" s="14" t="s">
        <v>75</v>
      </c>
      <c r="H6057" s="14" t="s">
        <v>76</v>
      </c>
      <c r="I6057" s="14" t="s">
        <v>59</v>
      </c>
      <c r="J6057" s="14" t="s">
        <v>198</v>
      </c>
      <c r="K6057" s="14" t="s">
        <v>210</v>
      </c>
      <c r="L6057" s="14" t="s">
        <v>264</v>
      </c>
      <c r="M6057" s="14" t="s">
        <v>407</v>
      </c>
      <c r="N6057" s="14" t="s">
        <v>408</v>
      </c>
      <c r="O6057" s="14">
        <v>100.0</v>
      </c>
      <c r="P6057" s="21">
        <v>0.0</v>
      </c>
      <c r="Q6057" s="22" t="str">
        <f t="shared" ref="Q6057:R6057" si="3624">"+0"</f>
        <v>+0</v>
      </c>
      <c r="R6057" s="18" t="str">
        <f t="shared" si="3624"/>
        <v>+0</v>
      </c>
      <c r="S6057" s="14" t="s">
        <v>281</v>
      </c>
    </row>
    <row r="6058">
      <c r="A6058" s="13">
        <v>45901.0</v>
      </c>
      <c r="B6058" s="14" t="s">
        <v>47</v>
      </c>
      <c r="C6058" s="14" t="s">
        <v>48</v>
      </c>
      <c r="D6058" s="14" t="s">
        <v>85</v>
      </c>
      <c r="E6058" s="14" t="s">
        <v>86</v>
      </c>
      <c r="F6058" s="15" t="s">
        <v>51</v>
      </c>
      <c r="G6058" s="14" t="s">
        <v>148</v>
      </c>
      <c r="H6058" s="14" t="s">
        <v>85</v>
      </c>
      <c r="I6058" s="14" t="s">
        <v>59</v>
      </c>
      <c r="J6058" s="14" t="s">
        <v>200</v>
      </c>
      <c r="K6058" s="14" t="s">
        <v>213</v>
      </c>
      <c r="L6058" s="14" t="s">
        <v>289</v>
      </c>
      <c r="M6058" s="14" t="s">
        <v>290</v>
      </c>
      <c r="N6058" s="14" t="s">
        <v>291</v>
      </c>
      <c r="O6058" s="14">
        <v>0.0</v>
      </c>
      <c r="P6058" s="23">
        <v>0.0</v>
      </c>
      <c r="Q6058" s="22" t="str">
        <f t="shared" ref="Q6058:R6058" si="3625">"+0.00%"</f>
        <v>+0.00%</v>
      </c>
      <c r="R6058" s="18" t="str">
        <f t="shared" si="3625"/>
        <v>+0.00%</v>
      </c>
      <c r="S6058" s="14" t="s">
        <v>285</v>
      </c>
    </row>
    <row r="6059">
      <c r="A6059" s="13">
        <v>45901.0</v>
      </c>
      <c r="B6059" s="14" t="s">
        <v>47</v>
      </c>
      <c r="C6059" s="14" t="s">
        <v>48</v>
      </c>
      <c r="D6059" s="14" t="s">
        <v>125</v>
      </c>
      <c r="E6059" s="14" t="s">
        <v>126</v>
      </c>
      <c r="F6059" s="15" t="s">
        <v>51</v>
      </c>
      <c r="G6059" s="14" t="s">
        <v>127</v>
      </c>
      <c r="H6059" s="14" t="s">
        <v>125</v>
      </c>
      <c r="I6059" s="14" t="s">
        <v>59</v>
      </c>
      <c r="J6059" s="14" t="s">
        <v>198</v>
      </c>
      <c r="K6059" s="14" t="s">
        <v>205</v>
      </c>
      <c r="L6059" s="14" t="s">
        <v>274</v>
      </c>
      <c r="M6059" s="14" t="s">
        <v>791</v>
      </c>
      <c r="N6059" s="14" t="s">
        <v>792</v>
      </c>
      <c r="O6059" s="14">
        <v>50.0</v>
      </c>
      <c r="P6059" s="21">
        <v>1.0</v>
      </c>
      <c r="Q6059" s="22" t="str">
        <f t="shared" ref="Q6059:Q6062" si="3626">"+0"</f>
        <v>+0</v>
      </c>
      <c r="S6059" s="14" t="s">
        <v>260</v>
      </c>
    </row>
    <row r="6060">
      <c r="A6060" s="13">
        <v>45901.0</v>
      </c>
      <c r="B6060" s="14" t="s">
        <v>47</v>
      </c>
      <c r="C6060" s="14" t="s">
        <v>48</v>
      </c>
      <c r="D6060" s="14" t="s">
        <v>96</v>
      </c>
      <c r="E6060" s="14" t="s">
        <v>97</v>
      </c>
      <c r="F6060" s="15" t="s">
        <v>51</v>
      </c>
      <c r="G6060" s="14" t="s">
        <v>98</v>
      </c>
      <c r="H6060" s="14" t="s">
        <v>96</v>
      </c>
      <c r="I6060" s="14" t="s">
        <v>59</v>
      </c>
      <c r="J6060" s="14" t="s">
        <v>198</v>
      </c>
      <c r="K6060" s="14" t="s">
        <v>210</v>
      </c>
      <c r="L6060" s="14" t="s">
        <v>278</v>
      </c>
      <c r="M6060" s="14" t="s">
        <v>279</v>
      </c>
      <c r="N6060" s="14" t="s">
        <v>280</v>
      </c>
      <c r="O6060" s="14">
        <v>100.0</v>
      </c>
      <c r="P6060" s="21">
        <v>0.0</v>
      </c>
      <c r="Q6060" s="22" t="str">
        <f t="shared" si="3626"/>
        <v>+0</v>
      </c>
      <c r="R6060" s="18" t="str">
        <f>"+0"</f>
        <v>+0</v>
      </c>
      <c r="S6060" s="14" t="s">
        <v>281</v>
      </c>
    </row>
    <row r="6061">
      <c r="A6061" s="13">
        <v>45901.0</v>
      </c>
      <c r="B6061" s="14" t="s">
        <v>47</v>
      </c>
      <c r="C6061" s="14" t="s">
        <v>48</v>
      </c>
      <c r="D6061" s="14" t="s">
        <v>125</v>
      </c>
      <c r="E6061" s="14" t="s">
        <v>126</v>
      </c>
      <c r="F6061" s="15" t="s">
        <v>51</v>
      </c>
      <c r="G6061" s="14" t="s">
        <v>127</v>
      </c>
      <c r="H6061" s="14" t="s">
        <v>125</v>
      </c>
      <c r="I6061" s="14" t="s">
        <v>59</v>
      </c>
      <c r="J6061" s="14" t="s">
        <v>198</v>
      </c>
      <c r="K6061" s="14" t="s">
        <v>205</v>
      </c>
      <c r="L6061" s="14" t="s">
        <v>274</v>
      </c>
      <c r="M6061" s="14" t="s">
        <v>425</v>
      </c>
      <c r="N6061" s="14" t="s">
        <v>426</v>
      </c>
      <c r="O6061" s="14">
        <v>0.0</v>
      </c>
      <c r="P6061" s="21">
        <v>0.0</v>
      </c>
      <c r="Q6061" s="22" t="str">
        <f t="shared" si="3626"/>
        <v>+0</v>
      </c>
      <c r="S6061" s="14" t="s">
        <v>281</v>
      </c>
    </row>
    <row r="6062">
      <c r="A6062" s="13">
        <v>45901.0</v>
      </c>
      <c r="B6062" s="14" t="s">
        <v>47</v>
      </c>
      <c r="C6062" s="14" t="s">
        <v>48</v>
      </c>
      <c r="D6062" s="14" t="s">
        <v>85</v>
      </c>
      <c r="E6062" s="14" t="s">
        <v>86</v>
      </c>
      <c r="F6062" s="15" t="s">
        <v>51</v>
      </c>
      <c r="G6062" s="14" t="s">
        <v>148</v>
      </c>
      <c r="H6062" s="14" t="s">
        <v>85</v>
      </c>
      <c r="I6062" s="14" t="s">
        <v>59</v>
      </c>
      <c r="J6062" s="14" t="s">
        <v>198</v>
      </c>
      <c r="K6062" s="14" t="s">
        <v>210</v>
      </c>
      <c r="L6062" s="14" t="s">
        <v>264</v>
      </c>
      <c r="M6062" s="14" t="s">
        <v>357</v>
      </c>
      <c r="N6062" s="14" t="s">
        <v>358</v>
      </c>
      <c r="O6062" s="14">
        <v>100.0</v>
      </c>
      <c r="P6062" s="21">
        <v>0.0</v>
      </c>
      <c r="Q6062" s="22" t="str">
        <f t="shared" si="3626"/>
        <v>+0</v>
      </c>
      <c r="R6062" s="18" t="str">
        <f>"+0"</f>
        <v>+0</v>
      </c>
      <c r="S6062" s="14" t="s">
        <v>281</v>
      </c>
    </row>
    <row r="6063">
      <c r="A6063" s="13">
        <v>45901.0</v>
      </c>
      <c r="B6063" s="14" t="s">
        <v>47</v>
      </c>
      <c r="C6063" s="14" t="s">
        <v>48</v>
      </c>
      <c r="D6063" s="14" t="s">
        <v>158</v>
      </c>
      <c r="E6063" s="14" t="s">
        <v>159</v>
      </c>
      <c r="F6063" s="15" t="s">
        <v>51</v>
      </c>
      <c r="G6063" s="14" t="s">
        <v>160</v>
      </c>
      <c r="H6063" s="14" t="s">
        <v>158</v>
      </c>
      <c r="I6063" s="14" t="s">
        <v>54</v>
      </c>
      <c r="J6063" s="14" t="s">
        <v>200</v>
      </c>
      <c r="K6063" s="14" t="s">
        <v>224</v>
      </c>
      <c r="L6063" s="14" t="s">
        <v>594</v>
      </c>
      <c r="M6063" s="14" t="s">
        <v>1795</v>
      </c>
      <c r="N6063" s="14" t="s">
        <v>1796</v>
      </c>
      <c r="O6063" s="14">
        <v>0.0</v>
      </c>
      <c r="P6063" s="17"/>
      <c r="Q6063" s="22"/>
      <c r="S6063" s="14" t="s">
        <v>2610</v>
      </c>
    </row>
    <row r="6064">
      <c r="A6064" s="13">
        <v>45901.0</v>
      </c>
      <c r="B6064" s="14" t="s">
        <v>47</v>
      </c>
      <c r="C6064" s="14" t="s">
        <v>48</v>
      </c>
      <c r="D6064" s="14" t="s">
        <v>77</v>
      </c>
      <c r="E6064" s="14" t="s">
        <v>78</v>
      </c>
      <c r="F6064" s="14" t="s">
        <v>79</v>
      </c>
      <c r="G6064" s="14" t="s">
        <v>80</v>
      </c>
      <c r="H6064" s="14" t="s">
        <v>81</v>
      </c>
      <c r="J6064" s="14" t="s">
        <v>199</v>
      </c>
      <c r="K6064" s="14" t="s">
        <v>206</v>
      </c>
      <c r="L6064" s="14" t="s">
        <v>515</v>
      </c>
      <c r="M6064" s="14" t="s">
        <v>515</v>
      </c>
      <c r="N6064" s="14" t="s">
        <v>516</v>
      </c>
      <c r="O6064" s="14">
        <v>0.0</v>
      </c>
      <c r="P6064" s="21">
        <v>0.0</v>
      </c>
      <c r="Q6064" s="22" t="str">
        <f t="shared" ref="Q6064:R6064" si="3627">"+0"</f>
        <v>+0</v>
      </c>
      <c r="R6064" s="18" t="str">
        <f t="shared" si="3627"/>
        <v>+0</v>
      </c>
      <c r="S6064" s="14" t="s">
        <v>383</v>
      </c>
    </row>
    <row r="6065">
      <c r="A6065" s="13">
        <v>45901.0</v>
      </c>
      <c r="B6065" s="14" t="s">
        <v>47</v>
      </c>
      <c r="C6065" s="14" t="s">
        <v>48</v>
      </c>
      <c r="D6065" s="14" t="s">
        <v>116</v>
      </c>
      <c r="E6065" s="14" t="s">
        <v>117</v>
      </c>
      <c r="F6065" s="15" t="s">
        <v>51</v>
      </c>
      <c r="G6065" s="14" t="s">
        <v>161</v>
      </c>
      <c r="H6065" s="14" t="s">
        <v>116</v>
      </c>
      <c r="I6065" s="14" t="s">
        <v>54</v>
      </c>
      <c r="J6065" s="14" t="s">
        <v>198</v>
      </c>
      <c r="K6065" s="14" t="s">
        <v>210</v>
      </c>
      <c r="L6065" s="14" t="s">
        <v>264</v>
      </c>
      <c r="M6065" s="14" t="s">
        <v>638</v>
      </c>
      <c r="N6065" s="14" t="s">
        <v>639</v>
      </c>
      <c r="O6065" s="14">
        <v>0.0</v>
      </c>
      <c r="P6065" s="21">
        <v>0.0</v>
      </c>
      <c r="Q6065" s="22" t="str">
        <f>"+0"</f>
        <v>+0</v>
      </c>
      <c r="R6065" s="18" t="str">
        <f>"-2"</f>
        <v>-2</v>
      </c>
      <c r="S6065" s="14" t="s">
        <v>277</v>
      </c>
    </row>
    <row r="6066">
      <c r="A6066" s="13">
        <v>45901.0</v>
      </c>
      <c r="B6066" s="14" t="s">
        <v>47</v>
      </c>
      <c r="C6066" s="14" t="s">
        <v>48</v>
      </c>
      <c r="D6066" s="14" t="s">
        <v>155</v>
      </c>
      <c r="E6066" s="14" t="s">
        <v>156</v>
      </c>
      <c r="F6066" s="15" t="s">
        <v>51</v>
      </c>
      <c r="G6066" s="14" t="s">
        <v>157</v>
      </c>
      <c r="H6066" s="14" t="s">
        <v>155</v>
      </c>
      <c r="I6066" s="14" t="s">
        <v>59</v>
      </c>
      <c r="J6066" s="14" t="s">
        <v>200</v>
      </c>
      <c r="K6066" s="14" t="s">
        <v>223</v>
      </c>
      <c r="L6066" s="14" t="s">
        <v>607</v>
      </c>
      <c r="M6066" s="14" t="s">
        <v>869</v>
      </c>
      <c r="N6066" s="14" t="s">
        <v>870</v>
      </c>
      <c r="O6066" s="14">
        <v>0.0</v>
      </c>
      <c r="P6066" s="23">
        <v>-1.0</v>
      </c>
      <c r="Q6066" s="22" t="str">
        <f t="shared" ref="Q6066:R6066" si="3628">"+0.00%"</f>
        <v>+0.00%</v>
      </c>
      <c r="R6066" s="18" t="str">
        <f t="shared" si="3628"/>
        <v>+0.00%</v>
      </c>
      <c r="S6066" s="14" t="s">
        <v>2611</v>
      </c>
    </row>
    <row r="6067">
      <c r="A6067" s="13">
        <v>45901.0</v>
      </c>
      <c r="B6067" s="14" t="s">
        <v>47</v>
      </c>
      <c r="C6067" s="14" t="s">
        <v>48</v>
      </c>
      <c r="D6067" s="14" t="s">
        <v>140</v>
      </c>
      <c r="E6067" s="14" t="s">
        <v>141</v>
      </c>
      <c r="F6067" s="15" t="s">
        <v>51</v>
      </c>
      <c r="G6067" s="14" t="s">
        <v>142</v>
      </c>
      <c r="H6067" s="14" t="s">
        <v>140</v>
      </c>
      <c r="I6067" s="14" t="s">
        <v>59</v>
      </c>
      <c r="J6067" s="14" t="s">
        <v>200</v>
      </c>
      <c r="K6067" s="14" t="s">
        <v>213</v>
      </c>
      <c r="L6067" s="14" t="s">
        <v>307</v>
      </c>
      <c r="M6067" s="14" t="s">
        <v>502</v>
      </c>
      <c r="N6067" s="14" t="s">
        <v>503</v>
      </c>
      <c r="O6067" s="14">
        <v>0.0</v>
      </c>
      <c r="P6067" s="23">
        <v>0.0</v>
      </c>
      <c r="Q6067" s="22" t="str">
        <f t="shared" ref="Q6067:R6067" si="3629">"+0.00%"</f>
        <v>+0.00%</v>
      </c>
      <c r="R6067" s="18" t="str">
        <f t="shared" si="3629"/>
        <v>+0.00%</v>
      </c>
      <c r="S6067" s="14" t="s">
        <v>1387</v>
      </c>
    </row>
    <row r="6068">
      <c r="A6068" s="13">
        <v>45901.0</v>
      </c>
      <c r="B6068" s="14" t="s">
        <v>47</v>
      </c>
      <c r="C6068" s="14" t="s">
        <v>48</v>
      </c>
      <c r="D6068" s="14" t="s">
        <v>56</v>
      </c>
      <c r="E6068" s="14" t="s">
        <v>57</v>
      </c>
      <c r="F6068" s="15" t="s">
        <v>51</v>
      </c>
      <c r="G6068" s="14" t="s">
        <v>58</v>
      </c>
      <c r="H6068" s="14" t="s">
        <v>56</v>
      </c>
      <c r="I6068" s="14" t="s">
        <v>59</v>
      </c>
      <c r="J6068" s="14" t="s">
        <v>200</v>
      </c>
      <c r="K6068" s="14" t="s">
        <v>223</v>
      </c>
      <c r="L6068" s="14" t="s">
        <v>571</v>
      </c>
      <c r="M6068" s="14" t="s">
        <v>572</v>
      </c>
      <c r="N6068" s="14" t="s">
        <v>573</v>
      </c>
      <c r="O6068" s="14">
        <v>0.0</v>
      </c>
      <c r="P6068" s="23">
        <v>0.0</v>
      </c>
      <c r="Q6068" s="22" t="str">
        <f t="shared" ref="Q6068:R6068" si="3630">"+0.00%"</f>
        <v>+0.00%</v>
      </c>
      <c r="R6068" s="18" t="str">
        <f t="shared" si="3630"/>
        <v>+0.00%</v>
      </c>
      <c r="S6068" s="14" t="s">
        <v>285</v>
      </c>
    </row>
    <row r="6069">
      <c r="A6069" s="13">
        <v>45901.0</v>
      </c>
      <c r="B6069" s="14" t="s">
        <v>47</v>
      </c>
      <c r="C6069" s="14" t="s">
        <v>48</v>
      </c>
      <c r="D6069" s="14" t="s">
        <v>121</v>
      </c>
      <c r="E6069" s="14" t="s">
        <v>122</v>
      </c>
      <c r="F6069" s="15" t="s">
        <v>51</v>
      </c>
      <c r="G6069" s="14" t="s">
        <v>123</v>
      </c>
      <c r="H6069" s="14" t="s">
        <v>124</v>
      </c>
      <c r="I6069" s="14" t="s">
        <v>59</v>
      </c>
      <c r="J6069" s="14" t="s">
        <v>200</v>
      </c>
      <c r="K6069" s="14" t="s">
        <v>227</v>
      </c>
      <c r="L6069" s="14" t="s">
        <v>721</v>
      </c>
      <c r="M6069" s="14" t="s">
        <v>722</v>
      </c>
      <c r="N6069" s="14" t="s">
        <v>723</v>
      </c>
      <c r="O6069" s="14">
        <v>41.0</v>
      </c>
      <c r="P6069" s="23">
        <v>-0.1781</v>
      </c>
      <c r="Q6069" s="22" t="str">
        <f>"+18.62%"</f>
        <v>+18.62%</v>
      </c>
      <c r="R6069" s="18" t="str">
        <f>"-0.31%"</f>
        <v>-0.31%</v>
      </c>
      <c r="S6069" s="14" t="s">
        <v>724</v>
      </c>
    </row>
    <row r="6070">
      <c r="A6070" s="13">
        <v>45901.0</v>
      </c>
      <c r="B6070" s="14" t="s">
        <v>47</v>
      </c>
      <c r="C6070" s="14" t="s">
        <v>48</v>
      </c>
      <c r="D6070" s="14" t="s">
        <v>155</v>
      </c>
      <c r="E6070" s="14" t="s">
        <v>156</v>
      </c>
      <c r="F6070" s="15" t="s">
        <v>51</v>
      </c>
      <c r="G6070" s="14" t="s">
        <v>157</v>
      </c>
      <c r="H6070" s="14" t="s">
        <v>155</v>
      </c>
      <c r="I6070" s="14" t="s">
        <v>59</v>
      </c>
      <c r="J6070" s="14" t="s">
        <v>199</v>
      </c>
      <c r="K6070" s="14" t="s">
        <v>206</v>
      </c>
      <c r="L6070" s="14" t="s">
        <v>515</v>
      </c>
      <c r="M6070" s="14" t="s">
        <v>515</v>
      </c>
      <c r="N6070" s="14" t="s">
        <v>516</v>
      </c>
      <c r="O6070" s="14">
        <v>0.0</v>
      </c>
      <c r="P6070" s="21">
        <v>0.0</v>
      </c>
      <c r="Q6070" s="22" t="str">
        <f t="shared" ref="Q6070:R6070" si="3631">"+0"</f>
        <v>+0</v>
      </c>
      <c r="R6070" s="18" t="str">
        <f t="shared" si="3631"/>
        <v>+0</v>
      </c>
      <c r="S6070" s="14" t="s">
        <v>383</v>
      </c>
    </row>
    <row r="6071">
      <c r="A6071" s="13">
        <v>45901.0</v>
      </c>
      <c r="B6071" s="14" t="s">
        <v>47</v>
      </c>
      <c r="C6071" s="14" t="s">
        <v>48</v>
      </c>
      <c r="D6071" s="14" t="s">
        <v>155</v>
      </c>
      <c r="E6071" s="14" t="s">
        <v>156</v>
      </c>
      <c r="F6071" s="15" t="s">
        <v>51</v>
      </c>
      <c r="G6071" s="14" t="s">
        <v>157</v>
      </c>
      <c r="H6071" s="14" t="s">
        <v>155</v>
      </c>
      <c r="I6071" s="14" t="s">
        <v>59</v>
      </c>
      <c r="J6071" s="14" t="s">
        <v>199</v>
      </c>
      <c r="K6071" s="14" t="s">
        <v>208</v>
      </c>
      <c r="L6071" s="14" t="s">
        <v>352</v>
      </c>
      <c r="M6071" s="14" t="s">
        <v>352</v>
      </c>
      <c r="N6071" s="14" t="s">
        <v>353</v>
      </c>
      <c r="O6071" s="14">
        <v>0.0</v>
      </c>
      <c r="P6071" s="21">
        <v>0.0</v>
      </c>
      <c r="Q6071" s="22" t="str">
        <f t="shared" ref="Q6071:R6071" si="3632">"+0"</f>
        <v>+0</v>
      </c>
      <c r="R6071" s="18" t="str">
        <f t="shared" si="3632"/>
        <v>+0</v>
      </c>
      <c r="S6071" s="14" t="s">
        <v>260</v>
      </c>
    </row>
    <row r="6072">
      <c r="A6072" s="13">
        <v>45901.0</v>
      </c>
      <c r="B6072" s="14" t="s">
        <v>47</v>
      </c>
      <c r="C6072" s="14" t="s">
        <v>48</v>
      </c>
      <c r="D6072" s="14" t="s">
        <v>155</v>
      </c>
      <c r="E6072" s="14" t="s">
        <v>156</v>
      </c>
      <c r="F6072" s="15" t="s">
        <v>51</v>
      </c>
      <c r="G6072" s="14" t="s">
        <v>157</v>
      </c>
      <c r="H6072" s="14" t="s">
        <v>155</v>
      </c>
      <c r="I6072" s="14" t="s">
        <v>59</v>
      </c>
      <c r="J6072" s="14" t="s">
        <v>198</v>
      </c>
      <c r="K6072" s="14" t="s">
        <v>205</v>
      </c>
      <c r="L6072" s="14" t="s">
        <v>274</v>
      </c>
      <c r="M6072" s="14" t="s">
        <v>448</v>
      </c>
      <c r="N6072" s="14" t="s">
        <v>449</v>
      </c>
      <c r="O6072" s="14">
        <v>100.0</v>
      </c>
      <c r="P6072" s="21">
        <v>3.0</v>
      </c>
      <c r="Q6072" s="22" t="str">
        <f t="shared" ref="Q6072:Q6073" si="3633">"+0"</f>
        <v>+0</v>
      </c>
      <c r="S6072" s="14" t="s">
        <v>450</v>
      </c>
    </row>
    <row r="6073">
      <c r="A6073" s="13">
        <v>45901.0</v>
      </c>
      <c r="B6073" s="14" t="s">
        <v>47</v>
      </c>
      <c r="C6073" s="14" t="s">
        <v>48</v>
      </c>
      <c r="D6073" s="14" t="s">
        <v>181</v>
      </c>
      <c r="E6073" s="14" t="s">
        <v>182</v>
      </c>
      <c r="F6073" s="15" t="s">
        <v>51</v>
      </c>
      <c r="G6073" s="14" t="s">
        <v>183</v>
      </c>
      <c r="H6073" s="14" t="s">
        <v>181</v>
      </c>
      <c r="I6073" s="14" t="s">
        <v>59</v>
      </c>
      <c r="J6073" s="14" t="s">
        <v>199</v>
      </c>
      <c r="K6073" s="14" t="s">
        <v>208</v>
      </c>
      <c r="L6073" s="14" t="s">
        <v>412</v>
      </c>
      <c r="M6073" s="14" t="s">
        <v>412</v>
      </c>
      <c r="N6073" s="14" t="s">
        <v>413</v>
      </c>
      <c r="O6073" s="14">
        <v>85.0</v>
      </c>
      <c r="P6073" s="21">
        <v>3.0</v>
      </c>
      <c r="Q6073" s="22" t="str">
        <f t="shared" si="3633"/>
        <v>+0</v>
      </c>
      <c r="R6073" s="18" t="str">
        <f>"+0"</f>
        <v>+0</v>
      </c>
      <c r="S6073" s="14" t="s">
        <v>260</v>
      </c>
    </row>
    <row r="6074">
      <c r="A6074" s="13">
        <v>45901.0</v>
      </c>
      <c r="B6074" s="14" t="s">
        <v>47</v>
      </c>
      <c r="C6074" s="14" t="s">
        <v>48</v>
      </c>
      <c r="D6074" s="14" t="s">
        <v>49</v>
      </c>
      <c r="E6074" s="14" t="s">
        <v>50</v>
      </c>
      <c r="F6074" s="15" t="s">
        <v>51</v>
      </c>
      <c r="G6074" s="14" t="s">
        <v>52</v>
      </c>
      <c r="H6074" s="14" t="s">
        <v>53</v>
      </c>
      <c r="I6074" s="14" t="s">
        <v>54</v>
      </c>
      <c r="J6074" s="14" t="s">
        <v>200</v>
      </c>
      <c r="K6074" s="14" t="s">
        <v>219</v>
      </c>
      <c r="L6074" s="14" t="s">
        <v>253</v>
      </c>
      <c r="M6074" s="14" t="s">
        <v>1614</v>
      </c>
      <c r="N6074" s="14" t="s">
        <v>1615</v>
      </c>
      <c r="O6074" s="14">
        <v>100.0</v>
      </c>
      <c r="P6074" s="23">
        <v>1.0</v>
      </c>
      <c r="Q6074" s="22" t="str">
        <f t="shared" ref="Q6074:R6074" si="3634">"+0.00%"</f>
        <v>+0.00%</v>
      </c>
      <c r="R6074" s="18" t="str">
        <f t="shared" si="3634"/>
        <v>+0.00%</v>
      </c>
      <c r="S6074" s="14" t="s">
        <v>285</v>
      </c>
    </row>
    <row r="6075">
      <c r="A6075" s="13">
        <v>45901.0</v>
      </c>
      <c r="B6075" s="14" t="s">
        <v>47</v>
      </c>
      <c r="C6075" s="14" t="s">
        <v>48</v>
      </c>
      <c r="D6075" s="14" t="s">
        <v>177</v>
      </c>
      <c r="E6075" s="14" t="s">
        <v>178</v>
      </c>
      <c r="F6075" s="14" t="s">
        <v>146</v>
      </c>
      <c r="G6075" s="14" t="s">
        <v>179</v>
      </c>
      <c r="H6075" s="14" t="s">
        <v>177</v>
      </c>
      <c r="I6075" s="14" t="s">
        <v>107</v>
      </c>
      <c r="J6075" s="14" t="s">
        <v>199</v>
      </c>
      <c r="K6075" s="14" t="s">
        <v>206</v>
      </c>
      <c r="L6075" s="14" t="s">
        <v>515</v>
      </c>
      <c r="M6075" s="14" t="s">
        <v>515</v>
      </c>
      <c r="N6075" s="14" t="s">
        <v>516</v>
      </c>
      <c r="O6075" s="14">
        <v>0.0</v>
      </c>
      <c r="P6075" s="21">
        <v>0.0</v>
      </c>
      <c r="Q6075" s="22" t="str">
        <f t="shared" ref="Q6075:R6075" si="3635">"+0"</f>
        <v>+0</v>
      </c>
      <c r="R6075" s="18" t="str">
        <f t="shared" si="3635"/>
        <v>+0</v>
      </c>
      <c r="S6075" s="14" t="s">
        <v>383</v>
      </c>
    </row>
    <row r="6076">
      <c r="A6076" s="13">
        <v>45901.0</v>
      </c>
      <c r="B6076" s="14" t="s">
        <v>47</v>
      </c>
      <c r="C6076" s="14" t="s">
        <v>48</v>
      </c>
      <c r="D6076" s="14" t="s">
        <v>91</v>
      </c>
      <c r="E6076" s="14" t="s">
        <v>92</v>
      </c>
      <c r="F6076" s="14" t="s">
        <v>71</v>
      </c>
      <c r="G6076" s="14">
        <v>1.00005882E8</v>
      </c>
      <c r="H6076" s="14" t="s">
        <v>91</v>
      </c>
      <c r="I6076" s="14" t="s">
        <v>59</v>
      </c>
      <c r="J6076" s="14" t="s">
        <v>199</v>
      </c>
      <c r="K6076" s="14" t="s">
        <v>206</v>
      </c>
      <c r="L6076" s="14" t="s">
        <v>295</v>
      </c>
      <c r="M6076" s="14" t="s">
        <v>651</v>
      </c>
      <c r="N6076" s="14" t="s">
        <v>652</v>
      </c>
      <c r="O6076" s="14">
        <v>0.0</v>
      </c>
      <c r="P6076" s="21">
        <v>0.0</v>
      </c>
      <c r="Q6076" s="22" t="str">
        <f t="shared" ref="Q6076:R6076" si="3636">"+0"</f>
        <v>+0</v>
      </c>
      <c r="R6076" s="18" t="str">
        <f t="shared" si="3636"/>
        <v>+0</v>
      </c>
      <c r="S6076" s="14" t="s">
        <v>260</v>
      </c>
    </row>
    <row r="6077">
      <c r="A6077" s="13">
        <v>45901.0</v>
      </c>
      <c r="B6077" s="14" t="s">
        <v>47</v>
      </c>
      <c r="C6077" s="14" t="s">
        <v>48</v>
      </c>
      <c r="D6077" s="14" t="s">
        <v>63</v>
      </c>
      <c r="E6077" s="14" t="s">
        <v>64</v>
      </c>
      <c r="F6077" s="15" t="s">
        <v>51</v>
      </c>
      <c r="G6077" s="14" t="s">
        <v>65</v>
      </c>
      <c r="H6077" s="14" t="s">
        <v>63</v>
      </c>
      <c r="I6077" s="14" t="s">
        <v>54</v>
      </c>
      <c r="J6077" s="14" t="s">
        <v>198</v>
      </c>
      <c r="K6077" s="14" t="s">
        <v>210</v>
      </c>
      <c r="L6077" s="14" t="s">
        <v>458</v>
      </c>
      <c r="M6077" s="14" t="s">
        <v>1230</v>
      </c>
      <c r="N6077" s="14" t="s">
        <v>1231</v>
      </c>
      <c r="O6077" s="14">
        <v>0.0</v>
      </c>
      <c r="P6077" s="21">
        <v>0.0</v>
      </c>
      <c r="Q6077" s="22" t="str">
        <f t="shared" ref="Q6077:R6077" si="3637">"+0"</f>
        <v>+0</v>
      </c>
      <c r="R6077" s="18" t="str">
        <f t="shared" si="3637"/>
        <v>+0</v>
      </c>
      <c r="S6077" s="14" t="s">
        <v>277</v>
      </c>
    </row>
    <row r="6078">
      <c r="A6078" s="13">
        <v>45901.0</v>
      </c>
      <c r="B6078" s="14" t="s">
        <v>47</v>
      </c>
      <c r="C6078" s="14" t="s">
        <v>48</v>
      </c>
      <c r="D6078" s="14" t="s">
        <v>99</v>
      </c>
      <c r="E6078" s="14" t="s">
        <v>100</v>
      </c>
      <c r="F6078" s="15" t="s">
        <v>51</v>
      </c>
      <c r="G6078" s="14" t="s">
        <v>101</v>
      </c>
      <c r="H6078" s="14" t="s">
        <v>102</v>
      </c>
      <c r="I6078" s="14" t="s">
        <v>54</v>
      </c>
      <c r="J6078" s="14" t="s">
        <v>199</v>
      </c>
      <c r="K6078" s="14" t="s">
        <v>206</v>
      </c>
      <c r="L6078" s="14" t="s">
        <v>295</v>
      </c>
      <c r="M6078" s="14" t="s">
        <v>461</v>
      </c>
      <c r="N6078" s="14" t="s">
        <v>462</v>
      </c>
      <c r="O6078" s="14">
        <v>0.0</v>
      </c>
      <c r="P6078" s="21">
        <v>0.0</v>
      </c>
      <c r="Q6078" s="22" t="str">
        <f t="shared" ref="Q6078:R6078" si="3638">"+0"</f>
        <v>+0</v>
      </c>
      <c r="R6078" s="18" t="str">
        <f t="shared" si="3638"/>
        <v>+0</v>
      </c>
      <c r="S6078" s="14" t="s">
        <v>260</v>
      </c>
    </row>
    <row r="6079">
      <c r="A6079" s="13">
        <v>45901.0</v>
      </c>
      <c r="B6079" s="14" t="s">
        <v>47</v>
      </c>
      <c r="C6079" s="14" t="s">
        <v>48</v>
      </c>
      <c r="D6079" s="14" t="s">
        <v>192</v>
      </c>
      <c r="E6079" s="14" t="s">
        <v>193</v>
      </c>
      <c r="F6079" s="15" t="s">
        <v>51</v>
      </c>
      <c r="G6079" s="14" t="s">
        <v>194</v>
      </c>
      <c r="H6079" s="14" t="s">
        <v>192</v>
      </c>
      <c r="I6079" s="14" t="s">
        <v>54</v>
      </c>
      <c r="J6079" s="14" t="s">
        <v>198</v>
      </c>
      <c r="K6079" s="14" t="s">
        <v>205</v>
      </c>
      <c r="L6079" s="14" t="s">
        <v>274</v>
      </c>
      <c r="M6079" s="14" t="s">
        <v>387</v>
      </c>
      <c r="N6079" s="14" t="s">
        <v>388</v>
      </c>
      <c r="O6079" s="14">
        <v>100.0</v>
      </c>
      <c r="P6079" s="21">
        <v>1.0</v>
      </c>
      <c r="Q6079" s="22" t="str">
        <f t="shared" ref="Q6079:Q6080" si="3639">"+0"</f>
        <v>+0</v>
      </c>
      <c r="S6079" s="14" t="s">
        <v>281</v>
      </c>
    </row>
    <row r="6080">
      <c r="A6080" s="13">
        <v>45901.0</v>
      </c>
      <c r="B6080" s="14" t="s">
        <v>47</v>
      </c>
      <c r="C6080" s="14" t="s">
        <v>48</v>
      </c>
      <c r="D6080" s="14" t="s">
        <v>93</v>
      </c>
      <c r="E6080" s="14" t="s">
        <v>94</v>
      </c>
      <c r="F6080" s="14" t="s">
        <v>71</v>
      </c>
      <c r="G6080" s="14">
        <v>5.36001438E8</v>
      </c>
      <c r="H6080" s="14" t="s">
        <v>95</v>
      </c>
      <c r="I6080" s="14" t="s">
        <v>59</v>
      </c>
      <c r="J6080" s="14" t="s">
        <v>199</v>
      </c>
      <c r="K6080" s="14" t="s">
        <v>206</v>
      </c>
      <c r="L6080" s="14" t="s">
        <v>381</v>
      </c>
      <c r="M6080" s="14" t="s">
        <v>381</v>
      </c>
      <c r="N6080" s="14" t="s">
        <v>382</v>
      </c>
      <c r="O6080" s="14">
        <v>0.0</v>
      </c>
      <c r="P6080" s="21">
        <v>0.0</v>
      </c>
      <c r="Q6080" s="22" t="str">
        <f t="shared" si="3639"/>
        <v>+0</v>
      </c>
      <c r="R6080" s="18" t="str">
        <f>"+0"</f>
        <v>+0</v>
      </c>
      <c r="S6080" s="14" t="s">
        <v>383</v>
      </c>
    </row>
    <row r="6081">
      <c r="A6081" s="13">
        <v>45901.0</v>
      </c>
      <c r="B6081" s="14" t="s">
        <v>47</v>
      </c>
      <c r="C6081" s="14" t="s">
        <v>48</v>
      </c>
      <c r="D6081" s="14" t="s">
        <v>132</v>
      </c>
      <c r="E6081" s="14" t="s">
        <v>133</v>
      </c>
      <c r="F6081" s="15" t="s">
        <v>51</v>
      </c>
      <c r="G6081" s="14" t="s">
        <v>134</v>
      </c>
      <c r="H6081" s="14" t="s">
        <v>135</v>
      </c>
      <c r="I6081" s="14" t="s">
        <v>59</v>
      </c>
      <c r="J6081" s="14" t="s">
        <v>200</v>
      </c>
      <c r="K6081" s="14" t="s">
        <v>227</v>
      </c>
      <c r="L6081" s="14" t="s">
        <v>721</v>
      </c>
      <c r="M6081" s="14" t="s">
        <v>722</v>
      </c>
      <c r="N6081" s="14" t="s">
        <v>723</v>
      </c>
      <c r="O6081" s="14">
        <v>37.0</v>
      </c>
      <c r="P6081" s="23">
        <v>-0.2424</v>
      </c>
      <c r="Q6081" s="22" t="str">
        <f>"+27.93%"</f>
        <v>+27.93%</v>
      </c>
      <c r="R6081" s="18" t="str">
        <f>"+0.67%"</f>
        <v>+0.67%</v>
      </c>
      <c r="S6081" s="14" t="s">
        <v>724</v>
      </c>
    </row>
    <row r="6082">
      <c r="A6082" s="13">
        <v>45901.0</v>
      </c>
      <c r="B6082" s="14" t="s">
        <v>47</v>
      </c>
      <c r="C6082" s="14" t="s">
        <v>48</v>
      </c>
      <c r="D6082" s="14" t="s">
        <v>143</v>
      </c>
      <c r="E6082" s="14" t="s">
        <v>144</v>
      </c>
      <c r="F6082" s="15" t="s">
        <v>51</v>
      </c>
      <c r="G6082" s="14" t="s">
        <v>145</v>
      </c>
      <c r="H6082" s="14" t="s">
        <v>143</v>
      </c>
      <c r="I6082" s="14" t="s">
        <v>59</v>
      </c>
      <c r="J6082" s="14" t="s">
        <v>200</v>
      </c>
      <c r="K6082" s="14" t="s">
        <v>232</v>
      </c>
      <c r="L6082" s="14" t="s">
        <v>363</v>
      </c>
      <c r="M6082" s="14" t="s">
        <v>379</v>
      </c>
      <c r="N6082" s="14" t="s">
        <v>380</v>
      </c>
      <c r="O6082" s="14">
        <v>0.0</v>
      </c>
      <c r="P6082" s="21">
        <v>0.0</v>
      </c>
      <c r="Q6082" s="22" t="str">
        <f t="shared" ref="Q6082:R6082" si="3640">"+0"</f>
        <v>+0</v>
      </c>
      <c r="R6082" s="18" t="str">
        <f t="shared" si="3640"/>
        <v>+0</v>
      </c>
      <c r="S6082" s="14" t="s">
        <v>260</v>
      </c>
    </row>
    <row r="6083">
      <c r="A6083" s="13">
        <v>45901.0</v>
      </c>
      <c r="B6083" s="14" t="s">
        <v>47</v>
      </c>
      <c r="C6083" s="14" t="s">
        <v>48</v>
      </c>
      <c r="D6083" s="14" t="s">
        <v>143</v>
      </c>
      <c r="E6083" s="14" t="s">
        <v>144</v>
      </c>
      <c r="F6083" s="15" t="s">
        <v>51</v>
      </c>
      <c r="G6083" s="14" t="s">
        <v>145</v>
      </c>
      <c r="H6083" s="14" t="s">
        <v>143</v>
      </c>
      <c r="I6083" s="14" t="s">
        <v>59</v>
      </c>
      <c r="J6083" s="14" t="s">
        <v>200</v>
      </c>
      <c r="K6083" s="14" t="s">
        <v>232</v>
      </c>
      <c r="L6083" s="14" t="s">
        <v>710</v>
      </c>
      <c r="M6083" s="14" t="s">
        <v>1302</v>
      </c>
      <c r="N6083" s="14" t="s">
        <v>1303</v>
      </c>
      <c r="O6083" s="14">
        <v>3.0</v>
      </c>
      <c r="P6083" s="23">
        <v>0.0385</v>
      </c>
      <c r="Q6083" s="22" t="str">
        <f>"-0.50%"</f>
        <v>-0.50%</v>
      </c>
      <c r="R6083" s="18" t="str">
        <f>"+0.62%"</f>
        <v>+0.62%</v>
      </c>
      <c r="S6083" s="14" t="s">
        <v>2612</v>
      </c>
    </row>
    <row r="6084">
      <c r="A6084" s="13">
        <v>45901.0</v>
      </c>
      <c r="B6084" s="14" t="s">
        <v>47</v>
      </c>
      <c r="C6084" s="14" t="s">
        <v>48</v>
      </c>
      <c r="D6084" s="14" t="s">
        <v>103</v>
      </c>
      <c r="E6084" s="14" t="s">
        <v>104</v>
      </c>
      <c r="F6084" s="15" t="s">
        <v>51</v>
      </c>
      <c r="G6084" s="14" t="s">
        <v>105</v>
      </c>
      <c r="H6084" s="14" t="s">
        <v>106</v>
      </c>
      <c r="I6084" s="14" t="s">
        <v>59</v>
      </c>
      <c r="J6084" s="14" t="s">
        <v>200</v>
      </c>
      <c r="K6084" s="14" t="s">
        <v>232</v>
      </c>
      <c r="L6084" s="14" t="s">
        <v>286</v>
      </c>
      <c r="M6084" s="14" t="s">
        <v>979</v>
      </c>
      <c r="N6084" s="14" t="s">
        <v>980</v>
      </c>
      <c r="O6084" s="14">
        <v>54.0</v>
      </c>
      <c r="P6084" s="23">
        <v>0.5455</v>
      </c>
      <c r="Q6084" s="22" t="str">
        <f>"-2.60%"</f>
        <v>-2.60%</v>
      </c>
      <c r="R6084" s="18" t="str">
        <f>"+4.55%"</f>
        <v>+4.55%</v>
      </c>
      <c r="S6084" s="14" t="s">
        <v>2613</v>
      </c>
    </row>
    <row r="6085">
      <c r="A6085" s="13">
        <v>45901.0</v>
      </c>
      <c r="B6085" s="14" t="s">
        <v>47</v>
      </c>
      <c r="C6085" s="14" t="s">
        <v>48</v>
      </c>
      <c r="D6085" s="14" t="s">
        <v>171</v>
      </c>
      <c r="E6085" s="14" t="s">
        <v>172</v>
      </c>
      <c r="F6085" s="15" t="s">
        <v>51</v>
      </c>
      <c r="G6085" s="14" t="s">
        <v>173</v>
      </c>
      <c r="H6085" s="14" t="s">
        <v>171</v>
      </c>
      <c r="I6085" s="14" t="s">
        <v>59</v>
      </c>
      <c r="J6085" s="14" t="s">
        <v>200</v>
      </c>
      <c r="K6085" s="14" t="s">
        <v>213</v>
      </c>
      <c r="L6085" s="14" t="s">
        <v>307</v>
      </c>
      <c r="M6085" s="14" t="s">
        <v>856</v>
      </c>
      <c r="N6085" s="14" t="s">
        <v>857</v>
      </c>
      <c r="O6085" s="14">
        <v>0.0</v>
      </c>
      <c r="P6085" s="23">
        <v>0.0</v>
      </c>
      <c r="Q6085" s="22" t="str">
        <f t="shared" ref="Q6085:R6085" si="3641">"+0.00%"</f>
        <v>+0.00%</v>
      </c>
      <c r="R6085" s="18" t="str">
        <f t="shared" si="3641"/>
        <v>+0.00%</v>
      </c>
      <c r="S6085" s="14" t="s">
        <v>285</v>
      </c>
    </row>
    <row r="6086">
      <c r="A6086" s="13">
        <v>45901.0</v>
      </c>
      <c r="B6086" s="14" t="s">
        <v>47</v>
      </c>
      <c r="C6086" s="14" t="s">
        <v>48</v>
      </c>
      <c r="D6086" s="14" t="s">
        <v>87</v>
      </c>
      <c r="E6086" s="14" t="s">
        <v>88</v>
      </c>
      <c r="F6086" s="15" t="s">
        <v>51</v>
      </c>
      <c r="G6086" s="14" t="s">
        <v>89</v>
      </c>
      <c r="H6086" s="14" t="s">
        <v>90</v>
      </c>
      <c r="I6086" s="14" t="s">
        <v>59</v>
      </c>
      <c r="J6086" s="14" t="s">
        <v>200</v>
      </c>
      <c r="K6086" s="14" t="s">
        <v>211</v>
      </c>
      <c r="L6086" s="14" t="s">
        <v>991</v>
      </c>
      <c r="M6086" s="14" t="s">
        <v>1649</v>
      </c>
      <c r="N6086" s="14" t="s">
        <v>1650</v>
      </c>
      <c r="O6086" s="14">
        <v>0.0</v>
      </c>
      <c r="P6086" s="23">
        <v>-1.0</v>
      </c>
      <c r="Q6086" s="22" t="str">
        <f t="shared" ref="Q6086:R6086" si="3642">"+0.00%"</f>
        <v>+0.00%</v>
      </c>
      <c r="R6086" s="18" t="str">
        <f t="shared" si="3642"/>
        <v>+0.00%</v>
      </c>
      <c r="S6086" s="14" t="s">
        <v>336</v>
      </c>
    </row>
    <row r="6087">
      <c r="A6087" s="13">
        <v>45901.0</v>
      </c>
      <c r="B6087" s="14" t="s">
        <v>47</v>
      </c>
      <c r="C6087" s="14" t="s">
        <v>48</v>
      </c>
      <c r="D6087" s="14" t="s">
        <v>87</v>
      </c>
      <c r="E6087" s="14" t="s">
        <v>88</v>
      </c>
      <c r="F6087" s="15" t="s">
        <v>51</v>
      </c>
      <c r="G6087" s="14" t="s">
        <v>89</v>
      </c>
      <c r="H6087" s="14" t="s">
        <v>90</v>
      </c>
      <c r="I6087" s="14" t="s">
        <v>59</v>
      </c>
      <c r="J6087" s="14" t="s">
        <v>200</v>
      </c>
      <c r="K6087" s="14" t="s">
        <v>223</v>
      </c>
      <c r="L6087" s="14" t="s">
        <v>286</v>
      </c>
      <c r="M6087" s="14" t="s">
        <v>1199</v>
      </c>
      <c r="N6087" s="14" t="s">
        <v>1200</v>
      </c>
      <c r="O6087" s="14">
        <v>100.0</v>
      </c>
      <c r="P6087" s="23">
        <v>0.0659</v>
      </c>
      <c r="Q6087" s="22" t="str">
        <f>"+1.73%"</f>
        <v>+1.73%</v>
      </c>
      <c r="R6087" s="18" t="str">
        <f>"+1.92%"</f>
        <v>+1.92%</v>
      </c>
      <c r="S6087" s="14" t="s">
        <v>285</v>
      </c>
    </row>
    <row r="6088">
      <c r="A6088" s="13">
        <v>45901.0</v>
      </c>
      <c r="B6088" s="14" t="s">
        <v>47</v>
      </c>
      <c r="C6088" s="14" t="s">
        <v>48</v>
      </c>
      <c r="D6088" s="14" t="s">
        <v>87</v>
      </c>
      <c r="E6088" s="14" t="s">
        <v>88</v>
      </c>
      <c r="F6088" s="14" t="s">
        <v>71</v>
      </c>
      <c r="G6088" s="14">
        <v>5.46000941E8</v>
      </c>
      <c r="H6088" s="14" t="s">
        <v>90</v>
      </c>
      <c r="I6088" s="14" t="s">
        <v>107</v>
      </c>
      <c r="J6088" s="14" t="s">
        <v>199</v>
      </c>
      <c r="K6088" s="14" t="s">
        <v>206</v>
      </c>
      <c r="L6088" s="14" t="s">
        <v>433</v>
      </c>
      <c r="M6088" s="14" t="s">
        <v>433</v>
      </c>
      <c r="N6088" s="14" t="s">
        <v>434</v>
      </c>
      <c r="O6088" s="14">
        <v>100.0</v>
      </c>
      <c r="P6088" s="21">
        <v>20.0</v>
      </c>
      <c r="Q6088" s="22" t="str">
        <f>"+2"</f>
        <v>+2</v>
      </c>
      <c r="R6088" s="18" t="str">
        <f>"+8"</f>
        <v>+8</v>
      </c>
      <c r="S6088" s="14" t="s">
        <v>383</v>
      </c>
    </row>
    <row r="6089">
      <c r="A6089" s="13">
        <v>45901.0</v>
      </c>
      <c r="B6089" s="14" t="s">
        <v>47</v>
      </c>
      <c r="C6089" s="14" t="s">
        <v>48</v>
      </c>
      <c r="D6089" s="14" t="s">
        <v>87</v>
      </c>
      <c r="E6089" s="14" t="s">
        <v>88</v>
      </c>
      <c r="F6089" s="15" t="s">
        <v>51</v>
      </c>
      <c r="G6089" s="14" t="s">
        <v>89</v>
      </c>
      <c r="H6089" s="14" t="s">
        <v>90</v>
      </c>
      <c r="I6089" s="14" t="s">
        <v>59</v>
      </c>
      <c r="J6089" s="14" t="s">
        <v>198</v>
      </c>
      <c r="K6089" s="14" t="s">
        <v>205</v>
      </c>
      <c r="L6089" s="14" t="s">
        <v>274</v>
      </c>
      <c r="M6089" s="14" t="s">
        <v>448</v>
      </c>
      <c r="N6089" s="14" t="s">
        <v>449</v>
      </c>
      <c r="O6089" s="14">
        <v>100.0</v>
      </c>
      <c r="P6089" s="21">
        <v>5.0</v>
      </c>
      <c r="Q6089" s="22" t="str">
        <f t="shared" ref="Q6089:Q6092" si="3643">"+0"</f>
        <v>+0</v>
      </c>
      <c r="S6089" s="14" t="s">
        <v>450</v>
      </c>
    </row>
    <row r="6090">
      <c r="A6090" s="13">
        <v>45901.0</v>
      </c>
      <c r="B6090" s="14" t="s">
        <v>47</v>
      </c>
      <c r="C6090" s="14" t="s">
        <v>48</v>
      </c>
      <c r="D6090" s="14" t="s">
        <v>87</v>
      </c>
      <c r="E6090" s="14" t="s">
        <v>88</v>
      </c>
      <c r="F6090" s="15" t="s">
        <v>51</v>
      </c>
      <c r="G6090" s="14" t="s">
        <v>89</v>
      </c>
      <c r="H6090" s="14" t="s">
        <v>90</v>
      </c>
      <c r="I6090" s="14" t="s">
        <v>59</v>
      </c>
      <c r="J6090" s="14" t="s">
        <v>200</v>
      </c>
      <c r="K6090" s="14" t="s">
        <v>223</v>
      </c>
      <c r="L6090" s="14" t="s">
        <v>304</v>
      </c>
      <c r="M6090" s="14" t="s">
        <v>305</v>
      </c>
      <c r="N6090" s="14" t="s">
        <v>306</v>
      </c>
      <c r="O6090" s="14">
        <v>100.0</v>
      </c>
      <c r="P6090" s="21">
        <v>18.0</v>
      </c>
      <c r="Q6090" s="22" t="str">
        <f t="shared" si="3643"/>
        <v>+0</v>
      </c>
      <c r="R6090" s="18" t="str">
        <f>"+4"</f>
        <v>+4</v>
      </c>
      <c r="S6090" s="14" t="s">
        <v>260</v>
      </c>
    </row>
    <row r="6091">
      <c r="A6091" s="13">
        <v>45901.0</v>
      </c>
      <c r="B6091" s="14" t="s">
        <v>47</v>
      </c>
      <c r="C6091" s="14" t="s">
        <v>48</v>
      </c>
      <c r="D6091" s="14" t="s">
        <v>171</v>
      </c>
      <c r="E6091" s="14" t="s">
        <v>172</v>
      </c>
      <c r="F6091" s="15" t="s">
        <v>51</v>
      </c>
      <c r="G6091" s="14" t="s">
        <v>173</v>
      </c>
      <c r="H6091" s="14" t="s">
        <v>171</v>
      </c>
      <c r="I6091" s="14" t="s">
        <v>59</v>
      </c>
      <c r="J6091" s="14" t="s">
        <v>198</v>
      </c>
      <c r="K6091" s="14" t="s">
        <v>205</v>
      </c>
      <c r="L6091" s="14" t="s">
        <v>274</v>
      </c>
      <c r="M6091" s="14" t="s">
        <v>575</v>
      </c>
      <c r="N6091" s="14" t="s">
        <v>576</v>
      </c>
      <c r="O6091" s="14">
        <v>100.0</v>
      </c>
      <c r="P6091" s="21">
        <v>90.0</v>
      </c>
      <c r="Q6091" s="22" t="str">
        <f t="shared" si="3643"/>
        <v>+0</v>
      </c>
      <c r="S6091" s="14" t="s">
        <v>577</v>
      </c>
    </row>
    <row r="6092">
      <c r="A6092" s="13">
        <v>45901.0</v>
      </c>
      <c r="B6092" s="14" t="s">
        <v>47</v>
      </c>
      <c r="C6092" s="14" t="s">
        <v>48</v>
      </c>
      <c r="D6092" s="14" t="s">
        <v>149</v>
      </c>
      <c r="E6092" s="14" t="s">
        <v>150</v>
      </c>
      <c r="F6092" s="15" t="s">
        <v>51</v>
      </c>
      <c r="G6092" s="14" t="s">
        <v>151</v>
      </c>
      <c r="H6092" s="14" t="s">
        <v>152</v>
      </c>
      <c r="I6092" s="14" t="s">
        <v>54</v>
      </c>
      <c r="J6092" s="14" t="s">
        <v>198</v>
      </c>
      <c r="K6092" s="14" t="s">
        <v>210</v>
      </c>
      <c r="L6092" s="14" t="s">
        <v>264</v>
      </c>
      <c r="M6092" s="14" t="s">
        <v>1409</v>
      </c>
      <c r="N6092" s="14" t="s">
        <v>1410</v>
      </c>
      <c r="O6092" s="14">
        <v>0.0</v>
      </c>
      <c r="P6092" s="21">
        <v>0.0</v>
      </c>
      <c r="Q6092" s="22" t="str">
        <f t="shared" si="3643"/>
        <v>+0</v>
      </c>
      <c r="R6092" s="18" t="str">
        <f>"+0"</f>
        <v>+0</v>
      </c>
      <c r="S6092" s="14" t="s">
        <v>277</v>
      </c>
    </row>
    <row r="6093">
      <c r="A6093" s="13">
        <v>45901.0</v>
      </c>
      <c r="B6093" s="14" t="s">
        <v>47</v>
      </c>
      <c r="C6093" s="14" t="s">
        <v>48</v>
      </c>
      <c r="D6093" s="14" t="s">
        <v>87</v>
      </c>
      <c r="E6093" s="14" t="s">
        <v>88</v>
      </c>
      <c r="F6093" s="14" t="s">
        <v>71</v>
      </c>
      <c r="G6093" s="14">
        <v>5.46000941E8</v>
      </c>
      <c r="H6093" s="14" t="s">
        <v>90</v>
      </c>
      <c r="I6093" s="14" t="s">
        <v>107</v>
      </c>
      <c r="J6093" s="14" t="s">
        <v>200</v>
      </c>
      <c r="K6093" s="14" t="s">
        <v>218</v>
      </c>
      <c r="L6093" s="14" t="s">
        <v>253</v>
      </c>
      <c r="M6093" s="14" t="s">
        <v>1628</v>
      </c>
      <c r="N6093" s="14" t="s">
        <v>1629</v>
      </c>
      <c r="O6093" s="14">
        <v>65.0</v>
      </c>
      <c r="P6093" s="23">
        <v>0.6509</v>
      </c>
      <c r="Q6093" s="22" t="str">
        <f>"+1.82%"</f>
        <v>+1.82%</v>
      </c>
      <c r="R6093" s="18" t="str">
        <f>"-34.91%"</f>
        <v>-34.91%</v>
      </c>
      <c r="S6093" s="14" t="s">
        <v>2614</v>
      </c>
    </row>
    <row r="6094">
      <c r="A6094" s="13">
        <v>45901.0</v>
      </c>
      <c r="B6094" s="14" t="s">
        <v>47</v>
      </c>
      <c r="C6094" s="14" t="s">
        <v>48</v>
      </c>
      <c r="D6094" s="14" t="s">
        <v>69</v>
      </c>
      <c r="E6094" s="14" t="s">
        <v>70</v>
      </c>
      <c r="F6094" s="15" t="s">
        <v>51</v>
      </c>
      <c r="G6094" s="14" t="s">
        <v>115</v>
      </c>
      <c r="H6094" s="14" t="s">
        <v>72</v>
      </c>
      <c r="I6094" s="14" t="s">
        <v>54</v>
      </c>
      <c r="J6094" s="14" t="s">
        <v>198</v>
      </c>
      <c r="K6094" s="14" t="s">
        <v>210</v>
      </c>
      <c r="L6094" s="14" t="s">
        <v>264</v>
      </c>
      <c r="M6094" s="14" t="s">
        <v>834</v>
      </c>
      <c r="N6094" s="14" t="s">
        <v>835</v>
      </c>
      <c r="O6094" s="14">
        <v>0.0</v>
      </c>
      <c r="P6094" s="21">
        <v>0.0</v>
      </c>
      <c r="Q6094" s="22" t="str">
        <f t="shared" ref="Q6094:R6094" si="3644">"+0"</f>
        <v>+0</v>
      </c>
      <c r="R6094" s="18" t="str">
        <f t="shared" si="3644"/>
        <v>+0</v>
      </c>
      <c r="S6094" s="14" t="s">
        <v>277</v>
      </c>
    </row>
    <row r="6095">
      <c r="A6095" s="13">
        <v>45901.0</v>
      </c>
      <c r="B6095" s="14" t="s">
        <v>47</v>
      </c>
      <c r="C6095" s="14" t="s">
        <v>48</v>
      </c>
      <c r="D6095" s="14" t="s">
        <v>69</v>
      </c>
      <c r="E6095" s="14" t="s">
        <v>70</v>
      </c>
      <c r="F6095" s="15" t="s">
        <v>51</v>
      </c>
      <c r="G6095" s="14" t="s">
        <v>115</v>
      </c>
      <c r="H6095" s="14" t="s">
        <v>72</v>
      </c>
      <c r="I6095" s="14" t="s">
        <v>54</v>
      </c>
      <c r="J6095" s="14" t="s">
        <v>200</v>
      </c>
      <c r="K6095" s="14" t="s">
        <v>224</v>
      </c>
      <c r="L6095" s="14" t="s">
        <v>453</v>
      </c>
      <c r="M6095" s="14" t="s">
        <v>716</v>
      </c>
      <c r="N6095" s="14" t="s">
        <v>717</v>
      </c>
      <c r="O6095" s="14">
        <v>0.0</v>
      </c>
      <c r="P6095" s="23">
        <v>0.0</v>
      </c>
      <c r="Q6095" s="22" t="str">
        <f t="shared" ref="Q6095:R6095" si="3645">"+0.00%"</f>
        <v>+0.00%</v>
      </c>
      <c r="R6095" s="18" t="str">
        <f t="shared" si="3645"/>
        <v>+0.00%</v>
      </c>
      <c r="S6095" s="14" t="s">
        <v>718</v>
      </c>
    </row>
    <row r="6096">
      <c r="A6096" s="13">
        <v>45901.0</v>
      </c>
      <c r="B6096" s="14" t="s">
        <v>47</v>
      </c>
      <c r="C6096" s="14" t="s">
        <v>48</v>
      </c>
      <c r="D6096" s="14" t="s">
        <v>108</v>
      </c>
      <c r="E6096" s="14" t="s">
        <v>109</v>
      </c>
      <c r="F6096" s="14" t="s">
        <v>146</v>
      </c>
      <c r="G6096" s="14" t="s">
        <v>180</v>
      </c>
      <c r="H6096" s="14" t="s">
        <v>108</v>
      </c>
      <c r="I6096" s="14" t="s">
        <v>59</v>
      </c>
      <c r="J6096" s="14" t="s">
        <v>200</v>
      </c>
      <c r="K6096" s="14" t="s">
        <v>226</v>
      </c>
      <c r="L6096" s="14" t="s">
        <v>2460</v>
      </c>
      <c r="M6096" s="14" t="s">
        <v>2461</v>
      </c>
      <c r="N6096" s="14" t="s">
        <v>2462</v>
      </c>
      <c r="O6096" s="14">
        <v>100.0</v>
      </c>
      <c r="P6096" s="23">
        <v>1.0</v>
      </c>
      <c r="Q6096" s="22" t="str">
        <f>"+50.00%"</f>
        <v>+50.00%</v>
      </c>
      <c r="S6096" s="14" t="s">
        <v>371</v>
      </c>
    </row>
    <row r="6097">
      <c r="A6097" s="13">
        <v>45901.0</v>
      </c>
      <c r="B6097" s="14" t="s">
        <v>47</v>
      </c>
      <c r="C6097" s="14" t="s">
        <v>48</v>
      </c>
      <c r="D6097" s="14" t="s">
        <v>108</v>
      </c>
      <c r="E6097" s="14" t="s">
        <v>109</v>
      </c>
      <c r="F6097" s="14" t="s">
        <v>146</v>
      </c>
      <c r="G6097" s="14" t="s">
        <v>180</v>
      </c>
      <c r="H6097" s="14" t="s">
        <v>108</v>
      </c>
      <c r="I6097" s="14" t="s">
        <v>59</v>
      </c>
      <c r="J6097" s="14" t="s">
        <v>199</v>
      </c>
      <c r="K6097" s="14" t="s">
        <v>208</v>
      </c>
      <c r="L6097" s="14" t="s">
        <v>352</v>
      </c>
      <c r="M6097" s="14" t="s">
        <v>352</v>
      </c>
      <c r="N6097" s="14" t="s">
        <v>353</v>
      </c>
      <c r="O6097" s="14">
        <v>80.0</v>
      </c>
      <c r="P6097" s="21">
        <v>2.0</v>
      </c>
      <c r="Q6097" s="22" t="str">
        <f>"+0"</f>
        <v>+0</v>
      </c>
      <c r="S6097" s="14" t="s">
        <v>260</v>
      </c>
    </row>
    <row r="6098">
      <c r="A6098" s="13">
        <v>45901.0</v>
      </c>
      <c r="B6098" s="14" t="s">
        <v>47</v>
      </c>
      <c r="C6098" s="14" t="s">
        <v>48</v>
      </c>
      <c r="D6098" s="14" t="s">
        <v>116</v>
      </c>
      <c r="E6098" s="14" t="s">
        <v>117</v>
      </c>
      <c r="F6098" s="15" t="s">
        <v>51</v>
      </c>
      <c r="G6098" s="14" t="s">
        <v>161</v>
      </c>
      <c r="H6098" s="14" t="s">
        <v>116</v>
      </c>
      <c r="I6098" s="14" t="s">
        <v>54</v>
      </c>
      <c r="J6098" s="14" t="s">
        <v>200</v>
      </c>
      <c r="K6098" s="14" t="s">
        <v>211</v>
      </c>
      <c r="L6098" s="14" t="s">
        <v>991</v>
      </c>
      <c r="M6098" s="14" t="s">
        <v>2615</v>
      </c>
      <c r="N6098" s="14" t="s">
        <v>2616</v>
      </c>
      <c r="O6098" s="14">
        <v>0.0</v>
      </c>
      <c r="P6098" s="23">
        <v>-1.0</v>
      </c>
      <c r="Q6098" s="22" t="str">
        <f t="shared" ref="Q6098:Q6100" si="3646">"+0.00%"</f>
        <v>+0.00%</v>
      </c>
      <c r="R6098" s="18" t="str">
        <f>"-200.00%"</f>
        <v>-200.00%</v>
      </c>
      <c r="S6098" s="14" t="s">
        <v>336</v>
      </c>
    </row>
    <row r="6099">
      <c r="A6099" s="13">
        <v>45901.0</v>
      </c>
      <c r="B6099" s="14" t="s">
        <v>47</v>
      </c>
      <c r="C6099" s="14" t="s">
        <v>48</v>
      </c>
      <c r="D6099" s="14" t="s">
        <v>116</v>
      </c>
      <c r="E6099" s="14" t="s">
        <v>117</v>
      </c>
      <c r="F6099" s="15" t="s">
        <v>51</v>
      </c>
      <c r="G6099" s="14" t="s">
        <v>161</v>
      </c>
      <c r="H6099" s="14" t="s">
        <v>116</v>
      </c>
      <c r="I6099" s="14" t="s">
        <v>54</v>
      </c>
      <c r="J6099" s="14" t="s">
        <v>200</v>
      </c>
      <c r="K6099" s="14" t="s">
        <v>211</v>
      </c>
      <c r="L6099" s="14" t="s">
        <v>991</v>
      </c>
      <c r="M6099" s="14" t="s">
        <v>992</v>
      </c>
      <c r="N6099" s="14" t="s">
        <v>993</v>
      </c>
      <c r="O6099" s="14">
        <v>100.0</v>
      </c>
      <c r="P6099" s="23">
        <v>1.0</v>
      </c>
      <c r="Q6099" s="22" t="str">
        <f t="shared" si="3646"/>
        <v>+0.00%</v>
      </c>
      <c r="R6099" s="18" t="str">
        <f>"+0.00%"</f>
        <v>+0.00%</v>
      </c>
      <c r="S6099" s="14" t="s">
        <v>2617</v>
      </c>
    </row>
    <row r="6100">
      <c r="A6100" s="13">
        <v>45901.0</v>
      </c>
      <c r="B6100" s="14" t="s">
        <v>47</v>
      </c>
      <c r="C6100" s="14" t="s">
        <v>48</v>
      </c>
      <c r="D6100" s="14" t="s">
        <v>108</v>
      </c>
      <c r="E6100" s="14" t="s">
        <v>109</v>
      </c>
      <c r="F6100" s="14" t="s">
        <v>146</v>
      </c>
      <c r="G6100" s="14" t="s">
        <v>180</v>
      </c>
      <c r="H6100" s="14" t="s">
        <v>108</v>
      </c>
      <c r="I6100" s="14" t="s">
        <v>59</v>
      </c>
      <c r="J6100" s="14" t="s">
        <v>200</v>
      </c>
      <c r="K6100" s="14" t="s">
        <v>226</v>
      </c>
      <c r="L6100" s="14" t="s">
        <v>253</v>
      </c>
      <c r="M6100" s="14" t="s">
        <v>2618</v>
      </c>
      <c r="N6100" s="14" t="s">
        <v>2619</v>
      </c>
      <c r="O6100" s="14">
        <v>100.0</v>
      </c>
      <c r="P6100" s="23">
        <v>1.0</v>
      </c>
      <c r="Q6100" s="22" t="str">
        <f t="shared" si="3646"/>
        <v>+0.00%</v>
      </c>
      <c r="S6100" s="14" t="s">
        <v>2620</v>
      </c>
    </row>
    <row r="6101">
      <c r="A6101" s="13">
        <v>45901.0</v>
      </c>
      <c r="B6101" s="14" t="s">
        <v>47</v>
      </c>
      <c r="C6101" s="14" t="s">
        <v>48</v>
      </c>
      <c r="D6101" s="14" t="s">
        <v>108</v>
      </c>
      <c r="E6101" s="14" t="s">
        <v>109</v>
      </c>
      <c r="F6101" s="15" t="s">
        <v>51</v>
      </c>
      <c r="G6101" s="14" t="s">
        <v>110</v>
      </c>
      <c r="H6101" s="14" t="s">
        <v>108</v>
      </c>
      <c r="I6101" s="14" t="s">
        <v>59</v>
      </c>
      <c r="J6101" s="14" t="s">
        <v>198</v>
      </c>
      <c r="K6101" s="14" t="s">
        <v>210</v>
      </c>
      <c r="L6101" s="14" t="s">
        <v>278</v>
      </c>
      <c r="M6101" s="14" t="s">
        <v>279</v>
      </c>
      <c r="N6101" s="14" t="s">
        <v>280</v>
      </c>
      <c r="O6101" s="14">
        <v>100.0</v>
      </c>
      <c r="P6101" s="21">
        <v>0.0</v>
      </c>
      <c r="Q6101" s="22" t="str">
        <f t="shared" ref="Q6101:R6101" si="3647">"+0"</f>
        <v>+0</v>
      </c>
      <c r="R6101" s="18" t="str">
        <f t="shared" si="3647"/>
        <v>+0</v>
      </c>
      <c r="S6101" s="14" t="s">
        <v>281</v>
      </c>
    </row>
    <row r="6102">
      <c r="A6102" s="13">
        <v>45901.0</v>
      </c>
      <c r="B6102" s="14" t="s">
        <v>47</v>
      </c>
      <c r="C6102" s="14" t="s">
        <v>48</v>
      </c>
      <c r="D6102" s="14" t="s">
        <v>121</v>
      </c>
      <c r="E6102" s="14" t="s">
        <v>122</v>
      </c>
      <c r="F6102" s="15" t="s">
        <v>51</v>
      </c>
      <c r="G6102" s="14" t="s">
        <v>123</v>
      </c>
      <c r="H6102" s="14" t="s">
        <v>124</v>
      </c>
      <c r="I6102" s="14" t="s">
        <v>59</v>
      </c>
      <c r="J6102" s="14" t="s">
        <v>200</v>
      </c>
      <c r="K6102" s="14" t="s">
        <v>222</v>
      </c>
      <c r="L6102" s="14" t="s">
        <v>337</v>
      </c>
      <c r="M6102" s="14" t="s">
        <v>734</v>
      </c>
      <c r="N6102" s="14" t="s">
        <v>735</v>
      </c>
      <c r="O6102" s="14">
        <v>0.0</v>
      </c>
      <c r="P6102" s="21">
        <v>0.0</v>
      </c>
      <c r="Q6102" s="22" t="str">
        <f t="shared" ref="Q6102:R6102" si="3648">"+0"</f>
        <v>+0</v>
      </c>
      <c r="R6102" s="18" t="str">
        <f t="shared" si="3648"/>
        <v>+0</v>
      </c>
      <c r="S6102" s="14" t="s">
        <v>260</v>
      </c>
    </row>
    <row r="6103">
      <c r="A6103" s="13">
        <v>45901.0</v>
      </c>
      <c r="B6103" s="14" t="s">
        <v>47</v>
      </c>
      <c r="C6103" s="14" t="s">
        <v>48</v>
      </c>
      <c r="D6103" s="14" t="s">
        <v>121</v>
      </c>
      <c r="E6103" s="14" t="s">
        <v>122</v>
      </c>
      <c r="F6103" s="15" t="s">
        <v>51</v>
      </c>
      <c r="G6103" s="14" t="s">
        <v>123</v>
      </c>
      <c r="H6103" s="14" t="s">
        <v>124</v>
      </c>
      <c r="I6103" s="14" t="s">
        <v>59</v>
      </c>
      <c r="J6103" s="14" t="s">
        <v>198</v>
      </c>
      <c r="K6103" s="14" t="s">
        <v>205</v>
      </c>
      <c r="L6103" s="14" t="s">
        <v>274</v>
      </c>
      <c r="M6103" s="14" t="s">
        <v>575</v>
      </c>
      <c r="N6103" s="14" t="s">
        <v>576</v>
      </c>
      <c r="O6103" s="14">
        <v>100.0</v>
      </c>
      <c r="P6103" s="21">
        <v>90.0</v>
      </c>
      <c r="Q6103" s="22" t="str">
        <f t="shared" ref="Q6103:Q6104" si="3649">"+0"</f>
        <v>+0</v>
      </c>
      <c r="S6103" s="14" t="s">
        <v>577</v>
      </c>
    </row>
    <row r="6104">
      <c r="A6104" s="13">
        <v>45901.0</v>
      </c>
      <c r="B6104" s="14" t="s">
        <v>47</v>
      </c>
      <c r="C6104" s="14" t="s">
        <v>48</v>
      </c>
      <c r="D6104" s="14" t="s">
        <v>168</v>
      </c>
      <c r="E6104" s="14" t="s">
        <v>169</v>
      </c>
      <c r="F6104" s="15" t="s">
        <v>51</v>
      </c>
      <c r="G6104" s="14" t="s">
        <v>170</v>
      </c>
      <c r="H6104" s="14" t="s">
        <v>168</v>
      </c>
      <c r="I6104" s="14" t="s">
        <v>59</v>
      </c>
      <c r="J6104" s="14" t="s">
        <v>199</v>
      </c>
      <c r="K6104" s="14" t="s">
        <v>203</v>
      </c>
      <c r="L6104" s="14" t="s">
        <v>340</v>
      </c>
      <c r="M6104" s="14" t="s">
        <v>340</v>
      </c>
      <c r="N6104" s="14" t="s">
        <v>341</v>
      </c>
      <c r="O6104" s="14">
        <v>0.0</v>
      </c>
      <c r="P6104" s="21">
        <v>0.0</v>
      </c>
      <c r="Q6104" s="22" t="str">
        <f t="shared" si="3649"/>
        <v>+0</v>
      </c>
      <c r="R6104" s="18" t="str">
        <f>"+0"</f>
        <v>+0</v>
      </c>
      <c r="S6104" s="14" t="s">
        <v>260</v>
      </c>
    </row>
    <row r="6105">
      <c r="A6105" s="13">
        <v>45901.0</v>
      </c>
      <c r="B6105" s="14" t="s">
        <v>47</v>
      </c>
      <c r="C6105" s="14" t="s">
        <v>48</v>
      </c>
      <c r="D6105" s="14" t="s">
        <v>56</v>
      </c>
      <c r="E6105" s="14" t="s">
        <v>57</v>
      </c>
      <c r="F6105" s="14" t="s">
        <v>71</v>
      </c>
      <c r="G6105" s="14">
        <v>5.36003976E8</v>
      </c>
      <c r="H6105" s="14" t="s">
        <v>56</v>
      </c>
      <c r="I6105" s="14" t="s">
        <v>59</v>
      </c>
      <c r="J6105" s="14" t="s">
        <v>200</v>
      </c>
      <c r="K6105" s="14" t="s">
        <v>218</v>
      </c>
      <c r="L6105" s="14" t="s">
        <v>253</v>
      </c>
      <c r="M6105" s="14" t="s">
        <v>1388</v>
      </c>
      <c r="N6105" s="14" t="s">
        <v>1389</v>
      </c>
      <c r="O6105" s="14">
        <v>0.0</v>
      </c>
      <c r="P6105" s="23">
        <v>0.0</v>
      </c>
      <c r="Q6105" s="22" t="str">
        <f t="shared" ref="Q6105:R6105" si="3650">"+0.00%"</f>
        <v>+0.00%</v>
      </c>
      <c r="R6105" s="18" t="str">
        <f t="shared" si="3650"/>
        <v>+0.00%</v>
      </c>
      <c r="S6105" s="14" t="s">
        <v>465</v>
      </c>
    </row>
    <row r="6106">
      <c r="A6106" s="13">
        <v>45901.0</v>
      </c>
      <c r="B6106" s="14" t="s">
        <v>47</v>
      </c>
      <c r="C6106" s="14" t="s">
        <v>48</v>
      </c>
      <c r="D6106" s="14" t="s">
        <v>121</v>
      </c>
      <c r="E6106" s="14" t="s">
        <v>122</v>
      </c>
      <c r="F6106" s="15" t="s">
        <v>51</v>
      </c>
      <c r="G6106" s="14" t="s">
        <v>123</v>
      </c>
      <c r="H6106" s="14" t="s">
        <v>124</v>
      </c>
      <c r="I6106" s="14" t="s">
        <v>59</v>
      </c>
      <c r="J6106" s="14" t="s">
        <v>199</v>
      </c>
      <c r="K6106" s="14" t="s">
        <v>203</v>
      </c>
      <c r="L6106" s="14" t="s">
        <v>725</v>
      </c>
      <c r="M6106" s="14" t="s">
        <v>725</v>
      </c>
      <c r="N6106" s="14" t="s">
        <v>726</v>
      </c>
      <c r="O6106" s="14">
        <v>0.0</v>
      </c>
      <c r="P6106" s="21">
        <v>0.0</v>
      </c>
      <c r="Q6106" s="22" t="str">
        <f t="shared" ref="Q6106:R6106" si="3651">"+0"</f>
        <v>+0</v>
      </c>
      <c r="R6106" s="18" t="str">
        <f t="shared" si="3651"/>
        <v>+0</v>
      </c>
      <c r="S6106" s="14" t="s">
        <v>260</v>
      </c>
    </row>
    <row r="6107">
      <c r="A6107" s="13">
        <v>45901.0</v>
      </c>
      <c r="B6107" s="14" t="s">
        <v>47</v>
      </c>
      <c r="C6107" s="14" t="s">
        <v>48</v>
      </c>
      <c r="D6107" s="14" t="s">
        <v>140</v>
      </c>
      <c r="E6107" s="14" t="s">
        <v>141</v>
      </c>
      <c r="F6107" s="15" t="s">
        <v>51</v>
      </c>
      <c r="G6107" s="14" t="s">
        <v>142</v>
      </c>
      <c r="H6107" s="14" t="s">
        <v>140</v>
      </c>
      <c r="I6107" s="14" t="s">
        <v>59</v>
      </c>
      <c r="J6107" s="14" t="s">
        <v>198</v>
      </c>
      <c r="K6107" s="14" t="s">
        <v>212</v>
      </c>
      <c r="L6107" s="14" t="s">
        <v>344</v>
      </c>
      <c r="M6107" s="14" t="s">
        <v>580</v>
      </c>
      <c r="N6107" s="14" t="s">
        <v>581</v>
      </c>
      <c r="O6107" s="14">
        <v>100.0</v>
      </c>
      <c r="P6107" s="21">
        <v>1.0</v>
      </c>
      <c r="Q6107" s="22" t="str">
        <f>"+1"</f>
        <v>+1</v>
      </c>
      <c r="S6107" s="14" t="s">
        <v>281</v>
      </c>
    </row>
    <row r="6108">
      <c r="A6108" s="13">
        <v>45901.0</v>
      </c>
      <c r="B6108" s="14" t="s">
        <v>47</v>
      </c>
      <c r="C6108" s="14" t="s">
        <v>48</v>
      </c>
      <c r="D6108" s="14" t="s">
        <v>155</v>
      </c>
      <c r="E6108" s="14" t="s">
        <v>156</v>
      </c>
      <c r="F6108" s="15" t="s">
        <v>51</v>
      </c>
      <c r="G6108" s="14" t="s">
        <v>157</v>
      </c>
      <c r="H6108" s="14" t="s">
        <v>155</v>
      </c>
      <c r="I6108" s="14" t="s">
        <v>59</v>
      </c>
      <c r="J6108" s="14" t="s">
        <v>200</v>
      </c>
      <c r="K6108" s="14" t="s">
        <v>223</v>
      </c>
      <c r="L6108" s="14" t="s">
        <v>286</v>
      </c>
      <c r="M6108" s="14" t="s">
        <v>625</v>
      </c>
      <c r="N6108" s="14" t="s">
        <v>626</v>
      </c>
      <c r="O6108" s="14">
        <v>0.0</v>
      </c>
      <c r="P6108" s="17"/>
      <c r="Q6108" s="22"/>
      <c r="S6108" s="14" t="s">
        <v>2621</v>
      </c>
    </row>
    <row r="6109">
      <c r="A6109" s="13">
        <v>45901.0</v>
      </c>
      <c r="B6109" s="14" t="s">
        <v>47</v>
      </c>
      <c r="C6109" s="14" t="s">
        <v>48</v>
      </c>
      <c r="D6109" s="14" t="s">
        <v>181</v>
      </c>
      <c r="E6109" s="14" t="s">
        <v>182</v>
      </c>
      <c r="F6109" s="15" t="s">
        <v>51</v>
      </c>
      <c r="G6109" s="14" t="s">
        <v>183</v>
      </c>
      <c r="H6109" s="14" t="s">
        <v>181</v>
      </c>
      <c r="I6109" s="14" t="s">
        <v>59</v>
      </c>
      <c r="J6109" s="14" t="s">
        <v>198</v>
      </c>
      <c r="K6109" s="14" t="s">
        <v>210</v>
      </c>
      <c r="L6109" s="14" t="s">
        <v>278</v>
      </c>
      <c r="M6109" s="14" t="s">
        <v>443</v>
      </c>
      <c r="N6109" s="14" t="s">
        <v>444</v>
      </c>
      <c r="O6109" s="14">
        <v>0.0</v>
      </c>
      <c r="P6109" s="21">
        <v>636.0</v>
      </c>
      <c r="Q6109" s="22" t="str">
        <f>"-537"</f>
        <v>-537</v>
      </c>
      <c r="R6109" s="18" t="str">
        <f>"-398"</f>
        <v>-398</v>
      </c>
      <c r="S6109" s="14" t="s">
        <v>2622</v>
      </c>
    </row>
    <row r="6110">
      <c r="A6110" s="13">
        <v>45901.0</v>
      </c>
      <c r="B6110" s="14" t="s">
        <v>47</v>
      </c>
      <c r="C6110" s="14" t="s">
        <v>48</v>
      </c>
      <c r="D6110" s="14" t="s">
        <v>60</v>
      </c>
      <c r="E6110" s="14" t="s">
        <v>61</v>
      </c>
      <c r="F6110" s="15" t="s">
        <v>51</v>
      </c>
      <c r="G6110" s="14" t="s">
        <v>62</v>
      </c>
      <c r="H6110" s="14" t="s">
        <v>60</v>
      </c>
      <c r="I6110" s="14" t="s">
        <v>59</v>
      </c>
      <c r="J6110" s="14" t="s">
        <v>198</v>
      </c>
      <c r="K6110" s="14" t="s">
        <v>210</v>
      </c>
      <c r="L6110" s="14" t="s">
        <v>505</v>
      </c>
      <c r="M6110" s="14" t="s">
        <v>506</v>
      </c>
      <c r="N6110" s="14" t="s">
        <v>507</v>
      </c>
      <c r="O6110" s="14">
        <v>100.0</v>
      </c>
      <c r="P6110" s="21">
        <v>0.0</v>
      </c>
      <c r="Q6110" s="22" t="str">
        <f t="shared" ref="Q6110:R6110" si="3652">"+0"</f>
        <v>+0</v>
      </c>
      <c r="R6110" s="18" t="str">
        <f t="shared" si="3652"/>
        <v>+0</v>
      </c>
      <c r="S6110" s="14" t="s">
        <v>281</v>
      </c>
    </row>
    <row r="6111">
      <c r="A6111" s="13">
        <v>45901.0</v>
      </c>
      <c r="B6111" s="14" t="s">
        <v>47</v>
      </c>
      <c r="C6111" s="14" t="s">
        <v>48</v>
      </c>
      <c r="D6111" s="14" t="s">
        <v>168</v>
      </c>
      <c r="E6111" s="14" t="s">
        <v>169</v>
      </c>
      <c r="F6111" s="15" t="s">
        <v>51</v>
      </c>
      <c r="G6111" s="14" t="s">
        <v>170</v>
      </c>
      <c r="H6111" s="14" t="s">
        <v>168</v>
      </c>
      <c r="I6111" s="14" t="s">
        <v>59</v>
      </c>
      <c r="J6111" s="14" t="s">
        <v>200</v>
      </c>
      <c r="K6111" s="14" t="s">
        <v>227</v>
      </c>
      <c r="L6111" s="14" t="s">
        <v>253</v>
      </c>
      <c r="M6111" s="14" t="s">
        <v>396</v>
      </c>
      <c r="N6111" s="14" t="s">
        <v>397</v>
      </c>
      <c r="O6111" s="14">
        <v>100.0</v>
      </c>
      <c r="P6111" s="23">
        <v>1.0</v>
      </c>
      <c r="Q6111" s="22" t="str">
        <f t="shared" ref="Q6111:R6111" si="3653">"+0.00%"</f>
        <v>+0.00%</v>
      </c>
      <c r="R6111" s="18" t="str">
        <f t="shared" si="3653"/>
        <v>+0.00%</v>
      </c>
      <c r="S6111" s="14" t="s">
        <v>916</v>
      </c>
    </row>
    <row r="6112">
      <c r="A6112" s="13">
        <v>45901.0</v>
      </c>
      <c r="B6112" s="14" t="s">
        <v>47</v>
      </c>
      <c r="C6112" s="14" t="s">
        <v>48</v>
      </c>
      <c r="D6112" s="14" t="s">
        <v>56</v>
      </c>
      <c r="E6112" s="14" t="s">
        <v>57</v>
      </c>
      <c r="F6112" s="15" t="s">
        <v>51</v>
      </c>
      <c r="G6112" s="14" t="s">
        <v>58</v>
      </c>
      <c r="H6112" s="14" t="s">
        <v>56</v>
      </c>
      <c r="I6112" s="14" t="s">
        <v>59</v>
      </c>
      <c r="J6112" s="14" t="s">
        <v>200</v>
      </c>
      <c r="K6112" s="14" t="s">
        <v>223</v>
      </c>
      <c r="L6112" s="14" t="s">
        <v>286</v>
      </c>
      <c r="M6112" s="14" t="s">
        <v>287</v>
      </c>
      <c r="N6112" s="14" t="s">
        <v>288</v>
      </c>
      <c r="O6112" s="14">
        <v>0.0</v>
      </c>
      <c r="P6112" s="23">
        <v>0.0</v>
      </c>
      <c r="Q6112" s="22" t="str">
        <f t="shared" ref="Q6112:R6112" si="3654">"+0.00%"</f>
        <v>+0.00%</v>
      </c>
      <c r="R6112" s="18" t="str">
        <f t="shared" si="3654"/>
        <v>+0.00%</v>
      </c>
      <c r="S6112" s="14" t="s">
        <v>285</v>
      </c>
    </row>
    <row r="6113">
      <c r="A6113" s="13">
        <v>45901.0</v>
      </c>
      <c r="B6113" s="14" t="s">
        <v>47</v>
      </c>
      <c r="C6113" s="14" t="s">
        <v>48</v>
      </c>
      <c r="D6113" s="14" t="s">
        <v>49</v>
      </c>
      <c r="E6113" s="14" t="s">
        <v>50</v>
      </c>
      <c r="F6113" s="15" t="s">
        <v>51</v>
      </c>
      <c r="G6113" s="14" t="s">
        <v>52</v>
      </c>
      <c r="H6113" s="14" t="s">
        <v>53</v>
      </c>
      <c r="I6113" s="14" t="s">
        <v>54</v>
      </c>
      <c r="J6113" s="14" t="s">
        <v>198</v>
      </c>
      <c r="K6113" s="14" t="s">
        <v>205</v>
      </c>
      <c r="L6113" s="14" t="s">
        <v>274</v>
      </c>
      <c r="M6113" s="14" t="s">
        <v>738</v>
      </c>
      <c r="N6113" s="14" t="s">
        <v>739</v>
      </c>
      <c r="O6113" s="14">
        <v>0.0</v>
      </c>
      <c r="P6113" s="21">
        <v>0.0</v>
      </c>
      <c r="Q6113" s="22" t="str">
        <f t="shared" ref="Q6113:Q6119" si="3655">"+0"</f>
        <v>+0</v>
      </c>
      <c r="S6113" s="14" t="s">
        <v>281</v>
      </c>
    </row>
    <row r="6114">
      <c r="A6114" s="13">
        <v>45901.0</v>
      </c>
      <c r="B6114" s="14" t="s">
        <v>47</v>
      </c>
      <c r="C6114" s="14" t="s">
        <v>48</v>
      </c>
      <c r="D6114" s="14" t="s">
        <v>49</v>
      </c>
      <c r="E6114" s="14" t="s">
        <v>50</v>
      </c>
      <c r="F6114" s="15" t="s">
        <v>51</v>
      </c>
      <c r="G6114" s="14" t="s">
        <v>52</v>
      </c>
      <c r="H6114" s="14" t="s">
        <v>53</v>
      </c>
      <c r="I6114" s="14" t="s">
        <v>54</v>
      </c>
      <c r="J6114" s="14" t="s">
        <v>198</v>
      </c>
      <c r="K6114" s="14" t="s">
        <v>210</v>
      </c>
      <c r="L6114" s="14" t="s">
        <v>278</v>
      </c>
      <c r="M6114" s="14" t="s">
        <v>1005</v>
      </c>
      <c r="N6114" s="14" t="s">
        <v>1006</v>
      </c>
      <c r="O6114" s="14">
        <v>0.0</v>
      </c>
      <c r="P6114" s="21">
        <v>0.0</v>
      </c>
      <c r="Q6114" s="22" t="str">
        <f t="shared" si="3655"/>
        <v>+0</v>
      </c>
      <c r="R6114" s="18" t="str">
        <f t="shared" ref="R6114:R6119" si="3656">"+0"</f>
        <v>+0</v>
      </c>
      <c r="S6114" s="14" t="s">
        <v>277</v>
      </c>
    </row>
    <row r="6115">
      <c r="A6115" s="13">
        <v>45901.0</v>
      </c>
      <c r="B6115" s="14" t="s">
        <v>47</v>
      </c>
      <c r="C6115" s="14" t="s">
        <v>48</v>
      </c>
      <c r="D6115" s="14" t="s">
        <v>165</v>
      </c>
      <c r="E6115" s="14" t="s">
        <v>166</v>
      </c>
      <c r="F6115" s="15" t="s">
        <v>51</v>
      </c>
      <c r="G6115" s="14" t="s">
        <v>167</v>
      </c>
      <c r="H6115" s="14" t="s">
        <v>165</v>
      </c>
      <c r="I6115" s="14" t="s">
        <v>54</v>
      </c>
      <c r="J6115" s="14" t="s">
        <v>200</v>
      </c>
      <c r="K6115" s="14" t="s">
        <v>222</v>
      </c>
      <c r="L6115" s="14" t="s">
        <v>253</v>
      </c>
      <c r="M6115" s="14" t="s">
        <v>1563</v>
      </c>
      <c r="N6115" s="14" t="s">
        <v>1564</v>
      </c>
      <c r="O6115" s="14">
        <v>100.0</v>
      </c>
      <c r="P6115" s="21">
        <v>1.0</v>
      </c>
      <c r="Q6115" s="22" t="str">
        <f t="shared" si="3655"/>
        <v>+0</v>
      </c>
      <c r="R6115" s="18" t="str">
        <f t="shared" si="3656"/>
        <v>+0</v>
      </c>
      <c r="S6115" s="14" t="s">
        <v>260</v>
      </c>
    </row>
    <row r="6116">
      <c r="A6116" s="13">
        <v>45901.0</v>
      </c>
      <c r="B6116" s="14" t="s">
        <v>47</v>
      </c>
      <c r="C6116" s="14" t="s">
        <v>48</v>
      </c>
      <c r="D6116" s="14" t="s">
        <v>63</v>
      </c>
      <c r="E6116" s="14" t="s">
        <v>64</v>
      </c>
      <c r="F6116" s="14" t="s">
        <v>111</v>
      </c>
      <c r="G6116" s="14">
        <v>4916210.0</v>
      </c>
      <c r="H6116" s="14" t="s">
        <v>63</v>
      </c>
      <c r="I6116" s="14" t="s">
        <v>59</v>
      </c>
      <c r="J6116" s="14" t="s">
        <v>199</v>
      </c>
      <c r="K6116" s="14" t="s">
        <v>206</v>
      </c>
      <c r="L6116" s="14" t="s">
        <v>295</v>
      </c>
      <c r="M6116" s="14" t="s">
        <v>461</v>
      </c>
      <c r="N6116" s="14" t="s">
        <v>462</v>
      </c>
      <c r="O6116" s="14">
        <v>0.0</v>
      </c>
      <c r="P6116" s="21">
        <v>0.0</v>
      </c>
      <c r="Q6116" s="22" t="str">
        <f t="shared" si="3655"/>
        <v>+0</v>
      </c>
      <c r="R6116" s="18" t="str">
        <f t="shared" si="3656"/>
        <v>+0</v>
      </c>
      <c r="S6116" s="14" t="s">
        <v>260</v>
      </c>
    </row>
    <row r="6117">
      <c r="A6117" s="13">
        <v>45901.0</v>
      </c>
      <c r="B6117" s="14" t="s">
        <v>47</v>
      </c>
      <c r="C6117" s="14" t="s">
        <v>48</v>
      </c>
      <c r="D6117" s="14" t="s">
        <v>99</v>
      </c>
      <c r="E6117" s="14" t="s">
        <v>100</v>
      </c>
      <c r="F6117" s="15" t="s">
        <v>51</v>
      </c>
      <c r="G6117" s="14" t="s">
        <v>101</v>
      </c>
      <c r="H6117" s="14" t="s">
        <v>102</v>
      </c>
      <c r="I6117" s="14" t="s">
        <v>54</v>
      </c>
      <c r="J6117" s="14" t="s">
        <v>199</v>
      </c>
      <c r="K6117" s="14" t="s">
        <v>203</v>
      </c>
      <c r="L6117" s="14" t="s">
        <v>1088</v>
      </c>
      <c r="M6117" s="14" t="s">
        <v>1089</v>
      </c>
      <c r="N6117" s="14" t="s">
        <v>1090</v>
      </c>
      <c r="O6117" s="14">
        <v>100.0</v>
      </c>
      <c r="P6117" s="21">
        <v>1.0</v>
      </c>
      <c r="Q6117" s="22" t="str">
        <f t="shared" si="3655"/>
        <v>+0</v>
      </c>
      <c r="R6117" s="18" t="str">
        <f t="shared" si="3656"/>
        <v>+0</v>
      </c>
      <c r="S6117" s="14" t="s">
        <v>260</v>
      </c>
    </row>
    <row r="6118">
      <c r="A6118" s="13">
        <v>45901.0</v>
      </c>
      <c r="B6118" s="14" t="s">
        <v>47</v>
      </c>
      <c r="C6118" s="14" t="s">
        <v>48</v>
      </c>
      <c r="D6118" s="14" t="s">
        <v>63</v>
      </c>
      <c r="E6118" s="14" t="s">
        <v>64</v>
      </c>
      <c r="F6118" s="15" t="s">
        <v>51</v>
      </c>
      <c r="G6118" s="14" t="s">
        <v>65</v>
      </c>
      <c r="H6118" s="14" t="s">
        <v>63</v>
      </c>
      <c r="I6118" s="14" t="s">
        <v>54</v>
      </c>
      <c r="J6118" s="14" t="s">
        <v>198</v>
      </c>
      <c r="K6118" s="14" t="s">
        <v>210</v>
      </c>
      <c r="L6118" s="14" t="s">
        <v>264</v>
      </c>
      <c r="M6118" s="14" t="s">
        <v>1283</v>
      </c>
      <c r="N6118" s="14" t="s">
        <v>1284</v>
      </c>
      <c r="O6118" s="14">
        <v>0.0</v>
      </c>
      <c r="P6118" s="21">
        <v>0.0</v>
      </c>
      <c r="Q6118" s="22" t="str">
        <f t="shared" si="3655"/>
        <v>+0</v>
      </c>
      <c r="R6118" s="18" t="str">
        <f t="shared" si="3656"/>
        <v>+0</v>
      </c>
      <c r="S6118" s="14" t="s">
        <v>277</v>
      </c>
    </row>
    <row r="6119">
      <c r="A6119" s="13">
        <v>45901.0</v>
      </c>
      <c r="B6119" s="14" t="s">
        <v>47</v>
      </c>
      <c r="C6119" s="14" t="s">
        <v>48</v>
      </c>
      <c r="D6119" s="14" t="s">
        <v>93</v>
      </c>
      <c r="E6119" s="14" t="s">
        <v>94</v>
      </c>
      <c r="F6119" s="15" t="s">
        <v>51</v>
      </c>
      <c r="G6119" s="14" t="s">
        <v>191</v>
      </c>
      <c r="H6119" s="14" t="s">
        <v>95</v>
      </c>
      <c r="I6119" s="14" t="s">
        <v>59</v>
      </c>
      <c r="J6119" s="14" t="s">
        <v>198</v>
      </c>
      <c r="K6119" s="14" t="s">
        <v>210</v>
      </c>
      <c r="L6119" s="14" t="s">
        <v>264</v>
      </c>
      <c r="M6119" s="14" t="s">
        <v>470</v>
      </c>
      <c r="N6119" s="14" t="s">
        <v>471</v>
      </c>
      <c r="O6119" s="14">
        <v>100.0</v>
      </c>
      <c r="P6119" s="21">
        <v>0.0</v>
      </c>
      <c r="Q6119" s="22" t="str">
        <f t="shared" si="3655"/>
        <v>+0</v>
      </c>
      <c r="R6119" s="18" t="str">
        <f t="shared" si="3656"/>
        <v>+0</v>
      </c>
      <c r="S6119" s="14" t="s">
        <v>281</v>
      </c>
    </row>
    <row r="6120">
      <c r="A6120" s="13">
        <v>45901.0</v>
      </c>
      <c r="B6120" s="14" t="s">
        <v>47</v>
      </c>
      <c r="C6120" s="14" t="s">
        <v>48</v>
      </c>
      <c r="D6120" s="14" t="s">
        <v>192</v>
      </c>
      <c r="E6120" s="14" t="s">
        <v>193</v>
      </c>
      <c r="F6120" s="15" t="s">
        <v>51</v>
      </c>
      <c r="G6120" s="14" t="s">
        <v>194</v>
      </c>
      <c r="H6120" s="14" t="s">
        <v>192</v>
      </c>
      <c r="I6120" s="14" t="s">
        <v>54</v>
      </c>
      <c r="J6120" s="14" t="s">
        <v>200</v>
      </c>
      <c r="K6120" s="14" t="s">
        <v>223</v>
      </c>
      <c r="L6120" s="14" t="s">
        <v>257</v>
      </c>
      <c r="M6120" s="14" t="s">
        <v>622</v>
      </c>
      <c r="N6120" s="14" t="s">
        <v>623</v>
      </c>
      <c r="O6120" s="14">
        <v>29.0</v>
      </c>
      <c r="P6120" s="23">
        <v>-0.4069</v>
      </c>
      <c r="Q6120" s="22" t="str">
        <f>"+6.50%"</f>
        <v>+6.50%</v>
      </c>
      <c r="R6120" s="18" t="str">
        <f>"+2.45%"</f>
        <v>+2.45%</v>
      </c>
      <c r="S6120" s="14" t="s">
        <v>682</v>
      </c>
    </row>
    <row r="6121">
      <c r="A6121" s="13">
        <v>45901.0</v>
      </c>
      <c r="B6121" s="14" t="s">
        <v>47</v>
      </c>
      <c r="C6121" s="14" t="s">
        <v>48</v>
      </c>
      <c r="D6121" s="14" t="s">
        <v>73</v>
      </c>
      <c r="E6121" s="14" t="s">
        <v>74</v>
      </c>
      <c r="F6121" s="15" t="s">
        <v>51</v>
      </c>
      <c r="G6121" s="14" t="s">
        <v>75</v>
      </c>
      <c r="H6121" s="14" t="s">
        <v>76</v>
      </c>
      <c r="I6121" s="14" t="s">
        <v>59</v>
      </c>
      <c r="J6121" s="14" t="s">
        <v>200</v>
      </c>
      <c r="K6121" s="14" t="s">
        <v>232</v>
      </c>
      <c r="L6121" s="14" t="s">
        <v>261</v>
      </c>
      <c r="M6121" s="14" t="s">
        <v>566</v>
      </c>
      <c r="N6121" s="14" t="s">
        <v>567</v>
      </c>
      <c r="O6121" s="14">
        <v>0.0</v>
      </c>
      <c r="P6121" s="23">
        <v>0.0</v>
      </c>
      <c r="Q6121" s="22" t="str">
        <f t="shared" ref="Q6121:R6121" si="3657">"+0.00%"</f>
        <v>+0.00%</v>
      </c>
      <c r="R6121" s="18" t="str">
        <f t="shared" si="3657"/>
        <v>+0.00%</v>
      </c>
      <c r="S6121" s="14" t="s">
        <v>2623</v>
      </c>
    </row>
    <row r="6122">
      <c r="A6122" s="13">
        <v>45901.0</v>
      </c>
      <c r="B6122" s="14" t="s">
        <v>47</v>
      </c>
      <c r="C6122" s="14" t="s">
        <v>48</v>
      </c>
      <c r="D6122" s="14" t="s">
        <v>87</v>
      </c>
      <c r="E6122" s="14" t="s">
        <v>88</v>
      </c>
      <c r="F6122" s="15" t="s">
        <v>51</v>
      </c>
      <c r="G6122" s="14" t="s">
        <v>89</v>
      </c>
      <c r="H6122" s="14" t="s">
        <v>90</v>
      </c>
      <c r="I6122" s="14" t="s">
        <v>59</v>
      </c>
      <c r="J6122" s="14" t="s">
        <v>200</v>
      </c>
      <c r="K6122" s="14" t="s">
        <v>246</v>
      </c>
      <c r="L6122" s="14" t="s">
        <v>220</v>
      </c>
      <c r="M6122" s="14" t="s">
        <v>2624</v>
      </c>
      <c r="N6122" s="14" t="s">
        <v>2625</v>
      </c>
      <c r="O6122" s="14">
        <v>0.0</v>
      </c>
      <c r="P6122" s="21">
        <v>0.0</v>
      </c>
      <c r="Q6122" s="22" t="str">
        <f t="shared" ref="Q6122:R6122" si="3658">"+0"</f>
        <v>+0</v>
      </c>
      <c r="R6122" s="18" t="str">
        <f t="shared" si="3658"/>
        <v>+0</v>
      </c>
      <c r="S6122" s="14" t="s">
        <v>260</v>
      </c>
    </row>
    <row r="6123">
      <c r="A6123" s="13">
        <v>45901.0</v>
      </c>
      <c r="B6123" s="14" t="s">
        <v>47</v>
      </c>
      <c r="C6123" s="14" t="s">
        <v>48</v>
      </c>
      <c r="D6123" s="14" t="s">
        <v>87</v>
      </c>
      <c r="E6123" s="14" t="s">
        <v>88</v>
      </c>
      <c r="F6123" s="15" t="s">
        <v>51</v>
      </c>
      <c r="G6123" s="14" t="s">
        <v>89</v>
      </c>
      <c r="H6123" s="14" t="s">
        <v>90</v>
      </c>
      <c r="I6123" s="14" t="s">
        <v>59</v>
      </c>
      <c r="J6123" s="14" t="s">
        <v>200</v>
      </c>
      <c r="K6123" s="14" t="s">
        <v>223</v>
      </c>
      <c r="L6123" s="14" t="s">
        <v>363</v>
      </c>
      <c r="M6123" s="14" t="s">
        <v>1634</v>
      </c>
      <c r="N6123" s="14" t="s">
        <v>1635</v>
      </c>
      <c r="O6123" s="14">
        <v>0.0</v>
      </c>
      <c r="P6123" s="23">
        <v>0.0</v>
      </c>
      <c r="Q6123" s="22" t="str">
        <f t="shared" ref="Q6123:R6123" si="3659">"+0.00%"</f>
        <v>+0.00%</v>
      </c>
      <c r="R6123" s="18" t="str">
        <f t="shared" si="3659"/>
        <v>+0.00%</v>
      </c>
      <c r="S6123" s="14" t="s">
        <v>285</v>
      </c>
    </row>
    <row r="6124">
      <c r="A6124" s="13">
        <v>45901.0</v>
      </c>
      <c r="B6124" s="14" t="s">
        <v>47</v>
      </c>
      <c r="C6124" s="14" t="s">
        <v>48</v>
      </c>
      <c r="D6124" s="14" t="s">
        <v>87</v>
      </c>
      <c r="E6124" s="14" t="s">
        <v>88</v>
      </c>
      <c r="F6124" s="15" t="s">
        <v>51</v>
      </c>
      <c r="G6124" s="14" t="s">
        <v>89</v>
      </c>
      <c r="H6124" s="14" t="s">
        <v>90</v>
      </c>
      <c r="I6124" s="14" t="s">
        <v>59</v>
      </c>
      <c r="J6124" s="14" t="s">
        <v>200</v>
      </c>
      <c r="K6124" s="14" t="s">
        <v>223</v>
      </c>
      <c r="L6124" s="14" t="s">
        <v>286</v>
      </c>
      <c r="M6124" s="14" t="s">
        <v>979</v>
      </c>
      <c r="N6124" s="14" t="s">
        <v>980</v>
      </c>
      <c r="O6124" s="14">
        <v>71.0</v>
      </c>
      <c r="P6124" s="23">
        <v>0.7143</v>
      </c>
      <c r="Q6124" s="22" t="str">
        <f>"+4.40%"</f>
        <v>+4.40%</v>
      </c>
      <c r="R6124" s="18" t="str">
        <f>"+3.01%"</f>
        <v>+3.01%</v>
      </c>
      <c r="S6124" s="14" t="s">
        <v>2626</v>
      </c>
    </row>
    <row r="6125">
      <c r="A6125" s="13">
        <v>45901.0</v>
      </c>
      <c r="B6125" s="14" t="s">
        <v>47</v>
      </c>
      <c r="C6125" s="14" t="s">
        <v>48</v>
      </c>
      <c r="D6125" s="14" t="s">
        <v>69</v>
      </c>
      <c r="E6125" s="14" t="s">
        <v>70</v>
      </c>
      <c r="F6125" s="15" t="s">
        <v>51</v>
      </c>
      <c r="G6125" s="14" t="s">
        <v>115</v>
      </c>
      <c r="H6125" s="14" t="s">
        <v>72</v>
      </c>
      <c r="I6125" s="14" t="s">
        <v>54</v>
      </c>
      <c r="J6125" s="14" t="s">
        <v>198</v>
      </c>
      <c r="K6125" s="14" t="s">
        <v>212</v>
      </c>
      <c r="L6125" s="14" t="s">
        <v>249</v>
      </c>
      <c r="M6125" s="14" t="s">
        <v>604</v>
      </c>
      <c r="N6125" s="14" t="s">
        <v>605</v>
      </c>
      <c r="O6125" s="14">
        <v>0.0</v>
      </c>
      <c r="P6125" s="21">
        <v>0.0</v>
      </c>
      <c r="Q6125" s="22" t="str">
        <f t="shared" ref="Q6125:R6125" si="3660">"+0"</f>
        <v>+0</v>
      </c>
      <c r="R6125" s="18" t="str">
        <f t="shared" si="3660"/>
        <v>+0</v>
      </c>
      <c r="S6125" s="14" t="s">
        <v>277</v>
      </c>
    </row>
    <row r="6126">
      <c r="A6126" s="13">
        <v>45901.0</v>
      </c>
      <c r="B6126" s="14" t="s">
        <v>47</v>
      </c>
      <c r="C6126" s="14" t="s">
        <v>48</v>
      </c>
      <c r="D6126" s="14" t="s">
        <v>69</v>
      </c>
      <c r="E6126" s="14" t="s">
        <v>70</v>
      </c>
      <c r="F6126" s="14" t="s">
        <v>71</v>
      </c>
      <c r="G6126" s="14">
        <v>1.00002092E8</v>
      </c>
      <c r="H6126" s="14" t="s">
        <v>72</v>
      </c>
      <c r="I6126" s="14" t="s">
        <v>54</v>
      </c>
      <c r="J6126" s="14" t="s">
        <v>199</v>
      </c>
      <c r="K6126" s="14" t="s">
        <v>203</v>
      </c>
      <c r="L6126" s="14" t="s">
        <v>725</v>
      </c>
      <c r="M6126" s="14" t="s">
        <v>725</v>
      </c>
      <c r="N6126" s="14" t="s">
        <v>726</v>
      </c>
      <c r="O6126" s="14">
        <v>100.0</v>
      </c>
      <c r="P6126" s="21">
        <v>1.0</v>
      </c>
      <c r="Q6126" s="22" t="str">
        <f t="shared" ref="Q6126:R6126" si="3661">"+0"</f>
        <v>+0</v>
      </c>
      <c r="R6126" s="18" t="str">
        <f t="shared" si="3661"/>
        <v>+0</v>
      </c>
      <c r="S6126" s="14" t="s">
        <v>260</v>
      </c>
    </row>
    <row r="6127">
      <c r="A6127" s="13">
        <v>45901.0</v>
      </c>
      <c r="B6127" s="14" t="s">
        <v>47</v>
      </c>
      <c r="C6127" s="14" t="s">
        <v>48</v>
      </c>
      <c r="D6127" s="14" t="s">
        <v>69</v>
      </c>
      <c r="E6127" s="14" t="s">
        <v>70</v>
      </c>
      <c r="F6127" s="15" t="s">
        <v>51</v>
      </c>
      <c r="G6127" s="14" t="s">
        <v>115</v>
      </c>
      <c r="H6127" s="14" t="s">
        <v>72</v>
      </c>
      <c r="I6127" s="14" t="s">
        <v>54</v>
      </c>
      <c r="J6127" s="14" t="s">
        <v>198</v>
      </c>
      <c r="K6127" s="14" t="s">
        <v>210</v>
      </c>
      <c r="L6127" s="14" t="s">
        <v>264</v>
      </c>
      <c r="M6127" s="14" t="s">
        <v>1031</v>
      </c>
      <c r="N6127" s="14" t="s">
        <v>1032</v>
      </c>
      <c r="O6127" s="14">
        <v>0.0</v>
      </c>
      <c r="P6127" s="21">
        <v>0.0</v>
      </c>
      <c r="Q6127" s="22" t="str">
        <f t="shared" ref="Q6127:R6127" si="3662">"+0"</f>
        <v>+0</v>
      </c>
      <c r="R6127" s="18" t="str">
        <f t="shared" si="3662"/>
        <v>+0</v>
      </c>
      <c r="S6127" s="14" t="s">
        <v>277</v>
      </c>
    </row>
    <row r="6128">
      <c r="A6128" s="13">
        <v>45901.0</v>
      </c>
      <c r="B6128" s="14" t="s">
        <v>47</v>
      </c>
      <c r="C6128" s="14" t="s">
        <v>48</v>
      </c>
      <c r="D6128" s="14" t="s">
        <v>116</v>
      </c>
      <c r="E6128" s="14" t="s">
        <v>117</v>
      </c>
      <c r="F6128" s="15" t="s">
        <v>51</v>
      </c>
      <c r="G6128" s="14" t="s">
        <v>161</v>
      </c>
      <c r="H6128" s="14" t="s">
        <v>116</v>
      </c>
      <c r="I6128" s="14" t="s">
        <v>54</v>
      </c>
      <c r="J6128" s="14" t="s">
        <v>199</v>
      </c>
      <c r="K6128" s="14" t="s">
        <v>203</v>
      </c>
      <c r="L6128" s="14" t="s">
        <v>1083</v>
      </c>
      <c r="M6128" s="14" t="s">
        <v>1083</v>
      </c>
      <c r="N6128" s="14" t="s">
        <v>1084</v>
      </c>
      <c r="O6128" s="14">
        <v>100.0</v>
      </c>
      <c r="P6128" s="21">
        <v>3.0</v>
      </c>
      <c r="Q6128" s="22" t="str">
        <f t="shared" ref="Q6128:Q6129" si="3663">"+0"</f>
        <v>+0</v>
      </c>
      <c r="R6128" s="18" t="str">
        <f>"-3"</f>
        <v>-3</v>
      </c>
      <c r="S6128" s="14" t="s">
        <v>260</v>
      </c>
    </row>
    <row r="6129">
      <c r="A6129" s="13">
        <v>45901.0</v>
      </c>
      <c r="B6129" s="14" t="s">
        <v>47</v>
      </c>
      <c r="C6129" s="14" t="s">
        <v>48</v>
      </c>
      <c r="D6129" s="14" t="s">
        <v>174</v>
      </c>
      <c r="E6129" s="14" t="s">
        <v>175</v>
      </c>
      <c r="F6129" s="15" t="s">
        <v>51</v>
      </c>
      <c r="G6129" s="14" t="s">
        <v>176</v>
      </c>
      <c r="H6129" s="14" t="s">
        <v>174</v>
      </c>
      <c r="I6129" s="14" t="s">
        <v>59</v>
      </c>
      <c r="J6129" s="14" t="s">
        <v>199</v>
      </c>
      <c r="K6129" s="14" t="s">
        <v>206</v>
      </c>
      <c r="L6129" s="14" t="s">
        <v>268</v>
      </c>
      <c r="M6129" s="14" t="s">
        <v>268</v>
      </c>
      <c r="N6129" s="14" t="s">
        <v>269</v>
      </c>
      <c r="O6129" s="14">
        <v>0.0</v>
      </c>
      <c r="P6129" s="21">
        <v>0.0</v>
      </c>
      <c r="Q6129" s="22" t="str">
        <f t="shared" si="3663"/>
        <v>+0</v>
      </c>
      <c r="R6129" s="18" t="str">
        <f>"+0"</f>
        <v>+0</v>
      </c>
      <c r="S6129" s="14" t="s">
        <v>260</v>
      </c>
    </row>
    <row r="6130">
      <c r="A6130" s="13">
        <v>45901.0</v>
      </c>
      <c r="B6130" s="14" t="s">
        <v>47</v>
      </c>
      <c r="C6130" s="14" t="s">
        <v>48</v>
      </c>
      <c r="D6130" s="14" t="s">
        <v>116</v>
      </c>
      <c r="E6130" s="14" t="s">
        <v>117</v>
      </c>
      <c r="F6130" s="15" t="s">
        <v>51</v>
      </c>
      <c r="G6130" s="14" t="s">
        <v>161</v>
      </c>
      <c r="H6130" s="14" t="s">
        <v>116</v>
      </c>
      <c r="I6130" s="14" t="s">
        <v>54</v>
      </c>
      <c r="J6130" s="14" t="s">
        <v>200</v>
      </c>
      <c r="K6130" s="14" t="s">
        <v>224</v>
      </c>
      <c r="L6130" s="14" t="s">
        <v>453</v>
      </c>
      <c r="M6130" s="14" t="s">
        <v>949</v>
      </c>
      <c r="N6130" s="14" t="s">
        <v>950</v>
      </c>
      <c r="O6130" s="14">
        <v>100.0</v>
      </c>
      <c r="P6130" s="23">
        <v>1.0</v>
      </c>
      <c r="Q6130" s="22"/>
      <c r="S6130" s="14" t="s">
        <v>951</v>
      </c>
    </row>
    <row r="6131">
      <c r="A6131" s="13">
        <v>45901.0</v>
      </c>
      <c r="B6131" s="14" t="s">
        <v>47</v>
      </c>
      <c r="C6131" s="14" t="s">
        <v>48</v>
      </c>
      <c r="D6131" s="14" t="s">
        <v>174</v>
      </c>
      <c r="E6131" s="14" t="s">
        <v>175</v>
      </c>
      <c r="F6131" s="15" t="s">
        <v>51</v>
      </c>
      <c r="G6131" s="14" t="s">
        <v>176</v>
      </c>
      <c r="H6131" s="14" t="s">
        <v>174</v>
      </c>
      <c r="I6131" s="14" t="s">
        <v>59</v>
      </c>
      <c r="J6131" s="14" t="s">
        <v>199</v>
      </c>
      <c r="K6131" s="14" t="s">
        <v>206</v>
      </c>
      <c r="L6131" s="14" t="s">
        <v>295</v>
      </c>
      <c r="M6131" s="14" t="s">
        <v>529</v>
      </c>
      <c r="N6131" s="14" t="s">
        <v>530</v>
      </c>
      <c r="O6131" s="14">
        <v>0.0</v>
      </c>
      <c r="P6131" s="21">
        <v>0.0</v>
      </c>
      <c r="Q6131" s="22" t="str">
        <f t="shared" ref="Q6131:R6131" si="3664">"+0"</f>
        <v>+0</v>
      </c>
      <c r="R6131" s="18" t="str">
        <f t="shared" si="3664"/>
        <v>+0</v>
      </c>
      <c r="S6131" s="14" t="s">
        <v>260</v>
      </c>
    </row>
    <row r="6132">
      <c r="A6132" s="13">
        <v>45901.0</v>
      </c>
      <c r="B6132" s="14" t="s">
        <v>47</v>
      </c>
      <c r="C6132" s="14" t="s">
        <v>48</v>
      </c>
      <c r="D6132" s="14" t="s">
        <v>121</v>
      </c>
      <c r="E6132" s="14" t="s">
        <v>122</v>
      </c>
      <c r="F6132" s="15" t="s">
        <v>51</v>
      </c>
      <c r="G6132" s="14" t="s">
        <v>123</v>
      </c>
      <c r="H6132" s="14" t="s">
        <v>124</v>
      </c>
      <c r="I6132" s="14" t="s">
        <v>59</v>
      </c>
      <c r="J6132" s="14" t="s">
        <v>200</v>
      </c>
      <c r="K6132" s="14" t="s">
        <v>227</v>
      </c>
      <c r="L6132" s="14" t="s">
        <v>253</v>
      </c>
      <c r="M6132" s="14" t="s">
        <v>811</v>
      </c>
      <c r="N6132" s="14" t="s">
        <v>812</v>
      </c>
      <c r="O6132" s="14">
        <v>0.0</v>
      </c>
      <c r="P6132" s="23">
        <v>0.0</v>
      </c>
      <c r="Q6132" s="22" t="str">
        <f t="shared" ref="Q6132:R6132" si="3665">"+0.00%"</f>
        <v>+0.00%</v>
      </c>
      <c r="R6132" s="18" t="str">
        <f t="shared" si="3665"/>
        <v>+0.00%</v>
      </c>
      <c r="S6132" s="14" t="s">
        <v>813</v>
      </c>
    </row>
    <row r="6133">
      <c r="A6133" s="13">
        <v>45901.0</v>
      </c>
      <c r="B6133" s="14" t="s">
        <v>47</v>
      </c>
      <c r="C6133" s="14" t="s">
        <v>48</v>
      </c>
      <c r="D6133" s="14" t="s">
        <v>60</v>
      </c>
      <c r="E6133" s="14" t="s">
        <v>61</v>
      </c>
      <c r="F6133" s="15" t="s">
        <v>51</v>
      </c>
      <c r="G6133" s="14" t="s">
        <v>62</v>
      </c>
      <c r="H6133" s="14" t="s">
        <v>60</v>
      </c>
      <c r="I6133" s="14" t="s">
        <v>59</v>
      </c>
      <c r="J6133" s="14" t="s">
        <v>200</v>
      </c>
      <c r="K6133" s="14" t="s">
        <v>223</v>
      </c>
      <c r="L6133" s="14" t="s">
        <v>487</v>
      </c>
      <c r="M6133" s="14" t="s">
        <v>1075</v>
      </c>
      <c r="N6133" s="14" t="s">
        <v>1076</v>
      </c>
      <c r="O6133" s="14">
        <v>100.0</v>
      </c>
      <c r="P6133" s="23">
        <v>0.5686</v>
      </c>
      <c r="Q6133" s="22" t="str">
        <f>"+8.21%"</f>
        <v>+8.21%</v>
      </c>
      <c r="R6133" s="18" t="str">
        <f>"+3.16%"</f>
        <v>+3.16%</v>
      </c>
      <c r="S6133" s="14" t="s">
        <v>285</v>
      </c>
    </row>
    <row r="6134">
      <c r="A6134" s="13">
        <v>45901.0</v>
      </c>
      <c r="B6134" s="14" t="s">
        <v>47</v>
      </c>
      <c r="C6134" s="14" t="s">
        <v>48</v>
      </c>
      <c r="D6134" s="14" t="s">
        <v>60</v>
      </c>
      <c r="E6134" s="14" t="s">
        <v>61</v>
      </c>
      <c r="F6134" s="15" t="s">
        <v>51</v>
      </c>
      <c r="G6134" s="14" t="s">
        <v>62</v>
      </c>
      <c r="H6134" s="14" t="s">
        <v>60</v>
      </c>
      <c r="I6134" s="14" t="s">
        <v>59</v>
      </c>
      <c r="J6134" s="14" t="s">
        <v>200</v>
      </c>
      <c r="K6134" s="14" t="s">
        <v>223</v>
      </c>
      <c r="L6134" s="14" t="s">
        <v>440</v>
      </c>
      <c r="M6134" s="14" t="s">
        <v>441</v>
      </c>
      <c r="N6134" s="14" t="s">
        <v>442</v>
      </c>
      <c r="O6134" s="14">
        <v>0.0</v>
      </c>
      <c r="P6134" s="23">
        <v>0.0</v>
      </c>
      <c r="Q6134" s="22" t="str">
        <f t="shared" ref="Q6134:R6134" si="3666">"+0.00%"</f>
        <v>+0.00%</v>
      </c>
      <c r="R6134" s="18" t="str">
        <f t="shared" si="3666"/>
        <v>+0.00%</v>
      </c>
      <c r="S6134" s="14" t="s">
        <v>285</v>
      </c>
    </row>
    <row r="6135">
      <c r="A6135" s="13">
        <v>45901.0</v>
      </c>
      <c r="B6135" s="14" t="s">
        <v>47</v>
      </c>
      <c r="C6135" s="14" t="s">
        <v>48</v>
      </c>
      <c r="D6135" s="14" t="s">
        <v>140</v>
      </c>
      <c r="E6135" s="14" t="s">
        <v>141</v>
      </c>
      <c r="F6135" s="15" t="s">
        <v>51</v>
      </c>
      <c r="G6135" s="14" t="s">
        <v>142</v>
      </c>
      <c r="H6135" s="14" t="s">
        <v>140</v>
      </c>
      <c r="I6135" s="14" t="s">
        <v>59</v>
      </c>
      <c r="J6135" s="14" t="s">
        <v>200</v>
      </c>
      <c r="K6135" s="14" t="s">
        <v>213</v>
      </c>
      <c r="L6135" s="14" t="s">
        <v>257</v>
      </c>
      <c r="M6135" s="14" t="s">
        <v>258</v>
      </c>
      <c r="N6135" s="14" t="s">
        <v>259</v>
      </c>
      <c r="O6135" s="14">
        <v>100.0</v>
      </c>
      <c r="P6135" s="21">
        <v>7.0</v>
      </c>
      <c r="Q6135" s="22" t="str">
        <f t="shared" ref="Q6135:R6135" si="3667">"+0"</f>
        <v>+0</v>
      </c>
      <c r="R6135" s="18" t="str">
        <f t="shared" si="3667"/>
        <v>+0</v>
      </c>
      <c r="S6135" s="14" t="s">
        <v>260</v>
      </c>
    </row>
    <row r="6136">
      <c r="A6136" s="13">
        <v>45901.0</v>
      </c>
      <c r="B6136" s="14" t="s">
        <v>47</v>
      </c>
      <c r="C6136" s="14" t="s">
        <v>48</v>
      </c>
      <c r="D6136" s="14" t="s">
        <v>60</v>
      </c>
      <c r="E6136" s="14" t="s">
        <v>61</v>
      </c>
      <c r="F6136" s="15" t="s">
        <v>51</v>
      </c>
      <c r="G6136" s="14" t="s">
        <v>62</v>
      </c>
      <c r="H6136" s="14" t="s">
        <v>60</v>
      </c>
      <c r="I6136" s="14" t="s">
        <v>59</v>
      </c>
      <c r="J6136" s="14" t="s">
        <v>200</v>
      </c>
      <c r="K6136" s="14" t="s">
        <v>223</v>
      </c>
      <c r="L6136" s="14" t="s">
        <v>607</v>
      </c>
      <c r="M6136" s="14" t="s">
        <v>1035</v>
      </c>
      <c r="N6136" s="14" t="s">
        <v>1036</v>
      </c>
      <c r="O6136" s="14">
        <v>0.0</v>
      </c>
      <c r="P6136" s="23">
        <v>0.0</v>
      </c>
      <c r="Q6136" s="22" t="str">
        <f t="shared" ref="Q6136:R6136" si="3668">"+0.00%"</f>
        <v>+0.00%</v>
      </c>
      <c r="R6136" s="18" t="str">
        <f t="shared" si="3668"/>
        <v>+0.00%</v>
      </c>
      <c r="S6136" s="14" t="s">
        <v>2627</v>
      </c>
    </row>
    <row r="6137">
      <c r="A6137" s="13">
        <v>45901.0</v>
      </c>
      <c r="B6137" s="14" t="s">
        <v>47</v>
      </c>
      <c r="C6137" s="14" t="s">
        <v>48</v>
      </c>
      <c r="D6137" s="14" t="s">
        <v>91</v>
      </c>
      <c r="E6137" s="14" t="s">
        <v>92</v>
      </c>
      <c r="F6137" s="14" t="s">
        <v>71</v>
      </c>
      <c r="G6137" s="14">
        <v>5.10001669E8</v>
      </c>
      <c r="H6137" s="14" t="s">
        <v>91</v>
      </c>
      <c r="I6137" s="14" t="s">
        <v>107</v>
      </c>
      <c r="J6137" s="14" t="s">
        <v>199</v>
      </c>
      <c r="K6137" s="14" t="s">
        <v>208</v>
      </c>
      <c r="L6137" s="14" t="s">
        <v>412</v>
      </c>
      <c r="M6137" s="14" t="s">
        <v>412</v>
      </c>
      <c r="N6137" s="14" t="s">
        <v>413</v>
      </c>
      <c r="O6137" s="14">
        <v>100.0</v>
      </c>
      <c r="P6137" s="21">
        <v>11.0</v>
      </c>
      <c r="Q6137" s="22" t="str">
        <f t="shared" ref="Q6137:R6137" si="3669">"+0"</f>
        <v>+0</v>
      </c>
      <c r="R6137" s="18" t="str">
        <f t="shared" si="3669"/>
        <v>+0</v>
      </c>
      <c r="S6137" s="14" t="s">
        <v>260</v>
      </c>
    </row>
    <row r="6138">
      <c r="A6138" s="13">
        <v>45901.0</v>
      </c>
      <c r="B6138" s="14" t="s">
        <v>47</v>
      </c>
      <c r="C6138" s="14" t="s">
        <v>48</v>
      </c>
      <c r="D6138" s="14" t="s">
        <v>91</v>
      </c>
      <c r="E6138" s="14" t="s">
        <v>92</v>
      </c>
      <c r="F6138" s="14" t="s">
        <v>146</v>
      </c>
      <c r="G6138" s="14" t="s">
        <v>147</v>
      </c>
      <c r="H6138" s="14" t="s">
        <v>91</v>
      </c>
      <c r="I6138" s="14" t="s">
        <v>107</v>
      </c>
      <c r="J6138" s="14" t="s">
        <v>199</v>
      </c>
      <c r="K6138" s="14" t="s">
        <v>206</v>
      </c>
      <c r="L6138" s="14" t="s">
        <v>268</v>
      </c>
      <c r="M6138" s="14" t="s">
        <v>268</v>
      </c>
      <c r="N6138" s="14" t="s">
        <v>269</v>
      </c>
      <c r="O6138" s="14">
        <v>100.0</v>
      </c>
      <c r="P6138" s="21">
        <v>9.0</v>
      </c>
      <c r="Q6138" s="22" t="str">
        <f t="shared" ref="Q6138:R6138" si="3670">"+5"</f>
        <v>+5</v>
      </c>
      <c r="R6138" s="18" t="str">
        <f t="shared" si="3670"/>
        <v>+5</v>
      </c>
      <c r="S6138" s="14" t="s">
        <v>260</v>
      </c>
    </row>
    <row r="6139">
      <c r="A6139" s="13">
        <v>45901.0</v>
      </c>
      <c r="B6139" s="14" t="s">
        <v>47</v>
      </c>
      <c r="C6139" s="14" t="s">
        <v>48</v>
      </c>
      <c r="D6139" s="14" t="s">
        <v>99</v>
      </c>
      <c r="E6139" s="14" t="s">
        <v>100</v>
      </c>
      <c r="F6139" s="15" t="s">
        <v>51</v>
      </c>
      <c r="G6139" s="14" t="s">
        <v>101</v>
      </c>
      <c r="H6139" s="14" t="s">
        <v>102</v>
      </c>
      <c r="I6139" s="14" t="s">
        <v>54</v>
      </c>
      <c r="J6139" s="14" t="s">
        <v>199</v>
      </c>
      <c r="K6139" s="14" t="s">
        <v>203</v>
      </c>
      <c r="L6139" s="14" t="s">
        <v>736</v>
      </c>
      <c r="M6139" s="14" t="s">
        <v>736</v>
      </c>
      <c r="N6139" s="14" t="s">
        <v>737</v>
      </c>
      <c r="O6139" s="14">
        <v>0.0</v>
      </c>
      <c r="P6139" s="21">
        <v>0.0</v>
      </c>
      <c r="Q6139" s="22" t="str">
        <f t="shared" ref="Q6139:R6139" si="3671">"+0"</f>
        <v>+0</v>
      </c>
      <c r="R6139" s="18" t="str">
        <f t="shared" si="3671"/>
        <v>+0</v>
      </c>
      <c r="S6139" s="14" t="s">
        <v>260</v>
      </c>
    </row>
    <row r="6140">
      <c r="A6140" s="13">
        <v>45901.0</v>
      </c>
      <c r="B6140" s="14" t="s">
        <v>47</v>
      </c>
      <c r="C6140" s="14" t="s">
        <v>48</v>
      </c>
      <c r="D6140" s="14" t="s">
        <v>91</v>
      </c>
      <c r="E6140" s="14" t="s">
        <v>92</v>
      </c>
      <c r="F6140" s="14" t="s">
        <v>79</v>
      </c>
      <c r="G6140" s="14" t="s">
        <v>164</v>
      </c>
      <c r="H6140" s="14" t="s">
        <v>91</v>
      </c>
      <c r="I6140" s="14" t="s">
        <v>154</v>
      </c>
      <c r="J6140" s="14" t="s">
        <v>199</v>
      </c>
      <c r="K6140" s="14" t="s">
        <v>203</v>
      </c>
      <c r="L6140" s="14" t="s">
        <v>736</v>
      </c>
      <c r="M6140" s="14" t="s">
        <v>736</v>
      </c>
      <c r="N6140" s="14" t="s">
        <v>737</v>
      </c>
      <c r="O6140" s="14">
        <v>100.0</v>
      </c>
      <c r="P6140" s="21">
        <v>5.0</v>
      </c>
      <c r="Q6140" s="22" t="str">
        <f t="shared" ref="Q6140:R6140" si="3672">"+0"</f>
        <v>+0</v>
      </c>
      <c r="R6140" s="18" t="str">
        <f t="shared" si="3672"/>
        <v>+0</v>
      </c>
      <c r="S6140" s="14" t="s">
        <v>260</v>
      </c>
    </row>
    <row r="6141">
      <c r="A6141" s="13">
        <v>45901.0</v>
      </c>
      <c r="B6141" s="14" t="s">
        <v>47</v>
      </c>
      <c r="C6141" s="14" t="s">
        <v>48</v>
      </c>
      <c r="D6141" s="14" t="s">
        <v>91</v>
      </c>
      <c r="E6141" s="14" t="s">
        <v>92</v>
      </c>
      <c r="F6141" s="14" t="s">
        <v>71</v>
      </c>
      <c r="G6141" s="14">
        <v>5.10001669E8</v>
      </c>
      <c r="H6141" s="14" t="s">
        <v>91</v>
      </c>
      <c r="I6141" s="14" t="s">
        <v>107</v>
      </c>
      <c r="J6141" s="14" t="s">
        <v>199</v>
      </c>
      <c r="K6141" s="14" t="s">
        <v>206</v>
      </c>
      <c r="L6141" s="14" t="s">
        <v>381</v>
      </c>
      <c r="M6141" s="14" t="s">
        <v>381</v>
      </c>
      <c r="N6141" s="14" t="s">
        <v>382</v>
      </c>
      <c r="O6141" s="14">
        <v>0.0</v>
      </c>
      <c r="P6141" s="21">
        <v>0.0</v>
      </c>
      <c r="Q6141" s="22" t="str">
        <f t="shared" ref="Q6141:R6141" si="3673">"+0"</f>
        <v>+0</v>
      </c>
      <c r="R6141" s="18" t="str">
        <f t="shared" si="3673"/>
        <v>+0</v>
      </c>
      <c r="S6141" s="14" t="s">
        <v>383</v>
      </c>
    </row>
    <row r="6142">
      <c r="A6142" s="13">
        <v>45901.0</v>
      </c>
      <c r="B6142" s="14" t="s">
        <v>47</v>
      </c>
      <c r="C6142" s="14" t="s">
        <v>48</v>
      </c>
      <c r="D6142" s="14" t="s">
        <v>91</v>
      </c>
      <c r="E6142" s="14" t="s">
        <v>92</v>
      </c>
      <c r="F6142" s="15" t="s">
        <v>51</v>
      </c>
      <c r="G6142" s="14" t="s">
        <v>163</v>
      </c>
      <c r="H6142" s="14" t="s">
        <v>91</v>
      </c>
      <c r="I6142" s="14" t="s">
        <v>59</v>
      </c>
      <c r="J6142" s="14" t="s">
        <v>200</v>
      </c>
      <c r="K6142" s="14" t="s">
        <v>227</v>
      </c>
      <c r="L6142" s="14" t="s">
        <v>721</v>
      </c>
      <c r="M6142" s="14" t="s">
        <v>1060</v>
      </c>
      <c r="N6142" s="14" t="s">
        <v>1061</v>
      </c>
      <c r="O6142" s="14">
        <v>49.0</v>
      </c>
      <c r="P6142" s="23">
        <v>-0.0036</v>
      </c>
      <c r="Q6142" s="22" t="str">
        <f>"+1.33%"</f>
        <v>+1.33%</v>
      </c>
      <c r="R6142" s="18" t="str">
        <f>"-44.42%"</f>
        <v>-44.42%</v>
      </c>
      <c r="S6142" s="14" t="s">
        <v>1062</v>
      </c>
    </row>
    <row r="6143">
      <c r="A6143" s="13">
        <v>45901.0</v>
      </c>
      <c r="B6143" s="14" t="s">
        <v>47</v>
      </c>
      <c r="C6143" s="14" t="s">
        <v>48</v>
      </c>
      <c r="D6143" s="14" t="s">
        <v>165</v>
      </c>
      <c r="E6143" s="14" t="s">
        <v>166</v>
      </c>
      <c r="F6143" s="15" t="s">
        <v>51</v>
      </c>
      <c r="G6143" s="14" t="s">
        <v>167</v>
      </c>
      <c r="H6143" s="14" t="s">
        <v>165</v>
      </c>
      <c r="I6143" s="14" t="s">
        <v>54</v>
      </c>
      <c r="J6143" s="14" t="s">
        <v>198</v>
      </c>
      <c r="K6143" s="14" t="s">
        <v>210</v>
      </c>
      <c r="L6143" s="14" t="s">
        <v>458</v>
      </c>
      <c r="M6143" s="14" t="s">
        <v>945</v>
      </c>
      <c r="N6143" s="14" t="s">
        <v>946</v>
      </c>
      <c r="O6143" s="14">
        <v>0.0</v>
      </c>
      <c r="P6143" s="21">
        <v>0.0</v>
      </c>
      <c r="Q6143" s="22" t="str">
        <f t="shared" ref="Q6143:R6143" si="3674">"+0"</f>
        <v>+0</v>
      </c>
      <c r="R6143" s="18" t="str">
        <f t="shared" si="3674"/>
        <v>+0</v>
      </c>
      <c r="S6143" s="14" t="s">
        <v>277</v>
      </c>
    </row>
    <row r="6144">
      <c r="A6144" s="13">
        <v>45901.0</v>
      </c>
      <c r="B6144" s="14" t="s">
        <v>47</v>
      </c>
      <c r="C6144" s="14" t="s">
        <v>48</v>
      </c>
      <c r="D6144" s="14" t="s">
        <v>91</v>
      </c>
      <c r="E6144" s="14" t="s">
        <v>92</v>
      </c>
      <c r="F6144" s="14" t="s">
        <v>71</v>
      </c>
      <c r="G6144" s="14">
        <v>5.00008612E8</v>
      </c>
      <c r="H6144" s="14" t="s">
        <v>91</v>
      </c>
      <c r="I6144" s="14" t="s">
        <v>59</v>
      </c>
      <c r="J6144" s="14" t="s">
        <v>199</v>
      </c>
      <c r="K6144" s="14" t="s">
        <v>203</v>
      </c>
      <c r="L6144" s="14" t="s">
        <v>736</v>
      </c>
      <c r="M6144" s="14" t="s">
        <v>736</v>
      </c>
      <c r="N6144" s="14" t="s">
        <v>737</v>
      </c>
      <c r="O6144" s="14">
        <v>100.0</v>
      </c>
      <c r="P6144" s="21">
        <v>5.0</v>
      </c>
      <c r="Q6144" s="22" t="str">
        <f t="shared" ref="Q6144:R6144" si="3675">"+0"</f>
        <v>+0</v>
      </c>
      <c r="R6144" s="18" t="str">
        <f t="shared" si="3675"/>
        <v>+0</v>
      </c>
      <c r="S6144" s="14" t="s">
        <v>260</v>
      </c>
    </row>
    <row r="6145">
      <c r="A6145" s="13">
        <v>45901.0</v>
      </c>
      <c r="B6145" s="14" t="s">
        <v>47</v>
      </c>
      <c r="C6145" s="14" t="s">
        <v>48</v>
      </c>
      <c r="D6145" s="14" t="s">
        <v>149</v>
      </c>
      <c r="E6145" s="14" t="s">
        <v>150</v>
      </c>
      <c r="F6145" s="15" t="s">
        <v>51</v>
      </c>
      <c r="G6145" s="14" t="s">
        <v>151</v>
      </c>
      <c r="H6145" s="14" t="s">
        <v>152</v>
      </c>
      <c r="I6145" s="14" t="s">
        <v>54</v>
      </c>
      <c r="J6145" s="14" t="s">
        <v>200</v>
      </c>
      <c r="K6145" s="14" t="s">
        <v>223</v>
      </c>
      <c r="L6145" s="14" t="s">
        <v>289</v>
      </c>
      <c r="M6145" s="14" t="s">
        <v>384</v>
      </c>
      <c r="N6145" s="14" t="s">
        <v>385</v>
      </c>
      <c r="O6145" s="14">
        <v>87.0</v>
      </c>
      <c r="P6145" s="23">
        <v>0.8757</v>
      </c>
      <c r="Q6145" s="22" t="str">
        <f>"-0.82%"</f>
        <v>-0.82%</v>
      </c>
      <c r="R6145" s="18" t="str">
        <f>"-0.33%"</f>
        <v>-0.33%</v>
      </c>
      <c r="S6145" s="14" t="s">
        <v>1717</v>
      </c>
    </row>
    <row r="6146">
      <c r="A6146" s="13">
        <v>45901.0</v>
      </c>
      <c r="B6146" s="14" t="s">
        <v>47</v>
      </c>
      <c r="C6146" s="14" t="s">
        <v>48</v>
      </c>
      <c r="D6146" s="14" t="s">
        <v>181</v>
      </c>
      <c r="E6146" s="14" t="s">
        <v>182</v>
      </c>
      <c r="F6146" s="15" t="s">
        <v>51</v>
      </c>
      <c r="G6146" s="14" t="s">
        <v>183</v>
      </c>
      <c r="H6146" s="14" t="s">
        <v>181</v>
      </c>
      <c r="I6146" s="14" t="s">
        <v>59</v>
      </c>
      <c r="J6146" s="14" t="s">
        <v>200</v>
      </c>
      <c r="K6146" s="14" t="s">
        <v>232</v>
      </c>
      <c r="L6146" s="14" t="s">
        <v>286</v>
      </c>
      <c r="M6146" s="14" t="s">
        <v>730</v>
      </c>
      <c r="N6146" s="14" t="s">
        <v>731</v>
      </c>
      <c r="O6146" s="14">
        <v>0.0</v>
      </c>
      <c r="P6146" s="23">
        <v>0.0</v>
      </c>
      <c r="Q6146" s="22" t="str">
        <f t="shared" ref="Q6146:R6146" si="3676">"+0.00%"</f>
        <v>+0.00%</v>
      </c>
      <c r="R6146" s="18" t="str">
        <f t="shared" si="3676"/>
        <v>+0.00%</v>
      </c>
      <c r="S6146" s="14" t="s">
        <v>285</v>
      </c>
    </row>
    <row r="6147">
      <c r="A6147" s="13">
        <v>45901.0</v>
      </c>
      <c r="B6147" s="14" t="s">
        <v>47</v>
      </c>
      <c r="C6147" s="14" t="s">
        <v>48</v>
      </c>
      <c r="D6147" s="14" t="s">
        <v>129</v>
      </c>
      <c r="E6147" s="14" t="s">
        <v>130</v>
      </c>
      <c r="F6147" s="15" t="s">
        <v>51</v>
      </c>
      <c r="G6147" s="14" t="s">
        <v>131</v>
      </c>
      <c r="H6147" s="14" t="s">
        <v>129</v>
      </c>
      <c r="I6147" s="14" t="s">
        <v>59</v>
      </c>
      <c r="J6147" s="14" t="s">
        <v>200</v>
      </c>
      <c r="K6147" s="14" t="s">
        <v>227</v>
      </c>
      <c r="L6147" s="14" t="s">
        <v>270</v>
      </c>
      <c r="M6147" s="14" t="s">
        <v>321</v>
      </c>
      <c r="N6147" s="14" t="s">
        <v>322</v>
      </c>
      <c r="O6147" s="14">
        <v>48.0</v>
      </c>
      <c r="P6147" s="23">
        <v>-0.0354</v>
      </c>
      <c r="Q6147" s="22" t="str">
        <f>"+3.86%"</f>
        <v>+3.86%</v>
      </c>
      <c r="R6147" s="18" t="str">
        <f>"-10.20%"</f>
        <v>-10.20%</v>
      </c>
      <c r="S6147" s="14" t="s">
        <v>323</v>
      </c>
    </row>
    <row r="6148">
      <c r="A6148" s="13">
        <v>45901.0</v>
      </c>
      <c r="B6148" s="14" t="s">
        <v>47</v>
      </c>
      <c r="C6148" s="14" t="s">
        <v>48</v>
      </c>
      <c r="D6148" s="14" t="s">
        <v>77</v>
      </c>
      <c r="E6148" s="14" t="s">
        <v>78</v>
      </c>
      <c r="F6148" s="15" t="s">
        <v>51</v>
      </c>
      <c r="G6148" s="14" t="s">
        <v>128</v>
      </c>
      <c r="H6148" s="14" t="s">
        <v>81</v>
      </c>
      <c r="I6148" s="14" t="s">
        <v>59</v>
      </c>
      <c r="J6148" s="14" t="s">
        <v>200</v>
      </c>
      <c r="K6148" s="14" t="s">
        <v>217</v>
      </c>
      <c r="L6148" s="14" t="s">
        <v>253</v>
      </c>
      <c r="M6148" s="14" t="s">
        <v>2628</v>
      </c>
      <c r="N6148" s="14" t="s">
        <v>2629</v>
      </c>
      <c r="O6148" s="14">
        <v>0.0</v>
      </c>
      <c r="P6148" s="23">
        <v>0.0</v>
      </c>
      <c r="Q6148" s="22" t="str">
        <f t="shared" ref="Q6148:R6148" si="3677">"+0.00%"</f>
        <v>+0.00%</v>
      </c>
      <c r="R6148" s="18" t="str">
        <f t="shared" si="3677"/>
        <v>+0.00%</v>
      </c>
      <c r="S6148" s="14" t="s">
        <v>2566</v>
      </c>
    </row>
    <row r="6149">
      <c r="A6149" s="13">
        <v>45901.0</v>
      </c>
      <c r="B6149" s="14" t="s">
        <v>47</v>
      </c>
      <c r="C6149" s="14" t="s">
        <v>48</v>
      </c>
      <c r="D6149" s="14" t="s">
        <v>132</v>
      </c>
      <c r="E6149" s="14" t="s">
        <v>133</v>
      </c>
      <c r="F6149" s="15" t="s">
        <v>51</v>
      </c>
      <c r="G6149" s="14" t="s">
        <v>134</v>
      </c>
      <c r="H6149" s="14" t="s">
        <v>135</v>
      </c>
      <c r="I6149" s="14" t="s">
        <v>59</v>
      </c>
      <c r="J6149" s="14" t="s">
        <v>200</v>
      </c>
      <c r="K6149" s="14" t="s">
        <v>213</v>
      </c>
      <c r="L6149" s="14" t="s">
        <v>289</v>
      </c>
      <c r="M6149" s="14" t="s">
        <v>331</v>
      </c>
      <c r="N6149" s="14" t="s">
        <v>332</v>
      </c>
      <c r="O6149" s="14">
        <v>0.0</v>
      </c>
      <c r="P6149" s="23">
        <v>0.0</v>
      </c>
      <c r="Q6149" s="22" t="str">
        <f t="shared" ref="Q6149:R6149" si="3678">"+0.00%"</f>
        <v>+0.00%</v>
      </c>
      <c r="R6149" s="18" t="str">
        <f t="shared" si="3678"/>
        <v>+0.00%</v>
      </c>
      <c r="S6149" s="14" t="s">
        <v>285</v>
      </c>
    </row>
    <row r="6150">
      <c r="A6150" s="13">
        <v>45901.0</v>
      </c>
      <c r="B6150" s="14" t="s">
        <v>47</v>
      </c>
      <c r="C6150" s="14" t="s">
        <v>48</v>
      </c>
      <c r="D6150" s="14" t="s">
        <v>56</v>
      </c>
      <c r="E6150" s="14" t="s">
        <v>57</v>
      </c>
      <c r="F6150" s="15" t="s">
        <v>51</v>
      </c>
      <c r="G6150" s="14" t="s">
        <v>58</v>
      </c>
      <c r="H6150" s="14" t="s">
        <v>56</v>
      </c>
      <c r="I6150" s="14" t="s">
        <v>59</v>
      </c>
      <c r="J6150" s="14" t="s">
        <v>200</v>
      </c>
      <c r="K6150" s="14" t="s">
        <v>227</v>
      </c>
      <c r="L6150" s="14" t="s">
        <v>253</v>
      </c>
      <c r="M6150" s="14" t="s">
        <v>811</v>
      </c>
      <c r="N6150" s="14" t="s">
        <v>812</v>
      </c>
      <c r="O6150" s="14">
        <v>0.0</v>
      </c>
      <c r="P6150" s="23">
        <v>0.0</v>
      </c>
      <c r="Q6150" s="22" t="str">
        <f t="shared" ref="Q6150:R6150" si="3679">"+0.00%"</f>
        <v>+0.00%</v>
      </c>
      <c r="R6150" s="18" t="str">
        <f t="shared" si="3679"/>
        <v>+0.00%</v>
      </c>
      <c r="S6150" s="14" t="s">
        <v>398</v>
      </c>
    </row>
    <row r="6151">
      <c r="A6151" s="13">
        <v>45901.0</v>
      </c>
      <c r="B6151" s="14" t="s">
        <v>47</v>
      </c>
      <c r="C6151" s="14" t="s">
        <v>48</v>
      </c>
      <c r="D6151" s="14" t="s">
        <v>69</v>
      </c>
      <c r="E6151" s="14" t="s">
        <v>70</v>
      </c>
      <c r="F6151" s="15" t="s">
        <v>51</v>
      </c>
      <c r="G6151" s="14" t="s">
        <v>115</v>
      </c>
      <c r="H6151" s="14" t="s">
        <v>72</v>
      </c>
      <c r="I6151" s="14" t="s">
        <v>54</v>
      </c>
      <c r="J6151" s="14" t="s">
        <v>200</v>
      </c>
      <c r="K6151" s="14" t="s">
        <v>213</v>
      </c>
      <c r="L6151" s="14" t="s">
        <v>307</v>
      </c>
      <c r="M6151" s="14" t="s">
        <v>561</v>
      </c>
      <c r="N6151" s="14" t="s">
        <v>562</v>
      </c>
      <c r="O6151" s="14">
        <v>100.0</v>
      </c>
      <c r="P6151" s="23">
        <v>2.0E-4</v>
      </c>
      <c r="Q6151" s="22" t="str">
        <f t="shared" ref="Q6151:R6151" si="3680">"-0.02%"</f>
        <v>-0.02%</v>
      </c>
      <c r="R6151" s="18" t="str">
        <f t="shared" si="3680"/>
        <v>-0.02%</v>
      </c>
      <c r="S6151" s="14" t="s">
        <v>285</v>
      </c>
    </row>
    <row r="6152">
      <c r="A6152" s="13">
        <v>45901.0</v>
      </c>
      <c r="B6152" s="14" t="s">
        <v>47</v>
      </c>
      <c r="C6152" s="14" t="s">
        <v>48</v>
      </c>
      <c r="D6152" s="14" t="s">
        <v>77</v>
      </c>
      <c r="E6152" s="14" t="s">
        <v>78</v>
      </c>
      <c r="F6152" s="15" t="s">
        <v>51</v>
      </c>
      <c r="G6152" s="14" t="s">
        <v>128</v>
      </c>
      <c r="H6152" s="14" t="s">
        <v>81</v>
      </c>
      <c r="I6152" s="14" t="s">
        <v>59</v>
      </c>
      <c r="J6152" s="14" t="s">
        <v>200</v>
      </c>
      <c r="K6152" s="14" t="s">
        <v>223</v>
      </c>
      <c r="L6152" s="14" t="s">
        <v>304</v>
      </c>
      <c r="M6152" s="14" t="s">
        <v>877</v>
      </c>
      <c r="N6152" s="14" t="s">
        <v>878</v>
      </c>
      <c r="O6152" s="14">
        <v>0.0</v>
      </c>
      <c r="P6152" s="23">
        <v>0.0</v>
      </c>
      <c r="Q6152" s="22" t="str">
        <f t="shared" ref="Q6152:R6152" si="3681">"+0.00%"</f>
        <v>+0.00%</v>
      </c>
      <c r="R6152" s="18" t="str">
        <f t="shared" si="3681"/>
        <v>+0.00%</v>
      </c>
      <c r="S6152" s="14" t="s">
        <v>2630</v>
      </c>
    </row>
    <row r="6153">
      <c r="A6153" s="13">
        <v>45901.0</v>
      </c>
      <c r="B6153" s="14" t="s">
        <v>47</v>
      </c>
      <c r="C6153" s="14" t="s">
        <v>48</v>
      </c>
      <c r="D6153" s="14" t="s">
        <v>155</v>
      </c>
      <c r="E6153" s="14" t="s">
        <v>156</v>
      </c>
      <c r="F6153" s="15" t="s">
        <v>51</v>
      </c>
      <c r="G6153" s="14" t="s">
        <v>157</v>
      </c>
      <c r="H6153" s="14" t="s">
        <v>155</v>
      </c>
      <c r="I6153" s="14" t="s">
        <v>59</v>
      </c>
      <c r="J6153" s="14" t="s">
        <v>199</v>
      </c>
      <c r="K6153" s="14" t="s">
        <v>208</v>
      </c>
      <c r="L6153" s="14" t="s">
        <v>412</v>
      </c>
      <c r="M6153" s="14" t="s">
        <v>412</v>
      </c>
      <c r="N6153" s="14" t="s">
        <v>413</v>
      </c>
      <c r="O6153" s="14">
        <v>0.0</v>
      </c>
      <c r="P6153" s="21">
        <v>0.0</v>
      </c>
      <c r="Q6153" s="22" t="str">
        <f t="shared" ref="Q6153:R6153" si="3682">"+0"</f>
        <v>+0</v>
      </c>
      <c r="R6153" s="18" t="str">
        <f t="shared" si="3682"/>
        <v>+0</v>
      </c>
      <c r="S6153" s="14" t="s">
        <v>260</v>
      </c>
    </row>
    <row r="6154">
      <c r="A6154" s="13">
        <v>45901.0</v>
      </c>
      <c r="B6154" s="14" t="s">
        <v>47</v>
      </c>
      <c r="C6154" s="14" t="s">
        <v>48</v>
      </c>
      <c r="D6154" s="14" t="s">
        <v>77</v>
      </c>
      <c r="E6154" s="14" t="s">
        <v>78</v>
      </c>
      <c r="F6154" s="15" t="s">
        <v>51</v>
      </c>
      <c r="G6154" s="14" t="s">
        <v>128</v>
      </c>
      <c r="H6154" s="14" t="s">
        <v>81</v>
      </c>
      <c r="I6154" s="14" t="s">
        <v>59</v>
      </c>
      <c r="J6154" s="14" t="s">
        <v>200</v>
      </c>
      <c r="K6154" s="14" t="s">
        <v>223</v>
      </c>
      <c r="L6154" s="14" t="s">
        <v>363</v>
      </c>
      <c r="M6154" s="14" t="s">
        <v>379</v>
      </c>
      <c r="N6154" s="14" t="s">
        <v>380</v>
      </c>
      <c r="O6154" s="14">
        <v>0.0</v>
      </c>
      <c r="P6154" s="21">
        <v>0.0</v>
      </c>
      <c r="Q6154" s="22" t="str">
        <f t="shared" ref="Q6154:R6154" si="3683">"+0"</f>
        <v>+0</v>
      </c>
      <c r="R6154" s="18" t="str">
        <f t="shared" si="3683"/>
        <v>+0</v>
      </c>
      <c r="S6154" s="14" t="s">
        <v>260</v>
      </c>
    </row>
    <row r="6155">
      <c r="A6155" s="13">
        <v>45901.0</v>
      </c>
      <c r="B6155" s="14" t="s">
        <v>47</v>
      </c>
      <c r="C6155" s="14" t="s">
        <v>48</v>
      </c>
      <c r="D6155" s="14" t="s">
        <v>82</v>
      </c>
      <c r="E6155" s="14" t="s">
        <v>83</v>
      </c>
      <c r="F6155" s="15" t="s">
        <v>51</v>
      </c>
      <c r="G6155" s="14" t="s">
        <v>84</v>
      </c>
      <c r="H6155" s="14" t="s">
        <v>82</v>
      </c>
      <c r="I6155" s="14" t="s">
        <v>59</v>
      </c>
      <c r="J6155" s="14" t="s">
        <v>198</v>
      </c>
      <c r="K6155" s="14" t="s">
        <v>210</v>
      </c>
      <c r="L6155" s="14" t="s">
        <v>278</v>
      </c>
      <c r="M6155" s="14" t="s">
        <v>279</v>
      </c>
      <c r="N6155" s="14" t="s">
        <v>280</v>
      </c>
      <c r="O6155" s="14">
        <v>100.0</v>
      </c>
      <c r="P6155" s="21">
        <v>0.0</v>
      </c>
      <c r="Q6155" s="22" t="str">
        <f t="shared" ref="Q6155:R6155" si="3684">"+0"</f>
        <v>+0</v>
      </c>
      <c r="R6155" s="18" t="str">
        <f t="shared" si="3684"/>
        <v>+0</v>
      </c>
      <c r="S6155" s="14" t="s">
        <v>281</v>
      </c>
    </row>
    <row r="6156">
      <c r="A6156" s="13">
        <v>45901.0</v>
      </c>
      <c r="B6156" s="14" t="s">
        <v>47</v>
      </c>
      <c r="C6156" s="14" t="s">
        <v>48</v>
      </c>
      <c r="D6156" s="14" t="s">
        <v>56</v>
      </c>
      <c r="E6156" s="14" t="s">
        <v>57</v>
      </c>
      <c r="F6156" s="15" t="s">
        <v>51</v>
      </c>
      <c r="G6156" s="14" t="s">
        <v>58</v>
      </c>
      <c r="H6156" s="14" t="s">
        <v>56</v>
      </c>
      <c r="I6156" s="14" t="s">
        <v>59</v>
      </c>
      <c r="J6156" s="14" t="s">
        <v>198</v>
      </c>
      <c r="K6156" s="14" t="s">
        <v>210</v>
      </c>
      <c r="L6156" s="14" t="s">
        <v>278</v>
      </c>
      <c r="M6156" s="14" t="s">
        <v>279</v>
      </c>
      <c r="N6156" s="14" t="s">
        <v>280</v>
      </c>
      <c r="O6156" s="14">
        <v>100.0</v>
      </c>
      <c r="P6156" s="21">
        <v>0.0</v>
      </c>
      <c r="Q6156" s="22" t="str">
        <f t="shared" ref="Q6156:R6156" si="3685">"+0"</f>
        <v>+0</v>
      </c>
      <c r="R6156" s="18" t="str">
        <f t="shared" si="3685"/>
        <v>+0</v>
      </c>
      <c r="S6156" s="14" t="s">
        <v>281</v>
      </c>
    </row>
    <row r="6157">
      <c r="A6157" s="13">
        <v>45901.0</v>
      </c>
      <c r="B6157" s="14" t="s">
        <v>47</v>
      </c>
      <c r="C6157" s="14" t="s">
        <v>48</v>
      </c>
      <c r="D6157" s="14" t="s">
        <v>66</v>
      </c>
      <c r="E6157" s="14" t="s">
        <v>67</v>
      </c>
      <c r="F6157" s="15" t="s">
        <v>51</v>
      </c>
      <c r="G6157" s="14" t="s">
        <v>68</v>
      </c>
      <c r="H6157" s="14" t="s">
        <v>66</v>
      </c>
      <c r="I6157" s="14" t="s">
        <v>59</v>
      </c>
      <c r="J6157" s="14" t="s">
        <v>200</v>
      </c>
      <c r="K6157" s="14" t="s">
        <v>231</v>
      </c>
      <c r="L6157" s="14" t="s">
        <v>762</v>
      </c>
      <c r="M6157" s="14" t="s">
        <v>1329</v>
      </c>
      <c r="N6157" s="14" t="s">
        <v>1330</v>
      </c>
      <c r="O6157" s="14">
        <v>0.0</v>
      </c>
      <c r="P6157" s="23">
        <v>-1.0</v>
      </c>
      <c r="Q6157" s="22" t="str">
        <f t="shared" ref="Q6157:R6157" si="3686">"+0.00%"</f>
        <v>+0.00%</v>
      </c>
      <c r="R6157" s="18" t="str">
        <f t="shared" si="3686"/>
        <v>+0.00%</v>
      </c>
      <c r="S6157" s="14" t="s">
        <v>2631</v>
      </c>
    </row>
    <row r="6158">
      <c r="A6158" s="13">
        <v>45901.0</v>
      </c>
      <c r="B6158" s="14" t="s">
        <v>47</v>
      </c>
      <c r="C6158" s="14" t="s">
        <v>48</v>
      </c>
      <c r="D6158" s="14" t="s">
        <v>93</v>
      </c>
      <c r="E6158" s="14" t="s">
        <v>94</v>
      </c>
      <c r="F6158" s="15" t="s">
        <v>51</v>
      </c>
      <c r="G6158" s="14" t="s">
        <v>191</v>
      </c>
      <c r="H6158" s="14" t="s">
        <v>95</v>
      </c>
      <c r="I6158" s="14" t="s">
        <v>59</v>
      </c>
      <c r="J6158" s="14" t="s">
        <v>200</v>
      </c>
      <c r="K6158" s="14" t="s">
        <v>215</v>
      </c>
      <c r="L6158" s="14" t="s">
        <v>548</v>
      </c>
      <c r="M6158" s="14" t="s">
        <v>1568</v>
      </c>
      <c r="N6158" s="14" t="s">
        <v>1569</v>
      </c>
      <c r="O6158" s="14">
        <v>0.0</v>
      </c>
      <c r="P6158" s="23">
        <v>-1.0</v>
      </c>
      <c r="Q6158" s="22" t="str">
        <f t="shared" ref="Q6158:R6158" si="3687">"+0.00%"</f>
        <v>+0.00%</v>
      </c>
      <c r="R6158" s="18" t="str">
        <f t="shared" si="3687"/>
        <v>+0.00%</v>
      </c>
      <c r="S6158" s="14" t="s">
        <v>2632</v>
      </c>
    </row>
    <row r="6159">
      <c r="A6159" s="13">
        <v>45901.0</v>
      </c>
      <c r="B6159" s="14" t="s">
        <v>47</v>
      </c>
      <c r="C6159" s="14" t="s">
        <v>48</v>
      </c>
      <c r="D6159" s="14" t="s">
        <v>66</v>
      </c>
      <c r="E6159" s="14" t="s">
        <v>67</v>
      </c>
      <c r="F6159" s="15" t="s">
        <v>51</v>
      </c>
      <c r="G6159" s="14" t="s">
        <v>68</v>
      </c>
      <c r="H6159" s="14" t="s">
        <v>66</v>
      </c>
      <c r="I6159" s="14" t="s">
        <v>59</v>
      </c>
      <c r="J6159" s="14" t="s">
        <v>199</v>
      </c>
      <c r="K6159" s="14" t="s">
        <v>206</v>
      </c>
      <c r="L6159" s="14" t="s">
        <v>433</v>
      </c>
      <c r="M6159" s="14" t="s">
        <v>433</v>
      </c>
      <c r="N6159" s="14" t="s">
        <v>434</v>
      </c>
      <c r="O6159" s="14">
        <v>0.0</v>
      </c>
      <c r="P6159" s="21">
        <v>0.0</v>
      </c>
      <c r="Q6159" s="22" t="str">
        <f t="shared" ref="Q6159:R6159" si="3688">"+0"</f>
        <v>+0</v>
      </c>
      <c r="R6159" s="18" t="str">
        <f t="shared" si="3688"/>
        <v>+0</v>
      </c>
      <c r="S6159" s="14" t="s">
        <v>383</v>
      </c>
    </row>
    <row r="6160">
      <c r="A6160" s="13">
        <v>45901.0</v>
      </c>
      <c r="B6160" s="14" t="s">
        <v>47</v>
      </c>
      <c r="C6160" s="14" t="s">
        <v>48</v>
      </c>
      <c r="D6160" s="14" t="s">
        <v>82</v>
      </c>
      <c r="E6160" s="14" t="s">
        <v>83</v>
      </c>
      <c r="F6160" s="15" t="s">
        <v>51</v>
      </c>
      <c r="G6160" s="14" t="s">
        <v>84</v>
      </c>
      <c r="H6160" s="14" t="s">
        <v>82</v>
      </c>
      <c r="I6160" s="14" t="s">
        <v>59</v>
      </c>
      <c r="J6160" s="14" t="s">
        <v>199</v>
      </c>
      <c r="K6160" s="14" t="s">
        <v>203</v>
      </c>
      <c r="L6160" s="14" t="s">
        <v>342</v>
      </c>
      <c r="M6160" s="14" t="s">
        <v>342</v>
      </c>
      <c r="N6160" s="14" t="s">
        <v>343</v>
      </c>
      <c r="O6160" s="14">
        <v>100.0</v>
      </c>
      <c r="P6160" s="21">
        <v>1.0</v>
      </c>
      <c r="Q6160" s="22" t="str">
        <f t="shared" ref="Q6160:R6160" si="3689">"+0"</f>
        <v>+0</v>
      </c>
      <c r="R6160" s="18" t="str">
        <f t="shared" si="3689"/>
        <v>+0</v>
      </c>
      <c r="S6160" s="14" t="s">
        <v>260</v>
      </c>
    </row>
    <row r="6161">
      <c r="A6161" s="13">
        <v>45901.0</v>
      </c>
      <c r="B6161" s="14" t="s">
        <v>47</v>
      </c>
      <c r="C6161" s="14" t="s">
        <v>48</v>
      </c>
      <c r="D6161" s="14" t="s">
        <v>103</v>
      </c>
      <c r="E6161" s="14" t="s">
        <v>104</v>
      </c>
      <c r="F6161" s="15" t="s">
        <v>51</v>
      </c>
      <c r="G6161" s="14" t="s">
        <v>105</v>
      </c>
      <c r="H6161" s="14" t="s">
        <v>106</v>
      </c>
      <c r="I6161" s="14" t="s">
        <v>59</v>
      </c>
      <c r="J6161" s="14" t="s">
        <v>198</v>
      </c>
      <c r="K6161" s="14" t="s">
        <v>205</v>
      </c>
      <c r="L6161" s="14" t="s">
        <v>274</v>
      </c>
      <c r="M6161" s="14" t="s">
        <v>791</v>
      </c>
      <c r="N6161" s="14" t="s">
        <v>792</v>
      </c>
      <c r="O6161" s="14">
        <v>100.0</v>
      </c>
      <c r="P6161" s="21">
        <v>2.0</v>
      </c>
      <c r="Q6161" s="22" t="str">
        <f>"+0"</f>
        <v>+0</v>
      </c>
      <c r="S6161" s="14" t="s">
        <v>260</v>
      </c>
    </row>
    <row r="6162">
      <c r="A6162" s="13">
        <v>45901.0</v>
      </c>
      <c r="B6162" s="14" t="s">
        <v>47</v>
      </c>
      <c r="C6162" s="14" t="s">
        <v>48</v>
      </c>
      <c r="D6162" s="14" t="s">
        <v>129</v>
      </c>
      <c r="E6162" s="14" t="s">
        <v>130</v>
      </c>
      <c r="F6162" s="15" t="s">
        <v>51</v>
      </c>
      <c r="G6162" s="14" t="s">
        <v>131</v>
      </c>
      <c r="H6162" s="14" t="s">
        <v>129</v>
      </c>
      <c r="I6162" s="14" t="s">
        <v>59</v>
      </c>
      <c r="J6162" s="14" t="s">
        <v>200</v>
      </c>
      <c r="K6162" s="14" t="s">
        <v>213</v>
      </c>
      <c r="L6162" s="14" t="s">
        <v>257</v>
      </c>
      <c r="M6162" s="14" t="s">
        <v>622</v>
      </c>
      <c r="N6162" s="14" t="s">
        <v>623</v>
      </c>
      <c r="O6162" s="14">
        <v>91.0</v>
      </c>
      <c r="P6162" s="23">
        <v>0.832</v>
      </c>
      <c r="Q6162" s="22" t="str">
        <f>"+1.82%"</f>
        <v>+1.82%</v>
      </c>
      <c r="R6162" s="18" t="str">
        <f>"+19.68%"</f>
        <v>+19.68%</v>
      </c>
      <c r="S6162" s="14" t="s">
        <v>2633</v>
      </c>
    </row>
    <row r="6163">
      <c r="A6163" s="13">
        <v>45901.0</v>
      </c>
      <c r="B6163" s="14" t="s">
        <v>47</v>
      </c>
      <c r="C6163" s="14" t="s">
        <v>48</v>
      </c>
      <c r="D6163" s="14" t="s">
        <v>149</v>
      </c>
      <c r="E6163" s="14" t="s">
        <v>150</v>
      </c>
      <c r="F6163" s="15" t="s">
        <v>51</v>
      </c>
      <c r="G6163" s="14" t="s">
        <v>151</v>
      </c>
      <c r="H6163" s="14" t="s">
        <v>152</v>
      </c>
      <c r="I6163" s="14" t="s">
        <v>54</v>
      </c>
      <c r="J6163" s="14" t="s">
        <v>198</v>
      </c>
      <c r="K6163" s="14" t="s">
        <v>210</v>
      </c>
      <c r="L6163" s="14" t="s">
        <v>505</v>
      </c>
      <c r="M6163" s="14" t="s">
        <v>1128</v>
      </c>
      <c r="N6163" s="14" t="s">
        <v>1129</v>
      </c>
      <c r="O6163" s="14">
        <v>0.0</v>
      </c>
      <c r="P6163" s="21">
        <v>0.0</v>
      </c>
      <c r="Q6163" s="22" t="str">
        <f t="shared" ref="Q6163:R6163" si="3690">"+0"</f>
        <v>+0</v>
      </c>
      <c r="R6163" s="18" t="str">
        <f t="shared" si="3690"/>
        <v>+0</v>
      </c>
      <c r="S6163" s="14" t="s">
        <v>277</v>
      </c>
    </row>
    <row r="6164">
      <c r="A6164" s="13">
        <v>45901.0</v>
      </c>
      <c r="B6164" s="14" t="s">
        <v>47</v>
      </c>
      <c r="C6164" s="14" t="s">
        <v>48</v>
      </c>
      <c r="D6164" s="14" t="s">
        <v>125</v>
      </c>
      <c r="E6164" s="14" t="s">
        <v>126</v>
      </c>
      <c r="F6164" s="15" t="s">
        <v>51</v>
      </c>
      <c r="G6164" s="14" t="s">
        <v>127</v>
      </c>
      <c r="H6164" s="14" t="s">
        <v>125</v>
      </c>
      <c r="I6164" s="14" t="s">
        <v>59</v>
      </c>
      <c r="J6164" s="14" t="s">
        <v>198</v>
      </c>
      <c r="K6164" s="14" t="s">
        <v>210</v>
      </c>
      <c r="L6164" s="14" t="s">
        <v>264</v>
      </c>
      <c r="M6164" s="14" t="s">
        <v>524</v>
      </c>
      <c r="N6164" s="14" t="s">
        <v>525</v>
      </c>
      <c r="O6164" s="14">
        <v>100.0</v>
      </c>
      <c r="P6164" s="21">
        <v>0.0</v>
      </c>
      <c r="Q6164" s="22" t="str">
        <f t="shared" ref="Q6164:R6164" si="3691">"+0"</f>
        <v>+0</v>
      </c>
      <c r="R6164" s="18" t="str">
        <f t="shared" si="3691"/>
        <v>+0</v>
      </c>
      <c r="S6164" s="14" t="s">
        <v>281</v>
      </c>
    </row>
    <row r="6165">
      <c r="A6165" s="13">
        <v>45901.0</v>
      </c>
      <c r="B6165" s="14" t="s">
        <v>47</v>
      </c>
      <c r="C6165" s="14" t="s">
        <v>48</v>
      </c>
      <c r="D6165" s="14" t="s">
        <v>125</v>
      </c>
      <c r="E6165" s="14" t="s">
        <v>126</v>
      </c>
      <c r="F6165" s="15" t="s">
        <v>51</v>
      </c>
      <c r="G6165" s="14" t="s">
        <v>127</v>
      </c>
      <c r="H6165" s="14" t="s">
        <v>125</v>
      </c>
      <c r="I6165" s="14" t="s">
        <v>59</v>
      </c>
      <c r="J6165" s="14" t="s">
        <v>200</v>
      </c>
      <c r="K6165" s="14" t="s">
        <v>232</v>
      </c>
      <c r="L6165" s="14" t="s">
        <v>286</v>
      </c>
      <c r="M6165" s="14" t="s">
        <v>369</v>
      </c>
      <c r="N6165" s="14" t="s">
        <v>370</v>
      </c>
      <c r="O6165" s="14">
        <v>0.0</v>
      </c>
      <c r="P6165" s="23">
        <v>0.0</v>
      </c>
      <c r="Q6165" s="22" t="str">
        <f t="shared" ref="Q6165:R6165" si="3692">"+0.00%"</f>
        <v>+0.00%</v>
      </c>
      <c r="R6165" s="18" t="str">
        <f t="shared" si="3692"/>
        <v>+0.00%</v>
      </c>
      <c r="S6165" s="14" t="s">
        <v>2634</v>
      </c>
    </row>
    <row r="6166">
      <c r="A6166" s="13">
        <v>45901.0</v>
      </c>
      <c r="B6166" s="14" t="s">
        <v>47</v>
      </c>
      <c r="C6166" s="14" t="s">
        <v>48</v>
      </c>
      <c r="D6166" s="14" t="s">
        <v>96</v>
      </c>
      <c r="E6166" s="14" t="s">
        <v>97</v>
      </c>
      <c r="F6166" s="15" t="s">
        <v>51</v>
      </c>
      <c r="G6166" s="14" t="s">
        <v>98</v>
      </c>
      <c r="H6166" s="14" t="s">
        <v>96</v>
      </c>
      <c r="I6166" s="14" t="s">
        <v>59</v>
      </c>
      <c r="J6166" s="14" t="s">
        <v>200</v>
      </c>
      <c r="K6166" s="14" t="s">
        <v>223</v>
      </c>
      <c r="L6166" s="14" t="s">
        <v>261</v>
      </c>
      <c r="M6166" s="14" t="s">
        <v>808</v>
      </c>
      <c r="N6166" s="14" t="s">
        <v>809</v>
      </c>
      <c r="O6166" s="14">
        <v>0.0</v>
      </c>
      <c r="P6166" s="23">
        <v>0.0</v>
      </c>
      <c r="Q6166" s="22" t="str">
        <f t="shared" ref="Q6166:R6166" si="3693">"+0.00%"</f>
        <v>+0.00%</v>
      </c>
      <c r="R6166" s="18" t="str">
        <f t="shared" si="3693"/>
        <v>+0.00%</v>
      </c>
      <c r="S6166" s="14" t="s">
        <v>2635</v>
      </c>
    </row>
    <row r="6167">
      <c r="A6167" s="13">
        <v>45901.0</v>
      </c>
      <c r="B6167" s="14" t="s">
        <v>47</v>
      </c>
      <c r="C6167" s="14" t="s">
        <v>48</v>
      </c>
      <c r="D6167" s="14" t="s">
        <v>85</v>
      </c>
      <c r="E6167" s="14" t="s">
        <v>86</v>
      </c>
      <c r="F6167" s="15" t="s">
        <v>51</v>
      </c>
      <c r="G6167" s="14" t="s">
        <v>148</v>
      </c>
      <c r="H6167" s="14" t="s">
        <v>85</v>
      </c>
      <c r="I6167" s="14" t="s">
        <v>59</v>
      </c>
      <c r="J6167" s="14" t="s">
        <v>200</v>
      </c>
      <c r="K6167" s="14" t="s">
        <v>213</v>
      </c>
      <c r="L6167" s="14" t="s">
        <v>257</v>
      </c>
      <c r="M6167" s="14" t="s">
        <v>298</v>
      </c>
      <c r="N6167" s="14" t="s">
        <v>299</v>
      </c>
      <c r="O6167" s="14">
        <v>1.0</v>
      </c>
      <c r="P6167" s="23">
        <v>0.0087</v>
      </c>
      <c r="Q6167" s="22" t="str">
        <f>"-0.31%"</f>
        <v>-0.31%</v>
      </c>
      <c r="R6167" s="18" t="str">
        <f>"-0.53%"</f>
        <v>-0.53%</v>
      </c>
      <c r="S6167" s="14" t="s">
        <v>1844</v>
      </c>
    </row>
    <row r="6168">
      <c r="A6168" s="13">
        <v>45901.0</v>
      </c>
      <c r="B6168" s="14" t="s">
        <v>47</v>
      </c>
      <c r="C6168" s="14" t="s">
        <v>48</v>
      </c>
      <c r="D6168" s="14" t="s">
        <v>116</v>
      </c>
      <c r="E6168" s="14" t="s">
        <v>117</v>
      </c>
      <c r="F6168" s="14" t="s">
        <v>111</v>
      </c>
      <c r="G6168" s="14">
        <v>5298600.0</v>
      </c>
      <c r="H6168" s="14" t="s">
        <v>116</v>
      </c>
      <c r="I6168" s="14" t="s">
        <v>59</v>
      </c>
      <c r="J6168" s="14" t="s">
        <v>199</v>
      </c>
      <c r="K6168" s="14" t="s">
        <v>206</v>
      </c>
      <c r="L6168" s="14" t="s">
        <v>515</v>
      </c>
      <c r="M6168" s="14" t="s">
        <v>515</v>
      </c>
      <c r="N6168" s="14" t="s">
        <v>516</v>
      </c>
      <c r="O6168" s="14">
        <v>0.0</v>
      </c>
      <c r="P6168" s="21">
        <v>0.0</v>
      </c>
      <c r="Q6168" s="22" t="str">
        <f t="shared" ref="Q6168:R6168" si="3694">"+0"</f>
        <v>+0</v>
      </c>
      <c r="R6168" s="18" t="str">
        <f t="shared" si="3694"/>
        <v>+0</v>
      </c>
      <c r="S6168" s="14" t="s">
        <v>383</v>
      </c>
    </row>
    <row r="6169">
      <c r="A6169" s="13">
        <v>45901.0</v>
      </c>
      <c r="B6169" s="14" t="s">
        <v>47</v>
      </c>
      <c r="C6169" s="14" t="s">
        <v>48</v>
      </c>
      <c r="D6169" s="14" t="s">
        <v>116</v>
      </c>
      <c r="E6169" s="14" t="s">
        <v>117</v>
      </c>
      <c r="F6169" s="15" t="s">
        <v>51</v>
      </c>
      <c r="G6169" s="14" t="s">
        <v>161</v>
      </c>
      <c r="H6169" s="14" t="s">
        <v>116</v>
      </c>
      <c r="I6169" s="14" t="s">
        <v>54</v>
      </c>
      <c r="J6169" s="14" t="s">
        <v>199</v>
      </c>
      <c r="K6169" s="14" t="s">
        <v>203</v>
      </c>
      <c r="L6169" s="14" t="s">
        <v>342</v>
      </c>
      <c r="M6169" s="14" t="s">
        <v>342</v>
      </c>
      <c r="N6169" s="14" t="s">
        <v>343</v>
      </c>
      <c r="O6169" s="14">
        <v>0.0</v>
      </c>
      <c r="P6169" s="21">
        <v>0.0</v>
      </c>
      <c r="Q6169" s="22" t="str">
        <f t="shared" ref="Q6169:R6169" si="3695">"+0"</f>
        <v>+0</v>
      </c>
      <c r="R6169" s="18" t="str">
        <f t="shared" si="3695"/>
        <v>+0</v>
      </c>
      <c r="S6169" s="14" t="s">
        <v>260</v>
      </c>
    </row>
    <row r="6170">
      <c r="A6170" s="13">
        <v>45901.0</v>
      </c>
      <c r="B6170" s="14" t="s">
        <v>47</v>
      </c>
      <c r="C6170" s="14" t="s">
        <v>48</v>
      </c>
      <c r="D6170" s="14" t="s">
        <v>112</v>
      </c>
      <c r="E6170" s="14" t="s">
        <v>113</v>
      </c>
      <c r="F6170" s="15" t="s">
        <v>51</v>
      </c>
      <c r="G6170" s="14" t="s">
        <v>114</v>
      </c>
      <c r="H6170" s="14" t="s">
        <v>112</v>
      </c>
      <c r="I6170" s="14" t="s">
        <v>59</v>
      </c>
      <c r="J6170" s="14" t="s">
        <v>200</v>
      </c>
      <c r="K6170" s="14" t="s">
        <v>222</v>
      </c>
      <c r="L6170" s="14" t="s">
        <v>337</v>
      </c>
      <c r="M6170" s="14" t="s">
        <v>338</v>
      </c>
      <c r="N6170" s="14" t="s">
        <v>339</v>
      </c>
      <c r="O6170" s="14">
        <v>0.0</v>
      </c>
      <c r="P6170" s="21">
        <v>0.0</v>
      </c>
      <c r="Q6170" s="22" t="str">
        <f t="shared" ref="Q6170:R6170" si="3696">"+0"</f>
        <v>+0</v>
      </c>
      <c r="R6170" s="18" t="str">
        <f t="shared" si="3696"/>
        <v>+0</v>
      </c>
      <c r="S6170" s="14" t="s">
        <v>260</v>
      </c>
    </row>
    <row r="6171">
      <c r="A6171" s="13">
        <v>45901.0</v>
      </c>
      <c r="B6171" s="14" t="s">
        <v>47</v>
      </c>
      <c r="C6171" s="14" t="s">
        <v>48</v>
      </c>
      <c r="D6171" s="14" t="s">
        <v>158</v>
      </c>
      <c r="E6171" s="14" t="s">
        <v>159</v>
      </c>
      <c r="F6171" s="15" t="s">
        <v>51</v>
      </c>
      <c r="G6171" s="14" t="s">
        <v>160</v>
      </c>
      <c r="H6171" s="14" t="s">
        <v>158</v>
      </c>
      <c r="I6171" s="14" t="s">
        <v>54</v>
      </c>
      <c r="J6171" s="14" t="s">
        <v>200</v>
      </c>
      <c r="K6171" s="14" t="s">
        <v>227</v>
      </c>
      <c r="L6171" s="14" t="s">
        <v>253</v>
      </c>
      <c r="M6171" s="14" t="s">
        <v>396</v>
      </c>
      <c r="N6171" s="14" t="s">
        <v>397</v>
      </c>
      <c r="O6171" s="14">
        <v>50.0</v>
      </c>
      <c r="P6171" s="23">
        <v>0.5</v>
      </c>
      <c r="Q6171" s="22" t="str">
        <f t="shared" ref="Q6171:R6171" si="3697">"+0.00%"</f>
        <v>+0.00%</v>
      </c>
      <c r="R6171" s="18" t="str">
        <f t="shared" si="3697"/>
        <v>+0.00%</v>
      </c>
      <c r="S6171" s="14" t="s">
        <v>916</v>
      </c>
    </row>
    <row r="6172">
      <c r="A6172" s="13">
        <v>45901.0</v>
      </c>
      <c r="B6172" s="14" t="s">
        <v>47</v>
      </c>
      <c r="C6172" s="14" t="s">
        <v>48</v>
      </c>
      <c r="D6172" s="14" t="s">
        <v>60</v>
      </c>
      <c r="E6172" s="14" t="s">
        <v>61</v>
      </c>
      <c r="F6172" s="15" t="s">
        <v>51</v>
      </c>
      <c r="G6172" s="14" t="s">
        <v>62</v>
      </c>
      <c r="H6172" s="14" t="s">
        <v>60</v>
      </c>
      <c r="I6172" s="14" t="s">
        <v>59</v>
      </c>
      <c r="J6172" s="14" t="s">
        <v>200</v>
      </c>
      <c r="K6172" s="14" t="s">
        <v>223</v>
      </c>
      <c r="L6172" s="14" t="s">
        <v>304</v>
      </c>
      <c r="M6172" s="14" t="s">
        <v>702</v>
      </c>
      <c r="N6172" s="14" t="s">
        <v>703</v>
      </c>
      <c r="O6172" s="14">
        <v>100.0</v>
      </c>
      <c r="P6172" s="23">
        <v>0.1373</v>
      </c>
      <c r="Q6172" s="22" t="str">
        <f>"+0.21%"</f>
        <v>+0.21%</v>
      </c>
      <c r="R6172" s="18" t="str">
        <f>"-6.64%"</f>
        <v>-6.64%</v>
      </c>
      <c r="S6172" s="14" t="s">
        <v>285</v>
      </c>
    </row>
    <row r="6173">
      <c r="A6173" s="13">
        <v>45901.0</v>
      </c>
      <c r="B6173" s="14" t="s">
        <v>47</v>
      </c>
      <c r="C6173" s="14" t="s">
        <v>48</v>
      </c>
      <c r="D6173" s="14" t="s">
        <v>56</v>
      </c>
      <c r="E6173" s="14" t="s">
        <v>57</v>
      </c>
      <c r="F6173" s="15" t="s">
        <v>51</v>
      </c>
      <c r="G6173" s="14" t="s">
        <v>58</v>
      </c>
      <c r="H6173" s="14" t="s">
        <v>56</v>
      </c>
      <c r="I6173" s="14" t="s">
        <v>59</v>
      </c>
      <c r="J6173" s="14" t="s">
        <v>200</v>
      </c>
      <c r="K6173" s="14" t="s">
        <v>223</v>
      </c>
      <c r="L6173" s="14" t="s">
        <v>307</v>
      </c>
      <c r="M6173" s="14" t="s">
        <v>1176</v>
      </c>
      <c r="N6173" s="14" t="s">
        <v>1177</v>
      </c>
      <c r="O6173" s="14">
        <v>0.0</v>
      </c>
      <c r="P6173" s="23">
        <v>0.0</v>
      </c>
      <c r="Q6173" s="22" t="str">
        <f t="shared" ref="Q6173:R6173" si="3698">"+0.00%"</f>
        <v>+0.00%</v>
      </c>
      <c r="R6173" s="18" t="str">
        <f t="shared" si="3698"/>
        <v>+0.00%</v>
      </c>
      <c r="S6173" s="14" t="s">
        <v>285</v>
      </c>
    </row>
    <row r="6174">
      <c r="A6174" s="13">
        <v>45901.0</v>
      </c>
      <c r="B6174" s="14" t="s">
        <v>47</v>
      </c>
      <c r="C6174" s="14" t="s">
        <v>48</v>
      </c>
      <c r="D6174" s="14" t="s">
        <v>155</v>
      </c>
      <c r="E6174" s="14" t="s">
        <v>156</v>
      </c>
      <c r="F6174" s="15" t="s">
        <v>51</v>
      </c>
      <c r="G6174" s="14" t="s">
        <v>157</v>
      </c>
      <c r="H6174" s="14" t="s">
        <v>155</v>
      </c>
      <c r="I6174" s="14" t="s">
        <v>59</v>
      </c>
      <c r="J6174" s="14" t="s">
        <v>200</v>
      </c>
      <c r="K6174" s="14" t="s">
        <v>209</v>
      </c>
      <c r="L6174" s="14" t="s">
        <v>253</v>
      </c>
      <c r="M6174" s="14" t="s">
        <v>817</v>
      </c>
      <c r="N6174" s="14" t="s">
        <v>818</v>
      </c>
      <c r="O6174" s="14">
        <v>0.0</v>
      </c>
      <c r="P6174" s="23">
        <v>0.0</v>
      </c>
      <c r="Q6174" s="22" t="str">
        <f t="shared" ref="Q6174:R6174" si="3699">"+0.00%"</f>
        <v>+0.00%</v>
      </c>
      <c r="R6174" s="18" t="str">
        <f t="shared" si="3699"/>
        <v>+0.00%</v>
      </c>
      <c r="S6174" s="14" t="s">
        <v>2636</v>
      </c>
    </row>
    <row r="6175">
      <c r="A6175" s="13">
        <v>45901.0</v>
      </c>
      <c r="B6175" s="14" t="s">
        <v>47</v>
      </c>
      <c r="C6175" s="14" t="s">
        <v>48</v>
      </c>
      <c r="D6175" s="14" t="s">
        <v>140</v>
      </c>
      <c r="E6175" s="14" t="s">
        <v>141</v>
      </c>
      <c r="F6175" s="15" t="s">
        <v>51</v>
      </c>
      <c r="G6175" s="14" t="s">
        <v>142</v>
      </c>
      <c r="H6175" s="14" t="s">
        <v>140</v>
      </c>
      <c r="I6175" s="14" t="s">
        <v>59</v>
      </c>
      <c r="J6175" s="14" t="s">
        <v>199</v>
      </c>
      <c r="K6175" s="14" t="s">
        <v>206</v>
      </c>
      <c r="L6175" s="14" t="s">
        <v>381</v>
      </c>
      <c r="M6175" s="14" t="s">
        <v>381</v>
      </c>
      <c r="N6175" s="14" t="s">
        <v>382</v>
      </c>
      <c r="O6175" s="14">
        <v>0.0</v>
      </c>
      <c r="P6175" s="21">
        <v>0.0</v>
      </c>
      <c r="Q6175" s="22" t="str">
        <f t="shared" ref="Q6175:R6175" si="3700">"+0"</f>
        <v>+0</v>
      </c>
      <c r="R6175" s="18" t="str">
        <f t="shared" si="3700"/>
        <v>+0</v>
      </c>
      <c r="S6175" s="14" t="s">
        <v>383</v>
      </c>
    </row>
    <row r="6176">
      <c r="A6176" s="13">
        <v>45901.0</v>
      </c>
      <c r="B6176" s="14" t="s">
        <v>47</v>
      </c>
      <c r="C6176" s="14" t="s">
        <v>48</v>
      </c>
      <c r="D6176" s="14" t="s">
        <v>181</v>
      </c>
      <c r="E6176" s="14" t="s">
        <v>182</v>
      </c>
      <c r="F6176" s="15" t="s">
        <v>51</v>
      </c>
      <c r="G6176" s="14" t="s">
        <v>183</v>
      </c>
      <c r="H6176" s="14" t="s">
        <v>181</v>
      </c>
      <c r="I6176" s="14" t="s">
        <v>59</v>
      </c>
      <c r="J6176" s="14" t="s">
        <v>200</v>
      </c>
      <c r="K6176" s="14" t="s">
        <v>227</v>
      </c>
      <c r="L6176" s="14" t="s">
        <v>253</v>
      </c>
      <c r="M6176" s="14" t="s">
        <v>811</v>
      </c>
      <c r="N6176" s="14" t="s">
        <v>812</v>
      </c>
      <c r="O6176" s="14">
        <v>0.0</v>
      </c>
      <c r="P6176" s="23">
        <v>0.0</v>
      </c>
      <c r="Q6176" s="22" t="str">
        <f t="shared" ref="Q6176:R6176" si="3701">"+0.00%"</f>
        <v>+0.00%</v>
      </c>
      <c r="R6176" s="18" t="str">
        <f t="shared" si="3701"/>
        <v>+0.00%</v>
      </c>
      <c r="S6176" s="14" t="s">
        <v>398</v>
      </c>
    </row>
    <row r="6177">
      <c r="A6177" s="13">
        <v>45901.0</v>
      </c>
      <c r="B6177" s="14" t="s">
        <v>47</v>
      </c>
      <c r="C6177" s="14" t="s">
        <v>48</v>
      </c>
      <c r="D6177" s="14" t="s">
        <v>165</v>
      </c>
      <c r="E6177" s="14" t="s">
        <v>166</v>
      </c>
      <c r="F6177" s="15" t="s">
        <v>51</v>
      </c>
      <c r="G6177" s="14" t="s">
        <v>167</v>
      </c>
      <c r="H6177" s="14" t="s">
        <v>165</v>
      </c>
      <c r="I6177" s="14" t="s">
        <v>54</v>
      </c>
      <c r="J6177" s="14" t="s">
        <v>198</v>
      </c>
      <c r="K6177" s="14" t="s">
        <v>210</v>
      </c>
      <c r="L6177" s="14" t="s">
        <v>264</v>
      </c>
      <c r="M6177" s="14" t="s">
        <v>405</v>
      </c>
      <c r="N6177" s="14" t="s">
        <v>406</v>
      </c>
      <c r="O6177" s="14">
        <v>0.0</v>
      </c>
      <c r="P6177" s="21">
        <v>0.0</v>
      </c>
      <c r="Q6177" s="22" t="str">
        <f t="shared" ref="Q6177:R6177" si="3702">"+0"</f>
        <v>+0</v>
      </c>
      <c r="R6177" s="18" t="str">
        <f t="shared" si="3702"/>
        <v>+0</v>
      </c>
      <c r="S6177" s="14" t="s">
        <v>277</v>
      </c>
    </row>
    <row r="6178">
      <c r="A6178" s="13">
        <v>45901.0</v>
      </c>
      <c r="B6178" s="14" t="s">
        <v>47</v>
      </c>
      <c r="C6178" s="14" t="s">
        <v>48</v>
      </c>
      <c r="D6178" s="14" t="s">
        <v>165</v>
      </c>
      <c r="E6178" s="14" t="s">
        <v>166</v>
      </c>
      <c r="F6178" s="15" t="s">
        <v>51</v>
      </c>
      <c r="G6178" s="14" t="s">
        <v>167</v>
      </c>
      <c r="H6178" s="14" t="s">
        <v>165</v>
      </c>
      <c r="I6178" s="14" t="s">
        <v>54</v>
      </c>
      <c r="J6178" s="14" t="s">
        <v>200</v>
      </c>
      <c r="K6178" s="14" t="s">
        <v>224</v>
      </c>
      <c r="L6178" s="14" t="s">
        <v>427</v>
      </c>
      <c r="M6178" s="14" t="s">
        <v>769</v>
      </c>
      <c r="N6178" s="14" t="s">
        <v>770</v>
      </c>
      <c r="O6178" s="14">
        <v>0.0</v>
      </c>
      <c r="P6178" s="23">
        <v>0.0</v>
      </c>
      <c r="Q6178" s="22" t="str">
        <f t="shared" ref="Q6178:R6178" si="3703">"+0.00%"</f>
        <v>+0.00%</v>
      </c>
      <c r="R6178" s="18" t="str">
        <f t="shared" si="3703"/>
        <v>+0.00%</v>
      </c>
      <c r="S6178" s="14" t="s">
        <v>771</v>
      </c>
    </row>
    <row r="6179">
      <c r="A6179" s="13">
        <v>45901.0</v>
      </c>
      <c r="B6179" s="14" t="s">
        <v>47</v>
      </c>
      <c r="C6179" s="14" t="s">
        <v>48</v>
      </c>
      <c r="D6179" s="14" t="s">
        <v>91</v>
      </c>
      <c r="E6179" s="14" t="s">
        <v>92</v>
      </c>
      <c r="F6179" s="14" t="s">
        <v>79</v>
      </c>
      <c r="G6179" s="14" t="s">
        <v>164</v>
      </c>
      <c r="H6179" s="14" t="s">
        <v>91</v>
      </c>
      <c r="I6179" s="14" t="s">
        <v>154</v>
      </c>
      <c r="J6179" s="14" t="s">
        <v>200</v>
      </c>
      <c r="K6179" s="14" t="s">
        <v>237</v>
      </c>
      <c r="L6179" s="14" t="s">
        <v>253</v>
      </c>
      <c r="M6179" s="14" t="s">
        <v>1720</v>
      </c>
      <c r="N6179" s="14" t="s">
        <v>1721</v>
      </c>
      <c r="O6179" s="14">
        <v>93.0</v>
      </c>
      <c r="P6179" s="23">
        <v>0.9311</v>
      </c>
      <c r="Q6179" s="22" t="str">
        <f>"+2.22%"</f>
        <v>+2.22%</v>
      </c>
      <c r="R6179" s="18" t="str">
        <f>"+4.15%"</f>
        <v>+4.15%</v>
      </c>
      <c r="S6179" s="14" t="s">
        <v>2637</v>
      </c>
    </row>
    <row r="6180">
      <c r="A6180" s="13">
        <v>45901.0</v>
      </c>
      <c r="B6180" s="14" t="s">
        <v>47</v>
      </c>
      <c r="C6180" s="14" t="s">
        <v>48</v>
      </c>
      <c r="D6180" s="14" t="s">
        <v>63</v>
      </c>
      <c r="E6180" s="14" t="s">
        <v>64</v>
      </c>
      <c r="F6180" s="15" t="s">
        <v>51</v>
      </c>
      <c r="G6180" s="14" t="s">
        <v>65</v>
      </c>
      <c r="H6180" s="14" t="s">
        <v>63</v>
      </c>
      <c r="I6180" s="14" t="s">
        <v>54</v>
      </c>
      <c r="J6180" s="14" t="s">
        <v>200</v>
      </c>
      <c r="K6180" s="14" t="s">
        <v>227</v>
      </c>
      <c r="L6180" s="14" t="s">
        <v>253</v>
      </c>
      <c r="M6180" s="14" t="s">
        <v>254</v>
      </c>
      <c r="N6180" s="14" t="s">
        <v>255</v>
      </c>
      <c r="O6180" s="14">
        <v>29.0</v>
      </c>
      <c r="P6180" s="23">
        <v>0.2957</v>
      </c>
      <c r="Q6180" s="22" t="str">
        <f>"-5.22%"</f>
        <v>-5.22%</v>
      </c>
      <c r="R6180" s="18" t="str">
        <f>"-3.48%"</f>
        <v>-3.48%</v>
      </c>
      <c r="S6180" s="14" t="s">
        <v>399</v>
      </c>
    </row>
    <row r="6181">
      <c r="A6181" s="13">
        <v>45901.0</v>
      </c>
      <c r="B6181" s="14" t="s">
        <v>47</v>
      </c>
      <c r="C6181" s="14" t="s">
        <v>48</v>
      </c>
      <c r="D6181" s="14" t="s">
        <v>99</v>
      </c>
      <c r="E6181" s="14" t="s">
        <v>100</v>
      </c>
      <c r="F6181" s="15" t="s">
        <v>51</v>
      </c>
      <c r="G6181" s="14" t="s">
        <v>101</v>
      </c>
      <c r="H6181" s="14" t="s">
        <v>102</v>
      </c>
      <c r="I6181" s="14" t="s">
        <v>54</v>
      </c>
      <c r="J6181" s="14" t="s">
        <v>198</v>
      </c>
      <c r="K6181" s="14" t="s">
        <v>205</v>
      </c>
      <c r="L6181" s="14" t="s">
        <v>274</v>
      </c>
      <c r="M6181" s="14" t="s">
        <v>738</v>
      </c>
      <c r="N6181" s="14" t="s">
        <v>739</v>
      </c>
      <c r="O6181" s="14">
        <v>0.0</v>
      </c>
      <c r="P6181" s="21">
        <v>0.0</v>
      </c>
      <c r="Q6181" s="22" t="str">
        <f>"+0"</f>
        <v>+0</v>
      </c>
      <c r="S6181" s="14" t="s">
        <v>281</v>
      </c>
    </row>
    <row r="6182">
      <c r="A6182" s="13">
        <v>45901.0</v>
      </c>
      <c r="B6182" s="14" t="s">
        <v>47</v>
      </c>
      <c r="C6182" s="14" t="s">
        <v>48</v>
      </c>
      <c r="D6182" s="14" t="s">
        <v>91</v>
      </c>
      <c r="E6182" s="14" t="s">
        <v>92</v>
      </c>
      <c r="F6182" s="15" t="s">
        <v>51</v>
      </c>
      <c r="G6182" s="14" t="s">
        <v>163</v>
      </c>
      <c r="H6182" s="14" t="s">
        <v>91</v>
      </c>
      <c r="I6182" s="14" t="s">
        <v>59</v>
      </c>
      <c r="J6182" s="14" t="s">
        <v>198</v>
      </c>
      <c r="K6182" s="14" t="s">
        <v>212</v>
      </c>
      <c r="L6182" s="14" t="s">
        <v>249</v>
      </c>
      <c r="M6182" s="14" t="s">
        <v>598</v>
      </c>
      <c r="N6182" s="14" t="s">
        <v>599</v>
      </c>
      <c r="O6182" s="14">
        <v>60.0</v>
      </c>
      <c r="P6182" s="21">
        <v>15480.0</v>
      </c>
      <c r="Q6182" s="22" t="str">
        <f>"-516"</f>
        <v>-516</v>
      </c>
      <c r="R6182" s="18" t="str">
        <f>"+0"</f>
        <v>+0</v>
      </c>
      <c r="S6182" s="14" t="s">
        <v>2638</v>
      </c>
    </row>
    <row r="6183">
      <c r="A6183" s="13">
        <v>45901.0</v>
      </c>
      <c r="B6183" s="14" t="s">
        <v>47</v>
      </c>
      <c r="C6183" s="14" t="s">
        <v>48</v>
      </c>
      <c r="D6183" s="14" t="s">
        <v>99</v>
      </c>
      <c r="E6183" s="14" t="s">
        <v>100</v>
      </c>
      <c r="F6183" s="15" t="s">
        <v>51</v>
      </c>
      <c r="G6183" s="14" t="s">
        <v>101</v>
      </c>
      <c r="H6183" s="14" t="s">
        <v>102</v>
      </c>
      <c r="I6183" s="14" t="s">
        <v>54</v>
      </c>
      <c r="J6183" s="14" t="s">
        <v>198</v>
      </c>
      <c r="K6183" s="14" t="s">
        <v>210</v>
      </c>
      <c r="L6183" s="14" t="s">
        <v>264</v>
      </c>
      <c r="M6183" s="14" t="s">
        <v>1596</v>
      </c>
      <c r="N6183" s="14" t="s">
        <v>1597</v>
      </c>
      <c r="O6183" s="14">
        <v>0.0</v>
      </c>
      <c r="P6183" s="21">
        <v>0.0</v>
      </c>
      <c r="Q6183" s="22" t="str">
        <f t="shared" ref="Q6183:R6183" si="3704">"+0"</f>
        <v>+0</v>
      </c>
      <c r="R6183" s="18" t="str">
        <f t="shared" si="3704"/>
        <v>+0</v>
      </c>
      <c r="S6183" s="14" t="s">
        <v>277</v>
      </c>
    </row>
    <row r="6184">
      <c r="A6184" s="13">
        <v>45901.0</v>
      </c>
      <c r="B6184" s="14" t="s">
        <v>47</v>
      </c>
      <c r="C6184" s="14" t="s">
        <v>48</v>
      </c>
      <c r="D6184" s="14" t="s">
        <v>99</v>
      </c>
      <c r="E6184" s="14" t="s">
        <v>100</v>
      </c>
      <c r="F6184" s="15" t="s">
        <v>51</v>
      </c>
      <c r="G6184" s="14" t="s">
        <v>101</v>
      </c>
      <c r="H6184" s="14" t="s">
        <v>102</v>
      </c>
      <c r="I6184" s="14" t="s">
        <v>54</v>
      </c>
      <c r="J6184" s="14" t="s">
        <v>198</v>
      </c>
      <c r="K6184" s="14" t="s">
        <v>210</v>
      </c>
      <c r="L6184" s="14" t="s">
        <v>458</v>
      </c>
      <c r="M6184" s="14" t="s">
        <v>1489</v>
      </c>
      <c r="N6184" s="14" t="s">
        <v>1490</v>
      </c>
      <c r="O6184" s="14">
        <v>0.0</v>
      </c>
      <c r="P6184" s="21">
        <v>0.0</v>
      </c>
      <c r="Q6184" s="22" t="str">
        <f t="shared" ref="Q6184:R6184" si="3705">"+0"</f>
        <v>+0</v>
      </c>
      <c r="R6184" s="18" t="str">
        <f t="shared" si="3705"/>
        <v>+0</v>
      </c>
      <c r="S6184" s="14" t="s">
        <v>277</v>
      </c>
    </row>
    <row r="6185">
      <c r="A6185" s="13">
        <v>45901.0</v>
      </c>
      <c r="B6185" s="14" t="s">
        <v>47</v>
      </c>
      <c r="C6185" s="14" t="s">
        <v>48</v>
      </c>
      <c r="D6185" s="14" t="s">
        <v>184</v>
      </c>
      <c r="E6185" s="14" t="s">
        <v>185</v>
      </c>
      <c r="F6185" s="15" t="s">
        <v>51</v>
      </c>
      <c r="G6185" s="14" t="s">
        <v>186</v>
      </c>
      <c r="H6185" s="14" t="s">
        <v>187</v>
      </c>
      <c r="I6185" s="14" t="s">
        <v>59</v>
      </c>
      <c r="J6185" s="14" t="s">
        <v>199</v>
      </c>
      <c r="K6185" s="14" t="s">
        <v>208</v>
      </c>
      <c r="L6185" s="14" t="s">
        <v>412</v>
      </c>
      <c r="M6185" s="14" t="s">
        <v>412</v>
      </c>
      <c r="N6185" s="14" t="s">
        <v>413</v>
      </c>
      <c r="O6185" s="14">
        <v>90.0</v>
      </c>
      <c r="P6185" s="21">
        <v>4.0</v>
      </c>
      <c r="Q6185" s="22" t="str">
        <f t="shared" ref="Q6185:R6185" si="3706">"+0"</f>
        <v>+0</v>
      </c>
      <c r="R6185" s="18" t="str">
        <f t="shared" si="3706"/>
        <v>+0</v>
      </c>
      <c r="S6185" s="14" t="s">
        <v>260</v>
      </c>
    </row>
    <row r="6186">
      <c r="A6186" s="13">
        <v>45901.0</v>
      </c>
      <c r="B6186" s="14" t="s">
        <v>47</v>
      </c>
      <c r="C6186" s="14" t="s">
        <v>48</v>
      </c>
      <c r="D6186" s="14" t="s">
        <v>66</v>
      </c>
      <c r="E6186" s="14" t="s">
        <v>67</v>
      </c>
      <c r="F6186" s="15" t="s">
        <v>51</v>
      </c>
      <c r="G6186" s="14" t="s">
        <v>68</v>
      </c>
      <c r="H6186" s="14" t="s">
        <v>66</v>
      </c>
      <c r="I6186" s="14" t="s">
        <v>59</v>
      </c>
      <c r="J6186" s="14" t="s">
        <v>200</v>
      </c>
      <c r="K6186" s="14" t="s">
        <v>231</v>
      </c>
      <c r="L6186" s="14" t="s">
        <v>512</v>
      </c>
      <c r="M6186" s="14" t="s">
        <v>513</v>
      </c>
      <c r="N6186" s="14" t="s">
        <v>514</v>
      </c>
      <c r="O6186" s="14">
        <v>0.0</v>
      </c>
      <c r="P6186" s="21">
        <v>0.0</v>
      </c>
      <c r="Q6186" s="22" t="str">
        <f t="shared" ref="Q6186:R6186" si="3707">"+0"</f>
        <v>+0</v>
      </c>
      <c r="R6186" s="18" t="str">
        <f t="shared" si="3707"/>
        <v>+0</v>
      </c>
      <c r="S6186" s="14" t="s">
        <v>260</v>
      </c>
    </row>
    <row r="6187">
      <c r="A6187" s="13">
        <v>45901.0</v>
      </c>
      <c r="B6187" s="14" t="s">
        <v>47</v>
      </c>
      <c r="C6187" s="14" t="s">
        <v>48</v>
      </c>
      <c r="D6187" s="14" t="s">
        <v>143</v>
      </c>
      <c r="E6187" s="14" t="s">
        <v>144</v>
      </c>
      <c r="F6187" s="15" t="s">
        <v>51</v>
      </c>
      <c r="G6187" s="14" t="s">
        <v>145</v>
      </c>
      <c r="H6187" s="14" t="s">
        <v>143</v>
      </c>
      <c r="I6187" s="14" t="s">
        <v>59</v>
      </c>
      <c r="J6187" s="14" t="s">
        <v>200</v>
      </c>
      <c r="K6187" s="14" t="s">
        <v>232</v>
      </c>
      <c r="L6187" s="14" t="s">
        <v>286</v>
      </c>
      <c r="M6187" s="14" t="s">
        <v>369</v>
      </c>
      <c r="N6187" s="14" t="s">
        <v>370</v>
      </c>
      <c r="O6187" s="14">
        <v>0.0</v>
      </c>
      <c r="P6187" s="23">
        <v>0.0</v>
      </c>
      <c r="Q6187" s="22" t="str">
        <f t="shared" ref="Q6187:R6187" si="3708">"+0.00%"</f>
        <v>+0.00%</v>
      </c>
      <c r="R6187" s="18" t="str">
        <f t="shared" si="3708"/>
        <v>+0.00%</v>
      </c>
      <c r="S6187" s="14" t="s">
        <v>2639</v>
      </c>
    </row>
    <row r="6188">
      <c r="A6188" s="13">
        <v>45901.0</v>
      </c>
      <c r="B6188" s="14" t="s">
        <v>47</v>
      </c>
      <c r="C6188" s="14" t="s">
        <v>48</v>
      </c>
      <c r="D6188" s="14" t="s">
        <v>129</v>
      </c>
      <c r="E6188" s="14" t="s">
        <v>130</v>
      </c>
      <c r="F6188" s="15" t="s">
        <v>51</v>
      </c>
      <c r="G6188" s="14" t="s">
        <v>131</v>
      </c>
      <c r="H6188" s="14" t="s">
        <v>129</v>
      </c>
      <c r="I6188" s="14" t="s">
        <v>59</v>
      </c>
      <c r="J6188" s="14" t="s">
        <v>200</v>
      </c>
      <c r="K6188" s="14" t="s">
        <v>227</v>
      </c>
      <c r="L6188" s="14" t="s">
        <v>253</v>
      </c>
      <c r="M6188" s="14" t="s">
        <v>849</v>
      </c>
      <c r="N6188" s="14" t="s">
        <v>850</v>
      </c>
      <c r="O6188" s="14">
        <v>40.0</v>
      </c>
      <c r="P6188" s="23">
        <v>0.4</v>
      </c>
      <c r="Q6188" s="22" t="str">
        <f t="shared" ref="Q6188:R6188" si="3709">"+0.00%"</f>
        <v>+0.00%</v>
      </c>
      <c r="R6188" s="18" t="str">
        <f t="shared" si="3709"/>
        <v>+0.00%</v>
      </c>
      <c r="S6188" s="14" t="s">
        <v>851</v>
      </c>
    </row>
    <row r="6189">
      <c r="A6189" s="13">
        <v>45901.0</v>
      </c>
      <c r="B6189" s="14" t="s">
        <v>47</v>
      </c>
      <c r="C6189" s="14" t="s">
        <v>48</v>
      </c>
      <c r="D6189" s="14" t="s">
        <v>149</v>
      </c>
      <c r="E6189" s="14" t="s">
        <v>150</v>
      </c>
      <c r="F6189" s="15" t="s">
        <v>51</v>
      </c>
      <c r="G6189" s="14" t="s">
        <v>151</v>
      </c>
      <c r="H6189" s="14" t="s">
        <v>152</v>
      </c>
      <c r="I6189" s="14" t="s">
        <v>54</v>
      </c>
      <c r="J6189" s="14" t="s">
        <v>198</v>
      </c>
      <c r="K6189" s="14" t="s">
        <v>210</v>
      </c>
      <c r="L6189" s="14" t="s">
        <v>264</v>
      </c>
      <c r="M6189" s="14" t="s">
        <v>867</v>
      </c>
      <c r="N6189" s="14" t="s">
        <v>868</v>
      </c>
      <c r="O6189" s="14">
        <v>100.0</v>
      </c>
      <c r="P6189" s="21">
        <v>1.0</v>
      </c>
      <c r="Q6189" s="22" t="str">
        <f t="shared" ref="Q6189:Q6190" si="3710">"+0"</f>
        <v>+0</v>
      </c>
      <c r="R6189" s="18" t="str">
        <f>"+1"</f>
        <v>+1</v>
      </c>
      <c r="S6189" s="14" t="s">
        <v>277</v>
      </c>
    </row>
    <row r="6190">
      <c r="A6190" s="13">
        <v>45901.0</v>
      </c>
      <c r="B6190" s="14" t="s">
        <v>47</v>
      </c>
      <c r="C6190" s="14" t="s">
        <v>48</v>
      </c>
      <c r="D6190" s="14" t="s">
        <v>87</v>
      </c>
      <c r="E6190" s="14" t="s">
        <v>88</v>
      </c>
      <c r="F6190" s="14" t="s">
        <v>71</v>
      </c>
      <c r="G6190" s="14">
        <v>5.46000941E8</v>
      </c>
      <c r="H6190" s="14" t="s">
        <v>90</v>
      </c>
      <c r="I6190" s="14" t="s">
        <v>107</v>
      </c>
      <c r="J6190" s="14" t="s">
        <v>199</v>
      </c>
      <c r="K6190" s="14" t="s">
        <v>206</v>
      </c>
      <c r="L6190" s="14" t="s">
        <v>515</v>
      </c>
      <c r="M6190" s="14" t="s">
        <v>515</v>
      </c>
      <c r="N6190" s="14" t="s">
        <v>516</v>
      </c>
      <c r="O6190" s="14">
        <v>0.0</v>
      </c>
      <c r="P6190" s="21">
        <v>0.0</v>
      </c>
      <c r="Q6190" s="22" t="str">
        <f t="shared" si="3710"/>
        <v>+0</v>
      </c>
      <c r="R6190" s="18" t="str">
        <f>"+0"</f>
        <v>+0</v>
      </c>
      <c r="S6190" s="14" t="s">
        <v>383</v>
      </c>
    </row>
    <row r="6191">
      <c r="A6191" s="13">
        <v>45901.0</v>
      </c>
      <c r="B6191" s="14" t="s">
        <v>47</v>
      </c>
      <c r="C6191" s="14" t="s">
        <v>48</v>
      </c>
      <c r="D6191" s="14" t="s">
        <v>136</v>
      </c>
      <c r="E6191" s="14" t="s">
        <v>137</v>
      </c>
      <c r="F6191" s="15" t="s">
        <v>51</v>
      </c>
      <c r="G6191" s="14" t="s">
        <v>138</v>
      </c>
      <c r="H6191" s="14" t="s">
        <v>139</v>
      </c>
      <c r="I6191" s="14" t="s">
        <v>59</v>
      </c>
      <c r="J6191" s="14" t="s">
        <v>200</v>
      </c>
      <c r="K6191" s="14" t="s">
        <v>213</v>
      </c>
      <c r="L6191" s="14" t="s">
        <v>307</v>
      </c>
      <c r="M6191" s="14" t="s">
        <v>502</v>
      </c>
      <c r="N6191" s="14" t="s">
        <v>503</v>
      </c>
      <c r="O6191" s="14">
        <v>80.0</v>
      </c>
      <c r="P6191" s="23">
        <v>0.8068</v>
      </c>
      <c r="Q6191" s="22" t="str">
        <f>"-1.49%"</f>
        <v>-1.49%</v>
      </c>
      <c r="R6191" s="18" t="str">
        <f>"+4.49%"</f>
        <v>+4.49%</v>
      </c>
      <c r="S6191" s="14" t="s">
        <v>1583</v>
      </c>
    </row>
    <row r="6192">
      <c r="A6192" s="13">
        <v>45901.0</v>
      </c>
      <c r="B6192" s="14" t="s">
        <v>47</v>
      </c>
      <c r="C6192" s="14" t="s">
        <v>48</v>
      </c>
      <c r="D6192" s="14" t="s">
        <v>96</v>
      </c>
      <c r="E6192" s="14" t="s">
        <v>97</v>
      </c>
      <c r="F6192" s="15" t="s">
        <v>51</v>
      </c>
      <c r="G6192" s="14" t="s">
        <v>98</v>
      </c>
      <c r="H6192" s="14" t="s">
        <v>96</v>
      </c>
      <c r="I6192" s="14" t="s">
        <v>59</v>
      </c>
      <c r="J6192" s="14" t="s">
        <v>198</v>
      </c>
      <c r="K6192" s="14" t="s">
        <v>210</v>
      </c>
      <c r="L6192" s="14" t="s">
        <v>278</v>
      </c>
      <c r="M6192" s="14" t="s">
        <v>839</v>
      </c>
      <c r="N6192" s="14" t="s">
        <v>840</v>
      </c>
      <c r="O6192" s="14">
        <v>0.0</v>
      </c>
      <c r="P6192" s="21">
        <v>2941.0</v>
      </c>
      <c r="Q6192" s="22" t="str">
        <f>"-311"</f>
        <v>-311</v>
      </c>
      <c r="R6192" s="18" t="str">
        <f>"+255"</f>
        <v>+255</v>
      </c>
      <c r="S6192" s="14" t="s">
        <v>2640</v>
      </c>
    </row>
    <row r="6193">
      <c r="A6193" s="13">
        <v>45901.0</v>
      </c>
      <c r="B6193" s="14" t="s">
        <v>47</v>
      </c>
      <c r="C6193" s="14" t="s">
        <v>48</v>
      </c>
      <c r="D6193" s="14" t="s">
        <v>108</v>
      </c>
      <c r="E6193" s="14" t="s">
        <v>109</v>
      </c>
      <c r="F6193" s="14" t="s">
        <v>79</v>
      </c>
      <c r="G6193" s="14" t="s">
        <v>153</v>
      </c>
      <c r="H6193" s="14" t="s">
        <v>108</v>
      </c>
      <c r="I6193" s="14" t="s">
        <v>154</v>
      </c>
      <c r="J6193" s="14" t="s">
        <v>199</v>
      </c>
      <c r="K6193" s="14" t="s">
        <v>206</v>
      </c>
      <c r="L6193" s="14" t="s">
        <v>268</v>
      </c>
      <c r="M6193" s="14" t="s">
        <v>268</v>
      </c>
      <c r="N6193" s="14" t="s">
        <v>269</v>
      </c>
      <c r="O6193" s="14">
        <v>80.0</v>
      </c>
      <c r="P6193" s="21">
        <v>2.0</v>
      </c>
      <c r="Q6193" s="22" t="str">
        <f>"+1"</f>
        <v>+1</v>
      </c>
      <c r="S6193" s="14" t="s">
        <v>260</v>
      </c>
    </row>
    <row r="6194">
      <c r="A6194" s="13">
        <v>45901.0</v>
      </c>
      <c r="B6194" s="14" t="s">
        <v>47</v>
      </c>
      <c r="C6194" s="14" t="s">
        <v>48</v>
      </c>
      <c r="D6194" s="14" t="s">
        <v>77</v>
      </c>
      <c r="E6194" s="14" t="s">
        <v>78</v>
      </c>
      <c r="F6194" s="15" t="s">
        <v>51</v>
      </c>
      <c r="G6194" s="14" t="s">
        <v>128</v>
      </c>
      <c r="H6194" s="14" t="s">
        <v>81</v>
      </c>
      <c r="I6194" s="14" t="s">
        <v>59</v>
      </c>
      <c r="J6194" s="14" t="s">
        <v>200</v>
      </c>
      <c r="K6194" s="14" t="s">
        <v>223</v>
      </c>
      <c r="L6194" s="14" t="s">
        <v>289</v>
      </c>
      <c r="M6194" s="14" t="s">
        <v>984</v>
      </c>
      <c r="N6194" s="14" t="s">
        <v>985</v>
      </c>
      <c r="O6194" s="14">
        <v>0.0</v>
      </c>
      <c r="P6194" s="23">
        <v>0.0</v>
      </c>
      <c r="Q6194" s="22" t="str">
        <f t="shared" ref="Q6194:R6194" si="3711">"+0.00%"</f>
        <v>+0.00%</v>
      </c>
      <c r="R6194" s="18" t="str">
        <f t="shared" si="3711"/>
        <v>+0.00%</v>
      </c>
      <c r="S6194" s="14" t="s">
        <v>285</v>
      </c>
    </row>
    <row r="6195">
      <c r="A6195" s="13">
        <v>45901.0</v>
      </c>
      <c r="B6195" s="14" t="s">
        <v>47</v>
      </c>
      <c r="C6195" s="14" t="s">
        <v>48</v>
      </c>
      <c r="D6195" s="14" t="s">
        <v>174</v>
      </c>
      <c r="E6195" s="14" t="s">
        <v>175</v>
      </c>
      <c r="F6195" s="15" t="s">
        <v>51</v>
      </c>
      <c r="G6195" s="14" t="s">
        <v>176</v>
      </c>
      <c r="H6195" s="14" t="s">
        <v>174</v>
      </c>
      <c r="I6195" s="14" t="s">
        <v>59</v>
      </c>
      <c r="J6195" s="14" t="s">
        <v>199</v>
      </c>
      <c r="K6195" s="14" t="s">
        <v>208</v>
      </c>
      <c r="L6195" s="14" t="s">
        <v>352</v>
      </c>
      <c r="M6195" s="14" t="s">
        <v>352</v>
      </c>
      <c r="N6195" s="14" t="s">
        <v>353</v>
      </c>
      <c r="O6195" s="14">
        <v>100.0</v>
      </c>
      <c r="P6195" s="21">
        <v>25.0</v>
      </c>
      <c r="Q6195" s="22" t="str">
        <f t="shared" ref="Q6195:R6195" si="3712">"+0"</f>
        <v>+0</v>
      </c>
      <c r="R6195" s="18" t="str">
        <f t="shared" si="3712"/>
        <v>+0</v>
      </c>
      <c r="S6195" s="14" t="s">
        <v>260</v>
      </c>
    </row>
    <row r="6196">
      <c r="A6196" s="13">
        <v>45901.0</v>
      </c>
      <c r="B6196" s="14" t="s">
        <v>47</v>
      </c>
      <c r="C6196" s="14" t="s">
        <v>48</v>
      </c>
      <c r="D6196" s="14" t="s">
        <v>158</v>
      </c>
      <c r="E6196" s="14" t="s">
        <v>159</v>
      </c>
      <c r="F6196" s="15" t="s">
        <v>51</v>
      </c>
      <c r="G6196" s="14" t="s">
        <v>160</v>
      </c>
      <c r="H6196" s="14" t="s">
        <v>158</v>
      </c>
      <c r="I6196" s="14" t="s">
        <v>54</v>
      </c>
      <c r="J6196" s="14" t="s">
        <v>200</v>
      </c>
      <c r="K6196" s="14" t="s">
        <v>227</v>
      </c>
      <c r="L6196" s="14" t="s">
        <v>721</v>
      </c>
      <c r="M6196" s="14" t="s">
        <v>1060</v>
      </c>
      <c r="N6196" s="14" t="s">
        <v>1061</v>
      </c>
      <c r="O6196" s="14">
        <v>53.0</v>
      </c>
      <c r="P6196" s="23">
        <v>0.0662</v>
      </c>
      <c r="Q6196" s="22" t="str">
        <f>"+21.06%"</f>
        <v>+21.06%</v>
      </c>
      <c r="R6196" s="18" t="str">
        <f>"-4.54%"</f>
        <v>-4.54%</v>
      </c>
      <c r="S6196" s="14" t="s">
        <v>1062</v>
      </c>
    </row>
    <row r="6197">
      <c r="A6197" s="13">
        <v>45901.0</v>
      </c>
      <c r="B6197" s="14" t="s">
        <v>47</v>
      </c>
      <c r="C6197" s="14" t="s">
        <v>48</v>
      </c>
      <c r="D6197" s="14" t="s">
        <v>116</v>
      </c>
      <c r="E6197" s="14" t="s">
        <v>117</v>
      </c>
      <c r="F6197" s="15" t="s">
        <v>51</v>
      </c>
      <c r="G6197" s="14" t="s">
        <v>161</v>
      </c>
      <c r="H6197" s="14" t="s">
        <v>116</v>
      </c>
      <c r="I6197" s="14" t="s">
        <v>54</v>
      </c>
      <c r="J6197" s="14" t="s">
        <v>200</v>
      </c>
      <c r="K6197" s="14" t="s">
        <v>224</v>
      </c>
      <c r="L6197" s="14" t="s">
        <v>427</v>
      </c>
      <c r="M6197" s="14" t="s">
        <v>1575</v>
      </c>
      <c r="N6197" s="14" t="s">
        <v>1576</v>
      </c>
      <c r="O6197" s="14">
        <v>0.0</v>
      </c>
      <c r="P6197" s="23">
        <v>0.0</v>
      </c>
      <c r="Q6197" s="22"/>
      <c r="S6197" s="14" t="s">
        <v>2456</v>
      </c>
    </row>
    <row r="6198">
      <c r="A6198" s="13">
        <v>45901.0</v>
      </c>
      <c r="B6198" s="14" t="s">
        <v>47</v>
      </c>
      <c r="C6198" s="14" t="s">
        <v>48</v>
      </c>
      <c r="D6198" s="14" t="s">
        <v>56</v>
      </c>
      <c r="E6198" s="14" t="s">
        <v>57</v>
      </c>
      <c r="F6198" s="15" t="s">
        <v>51</v>
      </c>
      <c r="G6198" s="14" t="s">
        <v>58</v>
      </c>
      <c r="H6198" s="14" t="s">
        <v>56</v>
      </c>
      <c r="I6198" s="14" t="s">
        <v>59</v>
      </c>
      <c r="J6198" s="14" t="s">
        <v>200</v>
      </c>
      <c r="K6198" s="14" t="s">
        <v>201</v>
      </c>
      <c r="L6198" s="14" t="s">
        <v>253</v>
      </c>
      <c r="M6198" s="14" t="s">
        <v>585</v>
      </c>
      <c r="N6198" s="14" t="s">
        <v>586</v>
      </c>
      <c r="O6198" s="14">
        <v>1.0</v>
      </c>
      <c r="P6198" s="23">
        <v>6.0E-4</v>
      </c>
      <c r="Q6198" s="22" t="str">
        <f>"-0.01%"</f>
        <v>-0.01%</v>
      </c>
      <c r="R6198" s="18" t="str">
        <f>"-0.02%"</f>
        <v>-0.02%</v>
      </c>
      <c r="S6198" s="14" t="s">
        <v>1071</v>
      </c>
    </row>
    <row r="6199">
      <c r="A6199" s="13">
        <v>45901.0</v>
      </c>
      <c r="B6199" s="14" t="s">
        <v>47</v>
      </c>
      <c r="C6199" s="14" t="s">
        <v>48</v>
      </c>
      <c r="D6199" s="14" t="s">
        <v>56</v>
      </c>
      <c r="E6199" s="14" t="s">
        <v>57</v>
      </c>
      <c r="F6199" s="15" t="s">
        <v>51</v>
      </c>
      <c r="G6199" s="14" t="s">
        <v>58</v>
      </c>
      <c r="H6199" s="14" t="s">
        <v>56</v>
      </c>
      <c r="I6199" s="14" t="s">
        <v>59</v>
      </c>
      <c r="J6199" s="14" t="s">
        <v>200</v>
      </c>
      <c r="K6199" s="14" t="s">
        <v>223</v>
      </c>
      <c r="L6199" s="14" t="s">
        <v>487</v>
      </c>
      <c r="M6199" s="14" t="s">
        <v>1015</v>
      </c>
      <c r="N6199" s="14" t="s">
        <v>1016</v>
      </c>
      <c r="O6199" s="14">
        <v>0.0</v>
      </c>
      <c r="P6199" s="23">
        <v>0.0</v>
      </c>
      <c r="Q6199" s="22" t="str">
        <f>"-10.00%"</f>
        <v>-10.00%</v>
      </c>
      <c r="R6199" s="18" t="str">
        <f>"-16.67%"</f>
        <v>-16.67%</v>
      </c>
      <c r="S6199" s="14" t="s">
        <v>285</v>
      </c>
    </row>
    <row r="6200">
      <c r="A6200" s="13">
        <v>45901.0</v>
      </c>
      <c r="B6200" s="14" t="s">
        <v>47</v>
      </c>
      <c r="C6200" s="14" t="s">
        <v>48</v>
      </c>
      <c r="D6200" s="14" t="s">
        <v>155</v>
      </c>
      <c r="E6200" s="14" t="s">
        <v>156</v>
      </c>
      <c r="F6200" s="15" t="s">
        <v>51</v>
      </c>
      <c r="G6200" s="14" t="s">
        <v>157</v>
      </c>
      <c r="H6200" s="14" t="s">
        <v>155</v>
      </c>
      <c r="I6200" s="14" t="s">
        <v>59</v>
      </c>
      <c r="J6200" s="14" t="s">
        <v>200</v>
      </c>
      <c r="K6200" s="14" t="s">
        <v>223</v>
      </c>
      <c r="L6200" s="14" t="s">
        <v>282</v>
      </c>
      <c r="M6200" s="14" t="s">
        <v>283</v>
      </c>
      <c r="N6200" s="14" t="s">
        <v>284</v>
      </c>
      <c r="O6200" s="14">
        <v>0.0</v>
      </c>
      <c r="P6200" s="17"/>
      <c r="Q6200" s="22"/>
      <c r="S6200" s="14" t="s">
        <v>285</v>
      </c>
    </row>
    <row r="6201">
      <c r="A6201" s="13">
        <v>45901.0</v>
      </c>
      <c r="B6201" s="14" t="s">
        <v>47</v>
      </c>
      <c r="C6201" s="14" t="s">
        <v>48</v>
      </c>
      <c r="D6201" s="14" t="s">
        <v>155</v>
      </c>
      <c r="E6201" s="14" t="s">
        <v>156</v>
      </c>
      <c r="F6201" s="15" t="s">
        <v>51</v>
      </c>
      <c r="G6201" s="14" t="s">
        <v>157</v>
      </c>
      <c r="H6201" s="14" t="s">
        <v>155</v>
      </c>
      <c r="I6201" s="14" t="s">
        <v>59</v>
      </c>
      <c r="J6201" s="14" t="s">
        <v>200</v>
      </c>
      <c r="K6201" s="14" t="s">
        <v>223</v>
      </c>
      <c r="L6201" s="14" t="s">
        <v>705</v>
      </c>
      <c r="M6201" s="14" t="s">
        <v>706</v>
      </c>
      <c r="N6201" s="14" t="s">
        <v>707</v>
      </c>
      <c r="O6201" s="14">
        <v>0.0</v>
      </c>
      <c r="P6201" s="21">
        <v>0.0</v>
      </c>
      <c r="Q6201" s="22" t="str">
        <f t="shared" ref="Q6201:R6201" si="3713">"+0"</f>
        <v>+0</v>
      </c>
      <c r="R6201" s="18" t="str">
        <f t="shared" si="3713"/>
        <v>+0</v>
      </c>
      <c r="S6201" s="14" t="s">
        <v>260</v>
      </c>
    </row>
    <row r="6202">
      <c r="A6202" s="13">
        <v>45901.0</v>
      </c>
      <c r="B6202" s="14" t="s">
        <v>47</v>
      </c>
      <c r="C6202" s="14" t="s">
        <v>48</v>
      </c>
      <c r="D6202" s="14" t="s">
        <v>155</v>
      </c>
      <c r="E6202" s="14" t="s">
        <v>156</v>
      </c>
      <c r="F6202" s="15" t="s">
        <v>51</v>
      </c>
      <c r="G6202" s="14" t="s">
        <v>157</v>
      </c>
      <c r="H6202" s="14" t="s">
        <v>155</v>
      </c>
      <c r="I6202" s="14" t="s">
        <v>59</v>
      </c>
      <c r="J6202" s="14" t="s">
        <v>198</v>
      </c>
      <c r="K6202" s="14" t="s">
        <v>212</v>
      </c>
      <c r="L6202" s="14" t="s">
        <v>249</v>
      </c>
      <c r="M6202" s="14" t="s">
        <v>598</v>
      </c>
      <c r="N6202" s="14" t="s">
        <v>599</v>
      </c>
      <c r="O6202" s="14">
        <v>100.0</v>
      </c>
      <c r="P6202" s="21">
        <v>0.0</v>
      </c>
      <c r="Q6202" s="22" t="str">
        <f t="shared" ref="Q6202:R6202" si="3714">"+0"</f>
        <v>+0</v>
      </c>
      <c r="R6202" s="18" t="str">
        <f t="shared" si="3714"/>
        <v>+0</v>
      </c>
      <c r="S6202" s="14" t="s">
        <v>281</v>
      </c>
    </row>
    <row r="6203">
      <c r="A6203" s="13">
        <v>45901.0</v>
      </c>
      <c r="B6203" s="14" t="s">
        <v>47</v>
      </c>
      <c r="C6203" s="14" t="s">
        <v>48</v>
      </c>
      <c r="D6203" s="14" t="s">
        <v>56</v>
      </c>
      <c r="E6203" s="14" t="s">
        <v>57</v>
      </c>
      <c r="F6203" s="14" t="s">
        <v>71</v>
      </c>
      <c r="G6203" s="14">
        <v>5.36003976E8</v>
      </c>
      <c r="H6203" s="14" t="s">
        <v>56</v>
      </c>
      <c r="I6203" s="14" t="s">
        <v>59</v>
      </c>
      <c r="J6203" s="14" t="s">
        <v>199</v>
      </c>
      <c r="K6203" s="14" t="s">
        <v>206</v>
      </c>
      <c r="L6203" s="14" t="s">
        <v>433</v>
      </c>
      <c r="M6203" s="14" t="s">
        <v>433</v>
      </c>
      <c r="N6203" s="14" t="s">
        <v>434</v>
      </c>
      <c r="O6203" s="14">
        <v>25.0</v>
      </c>
      <c r="P6203" s="21">
        <v>19.0</v>
      </c>
      <c r="Q6203" s="22" t="str">
        <f>"+11"</f>
        <v>+11</v>
      </c>
      <c r="R6203" s="18" t="str">
        <f>"+0"</f>
        <v>+0</v>
      </c>
      <c r="S6203" s="14" t="s">
        <v>383</v>
      </c>
    </row>
    <row r="6204">
      <c r="A6204" s="13">
        <v>45901.0</v>
      </c>
      <c r="B6204" s="14" t="s">
        <v>47</v>
      </c>
      <c r="C6204" s="14" t="s">
        <v>48</v>
      </c>
      <c r="D6204" s="14" t="s">
        <v>49</v>
      </c>
      <c r="E6204" s="14" t="s">
        <v>50</v>
      </c>
      <c r="F6204" s="15" t="s">
        <v>51</v>
      </c>
      <c r="G6204" s="14" t="s">
        <v>52</v>
      </c>
      <c r="H6204" s="14" t="s">
        <v>53</v>
      </c>
      <c r="I6204" s="14" t="s">
        <v>54</v>
      </c>
      <c r="J6204" s="14" t="s">
        <v>198</v>
      </c>
      <c r="K6204" s="14" t="s">
        <v>210</v>
      </c>
      <c r="L6204" s="14" t="s">
        <v>264</v>
      </c>
      <c r="M6204" s="14" t="s">
        <v>918</v>
      </c>
      <c r="N6204" s="14" t="s">
        <v>919</v>
      </c>
      <c r="O6204" s="14">
        <v>0.0</v>
      </c>
      <c r="P6204" s="21">
        <v>0.0</v>
      </c>
      <c r="Q6204" s="22" t="str">
        <f t="shared" ref="Q6204:R6204" si="3715">"+0"</f>
        <v>+0</v>
      </c>
      <c r="R6204" s="18" t="str">
        <f t="shared" si="3715"/>
        <v>+0</v>
      </c>
      <c r="S6204" s="14" t="s">
        <v>277</v>
      </c>
    </row>
    <row r="6205">
      <c r="A6205" s="13">
        <v>45901.0</v>
      </c>
      <c r="B6205" s="14" t="s">
        <v>47</v>
      </c>
      <c r="C6205" s="14" t="s">
        <v>48</v>
      </c>
      <c r="D6205" s="14" t="s">
        <v>165</v>
      </c>
      <c r="E6205" s="14" t="s">
        <v>166</v>
      </c>
      <c r="F6205" s="15" t="s">
        <v>51</v>
      </c>
      <c r="G6205" s="14" t="s">
        <v>167</v>
      </c>
      <c r="H6205" s="14" t="s">
        <v>165</v>
      </c>
      <c r="I6205" s="14" t="s">
        <v>54</v>
      </c>
      <c r="J6205" s="14" t="s">
        <v>200</v>
      </c>
      <c r="K6205" s="14" t="s">
        <v>227</v>
      </c>
      <c r="L6205" s="14" t="s">
        <v>328</v>
      </c>
      <c r="M6205" s="14" t="s">
        <v>329</v>
      </c>
      <c r="N6205" s="14" t="s">
        <v>330</v>
      </c>
      <c r="O6205" s="14">
        <v>44.0</v>
      </c>
      <c r="P6205" s="21">
        <v>8.0</v>
      </c>
      <c r="Q6205" s="22" t="str">
        <f>"+6"</f>
        <v>+6</v>
      </c>
      <c r="R6205" s="18" t="str">
        <f>"+1"</f>
        <v>+1</v>
      </c>
      <c r="S6205" s="14" t="s">
        <v>260</v>
      </c>
    </row>
    <row r="6206">
      <c r="A6206" s="13">
        <v>45901.0</v>
      </c>
      <c r="B6206" s="14" t="s">
        <v>47</v>
      </c>
      <c r="C6206" s="14" t="s">
        <v>48</v>
      </c>
      <c r="D6206" s="14" t="s">
        <v>63</v>
      </c>
      <c r="E6206" s="14" t="s">
        <v>64</v>
      </c>
      <c r="F6206" s="15" t="s">
        <v>51</v>
      </c>
      <c r="G6206" s="14" t="s">
        <v>65</v>
      </c>
      <c r="H6206" s="14" t="s">
        <v>63</v>
      </c>
      <c r="I6206" s="14" t="s">
        <v>54</v>
      </c>
      <c r="J6206" s="14" t="s">
        <v>200</v>
      </c>
      <c r="K6206" s="14" t="s">
        <v>222</v>
      </c>
      <c r="L6206" s="14" t="s">
        <v>1158</v>
      </c>
      <c r="M6206" s="14" t="s">
        <v>1458</v>
      </c>
      <c r="N6206" s="14" t="s">
        <v>1459</v>
      </c>
      <c r="O6206" s="14">
        <v>0.0</v>
      </c>
      <c r="P6206" s="21">
        <v>0.0</v>
      </c>
      <c r="Q6206" s="22" t="str">
        <f t="shared" ref="Q6206:R6206" si="3716">"+0"</f>
        <v>+0</v>
      </c>
      <c r="R6206" s="18" t="str">
        <f t="shared" si="3716"/>
        <v>+0</v>
      </c>
      <c r="S6206" s="14" t="s">
        <v>260</v>
      </c>
    </row>
    <row r="6207">
      <c r="A6207" s="13">
        <v>45901.0</v>
      </c>
      <c r="B6207" s="14" t="s">
        <v>47</v>
      </c>
      <c r="C6207" s="14" t="s">
        <v>48</v>
      </c>
      <c r="D6207" s="14" t="s">
        <v>91</v>
      </c>
      <c r="E6207" s="14" t="s">
        <v>92</v>
      </c>
      <c r="F6207" s="14" t="s">
        <v>146</v>
      </c>
      <c r="G6207" s="14" t="s">
        <v>147</v>
      </c>
      <c r="H6207" s="14" t="s">
        <v>91</v>
      </c>
      <c r="I6207" s="14" t="s">
        <v>107</v>
      </c>
      <c r="J6207" s="14" t="s">
        <v>200</v>
      </c>
      <c r="K6207" s="14" t="s">
        <v>226</v>
      </c>
      <c r="L6207" s="14" t="s">
        <v>1105</v>
      </c>
      <c r="M6207" s="14" t="s">
        <v>1106</v>
      </c>
      <c r="N6207" s="14" t="s">
        <v>1107</v>
      </c>
      <c r="O6207" s="14">
        <v>0.0</v>
      </c>
      <c r="P6207" s="21">
        <v>0.0</v>
      </c>
      <c r="Q6207" s="22" t="str">
        <f t="shared" ref="Q6207:R6207" si="3717">"+0"</f>
        <v>+0</v>
      </c>
      <c r="R6207" s="18" t="str">
        <f t="shared" si="3717"/>
        <v>+0</v>
      </c>
      <c r="S6207" s="14" t="s">
        <v>260</v>
      </c>
    </row>
    <row r="6208">
      <c r="A6208" s="13">
        <v>45901.0</v>
      </c>
      <c r="B6208" s="14" t="s">
        <v>47</v>
      </c>
      <c r="C6208" s="14" t="s">
        <v>48</v>
      </c>
      <c r="D6208" s="14" t="s">
        <v>155</v>
      </c>
      <c r="E6208" s="14" t="s">
        <v>156</v>
      </c>
      <c r="F6208" s="15" t="s">
        <v>51</v>
      </c>
      <c r="G6208" s="14" t="s">
        <v>157</v>
      </c>
      <c r="H6208" s="14" t="s">
        <v>155</v>
      </c>
      <c r="I6208" s="14" t="s">
        <v>59</v>
      </c>
      <c r="J6208" s="14" t="s">
        <v>200</v>
      </c>
      <c r="K6208" s="14" t="s">
        <v>223</v>
      </c>
      <c r="L6208" s="14" t="s">
        <v>676</v>
      </c>
      <c r="M6208" s="14" t="s">
        <v>836</v>
      </c>
      <c r="N6208" s="14" t="s">
        <v>837</v>
      </c>
      <c r="O6208" s="14">
        <v>0.0</v>
      </c>
      <c r="P6208" s="17"/>
      <c r="Q6208" s="22"/>
      <c r="S6208" s="14" t="s">
        <v>1767</v>
      </c>
    </row>
    <row r="6209">
      <c r="A6209" s="13">
        <v>45901.0</v>
      </c>
      <c r="B6209" s="14" t="s">
        <v>47</v>
      </c>
      <c r="C6209" s="14" t="s">
        <v>48</v>
      </c>
      <c r="D6209" s="14" t="s">
        <v>192</v>
      </c>
      <c r="E6209" s="14" t="s">
        <v>193</v>
      </c>
      <c r="F6209" s="15" t="s">
        <v>51</v>
      </c>
      <c r="G6209" s="14" t="s">
        <v>194</v>
      </c>
      <c r="H6209" s="14" t="s">
        <v>192</v>
      </c>
      <c r="I6209" s="14" t="s">
        <v>54</v>
      </c>
      <c r="J6209" s="14" t="s">
        <v>200</v>
      </c>
      <c r="K6209" s="14" t="s">
        <v>231</v>
      </c>
      <c r="L6209" s="14" t="s">
        <v>512</v>
      </c>
      <c r="M6209" s="14" t="s">
        <v>934</v>
      </c>
      <c r="N6209" s="14" t="s">
        <v>935</v>
      </c>
      <c r="O6209" s="14">
        <v>100.0</v>
      </c>
      <c r="P6209" s="21">
        <v>88242.0</v>
      </c>
      <c r="Q6209" s="22" t="str">
        <f>"+6,626"</f>
        <v>+6,626</v>
      </c>
      <c r="R6209" s="18" t="str">
        <f>"-23,977"</f>
        <v>-23,977</v>
      </c>
      <c r="S6209" s="14" t="s">
        <v>260</v>
      </c>
    </row>
    <row r="6210">
      <c r="A6210" s="13">
        <v>45901.0</v>
      </c>
      <c r="B6210" s="14" t="s">
        <v>47</v>
      </c>
      <c r="C6210" s="14" t="s">
        <v>48</v>
      </c>
      <c r="D6210" s="14" t="s">
        <v>66</v>
      </c>
      <c r="E6210" s="14" t="s">
        <v>67</v>
      </c>
      <c r="F6210" s="15" t="s">
        <v>51</v>
      </c>
      <c r="G6210" s="14" t="s">
        <v>68</v>
      </c>
      <c r="H6210" s="14" t="s">
        <v>66</v>
      </c>
      <c r="I6210" s="14" t="s">
        <v>59</v>
      </c>
      <c r="J6210" s="14" t="s">
        <v>200</v>
      </c>
      <c r="K6210" s="14" t="s">
        <v>223</v>
      </c>
      <c r="L6210" s="14" t="s">
        <v>289</v>
      </c>
      <c r="M6210" s="14" t="s">
        <v>290</v>
      </c>
      <c r="N6210" s="14" t="s">
        <v>291</v>
      </c>
      <c r="O6210" s="14">
        <v>0.0</v>
      </c>
      <c r="P6210" s="23">
        <v>0.0</v>
      </c>
      <c r="Q6210" s="22" t="str">
        <f t="shared" ref="Q6210:R6210" si="3718">"+0.00%"</f>
        <v>+0.00%</v>
      </c>
      <c r="R6210" s="18" t="str">
        <f t="shared" si="3718"/>
        <v>+0.00%</v>
      </c>
      <c r="S6210" s="14" t="s">
        <v>285</v>
      </c>
    </row>
    <row r="6211">
      <c r="A6211" s="13">
        <v>45901.0</v>
      </c>
      <c r="B6211" s="14" t="s">
        <v>47</v>
      </c>
      <c r="C6211" s="14" t="s">
        <v>48</v>
      </c>
      <c r="D6211" s="14" t="s">
        <v>192</v>
      </c>
      <c r="E6211" s="14" t="s">
        <v>193</v>
      </c>
      <c r="F6211" s="15" t="s">
        <v>51</v>
      </c>
      <c r="G6211" s="14" t="s">
        <v>194</v>
      </c>
      <c r="H6211" s="14" t="s">
        <v>192</v>
      </c>
      <c r="I6211" s="14" t="s">
        <v>54</v>
      </c>
      <c r="J6211" s="14" t="s">
        <v>200</v>
      </c>
      <c r="K6211" s="14" t="s">
        <v>223</v>
      </c>
      <c r="L6211" s="14" t="s">
        <v>289</v>
      </c>
      <c r="M6211" s="14" t="s">
        <v>290</v>
      </c>
      <c r="N6211" s="14" t="s">
        <v>291</v>
      </c>
      <c r="O6211" s="14">
        <v>0.0</v>
      </c>
      <c r="P6211" s="23">
        <v>0.0</v>
      </c>
      <c r="Q6211" s="22" t="str">
        <f t="shared" ref="Q6211:R6211" si="3719">"+0.00%"</f>
        <v>+0.00%</v>
      </c>
      <c r="R6211" s="18" t="str">
        <f t="shared" si="3719"/>
        <v>+0.00%</v>
      </c>
      <c r="S6211" s="14" t="s">
        <v>285</v>
      </c>
    </row>
    <row r="6212">
      <c r="A6212" s="13">
        <v>45901.0</v>
      </c>
      <c r="B6212" s="14" t="s">
        <v>47</v>
      </c>
      <c r="C6212" s="14" t="s">
        <v>48</v>
      </c>
      <c r="D6212" s="14" t="s">
        <v>184</v>
      </c>
      <c r="E6212" s="14" t="s">
        <v>185</v>
      </c>
      <c r="F6212" s="15" t="s">
        <v>51</v>
      </c>
      <c r="G6212" s="14" t="s">
        <v>186</v>
      </c>
      <c r="H6212" s="14" t="s">
        <v>187</v>
      </c>
      <c r="I6212" s="14" t="s">
        <v>59</v>
      </c>
      <c r="J6212" s="14" t="s">
        <v>198</v>
      </c>
      <c r="K6212" s="14" t="s">
        <v>205</v>
      </c>
      <c r="L6212" s="14" t="s">
        <v>274</v>
      </c>
      <c r="M6212" s="14" t="s">
        <v>791</v>
      </c>
      <c r="N6212" s="14" t="s">
        <v>792</v>
      </c>
      <c r="O6212" s="14">
        <v>100.0</v>
      </c>
      <c r="P6212" s="21">
        <v>4.0</v>
      </c>
      <c r="Q6212" s="22" t="str">
        <f t="shared" ref="Q6212:Q6214" si="3720">"+0"</f>
        <v>+0</v>
      </c>
      <c r="S6212" s="14" t="s">
        <v>260</v>
      </c>
    </row>
    <row r="6213">
      <c r="A6213" s="13">
        <v>45901.0</v>
      </c>
      <c r="B6213" s="14" t="s">
        <v>47</v>
      </c>
      <c r="C6213" s="14" t="s">
        <v>48</v>
      </c>
      <c r="D6213" s="14" t="s">
        <v>129</v>
      </c>
      <c r="E6213" s="14" t="s">
        <v>130</v>
      </c>
      <c r="F6213" s="15" t="s">
        <v>51</v>
      </c>
      <c r="G6213" s="14" t="s">
        <v>131</v>
      </c>
      <c r="H6213" s="14" t="s">
        <v>129</v>
      </c>
      <c r="I6213" s="14" t="s">
        <v>59</v>
      </c>
      <c r="J6213" s="14" t="s">
        <v>199</v>
      </c>
      <c r="K6213" s="14" t="s">
        <v>208</v>
      </c>
      <c r="L6213" s="14" t="s">
        <v>412</v>
      </c>
      <c r="M6213" s="14" t="s">
        <v>412</v>
      </c>
      <c r="N6213" s="14" t="s">
        <v>413</v>
      </c>
      <c r="O6213" s="14">
        <v>95.0</v>
      </c>
      <c r="P6213" s="21">
        <v>5.0</v>
      </c>
      <c r="Q6213" s="22" t="str">
        <f t="shared" si="3720"/>
        <v>+0</v>
      </c>
      <c r="R6213" s="18" t="str">
        <f>"+0"</f>
        <v>+0</v>
      </c>
      <c r="S6213" s="14" t="s">
        <v>260</v>
      </c>
    </row>
    <row r="6214">
      <c r="A6214" s="13">
        <v>45901.0</v>
      </c>
      <c r="B6214" s="14" t="s">
        <v>47</v>
      </c>
      <c r="C6214" s="14" t="s">
        <v>48</v>
      </c>
      <c r="D6214" s="14" t="s">
        <v>129</v>
      </c>
      <c r="E6214" s="14" t="s">
        <v>130</v>
      </c>
      <c r="F6214" s="15" t="s">
        <v>51</v>
      </c>
      <c r="G6214" s="14" t="s">
        <v>131</v>
      </c>
      <c r="H6214" s="14" t="s">
        <v>129</v>
      </c>
      <c r="I6214" s="14" t="s">
        <v>59</v>
      </c>
      <c r="J6214" s="14" t="s">
        <v>198</v>
      </c>
      <c r="K6214" s="14" t="s">
        <v>205</v>
      </c>
      <c r="L6214" s="14" t="s">
        <v>274</v>
      </c>
      <c r="M6214" s="14" t="s">
        <v>473</v>
      </c>
      <c r="N6214" s="14" t="s">
        <v>474</v>
      </c>
      <c r="O6214" s="14">
        <v>100.0</v>
      </c>
      <c r="P6214" s="21">
        <v>30.0</v>
      </c>
      <c r="Q6214" s="22" t="str">
        <f t="shared" si="3720"/>
        <v>+0</v>
      </c>
      <c r="S6214" s="14" t="s">
        <v>475</v>
      </c>
    </row>
    <row r="6215">
      <c r="A6215" s="13">
        <v>45901.0</v>
      </c>
      <c r="B6215" s="14" t="s">
        <v>47</v>
      </c>
      <c r="C6215" s="14" t="s">
        <v>48</v>
      </c>
      <c r="D6215" s="14" t="s">
        <v>136</v>
      </c>
      <c r="E6215" s="14" t="s">
        <v>137</v>
      </c>
      <c r="F6215" s="15" t="s">
        <v>51</v>
      </c>
      <c r="G6215" s="14" t="s">
        <v>138</v>
      </c>
      <c r="H6215" s="14" t="s">
        <v>139</v>
      </c>
      <c r="I6215" s="14" t="s">
        <v>59</v>
      </c>
      <c r="J6215" s="14" t="s">
        <v>200</v>
      </c>
      <c r="K6215" s="14" t="s">
        <v>201</v>
      </c>
      <c r="L6215" s="14" t="s">
        <v>253</v>
      </c>
      <c r="M6215" s="14" t="s">
        <v>409</v>
      </c>
      <c r="N6215" s="14" t="s">
        <v>410</v>
      </c>
      <c r="O6215" s="14">
        <v>1.0</v>
      </c>
      <c r="P6215" s="23">
        <v>2.0E-4</v>
      </c>
      <c r="Q6215" s="22" t="str">
        <f>"+0.02%"</f>
        <v>+0.02%</v>
      </c>
      <c r="S6215" s="14" t="s">
        <v>898</v>
      </c>
    </row>
    <row r="6216">
      <c r="A6216" s="13">
        <v>45901.0</v>
      </c>
      <c r="B6216" s="14" t="s">
        <v>47</v>
      </c>
      <c r="C6216" s="14" t="s">
        <v>48</v>
      </c>
      <c r="D6216" s="14" t="s">
        <v>129</v>
      </c>
      <c r="E6216" s="14" t="s">
        <v>130</v>
      </c>
      <c r="F6216" s="15" t="s">
        <v>51</v>
      </c>
      <c r="G6216" s="14" t="s">
        <v>131</v>
      </c>
      <c r="H6216" s="14" t="s">
        <v>129</v>
      </c>
      <c r="I6216" s="14" t="s">
        <v>59</v>
      </c>
      <c r="J6216" s="14" t="s">
        <v>200</v>
      </c>
      <c r="K6216" s="14" t="s">
        <v>213</v>
      </c>
      <c r="L6216" s="14" t="s">
        <v>307</v>
      </c>
      <c r="M6216" s="14" t="s">
        <v>502</v>
      </c>
      <c r="N6216" s="14" t="s">
        <v>503</v>
      </c>
      <c r="O6216" s="14">
        <v>1.0</v>
      </c>
      <c r="P6216" s="23">
        <v>0.0083</v>
      </c>
      <c r="Q6216" s="22" t="str">
        <f>"-0.13%"</f>
        <v>-0.13%</v>
      </c>
      <c r="R6216" s="18" t="str">
        <f>"-0.16%"</f>
        <v>-0.16%</v>
      </c>
      <c r="S6216" s="14" t="s">
        <v>2641</v>
      </c>
    </row>
    <row r="6217">
      <c r="A6217" s="13">
        <v>45901.0</v>
      </c>
      <c r="B6217" s="14" t="s">
        <v>47</v>
      </c>
      <c r="C6217" s="14" t="s">
        <v>48</v>
      </c>
      <c r="D6217" s="14" t="s">
        <v>87</v>
      </c>
      <c r="E6217" s="14" t="s">
        <v>88</v>
      </c>
      <c r="F6217" s="15" t="s">
        <v>51</v>
      </c>
      <c r="G6217" s="14" t="s">
        <v>89</v>
      </c>
      <c r="H6217" s="14" t="s">
        <v>90</v>
      </c>
      <c r="I6217" s="14" t="s">
        <v>59</v>
      </c>
      <c r="J6217" s="14" t="s">
        <v>200</v>
      </c>
      <c r="K6217" s="14" t="s">
        <v>223</v>
      </c>
      <c r="L6217" s="14" t="s">
        <v>307</v>
      </c>
      <c r="M6217" s="14" t="s">
        <v>856</v>
      </c>
      <c r="N6217" s="14" t="s">
        <v>857</v>
      </c>
      <c r="O6217" s="14">
        <v>0.0</v>
      </c>
      <c r="P6217" s="23">
        <v>0.0</v>
      </c>
      <c r="Q6217" s="22" t="str">
        <f t="shared" ref="Q6217:R6217" si="3721">"+0.00%"</f>
        <v>+0.00%</v>
      </c>
      <c r="R6217" s="18" t="str">
        <f t="shared" si="3721"/>
        <v>+0.00%</v>
      </c>
      <c r="S6217" s="14" t="s">
        <v>285</v>
      </c>
    </row>
    <row r="6218">
      <c r="A6218" s="13">
        <v>45901.0</v>
      </c>
      <c r="B6218" s="14" t="s">
        <v>47</v>
      </c>
      <c r="C6218" s="14" t="s">
        <v>48</v>
      </c>
      <c r="D6218" s="14" t="s">
        <v>136</v>
      </c>
      <c r="E6218" s="14" t="s">
        <v>137</v>
      </c>
      <c r="F6218" s="15" t="s">
        <v>51</v>
      </c>
      <c r="G6218" s="14" t="s">
        <v>138</v>
      </c>
      <c r="H6218" s="14" t="s">
        <v>139</v>
      </c>
      <c r="I6218" s="14" t="s">
        <v>59</v>
      </c>
      <c r="J6218" s="14" t="s">
        <v>198</v>
      </c>
      <c r="K6218" s="14" t="s">
        <v>205</v>
      </c>
      <c r="L6218" s="14" t="s">
        <v>274</v>
      </c>
      <c r="M6218" s="14" t="s">
        <v>354</v>
      </c>
      <c r="N6218" s="14" t="s">
        <v>355</v>
      </c>
      <c r="O6218" s="14">
        <v>28.0</v>
      </c>
      <c r="P6218" s="21">
        <v>10.0</v>
      </c>
      <c r="Q6218" s="22" t="str">
        <f>"+0"</f>
        <v>+0</v>
      </c>
      <c r="S6218" s="14" t="s">
        <v>356</v>
      </c>
    </row>
    <row r="6219">
      <c r="A6219" s="13">
        <v>45901.0</v>
      </c>
      <c r="B6219" s="14" t="s">
        <v>47</v>
      </c>
      <c r="C6219" s="14" t="s">
        <v>48</v>
      </c>
      <c r="D6219" s="14" t="s">
        <v>69</v>
      </c>
      <c r="E6219" s="14" t="s">
        <v>70</v>
      </c>
      <c r="F6219" s="15" t="s">
        <v>51</v>
      </c>
      <c r="G6219" s="14" t="s">
        <v>115</v>
      </c>
      <c r="H6219" s="14" t="s">
        <v>72</v>
      </c>
      <c r="I6219" s="14" t="s">
        <v>54</v>
      </c>
      <c r="J6219" s="14" t="s">
        <v>200</v>
      </c>
      <c r="K6219" s="14" t="s">
        <v>224</v>
      </c>
      <c r="L6219" s="14" t="s">
        <v>436</v>
      </c>
      <c r="M6219" s="14" t="s">
        <v>1353</v>
      </c>
      <c r="N6219" s="14" t="s">
        <v>1354</v>
      </c>
      <c r="O6219" s="14">
        <v>8.0</v>
      </c>
      <c r="P6219" s="23">
        <v>0.0833</v>
      </c>
      <c r="Q6219" s="22" t="str">
        <f>"-25.00%"</f>
        <v>-25.00%</v>
      </c>
      <c r="R6219" s="18" t="str">
        <f>"-31.67%"</f>
        <v>-31.67%</v>
      </c>
      <c r="S6219" s="14" t="s">
        <v>2642</v>
      </c>
    </row>
    <row r="6220">
      <c r="A6220" s="13">
        <v>45901.0</v>
      </c>
      <c r="B6220" s="14" t="s">
        <v>47</v>
      </c>
      <c r="C6220" s="14" t="s">
        <v>48</v>
      </c>
      <c r="D6220" s="14" t="s">
        <v>125</v>
      </c>
      <c r="E6220" s="14" t="s">
        <v>126</v>
      </c>
      <c r="F6220" s="15" t="s">
        <v>51</v>
      </c>
      <c r="G6220" s="14" t="s">
        <v>127</v>
      </c>
      <c r="H6220" s="14" t="s">
        <v>125</v>
      </c>
      <c r="I6220" s="14" t="s">
        <v>59</v>
      </c>
      <c r="J6220" s="14" t="s">
        <v>198</v>
      </c>
      <c r="K6220" s="14" t="s">
        <v>205</v>
      </c>
      <c r="L6220" s="14" t="s">
        <v>274</v>
      </c>
      <c r="M6220" s="14" t="s">
        <v>482</v>
      </c>
      <c r="N6220" s="14" t="s">
        <v>483</v>
      </c>
      <c r="O6220" s="14">
        <v>100.0</v>
      </c>
      <c r="P6220" s="21">
        <v>8.0</v>
      </c>
      <c r="Q6220" s="22" t="str">
        <f>"+0"</f>
        <v>+0</v>
      </c>
      <c r="S6220" s="14" t="s">
        <v>484</v>
      </c>
    </row>
    <row r="6221">
      <c r="A6221" s="13">
        <v>45901.0</v>
      </c>
      <c r="B6221" s="14" t="s">
        <v>47</v>
      </c>
      <c r="C6221" s="14" t="s">
        <v>48</v>
      </c>
      <c r="D6221" s="14" t="s">
        <v>158</v>
      </c>
      <c r="E6221" s="14" t="s">
        <v>159</v>
      </c>
      <c r="F6221" s="15" t="s">
        <v>51</v>
      </c>
      <c r="G6221" s="14" t="s">
        <v>160</v>
      </c>
      <c r="H6221" s="14" t="s">
        <v>158</v>
      </c>
      <c r="I6221" s="14" t="s">
        <v>54</v>
      </c>
      <c r="J6221" s="14" t="s">
        <v>200</v>
      </c>
      <c r="K6221" s="14" t="s">
        <v>227</v>
      </c>
      <c r="L6221" s="14" t="s">
        <v>253</v>
      </c>
      <c r="M6221" s="14" t="s">
        <v>849</v>
      </c>
      <c r="N6221" s="14" t="s">
        <v>850</v>
      </c>
      <c r="O6221" s="14">
        <v>0.0</v>
      </c>
      <c r="P6221" s="23">
        <v>0.0</v>
      </c>
      <c r="Q6221" s="22" t="str">
        <f t="shared" ref="Q6221:R6221" si="3722">"+0.00%"</f>
        <v>+0.00%</v>
      </c>
      <c r="R6221" s="18" t="str">
        <f t="shared" si="3722"/>
        <v>+0.00%</v>
      </c>
      <c r="S6221" s="14" t="s">
        <v>851</v>
      </c>
    </row>
    <row r="6222">
      <c r="A6222" s="13">
        <v>45901.0</v>
      </c>
      <c r="B6222" s="14" t="s">
        <v>47</v>
      </c>
      <c r="C6222" s="14" t="s">
        <v>48</v>
      </c>
      <c r="D6222" s="14" t="s">
        <v>116</v>
      </c>
      <c r="E6222" s="14" t="s">
        <v>117</v>
      </c>
      <c r="F6222" s="15" t="s">
        <v>51</v>
      </c>
      <c r="G6222" s="14" t="s">
        <v>161</v>
      </c>
      <c r="H6222" s="14" t="s">
        <v>116</v>
      </c>
      <c r="I6222" s="14" t="s">
        <v>54</v>
      </c>
      <c r="J6222" s="14" t="s">
        <v>200</v>
      </c>
      <c r="K6222" s="14" t="s">
        <v>224</v>
      </c>
      <c r="L6222" s="14" t="s">
        <v>427</v>
      </c>
      <c r="M6222" s="14" t="s">
        <v>925</v>
      </c>
      <c r="N6222" s="14" t="s">
        <v>926</v>
      </c>
      <c r="O6222" s="14">
        <v>0.0</v>
      </c>
      <c r="P6222" s="23">
        <v>0.0</v>
      </c>
      <c r="Q6222" s="22"/>
      <c r="S6222" s="14" t="s">
        <v>927</v>
      </c>
    </row>
    <row r="6223">
      <c r="A6223" s="13">
        <v>45901.0</v>
      </c>
      <c r="B6223" s="14" t="s">
        <v>47</v>
      </c>
      <c r="C6223" s="14" t="s">
        <v>48</v>
      </c>
      <c r="D6223" s="14" t="s">
        <v>77</v>
      </c>
      <c r="E6223" s="14" t="s">
        <v>78</v>
      </c>
      <c r="F6223" s="14" t="s">
        <v>71</v>
      </c>
      <c r="G6223" s="14">
        <v>5.36009043E8</v>
      </c>
      <c r="H6223" s="14" t="s">
        <v>81</v>
      </c>
      <c r="J6223" s="14" t="s">
        <v>199</v>
      </c>
      <c r="K6223" s="14" t="s">
        <v>206</v>
      </c>
      <c r="L6223" s="14" t="s">
        <v>433</v>
      </c>
      <c r="M6223" s="14" t="s">
        <v>433</v>
      </c>
      <c r="N6223" s="14" t="s">
        <v>434</v>
      </c>
      <c r="O6223" s="14">
        <v>100.0</v>
      </c>
      <c r="P6223" s="21">
        <v>181.0</v>
      </c>
      <c r="Q6223" s="22" t="str">
        <f>"+25"</f>
        <v>+25</v>
      </c>
      <c r="S6223" s="14" t="s">
        <v>383</v>
      </c>
    </row>
    <row r="6224">
      <c r="A6224" s="13">
        <v>45901.0</v>
      </c>
      <c r="B6224" s="14" t="s">
        <v>47</v>
      </c>
      <c r="C6224" s="14" t="s">
        <v>48</v>
      </c>
      <c r="D6224" s="14" t="s">
        <v>108</v>
      </c>
      <c r="E6224" s="14" t="s">
        <v>109</v>
      </c>
      <c r="F6224" s="14" t="s">
        <v>79</v>
      </c>
      <c r="G6224" s="14" t="s">
        <v>153</v>
      </c>
      <c r="H6224" s="14" t="s">
        <v>108</v>
      </c>
      <c r="I6224" s="14" t="s">
        <v>154</v>
      </c>
      <c r="J6224" s="14" t="s">
        <v>200</v>
      </c>
      <c r="K6224" s="14" t="s">
        <v>238</v>
      </c>
      <c r="L6224" s="14" t="s">
        <v>333</v>
      </c>
      <c r="M6224" s="14" t="s">
        <v>2153</v>
      </c>
      <c r="N6224" s="14" t="s">
        <v>2154</v>
      </c>
      <c r="O6224" s="14">
        <v>0.0</v>
      </c>
      <c r="P6224" s="23">
        <v>-1.0</v>
      </c>
      <c r="Q6224" s="22" t="str">
        <f t="shared" ref="Q6224:Q6225" si="3723">"+0.00%"</f>
        <v>+0.00%</v>
      </c>
      <c r="S6224" s="14" t="s">
        <v>336</v>
      </c>
    </row>
    <row r="6225">
      <c r="A6225" s="13">
        <v>45901.0</v>
      </c>
      <c r="B6225" s="14" t="s">
        <v>47</v>
      </c>
      <c r="C6225" s="14" t="s">
        <v>48</v>
      </c>
      <c r="D6225" s="14" t="s">
        <v>174</v>
      </c>
      <c r="E6225" s="14" t="s">
        <v>175</v>
      </c>
      <c r="F6225" s="15" t="s">
        <v>51</v>
      </c>
      <c r="G6225" s="14" t="s">
        <v>176</v>
      </c>
      <c r="H6225" s="14" t="s">
        <v>174</v>
      </c>
      <c r="I6225" s="14" t="s">
        <v>59</v>
      </c>
      <c r="J6225" s="14" t="s">
        <v>200</v>
      </c>
      <c r="K6225" s="14" t="s">
        <v>213</v>
      </c>
      <c r="L6225" s="14" t="s">
        <v>307</v>
      </c>
      <c r="M6225" s="14" t="s">
        <v>561</v>
      </c>
      <c r="N6225" s="14" t="s">
        <v>562</v>
      </c>
      <c r="O6225" s="14">
        <v>0.0</v>
      </c>
      <c r="P6225" s="23">
        <v>0.0</v>
      </c>
      <c r="Q6225" s="22" t="str">
        <f t="shared" si="3723"/>
        <v>+0.00%</v>
      </c>
      <c r="R6225" s="18" t="str">
        <f>"+0.00%"</f>
        <v>+0.00%</v>
      </c>
      <c r="S6225" s="14" t="s">
        <v>285</v>
      </c>
    </row>
    <row r="6226">
      <c r="A6226" s="13">
        <v>45901.0</v>
      </c>
      <c r="B6226" s="14" t="s">
        <v>47</v>
      </c>
      <c r="C6226" s="14" t="s">
        <v>48</v>
      </c>
      <c r="D6226" s="14" t="s">
        <v>77</v>
      </c>
      <c r="E6226" s="14" t="s">
        <v>78</v>
      </c>
      <c r="F6226" s="14" t="s">
        <v>79</v>
      </c>
      <c r="G6226" s="14" t="s">
        <v>80</v>
      </c>
      <c r="H6226" s="14" t="s">
        <v>81</v>
      </c>
      <c r="J6226" s="14" t="s">
        <v>198</v>
      </c>
      <c r="K6226" s="14" t="s">
        <v>205</v>
      </c>
      <c r="L6226" s="14" t="s">
        <v>1641</v>
      </c>
      <c r="M6226" s="14" t="s">
        <v>1642</v>
      </c>
      <c r="N6226" s="14" t="s">
        <v>1643</v>
      </c>
      <c r="O6226" s="14">
        <v>0.0</v>
      </c>
      <c r="P6226" s="21">
        <v>1.0</v>
      </c>
      <c r="Q6226" s="22" t="str">
        <f>"+0"</f>
        <v>+0</v>
      </c>
      <c r="S6226" s="14" t="s">
        <v>277</v>
      </c>
    </row>
    <row r="6227">
      <c r="A6227" s="13">
        <v>45901.0</v>
      </c>
      <c r="B6227" s="14" t="s">
        <v>47</v>
      </c>
      <c r="C6227" s="14" t="s">
        <v>48</v>
      </c>
      <c r="D6227" s="14" t="s">
        <v>108</v>
      </c>
      <c r="E6227" s="14" t="s">
        <v>109</v>
      </c>
      <c r="F6227" s="15" t="s">
        <v>51</v>
      </c>
      <c r="G6227" s="14" t="s">
        <v>110</v>
      </c>
      <c r="H6227" s="14" t="s">
        <v>108</v>
      </c>
      <c r="I6227" s="14" t="s">
        <v>59</v>
      </c>
      <c r="J6227" s="14" t="s">
        <v>200</v>
      </c>
      <c r="K6227" s="14" t="s">
        <v>233</v>
      </c>
      <c r="L6227" s="14" t="s">
        <v>253</v>
      </c>
      <c r="M6227" s="14" t="s">
        <v>2643</v>
      </c>
      <c r="N6227" s="14" t="s">
        <v>2644</v>
      </c>
      <c r="O6227" s="14">
        <v>1.0</v>
      </c>
      <c r="P6227" s="23">
        <v>0.0192</v>
      </c>
      <c r="Q6227" s="22" t="str">
        <f>"+1.92%"</f>
        <v>+1.92%</v>
      </c>
      <c r="S6227" s="14" t="s">
        <v>371</v>
      </c>
    </row>
    <row r="6228">
      <c r="A6228" s="13">
        <v>45901.0</v>
      </c>
      <c r="B6228" s="14" t="s">
        <v>47</v>
      </c>
      <c r="C6228" s="14" t="s">
        <v>48</v>
      </c>
      <c r="D6228" s="14" t="s">
        <v>77</v>
      </c>
      <c r="E6228" s="14" t="s">
        <v>78</v>
      </c>
      <c r="F6228" s="15" t="s">
        <v>51</v>
      </c>
      <c r="G6228" s="14" t="s">
        <v>128</v>
      </c>
      <c r="H6228" s="14" t="s">
        <v>81</v>
      </c>
      <c r="I6228" s="14" t="s">
        <v>59</v>
      </c>
      <c r="J6228" s="14" t="s">
        <v>200</v>
      </c>
      <c r="K6228" s="14" t="s">
        <v>223</v>
      </c>
      <c r="L6228" s="14" t="s">
        <v>607</v>
      </c>
      <c r="M6228" s="14" t="s">
        <v>692</v>
      </c>
      <c r="N6228" s="14" t="s">
        <v>693</v>
      </c>
      <c r="O6228" s="14">
        <v>0.0</v>
      </c>
      <c r="P6228" s="23">
        <v>0.0</v>
      </c>
      <c r="Q6228" s="22" t="str">
        <f t="shared" ref="Q6228:R6228" si="3724">"+0.00%"</f>
        <v>+0.00%</v>
      </c>
      <c r="R6228" s="18" t="str">
        <f t="shared" si="3724"/>
        <v>+0.00%</v>
      </c>
      <c r="S6228" s="14" t="s">
        <v>285</v>
      </c>
    </row>
    <row r="6229">
      <c r="A6229" s="13">
        <v>45901.0</v>
      </c>
      <c r="B6229" s="14" t="s">
        <v>47</v>
      </c>
      <c r="C6229" s="14" t="s">
        <v>48</v>
      </c>
      <c r="D6229" s="14" t="s">
        <v>60</v>
      </c>
      <c r="E6229" s="14" t="s">
        <v>61</v>
      </c>
      <c r="F6229" s="15" t="s">
        <v>51</v>
      </c>
      <c r="G6229" s="14" t="s">
        <v>62</v>
      </c>
      <c r="H6229" s="14" t="s">
        <v>60</v>
      </c>
      <c r="I6229" s="14" t="s">
        <v>59</v>
      </c>
      <c r="J6229" s="14" t="s">
        <v>200</v>
      </c>
      <c r="K6229" s="14" t="s">
        <v>223</v>
      </c>
      <c r="L6229" s="14" t="s">
        <v>676</v>
      </c>
      <c r="M6229" s="14" t="s">
        <v>858</v>
      </c>
      <c r="N6229" s="14" t="s">
        <v>859</v>
      </c>
      <c r="O6229" s="14">
        <v>0.0</v>
      </c>
      <c r="P6229" s="23">
        <v>-1.0</v>
      </c>
      <c r="Q6229" s="22" t="str">
        <f t="shared" ref="Q6229:R6229" si="3725">"+0.00%"</f>
        <v>+0.00%</v>
      </c>
      <c r="R6229" s="18" t="str">
        <f t="shared" si="3725"/>
        <v>+0.00%</v>
      </c>
      <c r="S6229" s="14" t="s">
        <v>2645</v>
      </c>
    </row>
    <row r="6230">
      <c r="A6230" s="13">
        <v>45901.0</v>
      </c>
      <c r="B6230" s="14" t="s">
        <v>47</v>
      </c>
      <c r="C6230" s="14" t="s">
        <v>48</v>
      </c>
      <c r="D6230" s="14" t="s">
        <v>56</v>
      </c>
      <c r="E6230" s="14" t="s">
        <v>57</v>
      </c>
      <c r="F6230" s="15" t="s">
        <v>51</v>
      </c>
      <c r="G6230" s="14" t="s">
        <v>58</v>
      </c>
      <c r="H6230" s="14" t="s">
        <v>56</v>
      </c>
      <c r="I6230" s="14" t="s">
        <v>59</v>
      </c>
      <c r="J6230" s="14" t="s">
        <v>200</v>
      </c>
      <c r="K6230" s="14" t="s">
        <v>223</v>
      </c>
      <c r="L6230" s="14" t="s">
        <v>440</v>
      </c>
      <c r="M6230" s="14" t="s">
        <v>510</v>
      </c>
      <c r="N6230" s="14" t="s">
        <v>511</v>
      </c>
      <c r="O6230" s="14">
        <v>0.0</v>
      </c>
      <c r="P6230" s="23">
        <v>0.0</v>
      </c>
      <c r="Q6230" s="22" t="str">
        <f t="shared" ref="Q6230:R6230" si="3726">"+0.00%"</f>
        <v>+0.00%</v>
      </c>
      <c r="R6230" s="18" t="str">
        <f t="shared" si="3726"/>
        <v>+0.00%</v>
      </c>
      <c r="S6230" s="14" t="s">
        <v>285</v>
      </c>
    </row>
    <row r="6231">
      <c r="A6231" s="13">
        <v>45901.0</v>
      </c>
      <c r="B6231" s="14" t="s">
        <v>47</v>
      </c>
      <c r="C6231" s="14" t="s">
        <v>48</v>
      </c>
      <c r="D6231" s="14" t="s">
        <v>56</v>
      </c>
      <c r="E6231" s="14" t="s">
        <v>57</v>
      </c>
      <c r="F6231" s="15" t="s">
        <v>51</v>
      </c>
      <c r="G6231" s="14" t="s">
        <v>58</v>
      </c>
      <c r="H6231" s="14" t="s">
        <v>56</v>
      </c>
      <c r="I6231" s="14" t="s">
        <v>59</v>
      </c>
      <c r="J6231" s="14" t="s">
        <v>200</v>
      </c>
      <c r="K6231" s="14" t="s">
        <v>223</v>
      </c>
      <c r="L6231" s="14" t="s">
        <v>261</v>
      </c>
      <c r="M6231" s="14" t="s">
        <v>808</v>
      </c>
      <c r="N6231" s="14" t="s">
        <v>809</v>
      </c>
      <c r="O6231" s="14">
        <v>12.0</v>
      </c>
      <c r="P6231" s="23">
        <v>0.12</v>
      </c>
      <c r="Q6231" s="22" t="str">
        <f>"+7.00%"</f>
        <v>+7.00%</v>
      </c>
      <c r="R6231" s="18" t="str">
        <f>"+7.83%"</f>
        <v>+7.83%</v>
      </c>
      <c r="S6231" s="14" t="s">
        <v>2646</v>
      </c>
    </row>
    <row r="6232">
      <c r="A6232" s="13">
        <v>45901.0</v>
      </c>
      <c r="B6232" s="14" t="s">
        <v>47</v>
      </c>
      <c r="C6232" s="14" t="s">
        <v>48</v>
      </c>
      <c r="D6232" s="14" t="s">
        <v>121</v>
      </c>
      <c r="E6232" s="14" t="s">
        <v>122</v>
      </c>
      <c r="F6232" s="15" t="s">
        <v>51</v>
      </c>
      <c r="G6232" s="14" t="s">
        <v>123</v>
      </c>
      <c r="H6232" s="14" t="s">
        <v>124</v>
      </c>
      <c r="I6232" s="14" t="s">
        <v>59</v>
      </c>
      <c r="J6232" s="14" t="s">
        <v>198</v>
      </c>
      <c r="K6232" s="14" t="s">
        <v>212</v>
      </c>
      <c r="L6232" s="14" t="s">
        <v>344</v>
      </c>
      <c r="M6232" s="14" t="s">
        <v>580</v>
      </c>
      <c r="N6232" s="14" t="s">
        <v>581</v>
      </c>
      <c r="O6232" s="14">
        <v>100.0</v>
      </c>
      <c r="P6232" s="21">
        <v>1.0</v>
      </c>
      <c r="Q6232" s="22" t="str">
        <f>"+1"</f>
        <v>+1</v>
      </c>
      <c r="S6232" s="14" t="s">
        <v>281</v>
      </c>
    </row>
    <row r="6233">
      <c r="A6233" s="13">
        <v>45901.0</v>
      </c>
      <c r="B6233" s="14" t="s">
        <v>47</v>
      </c>
      <c r="C6233" s="14" t="s">
        <v>48</v>
      </c>
      <c r="D6233" s="14" t="s">
        <v>56</v>
      </c>
      <c r="E6233" s="14" t="s">
        <v>57</v>
      </c>
      <c r="F6233" s="15" t="s">
        <v>51</v>
      </c>
      <c r="G6233" s="14" t="s">
        <v>58</v>
      </c>
      <c r="H6233" s="14" t="s">
        <v>56</v>
      </c>
      <c r="I6233" s="14" t="s">
        <v>59</v>
      </c>
      <c r="J6233" s="14" t="s">
        <v>200</v>
      </c>
      <c r="K6233" s="14" t="s">
        <v>227</v>
      </c>
      <c r="L6233" s="14" t="s">
        <v>253</v>
      </c>
      <c r="M6233" s="14" t="s">
        <v>849</v>
      </c>
      <c r="N6233" s="14" t="s">
        <v>850</v>
      </c>
      <c r="O6233" s="14">
        <v>20.0</v>
      </c>
      <c r="P6233" s="23">
        <v>0.2</v>
      </c>
      <c r="Q6233" s="22" t="str">
        <f t="shared" ref="Q6233:R6233" si="3727">"+0.00%"</f>
        <v>+0.00%</v>
      </c>
      <c r="R6233" s="18" t="str">
        <f t="shared" si="3727"/>
        <v>+0.00%</v>
      </c>
      <c r="S6233" s="14" t="s">
        <v>2111</v>
      </c>
    </row>
    <row r="6234">
      <c r="A6234" s="13">
        <v>45901.0</v>
      </c>
      <c r="B6234" s="14" t="s">
        <v>47</v>
      </c>
      <c r="C6234" s="14" t="s">
        <v>48</v>
      </c>
      <c r="D6234" s="14" t="s">
        <v>155</v>
      </c>
      <c r="E6234" s="14" t="s">
        <v>156</v>
      </c>
      <c r="F6234" s="15" t="s">
        <v>51</v>
      </c>
      <c r="G6234" s="14" t="s">
        <v>157</v>
      </c>
      <c r="H6234" s="14" t="s">
        <v>155</v>
      </c>
      <c r="I6234" s="14" t="s">
        <v>59</v>
      </c>
      <c r="J6234" s="14" t="s">
        <v>200</v>
      </c>
      <c r="K6234" s="14" t="s">
        <v>223</v>
      </c>
      <c r="L6234" s="14" t="s">
        <v>710</v>
      </c>
      <c r="M6234" s="14" t="s">
        <v>806</v>
      </c>
      <c r="N6234" s="14" t="s">
        <v>807</v>
      </c>
      <c r="O6234" s="14">
        <v>0.0</v>
      </c>
      <c r="P6234" s="17"/>
      <c r="Q6234" s="22"/>
      <c r="S6234" s="14" t="s">
        <v>285</v>
      </c>
    </row>
    <row r="6235">
      <c r="A6235" s="13">
        <v>45901.0</v>
      </c>
      <c r="B6235" s="14" t="s">
        <v>47</v>
      </c>
      <c r="C6235" s="14" t="s">
        <v>48</v>
      </c>
      <c r="D6235" s="14" t="s">
        <v>60</v>
      </c>
      <c r="E6235" s="14" t="s">
        <v>61</v>
      </c>
      <c r="F6235" s="15" t="s">
        <v>51</v>
      </c>
      <c r="G6235" s="14" t="s">
        <v>62</v>
      </c>
      <c r="H6235" s="14" t="s">
        <v>60</v>
      </c>
      <c r="I6235" s="14" t="s">
        <v>59</v>
      </c>
      <c r="J6235" s="14" t="s">
        <v>198</v>
      </c>
      <c r="K6235" s="14" t="s">
        <v>207</v>
      </c>
      <c r="L6235" s="14" t="s">
        <v>318</v>
      </c>
      <c r="M6235" s="14" t="s">
        <v>319</v>
      </c>
      <c r="N6235" s="14" t="s">
        <v>320</v>
      </c>
      <c r="O6235" s="14">
        <v>0.0</v>
      </c>
      <c r="P6235" s="21">
        <v>0.0</v>
      </c>
      <c r="Q6235" s="22" t="str">
        <f t="shared" ref="Q6235:Q6236" si="3728">"+0"</f>
        <v>+0</v>
      </c>
      <c r="S6235" s="14" t="s">
        <v>281</v>
      </c>
    </row>
    <row r="6236">
      <c r="A6236" s="13">
        <v>45901.0</v>
      </c>
      <c r="B6236" s="14" t="s">
        <v>47</v>
      </c>
      <c r="C6236" s="14" t="s">
        <v>48</v>
      </c>
      <c r="D6236" s="14" t="s">
        <v>165</v>
      </c>
      <c r="E6236" s="14" t="s">
        <v>166</v>
      </c>
      <c r="F6236" s="15" t="s">
        <v>51</v>
      </c>
      <c r="G6236" s="14" t="s">
        <v>167</v>
      </c>
      <c r="H6236" s="14" t="s">
        <v>165</v>
      </c>
      <c r="I6236" s="14" t="s">
        <v>54</v>
      </c>
      <c r="J6236" s="14" t="s">
        <v>198</v>
      </c>
      <c r="K6236" s="14" t="s">
        <v>210</v>
      </c>
      <c r="L6236" s="14" t="s">
        <v>505</v>
      </c>
      <c r="M6236" s="14" t="s">
        <v>975</v>
      </c>
      <c r="N6236" s="14" t="s">
        <v>976</v>
      </c>
      <c r="O6236" s="14">
        <v>0.0</v>
      </c>
      <c r="P6236" s="21">
        <v>0.0</v>
      </c>
      <c r="Q6236" s="22" t="str">
        <f t="shared" si="3728"/>
        <v>+0</v>
      </c>
      <c r="R6236" s="18" t="str">
        <f>"+0"</f>
        <v>+0</v>
      </c>
      <c r="S6236" s="14" t="s">
        <v>277</v>
      </c>
    </row>
    <row r="6237">
      <c r="A6237" s="13">
        <v>45901.0</v>
      </c>
      <c r="B6237" s="14" t="s">
        <v>47</v>
      </c>
      <c r="C6237" s="14" t="s">
        <v>48</v>
      </c>
      <c r="D6237" s="14" t="s">
        <v>49</v>
      </c>
      <c r="E6237" s="14" t="s">
        <v>50</v>
      </c>
      <c r="F6237" s="15" t="s">
        <v>51</v>
      </c>
      <c r="G6237" s="14" t="s">
        <v>52</v>
      </c>
      <c r="H6237" s="14" t="s">
        <v>53</v>
      </c>
      <c r="I6237" s="14" t="s">
        <v>54</v>
      </c>
      <c r="J6237" s="14" t="s">
        <v>200</v>
      </c>
      <c r="K6237" s="14" t="s">
        <v>213</v>
      </c>
      <c r="L6237" s="14" t="s">
        <v>676</v>
      </c>
      <c r="M6237" s="14" t="s">
        <v>677</v>
      </c>
      <c r="N6237" s="14" t="s">
        <v>678</v>
      </c>
      <c r="O6237" s="14">
        <v>0.0</v>
      </c>
      <c r="P6237" s="23">
        <v>0.0</v>
      </c>
      <c r="Q6237" s="22" t="str">
        <f t="shared" ref="Q6237:R6237" si="3729">"+0.00%"</f>
        <v>+0.00%</v>
      </c>
      <c r="R6237" s="18" t="str">
        <f t="shared" si="3729"/>
        <v>+0.00%</v>
      </c>
      <c r="S6237" s="14" t="s">
        <v>285</v>
      </c>
    </row>
    <row r="6238">
      <c r="A6238" s="13">
        <v>45901.0</v>
      </c>
      <c r="B6238" s="14" t="s">
        <v>47</v>
      </c>
      <c r="C6238" s="14" t="s">
        <v>48</v>
      </c>
      <c r="D6238" s="14" t="s">
        <v>49</v>
      </c>
      <c r="E6238" s="14" t="s">
        <v>50</v>
      </c>
      <c r="F6238" s="15" t="s">
        <v>51</v>
      </c>
      <c r="G6238" s="14" t="s">
        <v>52</v>
      </c>
      <c r="H6238" s="14" t="s">
        <v>53</v>
      </c>
      <c r="I6238" s="14" t="s">
        <v>54</v>
      </c>
      <c r="J6238" s="14" t="s">
        <v>200</v>
      </c>
      <c r="K6238" s="14" t="s">
        <v>209</v>
      </c>
      <c r="L6238" s="14" t="s">
        <v>253</v>
      </c>
      <c r="M6238" s="14" t="s">
        <v>817</v>
      </c>
      <c r="N6238" s="14" t="s">
        <v>818</v>
      </c>
      <c r="O6238" s="14">
        <v>88.0</v>
      </c>
      <c r="P6238" s="23">
        <v>0.887</v>
      </c>
      <c r="Q6238" s="22" t="str">
        <f>"-1.67%"</f>
        <v>-1.67%</v>
      </c>
      <c r="R6238" s="18" t="str">
        <f>"-8.86%"</f>
        <v>-8.86%</v>
      </c>
      <c r="S6238" s="14" t="s">
        <v>1125</v>
      </c>
    </row>
    <row r="6239">
      <c r="A6239" s="13">
        <v>45901.0</v>
      </c>
      <c r="B6239" s="14" t="s">
        <v>47</v>
      </c>
      <c r="C6239" s="14" t="s">
        <v>48</v>
      </c>
      <c r="D6239" s="14" t="s">
        <v>165</v>
      </c>
      <c r="E6239" s="14" t="s">
        <v>166</v>
      </c>
      <c r="F6239" s="15" t="s">
        <v>51</v>
      </c>
      <c r="G6239" s="14" t="s">
        <v>167</v>
      </c>
      <c r="H6239" s="14" t="s">
        <v>165</v>
      </c>
      <c r="I6239" s="14" t="s">
        <v>54</v>
      </c>
      <c r="J6239" s="14" t="s">
        <v>198</v>
      </c>
      <c r="K6239" s="14" t="s">
        <v>210</v>
      </c>
      <c r="L6239" s="14" t="s">
        <v>505</v>
      </c>
      <c r="M6239" s="14" t="s">
        <v>1128</v>
      </c>
      <c r="N6239" s="14" t="s">
        <v>1129</v>
      </c>
      <c r="O6239" s="14">
        <v>0.0</v>
      </c>
      <c r="P6239" s="21">
        <v>0.0</v>
      </c>
      <c r="Q6239" s="22" t="str">
        <f t="shared" ref="Q6239:R6239" si="3730">"+0"</f>
        <v>+0</v>
      </c>
      <c r="R6239" s="18" t="str">
        <f t="shared" si="3730"/>
        <v>+0</v>
      </c>
      <c r="S6239" s="14" t="s">
        <v>277</v>
      </c>
    </row>
    <row r="6240">
      <c r="A6240" s="13">
        <v>45901.0</v>
      </c>
      <c r="B6240" s="14" t="s">
        <v>47</v>
      </c>
      <c r="C6240" s="14" t="s">
        <v>48</v>
      </c>
      <c r="D6240" s="14" t="s">
        <v>118</v>
      </c>
      <c r="E6240" s="14" t="s">
        <v>119</v>
      </c>
      <c r="F6240" s="15" t="s">
        <v>51</v>
      </c>
      <c r="G6240" s="14" t="s">
        <v>120</v>
      </c>
      <c r="H6240" s="14" t="s">
        <v>118</v>
      </c>
      <c r="I6240" s="14" t="s">
        <v>59</v>
      </c>
      <c r="J6240" s="14" t="s">
        <v>200</v>
      </c>
      <c r="K6240" s="14" t="s">
        <v>213</v>
      </c>
      <c r="L6240" s="14" t="s">
        <v>307</v>
      </c>
      <c r="M6240" s="14" t="s">
        <v>533</v>
      </c>
      <c r="N6240" s="14" t="s">
        <v>534</v>
      </c>
      <c r="O6240" s="14">
        <v>0.0</v>
      </c>
      <c r="P6240" s="23">
        <v>0.0</v>
      </c>
      <c r="Q6240" s="22" t="str">
        <f t="shared" ref="Q6240:R6240" si="3731">"+0.00%"</f>
        <v>+0.00%</v>
      </c>
      <c r="R6240" s="18" t="str">
        <f t="shared" si="3731"/>
        <v>+0.00%</v>
      </c>
      <c r="S6240" s="14" t="s">
        <v>2647</v>
      </c>
    </row>
    <row r="6241">
      <c r="A6241" s="13">
        <v>45901.0</v>
      </c>
      <c r="B6241" s="14" t="s">
        <v>47</v>
      </c>
      <c r="C6241" s="14" t="s">
        <v>48</v>
      </c>
      <c r="D6241" s="14" t="s">
        <v>63</v>
      </c>
      <c r="E6241" s="14" t="s">
        <v>64</v>
      </c>
      <c r="F6241" s="15" t="s">
        <v>51</v>
      </c>
      <c r="G6241" s="14" t="s">
        <v>65</v>
      </c>
      <c r="H6241" s="14" t="s">
        <v>63</v>
      </c>
      <c r="I6241" s="14" t="s">
        <v>54</v>
      </c>
      <c r="J6241" s="14" t="s">
        <v>198</v>
      </c>
      <c r="K6241" s="14" t="s">
        <v>210</v>
      </c>
      <c r="L6241" s="14" t="s">
        <v>264</v>
      </c>
      <c r="M6241" s="14" t="s">
        <v>1596</v>
      </c>
      <c r="N6241" s="14" t="s">
        <v>1597</v>
      </c>
      <c r="O6241" s="14">
        <v>0.0</v>
      </c>
      <c r="P6241" s="21">
        <v>0.0</v>
      </c>
      <c r="Q6241" s="22" t="str">
        <f t="shared" ref="Q6241:R6241" si="3732">"+0"</f>
        <v>+0</v>
      </c>
      <c r="R6241" s="18" t="str">
        <f t="shared" si="3732"/>
        <v>+0</v>
      </c>
      <c r="S6241" s="14" t="s">
        <v>277</v>
      </c>
    </row>
    <row r="6242">
      <c r="A6242" s="13">
        <v>45901.0</v>
      </c>
      <c r="B6242" s="14" t="s">
        <v>47</v>
      </c>
      <c r="C6242" s="14" t="s">
        <v>48</v>
      </c>
      <c r="D6242" s="14" t="s">
        <v>66</v>
      </c>
      <c r="E6242" s="14" t="s">
        <v>67</v>
      </c>
      <c r="F6242" s="15" t="s">
        <v>51</v>
      </c>
      <c r="G6242" s="14" t="s">
        <v>68</v>
      </c>
      <c r="H6242" s="14" t="s">
        <v>66</v>
      </c>
      <c r="I6242" s="14" t="s">
        <v>59</v>
      </c>
      <c r="J6242" s="14" t="s">
        <v>200</v>
      </c>
      <c r="K6242" s="14" t="s">
        <v>223</v>
      </c>
      <c r="L6242" s="14" t="s">
        <v>487</v>
      </c>
      <c r="M6242" s="14" t="s">
        <v>670</v>
      </c>
      <c r="N6242" s="14" t="s">
        <v>671</v>
      </c>
      <c r="O6242" s="14">
        <v>0.0</v>
      </c>
      <c r="P6242" s="21">
        <v>0.0</v>
      </c>
      <c r="Q6242" s="22" t="str">
        <f t="shared" ref="Q6242:R6242" si="3733">"+0"</f>
        <v>+0</v>
      </c>
      <c r="R6242" s="18" t="str">
        <f t="shared" si="3733"/>
        <v>+0</v>
      </c>
      <c r="S6242" s="14" t="s">
        <v>260</v>
      </c>
    </row>
    <row r="6243">
      <c r="A6243" s="13">
        <v>45901.0</v>
      </c>
      <c r="B6243" s="14" t="s">
        <v>47</v>
      </c>
      <c r="C6243" s="14" t="s">
        <v>48</v>
      </c>
      <c r="D6243" s="14" t="s">
        <v>184</v>
      </c>
      <c r="E6243" s="14" t="s">
        <v>185</v>
      </c>
      <c r="F6243" s="15" t="s">
        <v>51</v>
      </c>
      <c r="G6243" s="14" t="s">
        <v>186</v>
      </c>
      <c r="H6243" s="14" t="s">
        <v>187</v>
      </c>
      <c r="I6243" s="14" t="s">
        <v>59</v>
      </c>
      <c r="J6243" s="14" t="s">
        <v>200</v>
      </c>
      <c r="K6243" s="14" t="s">
        <v>224</v>
      </c>
      <c r="L6243" s="14" t="s">
        <v>392</v>
      </c>
      <c r="M6243" s="14" t="s">
        <v>1172</v>
      </c>
      <c r="N6243" s="14" t="s">
        <v>1173</v>
      </c>
      <c r="O6243" s="14">
        <v>0.0</v>
      </c>
      <c r="P6243" s="17"/>
      <c r="Q6243" s="22"/>
      <c r="S6243" s="14" t="s">
        <v>2648</v>
      </c>
    </row>
    <row r="6244">
      <c r="A6244" s="13">
        <v>45901.0</v>
      </c>
      <c r="B6244" s="14" t="s">
        <v>47</v>
      </c>
      <c r="C6244" s="14" t="s">
        <v>48</v>
      </c>
      <c r="D6244" s="14" t="s">
        <v>66</v>
      </c>
      <c r="E6244" s="14" t="s">
        <v>67</v>
      </c>
      <c r="F6244" s="15" t="s">
        <v>51</v>
      </c>
      <c r="G6244" s="14" t="s">
        <v>68</v>
      </c>
      <c r="H6244" s="14" t="s">
        <v>66</v>
      </c>
      <c r="I6244" s="14" t="s">
        <v>59</v>
      </c>
      <c r="J6244" s="14" t="s">
        <v>200</v>
      </c>
      <c r="K6244" s="14" t="s">
        <v>231</v>
      </c>
      <c r="L6244" s="14" t="s">
        <v>751</v>
      </c>
      <c r="M6244" s="14" t="s">
        <v>2059</v>
      </c>
      <c r="N6244" s="14" t="s">
        <v>2060</v>
      </c>
      <c r="O6244" s="14">
        <v>0.0</v>
      </c>
      <c r="P6244" s="17"/>
      <c r="Q6244" s="22"/>
      <c r="S6244" s="14" t="s">
        <v>2649</v>
      </c>
    </row>
    <row r="6245">
      <c r="A6245" s="13">
        <v>45901.0</v>
      </c>
      <c r="B6245" s="14" t="s">
        <v>47</v>
      </c>
      <c r="C6245" s="14" t="s">
        <v>48</v>
      </c>
      <c r="D6245" s="14" t="s">
        <v>82</v>
      </c>
      <c r="E6245" s="14" t="s">
        <v>83</v>
      </c>
      <c r="F6245" s="15" t="s">
        <v>51</v>
      </c>
      <c r="G6245" s="14" t="s">
        <v>84</v>
      </c>
      <c r="H6245" s="14" t="s">
        <v>82</v>
      </c>
      <c r="I6245" s="14" t="s">
        <v>59</v>
      </c>
      <c r="J6245" s="14" t="s">
        <v>198</v>
      </c>
      <c r="K6245" s="14" t="s">
        <v>205</v>
      </c>
      <c r="L6245" s="14" t="s">
        <v>274</v>
      </c>
      <c r="M6245" s="14" t="s">
        <v>451</v>
      </c>
      <c r="N6245" s="14" t="s">
        <v>452</v>
      </c>
      <c r="O6245" s="14">
        <v>0.0</v>
      </c>
      <c r="P6245" s="21">
        <v>0.0</v>
      </c>
      <c r="Q6245" s="22" t="str">
        <f t="shared" ref="Q6245:Q6246" si="3734">"+0"</f>
        <v>+0</v>
      </c>
      <c r="S6245" s="14" t="s">
        <v>281</v>
      </c>
    </row>
    <row r="6246">
      <c r="A6246" s="13">
        <v>45901.0</v>
      </c>
      <c r="B6246" s="14" t="s">
        <v>47</v>
      </c>
      <c r="C6246" s="14" t="s">
        <v>48</v>
      </c>
      <c r="D6246" s="14" t="s">
        <v>192</v>
      </c>
      <c r="E6246" s="14" t="s">
        <v>193</v>
      </c>
      <c r="F6246" s="15" t="s">
        <v>51</v>
      </c>
      <c r="G6246" s="14" t="s">
        <v>194</v>
      </c>
      <c r="H6246" s="14" t="s">
        <v>192</v>
      </c>
      <c r="I6246" s="14" t="s">
        <v>54</v>
      </c>
      <c r="J6246" s="14" t="s">
        <v>198</v>
      </c>
      <c r="K6246" s="14" t="s">
        <v>210</v>
      </c>
      <c r="L6246" s="14" t="s">
        <v>264</v>
      </c>
      <c r="M6246" s="14" t="s">
        <v>456</v>
      </c>
      <c r="N6246" s="14" t="s">
        <v>457</v>
      </c>
      <c r="O6246" s="14">
        <v>0.0</v>
      </c>
      <c r="P6246" s="21">
        <v>0.0</v>
      </c>
      <c r="Q6246" s="22" t="str">
        <f t="shared" si="3734"/>
        <v>+0</v>
      </c>
      <c r="R6246" s="18" t="str">
        <f>"+0"</f>
        <v>+0</v>
      </c>
      <c r="S6246" s="14" t="s">
        <v>277</v>
      </c>
    </row>
    <row r="6247">
      <c r="A6247" s="13">
        <v>45901.0</v>
      </c>
      <c r="B6247" s="14" t="s">
        <v>47</v>
      </c>
      <c r="C6247" s="14" t="s">
        <v>48</v>
      </c>
      <c r="D6247" s="14" t="s">
        <v>143</v>
      </c>
      <c r="E6247" s="14" t="s">
        <v>144</v>
      </c>
      <c r="F6247" s="15" t="s">
        <v>51</v>
      </c>
      <c r="G6247" s="14" t="s">
        <v>145</v>
      </c>
      <c r="H6247" s="14" t="s">
        <v>143</v>
      </c>
      <c r="I6247" s="14" t="s">
        <v>59</v>
      </c>
      <c r="J6247" s="14" t="s">
        <v>200</v>
      </c>
      <c r="K6247" s="14" t="s">
        <v>201</v>
      </c>
      <c r="L6247" s="14" t="s">
        <v>253</v>
      </c>
      <c r="M6247" s="14" t="s">
        <v>409</v>
      </c>
      <c r="N6247" s="14" t="s">
        <v>410</v>
      </c>
      <c r="O6247" s="14">
        <v>1.0</v>
      </c>
      <c r="P6247" s="23">
        <v>0.0</v>
      </c>
      <c r="Q6247" s="22" t="str">
        <f t="shared" ref="Q6247:R6247" si="3735">"+0.00%"</f>
        <v>+0.00%</v>
      </c>
      <c r="R6247" s="18" t="str">
        <f t="shared" si="3735"/>
        <v>+0.00%</v>
      </c>
      <c r="S6247" s="14" t="s">
        <v>1405</v>
      </c>
    </row>
    <row r="6248">
      <c r="A6248" s="13">
        <v>45901.0</v>
      </c>
      <c r="B6248" s="14" t="s">
        <v>47</v>
      </c>
      <c r="C6248" s="14" t="s">
        <v>48</v>
      </c>
      <c r="D6248" s="14" t="s">
        <v>73</v>
      </c>
      <c r="E6248" s="14" t="s">
        <v>74</v>
      </c>
      <c r="F6248" s="15" t="s">
        <v>51</v>
      </c>
      <c r="G6248" s="14" t="s">
        <v>75</v>
      </c>
      <c r="H6248" s="14" t="s">
        <v>76</v>
      </c>
      <c r="I6248" s="14" t="s">
        <v>59</v>
      </c>
      <c r="J6248" s="14" t="s">
        <v>200</v>
      </c>
      <c r="K6248" s="14" t="s">
        <v>232</v>
      </c>
      <c r="L6248" s="14" t="s">
        <v>487</v>
      </c>
      <c r="M6248" s="14" t="s">
        <v>962</v>
      </c>
      <c r="N6248" s="14" t="s">
        <v>963</v>
      </c>
      <c r="O6248" s="14">
        <v>0.0</v>
      </c>
      <c r="P6248" s="23">
        <v>0.0</v>
      </c>
      <c r="Q6248" s="22" t="str">
        <f t="shared" ref="Q6248:R6248" si="3736">"+0.00%"</f>
        <v>+0.00%</v>
      </c>
      <c r="R6248" s="18" t="str">
        <f t="shared" si="3736"/>
        <v>+0.00%</v>
      </c>
      <c r="S6248" s="14" t="s">
        <v>285</v>
      </c>
    </row>
    <row r="6249">
      <c r="A6249" s="13">
        <v>45901.0</v>
      </c>
      <c r="B6249" s="14" t="s">
        <v>47</v>
      </c>
      <c r="C6249" s="14" t="s">
        <v>48</v>
      </c>
      <c r="D6249" s="14" t="s">
        <v>143</v>
      </c>
      <c r="E6249" s="14" t="s">
        <v>144</v>
      </c>
      <c r="F6249" s="15" t="s">
        <v>51</v>
      </c>
      <c r="G6249" s="14" t="s">
        <v>145</v>
      </c>
      <c r="H6249" s="14" t="s">
        <v>143</v>
      </c>
      <c r="I6249" s="14" t="s">
        <v>59</v>
      </c>
      <c r="J6249" s="14" t="s">
        <v>200</v>
      </c>
      <c r="K6249" s="14" t="s">
        <v>224</v>
      </c>
      <c r="L6249" s="14" t="s">
        <v>594</v>
      </c>
      <c r="M6249" s="14" t="s">
        <v>1795</v>
      </c>
      <c r="N6249" s="14" t="s">
        <v>1796</v>
      </c>
      <c r="O6249" s="14">
        <v>0.0</v>
      </c>
      <c r="P6249" s="23">
        <v>0.0</v>
      </c>
      <c r="Q6249" s="22" t="str">
        <f t="shared" ref="Q6249:Q6250" si="3737">"+0.00%"</f>
        <v>+0.00%</v>
      </c>
      <c r="S6249" s="14" t="s">
        <v>2650</v>
      </c>
    </row>
    <row r="6250">
      <c r="A6250" s="13">
        <v>45901.0</v>
      </c>
      <c r="B6250" s="14" t="s">
        <v>47</v>
      </c>
      <c r="C6250" s="14" t="s">
        <v>48</v>
      </c>
      <c r="D6250" s="14" t="s">
        <v>136</v>
      </c>
      <c r="E6250" s="14" t="s">
        <v>137</v>
      </c>
      <c r="F6250" s="15" t="s">
        <v>51</v>
      </c>
      <c r="G6250" s="14" t="s">
        <v>138</v>
      </c>
      <c r="H6250" s="14" t="s">
        <v>139</v>
      </c>
      <c r="I6250" s="14" t="s">
        <v>59</v>
      </c>
      <c r="J6250" s="14" t="s">
        <v>200</v>
      </c>
      <c r="K6250" s="14" t="s">
        <v>224</v>
      </c>
      <c r="L6250" s="14" t="s">
        <v>453</v>
      </c>
      <c r="M6250" s="14" t="s">
        <v>611</v>
      </c>
      <c r="N6250" s="14" t="s">
        <v>612</v>
      </c>
      <c r="O6250" s="14">
        <v>0.0</v>
      </c>
      <c r="P6250" s="23">
        <v>0.0</v>
      </c>
      <c r="Q6250" s="22" t="str">
        <f t="shared" si="3737"/>
        <v>+0.00%</v>
      </c>
      <c r="S6250" s="14" t="s">
        <v>523</v>
      </c>
    </row>
    <row r="6251">
      <c r="A6251" s="13">
        <v>45901.0</v>
      </c>
      <c r="B6251" s="14" t="s">
        <v>47</v>
      </c>
      <c r="C6251" s="14" t="s">
        <v>48</v>
      </c>
      <c r="D6251" s="14" t="s">
        <v>87</v>
      </c>
      <c r="E6251" s="14" t="s">
        <v>88</v>
      </c>
      <c r="F6251" s="14" t="s">
        <v>71</v>
      </c>
      <c r="G6251" s="14">
        <v>5.46000941E8</v>
      </c>
      <c r="H6251" s="14" t="s">
        <v>90</v>
      </c>
      <c r="I6251" s="14" t="s">
        <v>107</v>
      </c>
      <c r="J6251" s="14" t="s">
        <v>199</v>
      </c>
      <c r="K6251" s="14" t="s">
        <v>206</v>
      </c>
      <c r="L6251" s="14" t="s">
        <v>569</v>
      </c>
      <c r="M6251" s="14" t="s">
        <v>569</v>
      </c>
      <c r="N6251" s="14" t="s">
        <v>570</v>
      </c>
      <c r="O6251" s="14">
        <v>75.0</v>
      </c>
      <c r="P6251" s="21">
        <v>2.0</v>
      </c>
      <c r="Q6251" s="22" t="str">
        <f t="shared" ref="Q6251:R6251" si="3738">"+0"</f>
        <v>+0</v>
      </c>
      <c r="R6251" s="18" t="str">
        <f t="shared" si="3738"/>
        <v>+0</v>
      </c>
      <c r="S6251" s="14" t="s">
        <v>383</v>
      </c>
    </row>
    <row r="6252">
      <c r="A6252" s="13">
        <v>45901.0</v>
      </c>
      <c r="B6252" s="14" t="s">
        <v>47</v>
      </c>
      <c r="C6252" s="14" t="s">
        <v>48</v>
      </c>
      <c r="D6252" s="14" t="s">
        <v>87</v>
      </c>
      <c r="E6252" s="14" t="s">
        <v>88</v>
      </c>
      <c r="F6252" s="15" t="s">
        <v>51</v>
      </c>
      <c r="G6252" s="14" t="s">
        <v>89</v>
      </c>
      <c r="H6252" s="14" t="s">
        <v>90</v>
      </c>
      <c r="I6252" s="14" t="s">
        <v>59</v>
      </c>
      <c r="J6252" s="14" t="s">
        <v>200</v>
      </c>
      <c r="K6252" s="14" t="s">
        <v>246</v>
      </c>
      <c r="L6252" s="14" t="s">
        <v>292</v>
      </c>
      <c r="M6252" s="14" t="s">
        <v>2651</v>
      </c>
      <c r="N6252" s="14" t="s">
        <v>2652</v>
      </c>
      <c r="O6252" s="14">
        <v>0.0</v>
      </c>
      <c r="P6252" s="21">
        <v>0.0</v>
      </c>
      <c r="Q6252" s="22" t="str">
        <f t="shared" ref="Q6252:R6252" si="3739">"+0"</f>
        <v>+0</v>
      </c>
      <c r="R6252" s="18" t="str">
        <f t="shared" si="3739"/>
        <v>+0</v>
      </c>
      <c r="S6252" s="14" t="s">
        <v>260</v>
      </c>
    </row>
    <row r="6253">
      <c r="A6253" s="13">
        <v>45901.0</v>
      </c>
      <c r="B6253" s="14" t="s">
        <v>47</v>
      </c>
      <c r="C6253" s="14" t="s">
        <v>48</v>
      </c>
      <c r="D6253" s="14" t="s">
        <v>85</v>
      </c>
      <c r="E6253" s="14" t="s">
        <v>86</v>
      </c>
      <c r="F6253" s="14" t="s">
        <v>71</v>
      </c>
      <c r="G6253" s="14">
        <v>88285.0</v>
      </c>
      <c r="H6253" s="14" t="s">
        <v>85</v>
      </c>
      <c r="I6253" s="14" t="s">
        <v>59</v>
      </c>
      <c r="J6253" s="14" t="s">
        <v>200</v>
      </c>
      <c r="K6253" s="14" t="s">
        <v>218</v>
      </c>
      <c r="L6253" s="14" t="s">
        <v>253</v>
      </c>
      <c r="M6253" s="14" t="s">
        <v>784</v>
      </c>
      <c r="N6253" s="14" t="s">
        <v>785</v>
      </c>
      <c r="O6253" s="14">
        <v>5.0</v>
      </c>
      <c r="P6253" s="23">
        <v>0.0533</v>
      </c>
      <c r="Q6253" s="22" t="str">
        <f>"+0.58%"</f>
        <v>+0.58%</v>
      </c>
      <c r="R6253" s="18" t="str">
        <f>"+2.17%"</f>
        <v>+2.17%</v>
      </c>
      <c r="S6253" s="14" t="s">
        <v>786</v>
      </c>
    </row>
    <row r="6254">
      <c r="A6254" s="13">
        <v>45901.0</v>
      </c>
      <c r="B6254" s="14" t="s">
        <v>47</v>
      </c>
      <c r="C6254" s="14" t="s">
        <v>48</v>
      </c>
      <c r="D6254" s="14" t="s">
        <v>69</v>
      </c>
      <c r="E6254" s="14" t="s">
        <v>70</v>
      </c>
      <c r="F6254" s="15" t="s">
        <v>51</v>
      </c>
      <c r="G6254" s="14" t="s">
        <v>115</v>
      </c>
      <c r="H6254" s="14" t="s">
        <v>72</v>
      </c>
      <c r="I6254" s="14" t="s">
        <v>54</v>
      </c>
      <c r="J6254" s="14" t="s">
        <v>200</v>
      </c>
      <c r="K6254" s="14" t="s">
        <v>202</v>
      </c>
      <c r="L6254" s="14" t="s">
        <v>253</v>
      </c>
      <c r="M6254" s="14" t="s">
        <v>874</v>
      </c>
      <c r="N6254" s="14" t="s">
        <v>875</v>
      </c>
      <c r="O6254" s="14">
        <v>98.0</v>
      </c>
      <c r="P6254" s="23">
        <v>0.9801</v>
      </c>
      <c r="Q6254" s="22" t="str">
        <f>"+0.07%"</f>
        <v>+0.07%</v>
      </c>
      <c r="R6254" s="18" t="str">
        <f>"-0.32%"</f>
        <v>-0.32%</v>
      </c>
      <c r="S6254" s="14" t="s">
        <v>876</v>
      </c>
    </row>
    <row r="6255">
      <c r="A6255" s="13">
        <v>45901.0</v>
      </c>
      <c r="B6255" s="14" t="s">
        <v>47</v>
      </c>
      <c r="C6255" s="14" t="s">
        <v>48</v>
      </c>
      <c r="D6255" s="14" t="s">
        <v>158</v>
      </c>
      <c r="E6255" s="14" t="s">
        <v>159</v>
      </c>
      <c r="F6255" s="15" t="s">
        <v>51</v>
      </c>
      <c r="G6255" s="14" t="s">
        <v>160</v>
      </c>
      <c r="H6255" s="14" t="s">
        <v>158</v>
      </c>
      <c r="I6255" s="14" t="s">
        <v>54</v>
      </c>
      <c r="J6255" s="14" t="s">
        <v>200</v>
      </c>
      <c r="K6255" s="14" t="s">
        <v>224</v>
      </c>
      <c r="L6255" s="14" t="s">
        <v>392</v>
      </c>
      <c r="M6255" s="14" t="s">
        <v>1172</v>
      </c>
      <c r="N6255" s="14" t="s">
        <v>1173</v>
      </c>
      <c r="O6255" s="14">
        <v>0.0</v>
      </c>
      <c r="P6255" s="17"/>
      <c r="Q6255" s="22"/>
      <c r="S6255" s="14" t="s">
        <v>2653</v>
      </c>
    </row>
    <row r="6256">
      <c r="A6256" s="13">
        <v>45901.0</v>
      </c>
      <c r="B6256" s="14" t="s">
        <v>47</v>
      </c>
      <c r="C6256" s="14" t="s">
        <v>48</v>
      </c>
      <c r="D6256" s="14" t="s">
        <v>116</v>
      </c>
      <c r="E6256" s="14" t="s">
        <v>117</v>
      </c>
      <c r="F6256" s="15" t="s">
        <v>51</v>
      </c>
      <c r="G6256" s="14" t="s">
        <v>161</v>
      </c>
      <c r="H6256" s="14" t="s">
        <v>116</v>
      </c>
      <c r="I6256" s="14" t="s">
        <v>54</v>
      </c>
      <c r="J6256" s="14" t="s">
        <v>200</v>
      </c>
      <c r="K6256" s="14" t="s">
        <v>224</v>
      </c>
      <c r="L6256" s="14" t="s">
        <v>392</v>
      </c>
      <c r="M6256" s="14" t="s">
        <v>1172</v>
      </c>
      <c r="N6256" s="14" t="s">
        <v>1173</v>
      </c>
      <c r="O6256" s="14">
        <v>50.0</v>
      </c>
      <c r="P6256" s="23">
        <v>0.5</v>
      </c>
      <c r="Q6256" s="22"/>
      <c r="S6256" s="14" t="s">
        <v>2654</v>
      </c>
    </row>
    <row r="6257">
      <c r="A6257" s="13">
        <v>45901.0</v>
      </c>
      <c r="B6257" s="14" t="s">
        <v>47</v>
      </c>
      <c r="C6257" s="14" t="s">
        <v>48</v>
      </c>
      <c r="D6257" s="14" t="s">
        <v>158</v>
      </c>
      <c r="E6257" s="14" t="s">
        <v>159</v>
      </c>
      <c r="F6257" s="15" t="s">
        <v>51</v>
      </c>
      <c r="G6257" s="14" t="s">
        <v>160</v>
      </c>
      <c r="H6257" s="14" t="s">
        <v>158</v>
      </c>
      <c r="I6257" s="14" t="s">
        <v>54</v>
      </c>
      <c r="J6257" s="14" t="s">
        <v>198</v>
      </c>
      <c r="K6257" s="14" t="s">
        <v>212</v>
      </c>
      <c r="L6257" s="14" t="s">
        <v>344</v>
      </c>
      <c r="M6257" s="14" t="s">
        <v>345</v>
      </c>
      <c r="N6257" s="14" t="s">
        <v>346</v>
      </c>
      <c r="O6257" s="14">
        <v>0.0</v>
      </c>
      <c r="P6257" s="21">
        <v>0.0</v>
      </c>
      <c r="Q6257" s="22" t="str">
        <f t="shared" ref="Q6257:R6257" si="3740">"+0"</f>
        <v>+0</v>
      </c>
      <c r="R6257" s="18" t="str">
        <f t="shared" si="3740"/>
        <v>+0</v>
      </c>
      <c r="S6257" s="14" t="s">
        <v>277</v>
      </c>
    </row>
    <row r="6258">
      <c r="A6258" s="13">
        <v>45901.0</v>
      </c>
      <c r="B6258" s="14" t="s">
        <v>47</v>
      </c>
      <c r="C6258" s="14" t="s">
        <v>48</v>
      </c>
      <c r="D6258" s="14" t="s">
        <v>158</v>
      </c>
      <c r="E6258" s="14" t="s">
        <v>159</v>
      </c>
      <c r="F6258" s="15" t="s">
        <v>51</v>
      </c>
      <c r="G6258" s="14" t="s">
        <v>160</v>
      </c>
      <c r="H6258" s="14" t="s">
        <v>158</v>
      </c>
      <c r="I6258" s="14" t="s">
        <v>54</v>
      </c>
      <c r="J6258" s="14" t="s">
        <v>198</v>
      </c>
      <c r="K6258" s="14" t="s">
        <v>210</v>
      </c>
      <c r="L6258" s="14" t="s">
        <v>264</v>
      </c>
      <c r="M6258" s="14" t="s">
        <v>910</v>
      </c>
      <c r="N6258" s="14" t="s">
        <v>911</v>
      </c>
      <c r="O6258" s="14">
        <v>0.0</v>
      </c>
      <c r="P6258" s="21">
        <v>0.0</v>
      </c>
      <c r="Q6258" s="22" t="str">
        <f t="shared" ref="Q6258:R6258" si="3741">"+0"</f>
        <v>+0</v>
      </c>
      <c r="R6258" s="18" t="str">
        <f t="shared" si="3741"/>
        <v>+0</v>
      </c>
      <c r="S6258" s="14" t="s">
        <v>277</v>
      </c>
    </row>
    <row r="6259">
      <c r="A6259" s="13">
        <v>45901.0</v>
      </c>
      <c r="B6259" s="14" t="s">
        <v>47</v>
      </c>
      <c r="C6259" s="14" t="s">
        <v>48</v>
      </c>
      <c r="D6259" s="14" t="s">
        <v>60</v>
      </c>
      <c r="E6259" s="14" t="s">
        <v>61</v>
      </c>
      <c r="F6259" s="15" t="s">
        <v>51</v>
      </c>
      <c r="G6259" s="14" t="s">
        <v>62</v>
      </c>
      <c r="H6259" s="14" t="s">
        <v>60</v>
      </c>
      <c r="I6259" s="14" t="s">
        <v>59</v>
      </c>
      <c r="J6259" s="14" t="s">
        <v>200</v>
      </c>
      <c r="K6259" s="14" t="s">
        <v>216</v>
      </c>
      <c r="L6259" s="14" t="s">
        <v>779</v>
      </c>
      <c r="M6259" s="14" t="s">
        <v>1873</v>
      </c>
      <c r="N6259" s="14" t="s">
        <v>1874</v>
      </c>
      <c r="O6259" s="14">
        <v>0.0</v>
      </c>
      <c r="P6259" s="21">
        <v>0.0</v>
      </c>
      <c r="Q6259" s="22" t="str">
        <f t="shared" ref="Q6259:R6259" si="3742">"+0"</f>
        <v>+0</v>
      </c>
      <c r="R6259" s="18" t="str">
        <f t="shared" si="3742"/>
        <v>+0</v>
      </c>
      <c r="S6259" s="14" t="s">
        <v>260</v>
      </c>
    </row>
    <row r="6260">
      <c r="A6260" s="13">
        <v>45901.0</v>
      </c>
      <c r="B6260" s="14" t="s">
        <v>47</v>
      </c>
      <c r="C6260" s="14" t="s">
        <v>48</v>
      </c>
      <c r="D6260" s="14" t="s">
        <v>165</v>
      </c>
      <c r="E6260" s="14" t="s">
        <v>166</v>
      </c>
      <c r="F6260" s="15" t="s">
        <v>51</v>
      </c>
      <c r="G6260" s="14" t="s">
        <v>167</v>
      </c>
      <c r="H6260" s="14" t="s">
        <v>165</v>
      </c>
      <c r="I6260" s="14" t="s">
        <v>54</v>
      </c>
      <c r="J6260" s="14" t="s">
        <v>198</v>
      </c>
      <c r="K6260" s="14" t="s">
        <v>205</v>
      </c>
      <c r="L6260" s="14" t="s">
        <v>274</v>
      </c>
      <c r="M6260" s="14" t="s">
        <v>767</v>
      </c>
      <c r="N6260" s="14" t="s">
        <v>768</v>
      </c>
      <c r="O6260" s="14">
        <v>100.0</v>
      </c>
      <c r="P6260" s="21">
        <v>1.0</v>
      </c>
      <c r="Q6260" s="22" t="str">
        <f>"+0"</f>
        <v>+0</v>
      </c>
      <c r="S6260" s="14" t="s">
        <v>281</v>
      </c>
    </row>
    <row r="6261">
      <c r="A6261" s="13">
        <v>45901.0</v>
      </c>
      <c r="B6261" s="14" t="s">
        <v>47</v>
      </c>
      <c r="C6261" s="14" t="s">
        <v>48</v>
      </c>
      <c r="D6261" s="14" t="s">
        <v>165</v>
      </c>
      <c r="E6261" s="14" t="s">
        <v>166</v>
      </c>
      <c r="F6261" s="14" t="s">
        <v>111</v>
      </c>
      <c r="G6261" s="14">
        <v>7116371.0</v>
      </c>
      <c r="H6261" s="14" t="s">
        <v>165</v>
      </c>
      <c r="I6261" s="14" t="s">
        <v>59</v>
      </c>
      <c r="J6261" s="14" t="s">
        <v>199</v>
      </c>
      <c r="K6261" s="14" t="s">
        <v>206</v>
      </c>
      <c r="L6261" s="14" t="s">
        <v>433</v>
      </c>
      <c r="M6261" s="14" t="s">
        <v>433</v>
      </c>
      <c r="N6261" s="14" t="s">
        <v>434</v>
      </c>
      <c r="O6261" s="14">
        <v>100.0</v>
      </c>
      <c r="P6261" s="21">
        <v>85.0</v>
      </c>
      <c r="Q6261" s="22" t="str">
        <f>"-43"</f>
        <v>-43</v>
      </c>
      <c r="R6261" s="18" t="str">
        <f>"-97"</f>
        <v>-97</v>
      </c>
      <c r="S6261" s="14" t="s">
        <v>383</v>
      </c>
    </row>
    <row r="6262">
      <c r="A6262" s="13">
        <v>45901.0</v>
      </c>
      <c r="B6262" s="14" t="s">
        <v>47</v>
      </c>
      <c r="C6262" s="14" t="s">
        <v>48</v>
      </c>
      <c r="D6262" s="14" t="s">
        <v>91</v>
      </c>
      <c r="E6262" s="14" t="s">
        <v>92</v>
      </c>
      <c r="F6262" s="14" t="s">
        <v>71</v>
      </c>
      <c r="G6262" s="14">
        <v>5.00008343E8</v>
      </c>
      <c r="H6262" s="14" t="s">
        <v>91</v>
      </c>
      <c r="I6262" s="14" t="s">
        <v>59</v>
      </c>
      <c r="J6262" s="14" t="s">
        <v>199</v>
      </c>
      <c r="K6262" s="14" t="s">
        <v>206</v>
      </c>
      <c r="L6262" s="14" t="s">
        <v>433</v>
      </c>
      <c r="M6262" s="14" t="s">
        <v>433</v>
      </c>
      <c r="N6262" s="14" t="s">
        <v>434</v>
      </c>
      <c r="O6262" s="14">
        <v>100.0</v>
      </c>
      <c r="P6262" s="21">
        <v>101.0</v>
      </c>
      <c r="Q6262" s="22" t="str">
        <f>"-32"</f>
        <v>-32</v>
      </c>
      <c r="R6262" s="18" t="str">
        <f>"+4"</f>
        <v>+4</v>
      </c>
      <c r="S6262" s="14" t="s">
        <v>383</v>
      </c>
    </row>
    <row r="6263">
      <c r="A6263" s="13">
        <v>45901.0</v>
      </c>
      <c r="B6263" s="14" t="s">
        <v>47</v>
      </c>
      <c r="C6263" s="14" t="s">
        <v>48</v>
      </c>
      <c r="D6263" s="14" t="s">
        <v>91</v>
      </c>
      <c r="E6263" s="14" t="s">
        <v>92</v>
      </c>
      <c r="F6263" s="14" t="s">
        <v>71</v>
      </c>
      <c r="G6263" s="14">
        <v>1.00004432E8</v>
      </c>
      <c r="H6263" s="14" t="s">
        <v>91</v>
      </c>
      <c r="I6263" s="14" t="s">
        <v>59</v>
      </c>
      <c r="J6263" s="14" t="s">
        <v>199</v>
      </c>
      <c r="K6263" s="14" t="s">
        <v>203</v>
      </c>
      <c r="L6263" s="14" t="s">
        <v>725</v>
      </c>
      <c r="M6263" s="14" t="s">
        <v>725</v>
      </c>
      <c r="N6263" s="14" t="s">
        <v>726</v>
      </c>
      <c r="O6263" s="14">
        <v>100.0</v>
      </c>
      <c r="P6263" s="21">
        <v>4.0</v>
      </c>
      <c r="Q6263" s="22" t="str">
        <f>"+1"</f>
        <v>+1</v>
      </c>
      <c r="R6263" s="18" t="str">
        <f>"+2"</f>
        <v>+2</v>
      </c>
      <c r="S6263" s="14" t="s">
        <v>260</v>
      </c>
    </row>
    <row r="6264">
      <c r="A6264" s="13">
        <v>45901.0</v>
      </c>
      <c r="B6264" s="14" t="s">
        <v>47</v>
      </c>
      <c r="C6264" s="14" t="s">
        <v>48</v>
      </c>
      <c r="D6264" s="14" t="s">
        <v>63</v>
      </c>
      <c r="E6264" s="14" t="s">
        <v>64</v>
      </c>
      <c r="F6264" s="15" t="s">
        <v>51</v>
      </c>
      <c r="G6264" s="14" t="s">
        <v>65</v>
      </c>
      <c r="H6264" s="14" t="s">
        <v>63</v>
      </c>
      <c r="I6264" s="14" t="s">
        <v>54</v>
      </c>
      <c r="J6264" s="14" t="s">
        <v>200</v>
      </c>
      <c r="K6264" s="14" t="s">
        <v>213</v>
      </c>
      <c r="L6264" s="14" t="s">
        <v>359</v>
      </c>
      <c r="M6264" s="14" t="s">
        <v>628</v>
      </c>
      <c r="N6264" s="14" t="s">
        <v>629</v>
      </c>
      <c r="O6264" s="14">
        <v>100.0</v>
      </c>
      <c r="P6264" s="21">
        <v>28.0</v>
      </c>
      <c r="Q6264" s="22" t="str">
        <f t="shared" ref="Q6264:R6264" si="3743">"+0"</f>
        <v>+0</v>
      </c>
      <c r="R6264" s="18" t="str">
        <f t="shared" si="3743"/>
        <v>+0</v>
      </c>
      <c r="S6264" s="14" t="s">
        <v>260</v>
      </c>
    </row>
    <row r="6265">
      <c r="A6265" s="13">
        <v>45901.0</v>
      </c>
      <c r="B6265" s="14" t="s">
        <v>47</v>
      </c>
      <c r="C6265" s="14" t="s">
        <v>48</v>
      </c>
      <c r="D6265" s="14" t="s">
        <v>91</v>
      </c>
      <c r="E6265" s="14" t="s">
        <v>92</v>
      </c>
      <c r="F6265" s="15" t="s">
        <v>51</v>
      </c>
      <c r="G6265" s="14" t="s">
        <v>163</v>
      </c>
      <c r="H6265" s="14" t="s">
        <v>91</v>
      </c>
      <c r="I6265" s="14" t="s">
        <v>59</v>
      </c>
      <c r="J6265" s="14" t="s">
        <v>199</v>
      </c>
      <c r="K6265" s="14" t="s">
        <v>206</v>
      </c>
      <c r="L6265" s="14" t="s">
        <v>295</v>
      </c>
      <c r="M6265" s="14" t="s">
        <v>461</v>
      </c>
      <c r="N6265" s="14" t="s">
        <v>462</v>
      </c>
      <c r="O6265" s="14">
        <v>0.0</v>
      </c>
      <c r="P6265" s="21">
        <v>0.0</v>
      </c>
      <c r="Q6265" s="22" t="str">
        <f t="shared" ref="Q6265:R6265" si="3744">"+0"</f>
        <v>+0</v>
      </c>
      <c r="R6265" s="18" t="str">
        <f t="shared" si="3744"/>
        <v>+0</v>
      </c>
      <c r="S6265" s="14" t="s">
        <v>260</v>
      </c>
    </row>
    <row r="6266">
      <c r="A6266" s="13">
        <v>45901.0</v>
      </c>
      <c r="B6266" s="14" t="s">
        <v>47</v>
      </c>
      <c r="C6266" s="14" t="s">
        <v>48</v>
      </c>
      <c r="D6266" s="14" t="s">
        <v>118</v>
      </c>
      <c r="E6266" s="14" t="s">
        <v>119</v>
      </c>
      <c r="F6266" s="15" t="s">
        <v>51</v>
      </c>
      <c r="G6266" s="14" t="s">
        <v>120</v>
      </c>
      <c r="H6266" s="14" t="s">
        <v>118</v>
      </c>
      <c r="I6266" s="14" t="s">
        <v>59</v>
      </c>
      <c r="J6266" s="14" t="s">
        <v>198</v>
      </c>
      <c r="K6266" s="14" t="s">
        <v>207</v>
      </c>
      <c r="L6266" s="14" t="s">
        <v>318</v>
      </c>
      <c r="M6266" s="14" t="s">
        <v>508</v>
      </c>
      <c r="N6266" s="14" t="s">
        <v>509</v>
      </c>
      <c r="O6266" s="14">
        <v>100.0</v>
      </c>
      <c r="P6266" s="21">
        <v>1.0</v>
      </c>
      <c r="Q6266" s="22" t="str">
        <f>"+0"</f>
        <v>+0</v>
      </c>
      <c r="S6266" s="14" t="s">
        <v>281</v>
      </c>
    </row>
    <row r="6267">
      <c r="A6267" s="13">
        <v>45901.0</v>
      </c>
      <c r="B6267" s="14" t="s">
        <v>47</v>
      </c>
      <c r="C6267" s="14" t="s">
        <v>48</v>
      </c>
      <c r="D6267" s="14" t="s">
        <v>91</v>
      </c>
      <c r="E6267" s="14" t="s">
        <v>92</v>
      </c>
      <c r="F6267" s="15" t="s">
        <v>51</v>
      </c>
      <c r="G6267" s="14" t="s">
        <v>163</v>
      </c>
      <c r="H6267" s="14" t="s">
        <v>91</v>
      </c>
      <c r="I6267" s="14" t="s">
        <v>59</v>
      </c>
      <c r="J6267" s="14" t="s">
        <v>200</v>
      </c>
      <c r="K6267" s="14" t="s">
        <v>223</v>
      </c>
      <c r="L6267" s="14" t="s">
        <v>304</v>
      </c>
      <c r="M6267" s="14" t="s">
        <v>877</v>
      </c>
      <c r="N6267" s="14" t="s">
        <v>878</v>
      </c>
      <c r="O6267" s="14">
        <v>0.0</v>
      </c>
      <c r="P6267" s="23">
        <v>0.0</v>
      </c>
      <c r="Q6267" s="22" t="str">
        <f t="shared" ref="Q6267:R6267" si="3745">"+0.00%"</f>
        <v>+0.00%</v>
      </c>
      <c r="R6267" s="18" t="str">
        <f t="shared" si="3745"/>
        <v>+0.00%</v>
      </c>
      <c r="S6267" s="14" t="s">
        <v>2655</v>
      </c>
    </row>
    <row r="6268">
      <c r="A6268" s="13">
        <v>45901.0</v>
      </c>
      <c r="B6268" s="14" t="s">
        <v>47</v>
      </c>
      <c r="C6268" s="14" t="s">
        <v>48</v>
      </c>
      <c r="D6268" s="14" t="s">
        <v>63</v>
      </c>
      <c r="E6268" s="14" t="s">
        <v>64</v>
      </c>
      <c r="F6268" s="15" t="s">
        <v>51</v>
      </c>
      <c r="G6268" s="14" t="s">
        <v>65</v>
      </c>
      <c r="H6268" s="14" t="s">
        <v>63</v>
      </c>
      <c r="I6268" s="14" t="s">
        <v>54</v>
      </c>
      <c r="J6268" s="14" t="s">
        <v>200</v>
      </c>
      <c r="K6268" s="14" t="s">
        <v>211</v>
      </c>
      <c r="L6268" s="14" t="s">
        <v>889</v>
      </c>
      <c r="M6268" s="14" t="s">
        <v>890</v>
      </c>
      <c r="N6268" s="14" t="s">
        <v>891</v>
      </c>
      <c r="O6268" s="14">
        <v>56.0</v>
      </c>
      <c r="P6268" s="23">
        <v>0.1325</v>
      </c>
      <c r="Q6268" s="22" t="str">
        <f>"-3.49%"</f>
        <v>-3.49%</v>
      </c>
      <c r="R6268" s="18" t="str">
        <f>"-12.90%"</f>
        <v>-12.90%</v>
      </c>
      <c r="S6268" s="14" t="s">
        <v>2058</v>
      </c>
    </row>
    <row r="6269">
      <c r="A6269" s="13">
        <v>45901.0</v>
      </c>
      <c r="B6269" s="14" t="s">
        <v>47</v>
      </c>
      <c r="C6269" s="14" t="s">
        <v>48</v>
      </c>
      <c r="D6269" s="14" t="s">
        <v>192</v>
      </c>
      <c r="E6269" s="14" t="s">
        <v>193</v>
      </c>
      <c r="F6269" s="15" t="s">
        <v>51</v>
      </c>
      <c r="G6269" s="14" t="s">
        <v>194</v>
      </c>
      <c r="H6269" s="14" t="s">
        <v>192</v>
      </c>
      <c r="I6269" s="14" t="s">
        <v>54</v>
      </c>
      <c r="J6269" s="14" t="s">
        <v>200</v>
      </c>
      <c r="K6269" s="14" t="s">
        <v>231</v>
      </c>
      <c r="L6269" s="14" t="s">
        <v>512</v>
      </c>
      <c r="M6269" s="14" t="s">
        <v>719</v>
      </c>
      <c r="N6269" s="14" t="s">
        <v>720</v>
      </c>
      <c r="O6269" s="14">
        <v>100.0</v>
      </c>
      <c r="P6269" s="21">
        <v>1.0</v>
      </c>
      <c r="Q6269" s="22" t="str">
        <f>"+0"</f>
        <v>+0</v>
      </c>
      <c r="R6269" s="18" t="str">
        <f>"-2"</f>
        <v>-2</v>
      </c>
      <c r="S6269" s="14" t="s">
        <v>260</v>
      </c>
    </row>
    <row r="6270">
      <c r="A6270" s="13">
        <v>45901.0</v>
      </c>
      <c r="B6270" s="14" t="s">
        <v>47</v>
      </c>
      <c r="C6270" s="14" t="s">
        <v>48</v>
      </c>
      <c r="D6270" s="14" t="s">
        <v>192</v>
      </c>
      <c r="E6270" s="14" t="s">
        <v>193</v>
      </c>
      <c r="F6270" s="15" t="s">
        <v>51</v>
      </c>
      <c r="G6270" s="14" t="s">
        <v>194</v>
      </c>
      <c r="H6270" s="14" t="s">
        <v>192</v>
      </c>
      <c r="I6270" s="14" t="s">
        <v>54</v>
      </c>
      <c r="J6270" s="14" t="s">
        <v>200</v>
      </c>
      <c r="K6270" s="14" t="s">
        <v>231</v>
      </c>
      <c r="L6270" s="14" t="s">
        <v>512</v>
      </c>
      <c r="M6270" s="14" t="s">
        <v>1511</v>
      </c>
      <c r="N6270" s="14" t="s">
        <v>1512</v>
      </c>
      <c r="O6270" s="14">
        <v>40.0</v>
      </c>
      <c r="P6270" s="23">
        <v>-0.1946</v>
      </c>
      <c r="Q6270" s="22" t="str">
        <f>"+21.48%"</f>
        <v>+21.48%</v>
      </c>
      <c r="R6270" s="18" t="str">
        <f>"+15.17%"</f>
        <v>+15.17%</v>
      </c>
      <c r="S6270" s="14" t="s">
        <v>2656</v>
      </c>
    </row>
    <row r="6271">
      <c r="A6271" s="13">
        <v>45901.0</v>
      </c>
      <c r="B6271" s="14" t="s">
        <v>47</v>
      </c>
      <c r="C6271" s="14" t="s">
        <v>48</v>
      </c>
      <c r="D6271" s="14" t="s">
        <v>82</v>
      </c>
      <c r="E6271" s="14" t="s">
        <v>83</v>
      </c>
      <c r="F6271" s="15" t="s">
        <v>51</v>
      </c>
      <c r="G6271" s="14" t="s">
        <v>84</v>
      </c>
      <c r="H6271" s="14" t="s">
        <v>82</v>
      </c>
      <c r="I6271" s="14" t="s">
        <v>59</v>
      </c>
      <c r="J6271" s="14" t="s">
        <v>198</v>
      </c>
      <c r="K6271" s="14" t="s">
        <v>212</v>
      </c>
      <c r="L6271" s="14" t="s">
        <v>249</v>
      </c>
      <c r="M6271" s="14" t="s">
        <v>598</v>
      </c>
      <c r="N6271" s="14" t="s">
        <v>599</v>
      </c>
      <c r="O6271" s="14">
        <v>100.0</v>
      </c>
      <c r="P6271" s="21">
        <v>0.0</v>
      </c>
      <c r="Q6271" s="22" t="str">
        <f t="shared" ref="Q6271:R6271" si="3746">"+0"</f>
        <v>+0</v>
      </c>
      <c r="R6271" s="18" t="str">
        <f t="shared" si="3746"/>
        <v>+0</v>
      </c>
      <c r="S6271" s="14" t="s">
        <v>281</v>
      </c>
    </row>
    <row r="6272">
      <c r="A6272" s="13">
        <v>45901.0</v>
      </c>
      <c r="B6272" s="14" t="s">
        <v>47</v>
      </c>
      <c r="C6272" s="14" t="s">
        <v>48</v>
      </c>
      <c r="D6272" s="14" t="s">
        <v>192</v>
      </c>
      <c r="E6272" s="14" t="s">
        <v>193</v>
      </c>
      <c r="F6272" s="15" t="s">
        <v>51</v>
      </c>
      <c r="G6272" s="14" t="s">
        <v>194</v>
      </c>
      <c r="H6272" s="14" t="s">
        <v>192</v>
      </c>
      <c r="I6272" s="14" t="s">
        <v>54</v>
      </c>
      <c r="J6272" s="14" t="s">
        <v>199</v>
      </c>
      <c r="K6272" s="14" t="s">
        <v>203</v>
      </c>
      <c r="L6272" s="14" t="s">
        <v>485</v>
      </c>
      <c r="M6272" s="14" t="s">
        <v>485</v>
      </c>
      <c r="N6272" s="14" t="s">
        <v>486</v>
      </c>
      <c r="O6272" s="14">
        <v>0.0</v>
      </c>
      <c r="P6272" s="21">
        <v>0.0</v>
      </c>
      <c r="Q6272" s="22" t="str">
        <f t="shared" ref="Q6272:R6272" si="3747">"+0"</f>
        <v>+0</v>
      </c>
      <c r="R6272" s="18" t="str">
        <f t="shared" si="3747"/>
        <v>+0</v>
      </c>
      <c r="S6272" s="14" t="s">
        <v>260</v>
      </c>
    </row>
    <row r="6273">
      <c r="A6273" s="13">
        <v>45901.0</v>
      </c>
      <c r="B6273" s="14" t="s">
        <v>47</v>
      </c>
      <c r="C6273" s="14" t="s">
        <v>48</v>
      </c>
      <c r="D6273" s="14" t="s">
        <v>73</v>
      </c>
      <c r="E6273" s="14" t="s">
        <v>74</v>
      </c>
      <c r="F6273" s="15" t="s">
        <v>51</v>
      </c>
      <c r="G6273" s="14" t="s">
        <v>75</v>
      </c>
      <c r="H6273" s="14" t="s">
        <v>76</v>
      </c>
      <c r="I6273" s="14" t="s">
        <v>59</v>
      </c>
      <c r="J6273" s="14" t="s">
        <v>200</v>
      </c>
      <c r="K6273" s="14" t="s">
        <v>232</v>
      </c>
      <c r="L6273" s="14" t="s">
        <v>304</v>
      </c>
      <c r="M6273" s="14" t="s">
        <v>688</v>
      </c>
      <c r="N6273" s="14" t="s">
        <v>689</v>
      </c>
      <c r="O6273" s="14">
        <v>0.0</v>
      </c>
      <c r="P6273" s="23">
        <v>0.0</v>
      </c>
      <c r="Q6273" s="22" t="str">
        <f t="shared" ref="Q6273:R6273" si="3748">"+0.00%"</f>
        <v>+0.00%</v>
      </c>
      <c r="R6273" s="18" t="str">
        <f t="shared" si="3748"/>
        <v>+0.00%</v>
      </c>
      <c r="S6273" s="14" t="s">
        <v>2657</v>
      </c>
    </row>
    <row r="6274">
      <c r="A6274" s="13">
        <v>45901.0</v>
      </c>
      <c r="B6274" s="14" t="s">
        <v>47</v>
      </c>
      <c r="C6274" s="14" t="s">
        <v>48</v>
      </c>
      <c r="D6274" s="14" t="s">
        <v>87</v>
      </c>
      <c r="E6274" s="14" t="s">
        <v>88</v>
      </c>
      <c r="F6274" s="15" t="s">
        <v>51</v>
      </c>
      <c r="G6274" s="14" t="s">
        <v>89</v>
      </c>
      <c r="H6274" s="14" t="s">
        <v>90</v>
      </c>
      <c r="I6274" s="14" t="s">
        <v>59</v>
      </c>
      <c r="J6274" s="14" t="s">
        <v>200</v>
      </c>
      <c r="K6274" s="14" t="s">
        <v>227</v>
      </c>
      <c r="L6274" s="14" t="s">
        <v>253</v>
      </c>
      <c r="M6274" s="14" t="s">
        <v>811</v>
      </c>
      <c r="N6274" s="14" t="s">
        <v>812</v>
      </c>
      <c r="O6274" s="14">
        <v>100.0</v>
      </c>
      <c r="P6274" s="23">
        <v>1.0</v>
      </c>
      <c r="Q6274" s="22" t="str">
        <f t="shared" ref="Q6274:R6274" si="3749">"+0.00%"</f>
        <v>+0.00%</v>
      </c>
      <c r="R6274" s="18" t="str">
        <f t="shared" si="3749"/>
        <v>+0.00%</v>
      </c>
      <c r="S6274" s="14" t="s">
        <v>813</v>
      </c>
    </row>
    <row r="6275">
      <c r="A6275" s="13">
        <v>45901.0</v>
      </c>
      <c r="B6275" s="14" t="s">
        <v>47</v>
      </c>
      <c r="C6275" s="14" t="s">
        <v>48</v>
      </c>
      <c r="D6275" s="14" t="s">
        <v>149</v>
      </c>
      <c r="E6275" s="14" t="s">
        <v>150</v>
      </c>
      <c r="F6275" s="15" t="s">
        <v>51</v>
      </c>
      <c r="G6275" s="14" t="s">
        <v>151</v>
      </c>
      <c r="H6275" s="14" t="s">
        <v>152</v>
      </c>
      <c r="I6275" s="14" t="s">
        <v>54</v>
      </c>
      <c r="J6275" s="14" t="s">
        <v>200</v>
      </c>
      <c r="K6275" s="14" t="s">
        <v>223</v>
      </c>
      <c r="L6275" s="14" t="s">
        <v>304</v>
      </c>
      <c r="M6275" s="14" t="s">
        <v>1012</v>
      </c>
      <c r="N6275" s="14" t="s">
        <v>1013</v>
      </c>
      <c r="O6275" s="14">
        <v>0.0</v>
      </c>
      <c r="P6275" s="23">
        <v>0.0</v>
      </c>
      <c r="Q6275" s="22" t="str">
        <f>"-0.01%"</f>
        <v>-0.01%</v>
      </c>
      <c r="R6275" s="18" t="str">
        <f>"+0.00%"</f>
        <v>+0.00%</v>
      </c>
      <c r="S6275" s="14" t="s">
        <v>285</v>
      </c>
    </row>
    <row r="6276">
      <c r="A6276" s="13">
        <v>45901.0</v>
      </c>
      <c r="B6276" s="14" t="s">
        <v>47</v>
      </c>
      <c r="C6276" s="14" t="s">
        <v>48</v>
      </c>
      <c r="D6276" s="14" t="s">
        <v>171</v>
      </c>
      <c r="E6276" s="14" t="s">
        <v>172</v>
      </c>
      <c r="F6276" s="15" t="s">
        <v>51</v>
      </c>
      <c r="G6276" s="14" t="s">
        <v>173</v>
      </c>
      <c r="H6276" s="14" t="s">
        <v>171</v>
      </c>
      <c r="I6276" s="14" t="s">
        <v>59</v>
      </c>
      <c r="J6276" s="14" t="s">
        <v>198</v>
      </c>
      <c r="K6276" s="14" t="s">
        <v>205</v>
      </c>
      <c r="L6276" s="14" t="s">
        <v>274</v>
      </c>
      <c r="M6276" s="14" t="s">
        <v>275</v>
      </c>
      <c r="N6276" s="14" t="s">
        <v>276</v>
      </c>
      <c r="O6276" s="14">
        <v>0.0</v>
      </c>
      <c r="P6276" s="21">
        <v>1.0</v>
      </c>
      <c r="Q6276" s="22" t="str">
        <f>"+0"</f>
        <v>+0</v>
      </c>
      <c r="S6276" s="14" t="s">
        <v>277</v>
      </c>
    </row>
    <row r="6277">
      <c r="A6277" s="13">
        <v>45901.0</v>
      </c>
      <c r="B6277" s="14" t="s">
        <v>47</v>
      </c>
      <c r="C6277" s="14" t="s">
        <v>48</v>
      </c>
      <c r="D6277" s="14" t="s">
        <v>129</v>
      </c>
      <c r="E6277" s="14" t="s">
        <v>130</v>
      </c>
      <c r="F6277" s="15" t="s">
        <v>51</v>
      </c>
      <c r="G6277" s="14" t="s">
        <v>131</v>
      </c>
      <c r="H6277" s="14" t="s">
        <v>129</v>
      </c>
      <c r="I6277" s="14" t="s">
        <v>59</v>
      </c>
      <c r="J6277" s="14" t="s">
        <v>200</v>
      </c>
      <c r="K6277" s="14" t="s">
        <v>213</v>
      </c>
      <c r="L6277" s="14" t="s">
        <v>257</v>
      </c>
      <c r="M6277" s="14" t="s">
        <v>493</v>
      </c>
      <c r="N6277" s="14" t="s">
        <v>494</v>
      </c>
      <c r="O6277" s="14">
        <v>57.0</v>
      </c>
      <c r="P6277" s="23">
        <v>0.1476</v>
      </c>
      <c r="Q6277" s="22" t="str">
        <f>"+6.48%"</f>
        <v>+6.48%</v>
      </c>
      <c r="R6277" s="18" t="str">
        <f>"+5.87%"</f>
        <v>+5.87%</v>
      </c>
      <c r="S6277" s="14" t="s">
        <v>2602</v>
      </c>
    </row>
    <row r="6278">
      <c r="A6278" s="13">
        <v>45901.0</v>
      </c>
      <c r="B6278" s="14" t="s">
        <v>47</v>
      </c>
      <c r="C6278" s="14" t="s">
        <v>48</v>
      </c>
      <c r="D6278" s="14" t="s">
        <v>129</v>
      </c>
      <c r="E6278" s="14" t="s">
        <v>130</v>
      </c>
      <c r="F6278" s="15" t="s">
        <v>51</v>
      </c>
      <c r="G6278" s="14" t="s">
        <v>131</v>
      </c>
      <c r="H6278" s="14" t="s">
        <v>129</v>
      </c>
      <c r="I6278" s="14" t="s">
        <v>59</v>
      </c>
      <c r="J6278" s="14" t="s">
        <v>198</v>
      </c>
      <c r="K6278" s="14" t="s">
        <v>205</v>
      </c>
      <c r="L6278" s="14" t="s">
        <v>274</v>
      </c>
      <c r="M6278" s="14" t="s">
        <v>482</v>
      </c>
      <c r="N6278" s="14" t="s">
        <v>483</v>
      </c>
      <c r="O6278" s="14">
        <v>100.0</v>
      </c>
      <c r="P6278" s="21">
        <v>8.0</v>
      </c>
      <c r="Q6278" s="22" t="str">
        <f>"+0"</f>
        <v>+0</v>
      </c>
      <c r="S6278" s="14" t="s">
        <v>484</v>
      </c>
    </row>
    <row r="6279">
      <c r="A6279" s="13">
        <v>45901.0</v>
      </c>
      <c r="B6279" s="14" t="s">
        <v>47</v>
      </c>
      <c r="C6279" s="14" t="s">
        <v>48</v>
      </c>
      <c r="D6279" s="14" t="s">
        <v>69</v>
      </c>
      <c r="E6279" s="14" t="s">
        <v>70</v>
      </c>
      <c r="F6279" s="15" t="s">
        <v>51</v>
      </c>
      <c r="G6279" s="14" t="s">
        <v>115</v>
      </c>
      <c r="H6279" s="14" t="s">
        <v>72</v>
      </c>
      <c r="I6279" s="14" t="s">
        <v>54</v>
      </c>
      <c r="J6279" s="14" t="s">
        <v>200</v>
      </c>
      <c r="K6279" s="14" t="s">
        <v>224</v>
      </c>
      <c r="L6279" s="14" t="s">
        <v>453</v>
      </c>
      <c r="M6279" s="14" t="s">
        <v>665</v>
      </c>
      <c r="N6279" s="14" t="s">
        <v>666</v>
      </c>
      <c r="O6279" s="14">
        <v>100.0</v>
      </c>
      <c r="P6279" s="23">
        <v>1.0</v>
      </c>
      <c r="Q6279" s="22" t="str">
        <f t="shared" ref="Q6279:R6279" si="3750">"+0.00%"</f>
        <v>+0.00%</v>
      </c>
      <c r="R6279" s="18" t="str">
        <f t="shared" si="3750"/>
        <v>+0.00%</v>
      </c>
      <c r="S6279" s="14" t="s">
        <v>667</v>
      </c>
    </row>
    <row r="6280">
      <c r="A6280" s="13">
        <v>45901.0</v>
      </c>
      <c r="B6280" s="14" t="s">
        <v>47</v>
      </c>
      <c r="C6280" s="14" t="s">
        <v>48</v>
      </c>
      <c r="D6280" s="14" t="s">
        <v>69</v>
      </c>
      <c r="E6280" s="14" t="s">
        <v>70</v>
      </c>
      <c r="F6280" s="14" t="s">
        <v>71</v>
      </c>
      <c r="G6280" s="14">
        <v>1.00002092E8</v>
      </c>
      <c r="H6280" s="14" t="s">
        <v>72</v>
      </c>
      <c r="I6280" s="14" t="s">
        <v>54</v>
      </c>
      <c r="J6280" s="14" t="s">
        <v>200</v>
      </c>
      <c r="K6280" s="14" t="s">
        <v>218</v>
      </c>
      <c r="L6280" s="14" t="s">
        <v>253</v>
      </c>
      <c r="M6280" s="14" t="s">
        <v>1388</v>
      </c>
      <c r="N6280" s="14" t="s">
        <v>1389</v>
      </c>
      <c r="O6280" s="14">
        <v>29.0</v>
      </c>
      <c r="P6280" s="23">
        <v>0.2957</v>
      </c>
      <c r="Q6280" s="22" t="str">
        <f>"-3.66%"</f>
        <v>-3.66%</v>
      </c>
      <c r="R6280" s="18" t="str">
        <f>"-21.95%"</f>
        <v>-21.95%</v>
      </c>
      <c r="S6280" s="14" t="s">
        <v>2658</v>
      </c>
    </row>
    <row r="6281">
      <c r="A6281" s="13">
        <v>45901.0</v>
      </c>
      <c r="B6281" s="14" t="s">
        <v>47</v>
      </c>
      <c r="C6281" s="14" t="s">
        <v>48</v>
      </c>
      <c r="D6281" s="14" t="s">
        <v>85</v>
      </c>
      <c r="E6281" s="14" t="s">
        <v>86</v>
      </c>
      <c r="F6281" s="14" t="s">
        <v>71</v>
      </c>
      <c r="G6281" s="14">
        <v>88285.0</v>
      </c>
      <c r="H6281" s="14" t="s">
        <v>85</v>
      </c>
      <c r="I6281" s="14" t="s">
        <v>59</v>
      </c>
      <c r="J6281" s="14" t="s">
        <v>200</v>
      </c>
      <c r="K6281" s="14" t="s">
        <v>220</v>
      </c>
      <c r="L6281" s="14" t="s">
        <v>253</v>
      </c>
      <c r="M6281" s="14" t="s">
        <v>1449</v>
      </c>
      <c r="N6281" s="14" t="s">
        <v>1450</v>
      </c>
      <c r="O6281" s="14">
        <v>8.0</v>
      </c>
      <c r="P6281" s="23">
        <v>0.0806</v>
      </c>
      <c r="Q6281" s="22" t="str">
        <f t="shared" ref="Q6281:R6281" si="3751">"+0.00%"</f>
        <v>+0.00%</v>
      </c>
      <c r="R6281" s="18" t="str">
        <f t="shared" si="3751"/>
        <v>+0.00%</v>
      </c>
      <c r="S6281" s="14" t="s">
        <v>1508</v>
      </c>
    </row>
    <row r="6282">
      <c r="A6282" s="13">
        <v>45901.0</v>
      </c>
      <c r="B6282" s="14" t="s">
        <v>47</v>
      </c>
      <c r="C6282" s="14" t="s">
        <v>48</v>
      </c>
      <c r="D6282" s="14" t="s">
        <v>116</v>
      </c>
      <c r="E6282" s="14" t="s">
        <v>117</v>
      </c>
      <c r="F6282" s="15" t="s">
        <v>51</v>
      </c>
      <c r="G6282" s="14" t="s">
        <v>161</v>
      </c>
      <c r="H6282" s="14" t="s">
        <v>116</v>
      </c>
      <c r="I6282" s="14" t="s">
        <v>54</v>
      </c>
      <c r="J6282" s="14" t="s">
        <v>200</v>
      </c>
      <c r="K6282" s="14" t="s">
        <v>213</v>
      </c>
      <c r="L6282" s="14" t="s">
        <v>257</v>
      </c>
      <c r="M6282" s="14" t="s">
        <v>315</v>
      </c>
      <c r="N6282" s="14" t="s">
        <v>316</v>
      </c>
      <c r="O6282" s="14">
        <v>78.0</v>
      </c>
      <c r="P6282" s="23">
        <v>0.7837</v>
      </c>
      <c r="Q6282" s="22" t="str">
        <f>"+1.61%"</f>
        <v>+1.61%</v>
      </c>
      <c r="R6282" s="18" t="str">
        <f>"-0.56%"</f>
        <v>-0.56%</v>
      </c>
      <c r="S6282" s="14" t="s">
        <v>2659</v>
      </c>
    </row>
    <row r="6283">
      <c r="A6283" s="13">
        <v>45901.0</v>
      </c>
      <c r="B6283" s="14" t="s">
        <v>47</v>
      </c>
      <c r="C6283" s="14" t="s">
        <v>48</v>
      </c>
      <c r="D6283" s="14" t="s">
        <v>158</v>
      </c>
      <c r="E6283" s="14" t="s">
        <v>159</v>
      </c>
      <c r="F6283" s="15" t="s">
        <v>51</v>
      </c>
      <c r="G6283" s="14" t="s">
        <v>160</v>
      </c>
      <c r="H6283" s="14" t="s">
        <v>158</v>
      </c>
      <c r="I6283" s="14" t="s">
        <v>54</v>
      </c>
      <c r="J6283" s="14" t="s">
        <v>200</v>
      </c>
      <c r="K6283" s="14" t="s">
        <v>227</v>
      </c>
      <c r="L6283" s="14" t="s">
        <v>253</v>
      </c>
      <c r="M6283" s="14" t="s">
        <v>254</v>
      </c>
      <c r="N6283" s="14" t="s">
        <v>255</v>
      </c>
      <c r="O6283" s="14">
        <v>0.0</v>
      </c>
      <c r="P6283" s="23">
        <v>0.0</v>
      </c>
      <c r="Q6283" s="22" t="str">
        <f t="shared" ref="Q6283:R6283" si="3752">"+0.00%"</f>
        <v>+0.00%</v>
      </c>
      <c r="R6283" s="18" t="str">
        <f t="shared" si="3752"/>
        <v>+0.00%</v>
      </c>
      <c r="S6283" s="14" t="s">
        <v>399</v>
      </c>
    </row>
    <row r="6284">
      <c r="A6284" s="13">
        <v>45901.0</v>
      </c>
      <c r="B6284" s="14" t="s">
        <v>47</v>
      </c>
      <c r="C6284" s="14" t="s">
        <v>48</v>
      </c>
      <c r="D6284" s="14" t="s">
        <v>112</v>
      </c>
      <c r="E6284" s="14" t="s">
        <v>113</v>
      </c>
      <c r="F6284" s="15" t="s">
        <v>51</v>
      </c>
      <c r="G6284" s="14" t="s">
        <v>114</v>
      </c>
      <c r="H6284" s="14" t="s">
        <v>112</v>
      </c>
      <c r="I6284" s="14" t="s">
        <v>59</v>
      </c>
      <c r="J6284" s="14" t="s">
        <v>200</v>
      </c>
      <c r="K6284" s="14" t="s">
        <v>213</v>
      </c>
      <c r="L6284" s="14" t="s">
        <v>307</v>
      </c>
      <c r="M6284" s="14" t="s">
        <v>561</v>
      </c>
      <c r="N6284" s="14" t="s">
        <v>562</v>
      </c>
      <c r="O6284" s="14">
        <v>0.0</v>
      </c>
      <c r="P6284" s="23">
        <v>0.0</v>
      </c>
      <c r="Q6284" s="22" t="str">
        <f t="shared" ref="Q6284:R6284" si="3753">"+0.00%"</f>
        <v>+0.00%</v>
      </c>
      <c r="R6284" s="18" t="str">
        <f t="shared" si="3753"/>
        <v>+0.00%</v>
      </c>
      <c r="S6284" s="14" t="s">
        <v>285</v>
      </c>
    </row>
    <row r="6285">
      <c r="A6285" s="13">
        <v>45901.0</v>
      </c>
      <c r="B6285" s="14" t="s">
        <v>47</v>
      </c>
      <c r="C6285" s="14" t="s">
        <v>48</v>
      </c>
      <c r="D6285" s="14" t="s">
        <v>158</v>
      </c>
      <c r="E6285" s="14" t="s">
        <v>159</v>
      </c>
      <c r="F6285" s="15" t="s">
        <v>51</v>
      </c>
      <c r="G6285" s="14" t="s">
        <v>160</v>
      </c>
      <c r="H6285" s="14" t="s">
        <v>158</v>
      </c>
      <c r="I6285" s="14" t="s">
        <v>54</v>
      </c>
      <c r="J6285" s="14" t="s">
        <v>198</v>
      </c>
      <c r="K6285" s="14" t="s">
        <v>210</v>
      </c>
      <c r="L6285" s="14" t="s">
        <v>505</v>
      </c>
      <c r="M6285" s="14" t="s">
        <v>1049</v>
      </c>
      <c r="N6285" s="14" t="s">
        <v>1050</v>
      </c>
      <c r="O6285" s="14">
        <v>0.0</v>
      </c>
      <c r="P6285" s="21">
        <v>0.0</v>
      </c>
      <c r="Q6285" s="22" t="str">
        <f t="shared" ref="Q6285:R6285" si="3754">"+0"</f>
        <v>+0</v>
      </c>
      <c r="R6285" s="18" t="str">
        <f t="shared" si="3754"/>
        <v>+0</v>
      </c>
      <c r="S6285" s="14" t="s">
        <v>277</v>
      </c>
    </row>
    <row r="6286">
      <c r="A6286" s="13">
        <v>45901.0</v>
      </c>
      <c r="B6286" s="14" t="s">
        <v>47</v>
      </c>
      <c r="C6286" s="14" t="s">
        <v>48</v>
      </c>
      <c r="D6286" s="14" t="s">
        <v>174</v>
      </c>
      <c r="E6286" s="14" t="s">
        <v>175</v>
      </c>
      <c r="F6286" s="15" t="s">
        <v>51</v>
      </c>
      <c r="G6286" s="14" t="s">
        <v>176</v>
      </c>
      <c r="H6286" s="14" t="s">
        <v>174</v>
      </c>
      <c r="I6286" s="14" t="s">
        <v>59</v>
      </c>
      <c r="J6286" s="14" t="s">
        <v>198</v>
      </c>
      <c r="K6286" s="14" t="s">
        <v>212</v>
      </c>
      <c r="L6286" s="14" t="s">
        <v>344</v>
      </c>
      <c r="M6286" s="14" t="s">
        <v>580</v>
      </c>
      <c r="N6286" s="14" t="s">
        <v>581</v>
      </c>
      <c r="O6286" s="14">
        <v>100.0</v>
      </c>
      <c r="P6286" s="21">
        <v>1.0</v>
      </c>
      <c r="Q6286" s="22" t="str">
        <f>"+1"</f>
        <v>+1</v>
      </c>
      <c r="S6286" s="14" t="s">
        <v>281</v>
      </c>
    </row>
    <row r="6287">
      <c r="A6287" s="13">
        <v>45901.0</v>
      </c>
      <c r="B6287" s="14" t="s">
        <v>47</v>
      </c>
      <c r="C6287" s="14" t="s">
        <v>48</v>
      </c>
      <c r="D6287" s="14" t="s">
        <v>112</v>
      </c>
      <c r="E6287" s="14" t="s">
        <v>113</v>
      </c>
      <c r="F6287" s="15" t="s">
        <v>51</v>
      </c>
      <c r="G6287" s="14" t="s">
        <v>114</v>
      </c>
      <c r="H6287" s="14" t="s">
        <v>112</v>
      </c>
      <c r="I6287" s="14" t="s">
        <v>59</v>
      </c>
      <c r="J6287" s="14" t="s">
        <v>198</v>
      </c>
      <c r="K6287" s="14" t="s">
        <v>210</v>
      </c>
      <c r="L6287" s="14" t="s">
        <v>278</v>
      </c>
      <c r="M6287" s="14" t="s">
        <v>443</v>
      </c>
      <c r="N6287" s="14" t="s">
        <v>444</v>
      </c>
      <c r="O6287" s="14">
        <v>0.0</v>
      </c>
      <c r="P6287" s="21">
        <v>297.0</v>
      </c>
      <c r="Q6287" s="22" t="str">
        <f>"+43"</f>
        <v>+43</v>
      </c>
      <c r="R6287" s="18" t="str">
        <f>"+69"</f>
        <v>+69</v>
      </c>
      <c r="S6287" s="14" t="s">
        <v>961</v>
      </c>
    </row>
    <row r="6288">
      <c r="A6288" s="13">
        <v>45901.0</v>
      </c>
      <c r="B6288" s="14" t="s">
        <v>47</v>
      </c>
      <c r="C6288" s="14" t="s">
        <v>48</v>
      </c>
      <c r="D6288" s="14" t="s">
        <v>181</v>
      </c>
      <c r="E6288" s="14" t="s">
        <v>182</v>
      </c>
      <c r="F6288" s="15" t="s">
        <v>51</v>
      </c>
      <c r="G6288" s="14" t="s">
        <v>183</v>
      </c>
      <c r="H6288" s="14" t="s">
        <v>181</v>
      </c>
      <c r="I6288" s="14" t="s">
        <v>59</v>
      </c>
      <c r="J6288" s="14" t="s">
        <v>199</v>
      </c>
      <c r="K6288" s="14" t="s">
        <v>206</v>
      </c>
      <c r="L6288" s="14" t="s">
        <v>531</v>
      </c>
      <c r="M6288" s="14" t="s">
        <v>531</v>
      </c>
      <c r="N6288" s="14" t="s">
        <v>532</v>
      </c>
      <c r="O6288" s="14">
        <v>0.0</v>
      </c>
      <c r="P6288" s="21">
        <v>0.0</v>
      </c>
      <c r="Q6288" s="22" t="str">
        <f t="shared" ref="Q6288:R6288" si="3755">"+0"</f>
        <v>+0</v>
      </c>
      <c r="R6288" s="18" t="str">
        <f t="shared" si="3755"/>
        <v>+0</v>
      </c>
      <c r="S6288" s="14" t="s">
        <v>260</v>
      </c>
    </row>
    <row r="6289">
      <c r="A6289" s="13">
        <v>45901.0</v>
      </c>
      <c r="B6289" s="14" t="s">
        <v>47</v>
      </c>
      <c r="C6289" s="14" t="s">
        <v>48</v>
      </c>
      <c r="D6289" s="14" t="s">
        <v>155</v>
      </c>
      <c r="E6289" s="14" t="s">
        <v>156</v>
      </c>
      <c r="F6289" s="15" t="s">
        <v>51</v>
      </c>
      <c r="G6289" s="14" t="s">
        <v>157</v>
      </c>
      <c r="H6289" s="14" t="s">
        <v>155</v>
      </c>
      <c r="I6289" s="14" t="s">
        <v>59</v>
      </c>
      <c r="J6289" s="14" t="s">
        <v>200</v>
      </c>
      <c r="K6289" s="14" t="s">
        <v>223</v>
      </c>
      <c r="L6289" s="14" t="s">
        <v>286</v>
      </c>
      <c r="M6289" s="14" t="s">
        <v>287</v>
      </c>
      <c r="N6289" s="14" t="s">
        <v>288</v>
      </c>
      <c r="O6289" s="14">
        <v>0.0</v>
      </c>
      <c r="P6289" s="17"/>
      <c r="Q6289" s="22"/>
      <c r="S6289" s="14" t="s">
        <v>285</v>
      </c>
    </row>
    <row r="6290">
      <c r="A6290" s="13">
        <v>45901.0</v>
      </c>
      <c r="B6290" s="14" t="s">
        <v>47</v>
      </c>
      <c r="C6290" s="14" t="s">
        <v>48</v>
      </c>
      <c r="D6290" s="14" t="s">
        <v>60</v>
      </c>
      <c r="E6290" s="14" t="s">
        <v>61</v>
      </c>
      <c r="F6290" s="15" t="s">
        <v>51</v>
      </c>
      <c r="G6290" s="14" t="s">
        <v>62</v>
      </c>
      <c r="H6290" s="14" t="s">
        <v>60</v>
      </c>
      <c r="I6290" s="14" t="s">
        <v>59</v>
      </c>
      <c r="J6290" s="14" t="s">
        <v>200</v>
      </c>
      <c r="K6290" s="14" t="s">
        <v>227</v>
      </c>
      <c r="L6290" s="14" t="s">
        <v>270</v>
      </c>
      <c r="M6290" s="14" t="s">
        <v>271</v>
      </c>
      <c r="N6290" s="14" t="s">
        <v>272</v>
      </c>
      <c r="O6290" s="14">
        <v>0.0</v>
      </c>
      <c r="P6290" s="23">
        <v>-1.0</v>
      </c>
      <c r="Q6290" s="22" t="str">
        <f t="shared" ref="Q6290:R6290" si="3756">"+0.00%"</f>
        <v>+0.00%</v>
      </c>
      <c r="R6290" s="18" t="str">
        <f t="shared" si="3756"/>
        <v>+0.00%</v>
      </c>
      <c r="S6290" s="14" t="s">
        <v>273</v>
      </c>
    </row>
    <row r="6291">
      <c r="A6291" s="13">
        <v>45901.0</v>
      </c>
      <c r="B6291" s="14" t="s">
        <v>47</v>
      </c>
      <c r="C6291" s="14" t="s">
        <v>48</v>
      </c>
      <c r="D6291" s="14" t="s">
        <v>121</v>
      </c>
      <c r="E6291" s="14" t="s">
        <v>122</v>
      </c>
      <c r="F6291" s="15" t="s">
        <v>51</v>
      </c>
      <c r="G6291" s="14" t="s">
        <v>123</v>
      </c>
      <c r="H6291" s="14" t="s">
        <v>124</v>
      </c>
      <c r="I6291" s="14" t="s">
        <v>59</v>
      </c>
      <c r="J6291" s="14" t="s">
        <v>200</v>
      </c>
      <c r="K6291" s="14" t="s">
        <v>232</v>
      </c>
      <c r="L6291" s="14" t="s">
        <v>261</v>
      </c>
      <c r="M6291" s="14" t="s">
        <v>414</v>
      </c>
      <c r="N6291" s="14" t="s">
        <v>415</v>
      </c>
      <c r="O6291" s="14">
        <v>34.0</v>
      </c>
      <c r="P6291" s="23">
        <v>-0.301</v>
      </c>
      <c r="Q6291" s="22" t="str">
        <f>"+57.30%"</f>
        <v>+57.30%</v>
      </c>
      <c r="R6291" s="18" t="str">
        <f>"+5.33%"</f>
        <v>+5.33%</v>
      </c>
      <c r="S6291" s="14" t="s">
        <v>2660</v>
      </c>
    </row>
    <row r="6292">
      <c r="A6292" s="13">
        <v>45901.0</v>
      </c>
      <c r="B6292" s="14" t="s">
        <v>47</v>
      </c>
      <c r="C6292" s="14" t="s">
        <v>48</v>
      </c>
      <c r="D6292" s="14" t="s">
        <v>56</v>
      </c>
      <c r="E6292" s="14" t="s">
        <v>57</v>
      </c>
      <c r="F6292" s="15" t="s">
        <v>51</v>
      </c>
      <c r="G6292" s="14" t="s">
        <v>58</v>
      </c>
      <c r="H6292" s="14" t="s">
        <v>56</v>
      </c>
      <c r="I6292" s="14" t="s">
        <v>59</v>
      </c>
      <c r="J6292" s="14" t="s">
        <v>200</v>
      </c>
      <c r="K6292" s="14" t="s">
        <v>223</v>
      </c>
      <c r="L6292" s="14" t="s">
        <v>289</v>
      </c>
      <c r="M6292" s="14" t="s">
        <v>984</v>
      </c>
      <c r="N6292" s="14" t="s">
        <v>985</v>
      </c>
      <c r="O6292" s="14">
        <v>0.0</v>
      </c>
      <c r="P6292" s="23">
        <v>0.0</v>
      </c>
      <c r="Q6292" s="22" t="str">
        <f t="shared" ref="Q6292:R6292" si="3757">"+0.00%"</f>
        <v>+0.00%</v>
      </c>
      <c r="R6292" s="18" t="str">
        <f t="shared" si="3757"/>
        <v>+0.00%</v>
      </c>
      <c r="S6292" s="14" t="s">
        <v>285</v>
      </c>
    </row>
    <row r="6293">
      <c r="A6293" s="13">
        <v>45901.0</v>
      </c>
      <c r="B6293" s="14" t="s">
        <v>47</v>
      </c>
      <c r="C6293" s="14" t="s">
        <v>48</v>
      </c>
      <c r="D6293" s="14" t="s">
        <v>91</v>
      </c>
      <c r="E6293" s="14" t="s">
        <v>92</v>
      </c>
      <c r="F6293" s="15" t="s">
        <v>51</v>
      </c>
      <c r="G6293" s="14" t="s">
        <v>163</v>
      </c>
      <c r="H6293" s="14" t="s">
        <v>91</v>
      </c>
      <c r="I6293" s="14" t="s">
        <v>59</v>
      </c>
      <c r="J6293" s="14" t="s">
        <v>198</v>
      </c>
      <c r="K6293" s="14" t="s">
        <v>205</v>
      </c>
      <c r="L6293" s="14" t="s">
        <v>274</v>
      </c>
      <c r="M6293" s="14" t="s">
        <v>451</v>
      </c>
      <c r="N6293" s="14" t="s">
        <v>452</v>
      </c>
      <c r="O6293" s="14">
        <v>0.0</v>
      </c>
      <c r="P6293" s="21">
        <v>0.0</v>
      </c>
      <c r="Q6293" s="22" t="str">
        <f>"+0"</f>
        <v>+0</v>
      </c>
      <c r="S6293" s="14" t="s">
        <v>281</v>
      </c>
    </row>
    <row r="6294">
      <c r="A6294" s="13">
        <v>45901.0</v>
      </c>
      <c r="B6294" s="14" t="s">
        <v>47</v>
      </c>
      <c r="C6294" s="14" t="s">
        <v>48</v>
      </c>
      <c r="D6294" s="14" t="s">
        <v>63</v>
      </c>
      <c r="E6294" s="14" t="s">
        <v>64</v>
      </c>
      <c r="F6294" s="15" t="s">
        <v>51</v>
      </c>
      <c r="G6294" s="14" t="s">
        <v>65</v>
      </c>
      <c r="H6294" s="14" t="s">
        <v>63</v>
      </c>
      <c r="I6294" s="14" t="s">
        <v>54</v>
      </c>
      <c r="J6294" s="14" t="s">
        <v>200</v>
      </c>
      <c r="K6294" s="14" t="s">
        <v>211</v>
      </c>
      <c r="L6294" s="14" t="s">
        <v>991</v>
      </c>
      <c r="M6294" s="14" t="s">
        <v>1002</v>
      </c>
      <c r="N6294" s="14" t="s">
        <v>1003</v>
      </c>
      <c r="O6294" s="14">
        <v>17.0</v>
      </c>
      <c r="P6294" s="23">
        <v>-0.6418</v>
      </c>
      <c r="Q6294" s="22" t="str">
        <f>"+6.34%"</f>
        <v>+6.34%</v>
      </c>
      <c r="R6294" s="18" t="str">
        <f>"-45.17%"</f>
        <v>-45.17%</v>
      </c>
      <c r="S6294" s="14" t="s">
        <v>336</v>
      </c>
    </row>
    <row r="6295">
      <c r="A6295" s="13">
        <v>45901.0</v>
      </c>
      <c r="B6295" s="14" t="s">
        <v>47</v>
      </c>
      <c r="C6295" s="14" t="s">
        <v>48</v>
      </c>
      <c r="D6295" s="14" t="s">
        <v>63</v>
      </c>
      <c r="E6295" s="14" t="s">
        <v>64</v>
      </c>
      <c r="F6295" s="15" t="s">
        <v>51</v>
      </c>
      <c r="G6295" s="14" t="s">
        <v>65</v>
      </c>
      <c r="H6295" s="14" t="s">
        <v>63</v>
      </c>
      <c r="I6295" s="14" t="s">
        <v>54</v>
      </c>
      <c r="J6295" s="14" t="s">
        <v>198</v>
      </c>
      <c r="K6295" s="14" t="s">
        <v>207</v>
      </c>
      <c r="L6295" s="14" t="s">
        <v>648</v>
      </c>
      <c r="M6295" s="14" t="s">
        <v>2355</v>
      </c>
      <c r="N6295" s="14" t="s">
        <v>2356</v>
      </c>
      <c r="O6295" s="14">
        <v>0.0</v>
      </c>
      <c r="P6295" s="21">
        <v>0.0</v>
      </c>
      <c r="Q6295" s="22" t="str">
        <f t="shared" ref="Q6295:Q6297" si="3758">"+0"</f>
        <v>+0</v>
      </c>
      <c r="S6295" s="14" t="s">
        <v>281</v>
      </c>
    </row>
    <row r="6296">
      <c r="A6296" s="13">
        <v>45901.0</v>
      </c>
      <c r="B6296" s="14" t="s">
        <v>47</v>
      </c>
      <c r="C6296" s="14" t="s">
        <v>48</v>
      </c>
      <c r="D6296" s="14" t="s">
        <v>91</v>
      </c>
      <c r="E6296" s="14" t="s">
        <v>92</v>
      </c>
      <c r="F6296" s="15" t="s">
        <v>51</v>
      </c>
      <c r="G6296" s="14" t="s">
        <v>163</v>
      </c>
      <c r="H6296" s="14" t="s">
        <v>91</v>
      </c>
      <c r="I6296" s="14" t="s">
        <v>59</v>
      </c>
      <c r="J6296" s="14" t="s">
        <v>199</v>
      </c>
      <c r="K6296" s="14" t="s">
        <v>203</v>
      </c>
      <c r="L6296" s="14" t="s">
        <v>431</v>
      </c>
      <c r="M6296" s="14" t="s">
        <v>431</v>
      </c>
      <c r="N6296" s="14" t="s">
        <v>432</v>
      </c>
      <c r="O6296" s="14">
        <v>0.0</v>
      </c>
      <c r="P6296" s="21">
        <v>0.0</v>
      </c>
      <c r="Q6296" s="22" t="str">
        <f t="shared" si="3758"/>
        <v>+0</v>
      </c>
      <c r="R6296" s="18" t="str">
        <f t="shared" ref="R6296:R6297" si="3759">"+0"</f>
        <v>+0</v>
      </c>
      <c r="S6296" s="14" t="s">
        <v>260</v>
      </c>
    </row>
    <row r="6297">
      <c r="A6297" s="13">
        <v>45901.0</v>
      </c>
      <c r="B6297" s="14" t="s">
        <v>47</v>
      </c>
      <c r="C6297" s="14" t="s">
        <v>48</v>
      </c>
      <c r="D6297" s="14" t="s">
        <v>63</v>
      </c>
      <c r="E6297" s="14" t="s">
        <v>64</v>
      </c>
      <c r="F6297" s="15" t="s">
        <v>51</v>
      </c>
      <c r="G6297" s="14" t="s">
        <v>65</v>
      </c>
      <c r="H6297" s="14" t="s">
        <v>63</v>
      </c>
      <c r="I6297" s="14" t="s">
        <v>54</v>
      </c>
      <c r="J6297" s="14" t="s">
        <v>198</v>
      </c>
      <c r="K6297" s="14" t="s">
        <v>210</v>
      </c>
      <c r="L6297" s="14" t="s">
        <v>458</v>
      </c>
      <c r="M6297" s="14" t="s">
        <v>1939</v>
      </c>
      <c r="N6297" s="14" t="s">
        <v>1940</v>
      </c>
      <c r="O6297" s="14">
        <v>0.0</v>
      </c>
      <c r="P6297" s="21">
        <v>0.0</v>
      </c>
      <c r="Q6297" s="22" t="str">
        <f t="shared" si="3758"/>
        <v>+0</v>
      </c>
      <c r="R6297" s="18" t="str">
        <f t="shared" si="3759"/>
        <v>+0</v>
      </c>
      <c r="S6297" s="14" t="s">
        <v>277</v>
      </c>
    </row>
    <row r="6298">
      <c r="A6298" s="13">
        <v>45901.0</v>
      </c>
      <c r="B6298" s="14" t="s">
        <v>47</v>
      </c>
      <c r="C6298" s="14" t="s">
        <v>48</v>
      </c>
      <c r="D6298" s="14" t="s">
        <v>63</v>
      </c>
      <c r="E6298" s="14" t="s">
        <v>64</v>
      </c>
      <c r="F6298" s="15" t="s">
        <v>51</v>
      </c>
      <c r="G6298" s="14" t="s">
        <v>65</v>
      </c>
      <c r="H6298" s="14" t="s">
        <v>63</v>
      </c>
      <c r="I6298" s="14" t="s">
        <v>54</v>
      </c>
      <c r="J6298" s="14" t="s">
        <v>200</v>
      </c>
      <c r="K6298" s="14" t="s">
        <v>227</v>
      </c>
      <c r="L6298" s="14" t="s">
        <v>721</v>
      </c>
      <c r="M6298" s="14" t="s">
        <v>748</v>
      </c>
      <c r="N6298" s="14" t="s">
        <v>749</v>
      </c>
      <c r="O6298" s="14">
        <v>41.0</v>
      </c>
      <c r="P6298" s="23">
        <v>-0.1628</v>
      </c>
      <c r="Q6298" s="22" t="str">
        <f>"+66.45%"</f>
        <v>+66.45%</v>
      </c>
      <c r="R6298" s="18" t="str">
        <f>"-105.26%"</f>
        <v>-105.26%</v>
      </c>
      <c r="S6298" s="14" t="s">
        <v>750</v>
      </c>
    </row>
    <row r="6299">
      <c r="A6299" s="13">
        <v>45901.0</v>
      </c>
      <c r="B6299" s="14" t="s">
        <v>47</v>
      </c>
      <c r="C6299" s="14" t="s">
        <v>48</v>
      </c>
      <c r="D6299" s="14" t="s">
        <v>77</v>
      </c>
      <c r="E6299" s="14" t="s">
        <v>78</v>
      </c>
      <c r="F6299" s="14" t="s">
        <v>79</v>
      </c>
      <c r="G6299" s="14" t="s">
        <v>80</v>
      </c>
      <c r="H6299" s="14" t="s">
        <v>81</v>
      </c>
      <c r="J6299" s="14" t="s">
        <v>199</v>
      </c>
      <c r="K6299" s="14" t="s">
        <v>203</v>
      </c>
      <c r="L6299" s="14" t="s">
        <v>340</v>
      </c>
      <c r="M6299" s="14" t="s">
        <v>340</v>
      </c>
      <c r="N6299" s="14" t="s">
        <v>341</v>
      </c>
      <c r="O6299" s="14">
        <v>100.0</v>
      </c>
      <c r="P6299" s="21">
        <v>6.0</v>
      </c>
      <c r="Q6299" s="22" t="str">
        <f>"+1"</f>
        <v>+1</v>
      </c>
      <c r="R6299" s="18" t="str">
        <f>"+3"</f>
        <v>+3</v>
      </c>
      <c r="S6299" s="14" t="s">
        <v>260</v>
      </c>
    </row>
    <row r="6300">
      <c r="A6300" s="13">
        <v>45901.0</v>
      </c>
      <c r="B6300" s="14" t="s">
        <v>47</v>
      </c>
      <c r="C6300" s="14" t="s">
        <v>48</v>
      </c>
      <c r="D6300" s="14" t="s">
        <v>174</v>
      </c>
      <c r="E6300" s="14" t="s">
        <v>175</v>
      </c>
      <c r="F6300" s="15" t="s">
        <v>51</v>
      </c>
      <c r="G6300" s="14" t="s">
        <v>176</v>
      </c>
      <c r="H6300" s="14" t="s">
        <v>174</v>
      </c>
      <c r="I6300" s="14" t="s">
        <v>59</v>
      </c>
      <c r="J6300" s="14" t="s">
        <v>199</v>
      </c>
      <c r="K6300" s="14" t="s">
        <v>208</v>
      </c>
      <c r="L6300" s="14" t="s">
        <v>412</v>
      </c>
      <c r="M6300" s="14" t="s">
        <v>412</v>
      </c>
      <c r="N6300" s="14" t="s">
        <v>413</v>
      </c>
      <c r="O6300" s="14">
        <v>100.0</v>
      </c>
      <c r="P6300" s="21">
        <v>10.0</v>
      </c>
      <c r="Q6300" s="22" t="str">
        <f>"+0"</f>
        <v>+0</v>
      </c>
      <c r="R6300" s="18" t="str">
        <f>"+2"</f>
        <v>+2</v>
      </c>
      <c r="S6300" s="14" t="s">
        <v>260</v>
      </c>
    </row>
    <row r="6301">
      <c r="A6301" s="13">
        <v>45901.0</v>
      </c>
      <c r="B6301" s="14" t="s">
        <v>47</v>
      </c>
      <c r="C6301" s="14" t="s">
        <v>48</v>
      </c>
      <c r="D6301" s="14" t="s">
        <v>168</v>
      </c>
      <c r="E6301" s="14" t="s">
        <v>169</v>
      </c>
      <c r="F6301" s="15" t="s">
        <v>51</v>
      </c>
      <c r="G6301" s="14" t="s">
        <v>170</v>
      </c>
      <c r="H6301" s="14" t="s">
        <v>168</v>
      </c>
      <c r="I6301" s="14" t="s">
        <v>59</v>
      </c>
      <c r="J6301" s="14" t="s">
        <v>200</v>
      </c>
      <c r="K6301" s="14" t="s">
        <v>213</v>
      </c>
      <c r="L6301" s="14" t="s">
        <v>257</v>
      </c>
      <c r="M6301" s="14" t="s">
        <v>499</v>
      </c>
      <c r="N6301" s="14" t="s">
        <v>500</v>
      </c>
      <c r="O6301" s="14">
        <v>0.0</v>
      </c>
      <c r="P6301" s="23">
        <v>0.0</v>
      </c>
      <c r="Q6301" s="22" t="str">
        <f t="shared" ref="Q6301:R6301" si="3760">"+0.00%"</f>
        <v>+0.00%</v>
      </c>
      <c r="R6301" s="18" t="str">
        <f t="shared" si="3760"/>
        <v>+0.00%</v>
      </c>
      <c r="S6301" s="14" t="s">
        <v>2661</v>
      </c>
    </row>
    <row r="6302">
      <c r="A6302" s="13">
        <v>45901.0</v>
      </c>
      <c r="B6302" s="14" t="s">
        <v>47</v>
      </c>
      <c r="C6302" s="14" t="s">
        <v>48</v>
      </c>
      <c r="D6302" s="14" t="s">
        <v>168</v>
      </c>
      <c r="E6302" s="14" t="s">
        <v>169</v>
      </c>
      <c r="F6302" s="15" t="s">
        <v>51</v>
      </c>
      <c r="G6302" s="14" t="s">
        <v>170</v>
      </c>
      <c r="H6302" s="14" t="s">
        <v>168</v>
      </c>
      <c r="I6302" s="14" t="s">
        <v>59</v>
      </c>
      <c r="J6302" s="14" t="s">
        <v>199</v>
      </c>
      <c r="K6302" s="14" t="s">
        <v>203</v>
      </c>
      <c r="L6302" s="14" t="s">
        <v>342</v>
      </c>
      <c r="M6302" s="14" t="s">
        <v>342</v>
      </c>
      <c r="N6302" s="14" t="s">
        <v>343</v>
      </c>
      <c r="O6302" s="14">
        <v>100.0</v>
      </c>
      <c r="P6302" s="21">
        <v>1.0</v>
      </c>
      <c r="Q6302" s="22" t="str">
        <f t="shared" ref="Q6302:R6302" si="3761">"+0"</f>
        <v>+0</v>
      </c>
      <c r="R6302" s="18" t="str">
        <f t="shared" si="3761"/>
        <v>+0</v>
      </c>
      <c r="S6302" s="14" t="s">
        <v>260</v>
      </c>
    </row>
    <row r="6303">
      <c r="A6303" s="13">
        <v>45901.0</v>
      </c>
      <c r="B6303" s="14" t="s">
        <v>47</v>
      </c>
      <c r="C6303" s="14" t="s">
        <v>48</v>
      </c>
      <c r="D6303" s="14" t="s">
        <v>91</v>
      </c>
      <c r="E6303" s="14" t="s">
        <v>92</v>
      </c>
      <c r="F6303" s="14" t="s">
        <v>71</v>
      </c>
      <c r="G6303" s="14">
        <v>5.10001669E8</v>
      </c>
      <c r="H6303" s="14" t="s">
        <v>91</v>
      </c>
      <c r="I6303" s="14" t="s">
        <v>107</v>
      </c>
      <c r="J6303" s="14" t="s">
        <v>199</v>
      </c>
      <c r="K6303" s="14" t="s">
        <v>206</v>
      </c>
      <c r="L6303" s="14" t="s">
        <v>295</v>
      </c>
      <c r="M6303" s="14" t="s">
        <v>529</v>
      </c>
      <c r="N6303" s="14" t="s">
        <v>530</v>
      </c>
      <c r="O6303" s="14">
        <v>100.0</v>
      </c>
      <c r="P6303" s="21">
        <v>20.0</v>
      </c>
      <c r="Q6303" s="22" t="str">
        <f t="shared" ref="Q6303:R6303" si="3762">"+0"</f>
        <v>+0</v>
      </c>
      <c r="R6303" s="18" t="str">
        <f t="shared" si="3762"/>
        <v>+0</v>
      </c>
      <c r="S6303" s="14" t="s">
        <v>260</v>
      </c>
    </row>
    <row r="6304">
      <c r="A6304" s="13">
        <v>45901.0</v>
      </c>
      <c r="B6304" s="14" t="s">
        <v>47</v>
      </c>
      <c r="C6304" s="14" t="s">
        <v>48</v>
      </c>
      <c r="D6304" s="14" t="s">
        <v>184</v>
      </c>
      <c r="E6304" s="14" t="s">
        <v>185</v>
      </c>
      <c r="F6304" s="15" t="s">
        <v>51</v>
      </c>
      <c r="G6304" s="14" t="s">
        <v>186</v>
      </c>
      <c r="H6304" s="14" t="s">
        <v>187</v>
      </c>
      <c r="I6304" s="14" t="s">
        <v>59</v>
      </c>
      <c r="J6304" s="14" t="s">
        <v>200</v>
      </c>
      <c r="K6304" s="14" t="s">
        <v>227</v>
      </c>
      <c r="L6304" s="14" t="s">
        <v>253</v>
      </c>
      <c r="M6304" s="14" t="s">
        <v>811</v>
      </c>
      <c r="N6304" s="14" t="s">
        <v>812</v>
      </c>
      <c r="O6304" s="14">
        <v>0.0</v>
      </c>
      <c r="P6304" s="23">
        <v>0.0</v>
      </c>
      <c r="Q6304" s="22" t="str">
        <f t="shared" ref="Q6304:R6304" si="3763">"+0.00%"</f>
        <v>+0.00%</v>
      </c>
      <c r="R6304" s="18" t="str">
        <f t="shared" si="3763"/>
        <v>+0.00%</v>
      </c>
      <c r="S6304" s="14" t="s">
        <v>813</v>
      </c>
    </row>
    <row r="6305">
      <c r="A6305" s="13">
        <v>45901.0</v>
      </c>
      <c r="B6305" s="14" t="s">
        <v>47</v>
      </c>
      <c r="C6305" s="14" t="s">
        <v>48</v>
      </c>
      <c r="D6305" s="14" t="s">
        <v>184</v>
      </c>
      <c r="E6305" s="14" t="s">
        <v>185</v>
      </c>
      <c r="F6305" s="15" t="s">
        <v>51</v>
      </c>
      <c r="G6305" s="14" t="s">
        <v>186</v>
      </c>
      <c r="H6305" s="14" t="s">
        <v>187</v>
      </c>
      <c r="I6305" s="14" t="s">
        <v>59</v>
      </c>
      <c r="J6305" s="14" t="s">
        <v>200</v>
      </c>
      <c r="K6305" s="14" t="s">
        <v>219</v>
      </c>
      <c r="L6305" s="14" t="s">
        <v>253</v>
      </c>
      <c r="M6305" s="14" t="s">
        <v>899</v>
      </c>
      <c r="N6305" s="14" t="s">
        <v>900</v>
      </c>
      <c r="O6305" s="14">
        <v>0.0</v>
      </c>
      <c r="P6305" s="23">
        <v>0.0</v>
      </c>
      <c r="Q6305" s="22" t="str">
        <f t="shared" ref="Q6305:R6305" si="3764">"+0.00%"</f>
        <v>+0.00%</v>
      </c>
      <c r="R6305" s="18" t="str">
        <f t="shared" si="3764"/>
        <v>+0.00%</v>
      </c>
      <c r="S6305" s="14" t="s">
        <v>285</v>
      </c>
    </row>
    <row r="6306">
      <c r="A6306" s="13">
        <v>45901.0</v>
      </c>
      <c r="B6306" s="14" t="s">
        <v>47</v>
      </c>
      <c r="C6306" s="14" t="s">
        <v>48</v>
      </c>
      <c r="D6306" s="14" t="s">
        <v>73</v>
      </c>
      <c r="E6306" s="14" t="s">
        <v>74</v>
      </c>
      <c r="F6306" s="15" t="s">
        <v>51</v>
      </c>
      <c r="G6306" s="14" t="s">
        <v>75</v>
      </c>
      <c r="H6306" s="14" t="s">
        <v>76</v>
      </c>
      <c r="I6306" s="14" t="s">
        <v>59</v>
      </c>
      <c r="J6306" s="14" t="s">
        <v>198</v>
      </c>
      <c r="K6306" s="14" t="s">
        <v>210</v>
      </c>
      <c r="L6306" s="14" t="s">
        <v>264</v>
      </c>
      <c r="M6306" s="14" t="s">
        <v>265</v>
      </c>
      <c r="N6306" s="14" t="s">
        <v>266</v>
      </c>
      <c r="O6306" s="14">
        <v>79.0</v>
      </c>
      <c r="P6306" s="21">
        <v>39.0</v>
      </c>
      <c r="Q6306" s="22" t="str">
        <f>"-3"</f>
        <v>-3</v>
      </c>
      <c r="R6306" s="18" t="str">
        <f>"-161"</f>
        <v>-161</v>
      </c>
      <c r="S6306" s="14" t="s">
        <v>1670</v>
      </c>
    </row>
    <row r="6307">
      <c r="A6307" s="13">
        <v>45901.0</v>
      </c>
      <c r="B6307" s="14" t="s">
        <v>47</v>
      </c>
      <c r="C6307" s="14" t="s">
        <v>48</v>
      </c>
      <c r="D6307" s="14" t="s">
        <v>73</v>
      </c>
      <c r="E6307" s="14" t="s">
        <v>74</v>
      </c>
      <c r="F6307" s="15" t="s">
        <v>51</v>
      </c>
      <c r="G6307" s="14" t="s">
        <v>75</v>
      </c>
      <c r="H6307" s="14" t="s">
        <v>76</v>
      </c>
      <c r="I6307" s="14" t="s">
        <v>59</v>
      </c>
      <c r="J6307" s="14" t="s">
        <v>199</v>
      </c>
      <c r="K6307" s="14" t="s">
        <v>203</v>
      </c>
      <c r="L6307" s="14" t="s">
        <v>431</v>
      </c>
      <c r="M6307" s="14" t="s">
        <v>431</v>
      </c>
      <c r="N6307" s="14" t="s">
        <v>432</v>
      </c>
      <c r="O6307" s="14">
        <v>0.0</v>
      </c>
      <c r="P6307" s="21">
        <v>0.0</v>
      </c>
      <c r="Q6307" s="22" t="str">
        <f t="shared" ref="Q6307:R6307" si="3765">"+0"</f>
        <v>+0</v>
      </c>
      <c r="R6307" s="18" t="str">
        <f t="shared" si="3765"/>
        <v>+0</v>
      </c>
      <c r="S6307" s="14" t="s">
        <v>260</v>
      </c>
    </row>
    <row r="6308">
      <c r="A6308" s="13">
        <v>45901.0</v>
      </c>
      <c r="B6308" s="14" t="s">
        <v>47</v>
      </c>
      <c r="C6308" s="14" t="s">
        <v>48</v>
      </c>
      <c r="D6308" s="14" t="s">
        <v>143</v>
      </c>
      <c r="E6308" s="14" t="s">
        <v>144</v>
      </c>
      <c r="F6308" s="15" t="s">
        <v>51</v>
      </c>
      <c r="G6308" s="14" t="s">
        <v>145</v>
      </c>
      <c r="H6308" s="14" t="s">
        <v>143</v>
      </c>
      <c r="I6308" s="14" t="s">
        <v>59</v>
      </c>
      <c r="J6308" s="14" t="s">
        <v>200</v>
      </c>
      <c r="K6308" s="14" t="s">
        <v>232</v>
      </c>
      <c r="L6308" s="14" t="s">
        <v>304</v>
      </c>
      <c r="M6308" s="14" t="s">
        <v>662</v>
      </c>
      <c r="N6308" s="14" t="s">
        <v>663</v>
      </c>
      <c r="O6308" s="14">
        <v>14.0</v>
      </c>
      <c r="P6308" s="23">
        <v>-0.7087</v>
      </c>
      <c r="Q6308" s="22" t="str">
        <f>"+20.45%"</f>
        <v>+20.45%</v>
      </c>
      <c r="R6308" s="18" t="str">
        <f>"-37.26%"</f>
        <v>-37.26%</v>
      </c>
      <c r="S6308" s="14" t="s">
        <v>2662</v>
      </c>
    </row>
    <row r="6309">
      <c r="A6309" s="13">
        <v>45901.0</v>
      </c>
      <c r="B6309" s="14" t="s">
        <v>47</v>
      </c>
      <c r="C6309" s="14" t="s">
        <v>48</v>
      </c>
      <c r="D6309" s="14" t="s">
        <v>73</v>
      </c>
      <c r="E6309" s="14" t="s">
        <v>74</v>
      </c>
      <c r="F6309" s="15" t="s">
        <v>51</v>
      </c>
      <c r="G6309" s="14" t="s">
        <v>75</v>
      </c>
      <c r="H6309" s="14" t="s">
        <v>76</v>
      </c>
      <c r="I6309" s="14" t="s">
        <v>59</v>
      </c>
      <c r="J6309" s="14" t="s">
        <v>200</v>
      </c>
      <c r="K6309" s="14" t="s">
        <v>232</v>
      </c>
      <c r="L6309" s="14" t="s">
        <v>487</v>
      </c>
      <c r="M6309" s="14" t="s">
        <v>904</v>
      </c>
      <c r="N6309" s="14" t="s">
        <v>905</v>
      </c>
      <c r="O6309" s="14">
        <v>100.0</v>
      </c>
      <c r="P6309" s="21">
        <v>264.0</v>
      </c>
      <c r="Q6309" s="22" t="str">
        <f t="shared" ref="Q6309:R6309" si="3766">"+0"</f>
        <v>+0</v>
      </c>
      <c r="R6309" s="18" t="str">
        <f t="shared" si="3766"/>
        <v>+0</v>
      </c>
      <c r="S6309" s="14" t="s">
        <v>260</v>
      </c>
    </row>
    <row r="6310">
      <c r="A6310" s="13">
        <v>45901.0</v>
      </c>
      <c r="B6310" s="14" t="s">
        <v>47</v>
      </c>
      <c r="C6310" s="14" t="s">
        <v>48</v>
      </c>
      <c r="D6310" s="14" t="s">
        <v>136</v>
      </c>
      <c r="E6310" s="14" t="s">
        <v>137</v>
      </c>
      <c r="F6310" s="15" t="s">
        <v>51</v>
      </c>
      <c r="G6310" s="14" t="s">
        <v>138</v>
      </c>
      <c r="H6310" s="14" t="s">
        <v>139</v>
      </c>
      <c r="I6310" s="14" t="s">
        <v>59</v>
      </c>
      <c r="J6310" s="14" t="s">
        <v>200</v>
      </c>
      <c r="K6310" s="14" t="s">
        <v>213</v>
      </c>
      <c r="L6310" s="14" t="s">
        <v>591</v>
      </c>
      <c r="M6310" s="14" t="s">
        <v>592</v>
      </c>
      <c r="N6310" s="14" t="s">
        <v>1048</v>
      </c>
      <c r="O6310" s="14">
        <v>100.0</v>
      </c>
      <c r="P6310" s="23">
        <v>0.0024</v>
      </c>
      <c r="Q6310" s="22" t="str">
        <f>"-0.00%"</f>
        <v>-0.00%</v>
      </c>
      <c r="R6310" s="18" t="str">
        <f>"+0.03%"</f>
        <v>+0.03%</v>
      </c>
      <c r="S6310" s="14" t="s">
        <v>285</v>
      </c>
    </row>
    <row r="6311">
      <c r="A6311" s="13">
        <v>45901.0</v>
      </c>
      <c r="B6311" s="14" t="s">
        <v>47</v>
      </c>
      <c r="C6311" s="14" t="s">
        <v>48</v>
      </c>
      <c r="D6311" s="14" t="s">
        <v>87</v>
      </c>
      <c r="E6311" s="14" t="s">
        <v>88</v>
      </c>
      <c r="F6311" s="15" t="s">
        <v>51</v>
      </c>
      <c r="G6311" s="14" t="s">
        <v>89</v>
      </c>
      <c r="H6311" s="14" t="s">
        <v>90</v>
      </c>
      <c r="I6311" s="14" t="s">
        <v>59</v>
      </c>
      <c r="J6311" s="14" t="s">
        <v>200</v>
      </c>
      <c r="K6311" s="14" t="s">
        <v>223</v>
      </c>
      <c r="L6311" s="14" t="s">
        <v>257</v>
      </c>
      <c r="M6311" s="14" t="s">
        <v>622</v>
      </c>
      <c r="N6311" s="14" t="s">
        <v>623</v>
      </c>
      <c r="O6311" s="14">
        <v>62.0</v>
      </c>
      <c r="P6311" s="23">
        <v>0.2584</v>
      </c>
      <c r="Q6311" s="22" t="str">
        <f>"-1.04%"</f>
        <v>-1.04%</v>
      </c>
      <c r="R6311" s="18" t="str">
        <f>"+16.71%"</f>
        <v>+16.71%</v>
      </c>
      <c r="S6311" s="14" t="s">
        <v>2663</v>
      </c>
    </row>
    <row r="6312">
      <c r="A6312" s="13">
        <v>45901.0</v>
      </c>
      <c r="B6312" s="14" t="s">
        <v>47</v>
      </c>
      <c r="C6312" s="14" t="s">
        <v>48</v>
      </c>
      <c r="D6312" s="14" t="s">
        <v>149</v>
      </c>
      <c r="E6312" s="14" t="s">
        <v>150</v>
      </c>
      <c r="F6312" s="15" t="s">
        <v>51</v>
      </c>
      <c r="G6312" s="14" t="s">
        <v>151</v>
      </c>
      <c r="H6312" s="14" t="s">
        <v>152</v>
      </c>
      <c r="I6312" s="14" t="s">
        <v>54</v>
      </c>
      <c r="J6312" s="14" t="s">
        <v>200</v>
      </c>
      <c r="K6312" s="14" t="s">
        <v>211</v>
      </c>
      <c r="L6312" s="14" t="s">
        <v>253</v>
      </c>
      <c r="M6312" s="14" t="s">
        <v>1381</v>
      </c>
      <c r="N6312" s="14" t="s">
        <v>1382</v>
      </c>
      <c r="O6312" s="14">
        <v>100.0</v>
      </c>
      <c r="P6312" s="23">
        <v>1.0</v>
      </c>
      <c r="Q6312" s="22" t="str">
        <f t="shared" ref="Q6312:R6312" si="3767">"+0.00%"</f>
        <v>+0.00%</v>
      </c>
      <c r="R6312" s="18" t="str">
        <f t="shared" si="3767"/>
        <v>+0.00%</v>
      </c>
      <c r="S6312" s="14" t="s">
        <v>371</v>
      </c>
    </row>
    <row r="6313">
      <c r="A6313" s="13">
        <v>45901.0</v>
      </c>
      <c r="B6313" s="14" t="s">
        <v>47</v>
      </c>
      <c r="C6313" s="14" t="s">
        <v>48</v>
      </c>
      <c r="D6313" s="14" t="s">
        <v>149</v>
      </c>
      <c r="E6313" s="14" t="s">
        <v>150</v>
      </c>
      <c r="F6313" s="15" t="s">
        <v>51</v>
      </c>
      <c r="G6313" s="14" t="s">
        <v>151</v>
      </c>
      <c r="H6313" s="14" t="s">
        <v>152</v>
      </c>
      <c r="I6313" s="14" t="s">
        <v>54</v>
      </c>
      <c r="J6313" s="14" t="s">
        <v>198</v>
      </c>
      <c r="K6313" s="14" t="s">
        <v>210</v>
      </c>
      <c r="L6313" s="14" t="s">
        <v>264</v>
      </c>
      <c r="M6313" s="14" t="s">
        <v>470</v>
      </c>
      <c r="N6313" s="14" t="s">
        <v>471</v>
      </c>
      <c r="O6313" s="14">
        <v>59.0</v>
      </c>
      <c r="P6313" s="21">
        <v>2720.0</v>
      </c>
      <c r="Q6313" s="22" t="str">
        <f>"+25"</f>
        <v>+25</v>
      </c>
      <c r="R6313" s="18" t="str">
        <f>"+865"</f>
        <v>+865</v>
      </c>
      <c r="S6313" s="14" t="s">
        <v>2664</v>
      </c>
    </row>
    <row r="6314">
      <c r="A6314" s="13">
        <v>45901.0</v>
      </c>
      <c r="B6314" s="14" t="s">
        <v>47</v>
      </c>
      <c r="C6314" s="14" t="s">
        <v>48</v>
      </c>
      <c r="D6314" s="14" t="s">
        <v>136</v>
      </c>
      <c r="E6314" s="14" t="s">
        <v>137</v>
      </c>
      <c r="F6314" s="15" t="s">
        <v>51</v>
      </c>
      <c r="G6314" s="14" t="s">
        <v>138</v>
      </c>
      <c r="H6314" s="14" t="s">
        <v>139</v>
      </c>
      <c r="I6314" s="14" t="s">
        <v>59</v>
      </c>
      <c r="J6314" s="14" t="s">
        <v>200</v>
      </c>
      <c r="K6314" s="14" t="s">
        <v>213</v>
      </c>
      <c r="L6314" s="14" t="s">
        <v>571</v>
      </c>
      <c r="M6314" s="14" t="s">
        <v>578</v>
      </c>
      <c r="N6314" s="14" t="s">
        <v>579</v>
      </c>
      <c r="O6314" s="14">
        <v>0.0</v>
      </c>
      <c r="P6314" s="23">
        <v>0.0</v>
      </c>
      <c r="Q6314" s="22" t="str">
        <f t="shared" ref="Q6314:R6314" si="3768">"+0.00%"</f>
        <v>+0.00%</v>
      </c>
      <c r="R6314" s="18" t="str">
        <f t="shared" si="3768"/>
        <v>+0.00%</v>
      </c>
      <c r="S6314" s="14" t="s">
        <v>285</v>
      </c>
    </row>
    <row r="6315">
      <c r="A6315" s="13">
        <v>45901.0</v>
      </c>
      <c r="B6315" s="14" t="s">
        <v>47</v>
      </c>
      <c r="C6315" s="14" t="s">
        <v>48</v>
      </c>
      <c r="D6315" s="14" t="s">
        <v>69</v>
      </c>
      <c r="E6315" s="14" t="s">
        <v>70</v>
      </c>
      <c r="F6315" s="15" t="s">
        <v>51</v>
      </c>
      <c r="G6315" s="14" t="s">
        <v>115</v>
      </c>
      <c r="H6315" s="14" t="s">
        <v>72</v>
      </c>
      <c r="I6315" s="14" t="s">
        <v>54</v>
      </c>
      <c r="J6315" s="14" t="s">
        <v>200</v>
      </c>
      <c r="K6315" s="14" t="s">
        <v>227</v>
      </c>
      <c r="L6315" s="14" t="s">
        <v>253</v>
      </c>
      <c r="M6315" s="14" t="s">
        <v>396</v>
      </c>
      <c r="N6315" s="14" t="s">
        <v>397</v>
      </c>
      <c r="O6315" s="14">
        <v>100.0</v>
      </c>
      <c r="P6315" s="23">
        <v>1.0</v>
      </c>
      <c r="Q6315" s="22" t="str">
        <f>"+0.00%"</f>
        <v>+0.00%</v>
      </c>
      <c r="R6315" s="18" t="str">
        <f>"+33.33%"</f>
        <v>+33.33%</v>
      </c>
      <c r="S6315" s="14" t="s">
        <v>916</v>
      </c>
    </row>
    <row r="6316">
      <c r="A6316" s="13">
        <v>45901.0</v>
      </c>
      <c r="B6316" s="14" t="s">
        <v>47</v>
      </c>
      <c r="C6316" s="14" t="s">
        <v>48</v>
      </c>
      <c r="D6316" s="14" t="s">
        <v>69</v>
      </c>
      <c r="E6316" s="14" t="s">
        <v>70</v>
      </c>
      <c r="F6316" s="15" t="s">
        <v>51</v>
      </c>
      <c r="G6316" s="14" t="s">
        <v>115</v>
      </c>
      <c r="H6316" s="14" t="s">
        <v>72</v>
      </c>
      <c r="I6316" s="14" t="s">
        <v>54</v>
      </c>
      <c r="J6316" s="14" t="s">
        <v>198</v>
      </c>
      <c r="K6316" s="14" t="s">
        <v>212</v>
      </c>
      <c r="L6316" s="14" t="s">
        <v>249</v>
      </c>
      <c r="M6316" s="14" t="s">
        <v>1149</v>
      </c>
      <c r="N6316" s="14" t="s">
        <v>1150</v>
      </c>
      <c r="O6316" s="14">
        <v>0.0</v>
      </c>
      <c r="P6316" s="21">
        <v>0.0</v>
      </c>
      <c r="Q6316" s="22" t="str">
        <f t="shared" ref="Q6316:R6316" si="3769">"+0"</f>
        <v>+0</v>
      </c>
      <c r="R6316" s="18" t="str">
        <f t="shared" si="3769"/>
        <v>+0</v>
      </c>
      <c r="S6316" s="14" t="s">
        <v>277</v>
      </c>
    </row>
    <row r="6317">
      <c r="A6317" s="13">
        <v>45901.0</v>
      </c>
      <c r="B6317" s="14" t="s">
        <v>47</v>
      </c>
      <c r="C6317" s="14" t="s">
        <v>48</v>
      </c>
      <c r="D6317" s="14" t="s">
        <v>69</v>
      </c>
      <c r="E6317" s="14" t="s">
        <v>70</v>
      </c>
      <c r="F6317" s="14" t="s">
        <v>71</v>
      </c>
      <c r="G6317" s="14">
        <v>1.00002092E8</v>
      </c>
      <c r="H6317" s="14" t="s">
        <v>72</v>
      </c>
      <c r="I6317" s="14" t="s">
        <v>54</v>
      </c>
      <c r="J6317" s="14" t="s">
        <v>200</v>
      </c>
      <c r="K6317" s="14" t="s">
        <v>218</v>
      </c>
      <c r="L6317" s="14" t="s">
        <v>253</v>
      </c>
      <c r="M6317" s="14" t="s">
        <v>463</v>
      </c>
      <c r="N6317" s="14" t="s">
        <v>464</v>
      </c>
      <c r="O6317" s="14">
        <v>31.0</v>
      </c>
      <c r="P6317" s="23">
        <v>0.3102</v>
      </c>
      <c r="Q6317" s="22" t="str">
        <f>"+1.83%"</f>
        <v>+1.83%</v>
      </c>
      <c r="R6317" s="18" t="str">
        <f>"+12.84%"</f>
        <v>+12.84%</v>
      </c>
      <c r="S6317" s="14" t="s">
        <v>2658</v>
      </c>
    </row>
    <row r="6318">
      <c r="A6318" s="13">
        <v>45901.0</v>
      </c>
      <c r="B6318" s="14" t="s">
        <v>47</v>
      </c>
      <c r="C6318" s="14" t="s">
        <v>48</v>
      </c>
      <c r="D6318" s="14" t="s">
        <v>85</v>
      </c>
      <c r="E6318" s="14" t="s">
        <v>86</v>
      </c>
      <c r="F6318" s="15" t="s">
        <v>51</v>
      </c>
      <c r="G6318" s="14" t="s">
        <v>148</v>
      </c>
      <c r="H6318" s="14" t="s">
        <v>85</v>
      </c>
      <c r="I6318" s="14" t="s">
        <v>59</v>
      </c>
      <c r="J6318" s="14" t="s">
        <v>199</v>
      </c>
      <c r="K6318" s="14" t="s">
        <v>206</v>
      </c>
      <c r="L6318" s="14" t="s">
        <v>515</v>
      </c>
      <c r="M6318" s="14" t="s">
        <v>515</v>
      </c>
      <c r="N6318" s="14" t="s">
        <v>516</v>
      </c>
      <c r="O6318" s="14">
        <v>0.0</v>
      </c>
      <c r="P6318" s="21">
        <v>0.0</v>
      </c>
      <c r="Q6318" s="22" t="str">
        <f t="shared" ref="Q6318:R6318" si="3770">"+0"</f>
        <v>+0</v>
      </c>
      <c r="R6318" s="18" t="str">
        <f t="shared" si="3770"/>
        <v>+0</v>
      </c>
      <c r="S6318" s="14" t="s">
        <v>383</v>
      </c>
    </row>
    <row r="6319">
      <c r="A6319" s="13">
        <v>45901.0</v>
      </c>
      <c r="B6319" s="14" t="s">
        <v>47</v>
      </c>
      <c r="C6319" s="14" t="s">
        <v>48</v>
      </c>
      <c r="D6319" s="14" t="s">
        <v>116</v>
      </c>
      <c r="E6319" s="14" t="s">
        <v>117</v>
      </c>
      <c r="F6319" s="15" t="s">
        <v>51</v>
      </c>
      <c r="G6319" s="14" t="s">
        <v>161</v>
      </c>
      <c r="H6319" s="14" t="s">
        <v>116</v>
      </c>
      <c r="I6319" s="14" t="s">
        <v>54</v>
      </c>
      <c r="J6319" s="14" t="s">
        <v>200</v>
      </c>
      <c r="K6319" s="14" t="s">
        <v>224</v>
      </c>
      <c r="L6319" s="14" t="s">
        <v>392</v>
      </c>
      <c r="M6319" s="14" t="s">
        <v>1638</v>
      </c>
      <c r="N6319" s="14" t="s">
        <v>1639</v>
      </c>
      <c r="O6319" s="14">
        <v>0.0</v>
      </c>
      <c r="P6319" s="23">
        <v>0.0</v>
      </c>
      <c r="Q6319" s="22"/>
      <c r="S6319" s="14" t="s">
        <v>2665</v>
      </c>
    </row>
    <row r="6320">
      <c r="A6320" s="13">
        <v>45901.0</v>
      </c>
      <c r="B6320" s="14" t="s">
        <v>47</v>
      </c>
      <c r="C6320" s="14" t="s">
        <v>48</v>
      </c>
      <c r="D6320" s="14" t="s">
        <v>77</v>
      </c>
      <c r="E6320" s="14" t="s">
        <v>78</v>
      </c>
      <c r="F6320" s="15" t="s">
        <v>51</v>
      </c>
      <c r="G6320" s="14" t="s">
        <v>128</v>
      </c>
      <c r="H6320" s="14" t="s">
        <v>81</v>
      </c>
      <c r="I6320" s="14" t="s">
        <v>59</v>
      </c>
      <c r="J6320" s="14" t="s">
        <v>200</v>
      </c>
      <c r="K6320" s="14" t="s">
        <v>223</v>
      </c>
      <c r="L6320" s="14" t="s">
        <v>487</v>
      </c>
      <c r="M6320" s="14" t="s">
        <v>1015</v>
      </c>
      <c r="N6320" s="14" t="s">
        <v>1016</v>
      </c>
      <c r="O6320" s="14">
        <v>0.0</v>
      </c>
      <c r="P6320" s="23">
        <v>0.0</v>
      </c>
      <c r="Q6320" s="22" t="str">
        <f t="shared" ref="Q6320:R6320" si="3771">"+0.00%"</f>
        <v>+0.00%</v>
      </c>
      <c r="R6320" s="18" t="str">
        <f t="shared" si="3771"/>
        <v>+0.00%</v>
      </c>
      <c r="S6320" s="14" t="s">
        <v>285</v>
      </c>
    </row>
    <row r="6321">
      <c r="A6321" s="13">
        <v>45901.0</v>
      </c>
      <c r="B6321" s="14" t="s">
        <v>47</v>
      </c>
      <c r="C6321" s="14" t="s">
        <v>48</v>
      </c>
      <c r="D6321" s="14" t="s">
        <v>77</v>
      </c>
      <c r="E6321" s="14" t="s">
        <v>78</v>
      </c>
      <c r="F6321" s="15" t="s">
        <v>51</v>
      </c>
      <c r="G6321" s="14" t="s">
        <v>128</v>
      </c>
      <c r="H6321" s="14" t="s">
        <v>81</v>
      </c>
      <c r="I6321" s="14" t="s">
        <v>59</v>
      </c>
      <c r="J6321" s="14" t="s">
        <v>200</v>
      </c>
      <c r="K6321" s="14" t="s">
        <v>223</v>
      </c>
      <c r="L6321" s="14" t="s">
        <v>307</v>
      </c>
      <c r="M6321" s="14" t="s">
        <v>533</v>
      </c>
      <c r="N6321" s="14" t="s">
        <v>534</v>
      </c>
      <c r="O6321" s="14">
        <v>0.0</v>
      </c>
      <c r="P6321" s="23">
        <v>0.0</v>
      </c>
      <c r="Q6321" s="22" t="str">
        <f t="shared" ref="Q6321:R6321" si="3772">"+0.00%"</f>
        <v>+0.00%</v>
      </c>
      <c r="R6321" s="18" t="str">
        <f t="shared" si="3772"/>
        <v>+0.00%</v>
      </c>
      <c r="S6321" s="14" t="s">
        <v>2666</v>
      </c>
    </row>
    <row r="6322">
      <c r="A6322" s="13">
        <v>45901.0</v>
      </c>
      <c r="B6322" s="14" t="s">
        <v>47</v>
      </c>
      <c r="C6322" s="14" t="s">
        <v>48</v>
      </c>
      <c r="D6322" s="14" t="s">
        <v>77</v>
      </c>
      <c r="E6322" s="14" t="s">
        <v>78</v>
      </c>
      <c r="F6322" s="15" t="s">
        <v>51</v>
      </c>
      <c r="G6322" s="14" t="s">
        <v>128</v>
      </c>
      <c r="H6322" s="14" t="s">
        <v>81</v>
      </c>
      <c r="I6322" s="14" t="s">
        <v>59</v>
      </c>
      <c r="J6322" s="14" t="s">
        <v>199</v>
      </c>
      <c r="K6322" s="14" t="s">
        <v>203</v>
      </c>
      <c r="L6322" s="14" t="s">
        <v>736</v>
      </c>
      <c r="M6322" s="14" t="s">
        <v>736</v>
      </c>
      <c r="N6322" s="14" t="s">
        <v>737</v>
      </c>
      <c r="O6322" s="14">
        <v>0.0</v>
      </c>
      <c r="P6322" s="21">
        <v>0.0</v>
      </c>
      <c r="Q6322" s="22" t="str">
        <f t="shared" ref="Q6322:R6322" si="3773">"+0"</f>
        <v>+0</v>
      </c>
      <c r="R6322" s="18" t="str">
        <f t="shared" si="3773"/>
        <v>+0</v>
      </c>
      <c r="S6322" s="14" t="s">
        <v>260</v>
      </c>
    </row>
    <row r="6323">
      <c r="A6323" s="13">
        <v>45901.0</v>
      </c>
      <c r="B6323" s="14" t="s">
        <v>47</v>
      </c>
      <c r="C6323" s="14" t="s">
        <v>48</v>
      </c>
      <c r="D6323" s="14" t="s">
        <v>77</v>
      </c>
      <c r="E6323" s="14" t="s">
        <v>78</v>
      </c>
      <c r="F6323" s="14" t="s">
        <v>79</v>
      </c>
      <c r="G6323" s="14" t="s">
        <v>80</v>
      </c>
      <c r="H6323" s="14" t="s">
        <v>81</v>
      </c>
      <c r="J6323" s="14" t="s">
        <v>199</v>
      </c>
      <c r="K6323" s="14" t="s">
        <v>206</v>
      </c>
      <c r="L6323" s="14" t="s">
        <v>569</v>
      </c>
      <c r="M6323" s="14" t="s">
        <v>569</v>
      </c>
      <c r="N6323" s="14" t="s">
        <v>570</v>
      </c>
      <c r="O6323" s="14">
        <v>0.0</v>
      </c>
      <c r="P6323" s="21">
        <v>0.0</v>
      </c>
      <c r="Q6323" s="22" t="str">
        <f t="shared" ref="Q6323:R6323" si="3774">"+0"</f>
        <v>+0</v>
      </c>
      <c r="R6323" s="18" t="str">
        <f t="shared" si="3774"/>
        <v>+0</v>
      </c>
      <c r="S6323" s="14" t="s">
        <v>383</v>
      </c>
    </row>
    <row r="6324">
      <c r="A6324" s="13">
        <v>45901.0</v>
      </c>
      <c r="B6324" s="14" t="s">
        <v>47</v>
      </c>
      <c r="C6324" s="14" t="s">
        <v>48</v>
      </c>
      <c r="D6324" s="14" t="s">
        <v>112</v>
      </c>
      <c r="E6324" s="14" t="s">
        <v>113</v>
      </c>
      <c r="F6324" s="15" t="s">
        <v>51</v>
      </c>
      <c r="G6324" s="14" t="s">
        <v>114</v>
      </c>
      <c r="H6324" s="14" t="s">
        <v>112</v>
      </c>
      <c r="I6324" s="14" t="s">
        <v>59</v>
      </c>
      <c r="J6324" s="14" t="s">
        <v>198</v>
      </c>
      <c r="K6324" s="14" t="s">
        <v>210</v>
      </c>
      <c r="L6324" s="14" t="s">
        <v>278</v>
      </c>
      <c r="M6324" s="14" t="s">
        <v>839</v>
      </c>
      <c r="N6324" s="14" t="s">
        <v>840</v>
      </c>
      <c r="O6324" s="14">
        <v>51.0</v>
      </c>
      <c r="P6324" s="21">
        <v>1164.0</v>
      </c>
      <c r="Q6324" s="22" t="str">
        <f>"-292"</f>
        <v>-292</v>
      </c>
      <c r="R6324" s="18" t="str">
        <f>"+161"</f>
        <v>+161</v>
      </c>
      <c r="S6324" s="14" t="s">
        <v>2667</v>
      </c>
    </row>
    <row r="6325">
      <c r="A6325" s="13">
        <v>45901.0</v>
      </c>
      <c r="B6325" s="14" t="s">
        <v>47</v>
      </c>
      <c r="C6325" s="14" t="s">
        <v>48</v>
      </c>
      <c r="D6325" s="14" t="s">
        <v>77</v>
      </c>
      <c r="E6325" s="14" t="s">
        <v>78</v>
      </c>
      <c r="F6325" s="15" t="s">
        <v>51</v>
      </c>
      <c r="G6325" s="14" t="s">
        <v>128</v>
      </c>
      <c r="H6325" s="14" t="s">
        <v>81</v>
      </c>
      <c r="I6325" s="14" t="s">
        <v>59</v>
      </c>
      <c r="J6325" s="14" t="s">
        <v>200</v>
      </c>
      <c r="K6325" s="14" t="s">
        <v>223</v>
      </c>
      <c r="L6325" s="14" t="s">
        <v>710</v>
      </c>
      <c r="M6325" s="14" t="s">
        <v>806</v>
      </c>
      <c r="N6325" s="14" t="s">
        <v>807</v>
      </c>
      <c r="O6325" s="14">
        <v>0.0</v>
      </c>
      <c r="P6325" s="23">
        <v>0.0</v>
      </c>
      <c r="Q6325" s="22" t="str">
        <f t="shared" ref="Q6325:R6325" si="3775">"+0.00%"</f>
        <v>+0.00%</v>
      </c>
      <c r="R6325" s="18" t="str">
        <f t="shared" si="3775"/>
        <v>+0.00%</v>
      </c>
      <c r="S6325" s="14" t="s">
        <v>285</v>
      </c>
    </row>
    <row r="6326">
      <c r="A6326" s="13">
        <v>45901.0</v>
      </c>
      <c r="B6326" s="14" t="s">
        <v>47</v>
      </c>
      <c r="C6326" s="14" t="s">
        <v>48</v>
      </c>
      <c r="D6326" s="14" t="s">
        <v>158</v>
      </c>
      <c r="E6326" s="14" t="s">
        <v>159</v>
      </c>
      <c r="F6326" s="15" t="s">
        <v>51</v>
      </c>
      <c r="G6326" s="14" t="s">
        <v>160</v>
      </c>
      <c r="H6326" s="14" t="s">
        <v>158</v>
      </c>
      <c r="I6326" s="14" t="s">
        <v>54</v>
      </c>
      <c r="J6326" s="14" t="s">
        <v>200</v>
      </c>
      <c r="K6326" s="14" t="s">
        <v>224</v>
      </c>
      <c r="L6326" s="14" t="s">
        <v>436</v>
      </c>
      <c r="M6326" s="14" t="s">
        <v>1353</v>
      </c>
      <c r="N6326" s="14" t="s">
        <v>1354</v>
      </c>
      <c r="O6326" s="14">
        <v>0.0</v>
      </c>
      <c r="P6326" s="17"/>
      <c r="Q6326" s="22"/>
      <c r="S6326" s="14" t="s">
        <v>2668</v>
      </c>
    </row>
    <row r="6327">
      <c r="A6327" s="13">
        <v>45901.0</v>
      </c>
      <c r="B6327" s="14" t="s">
        <v>47</v>
      </c>
      <c r="C6327" s="14" t="s">
        <v>48</v>
      </c>
      <c r="D6327" s="14" t="s">
        <v>116</v>
      </c>
      <c r="E6327" s="14" t="s">
        <v>117</v>
      </c>
      <c r="F6327" s="15" t="s">
        <v>51</v>
      </c>
      <c r="G6327" s="14" t="s">
        <v>161</v>
      </c>
      <c r="H6327" s="14" t="s">
        <v>116</v>
      </c>
      <c r="I6327" s="14" t="s">
        <v>54</v>
      </c>
      <c r="J6327" s="14" t="s">
        <v>198</v>
      </c>
      <c r="K6327" s="14" t="s">
        <v>210</v>
      </c>
      <c r="L6327" s="14" t="s">
        <v>505</v>
      </c>
      <c r="M6327" s="14" t="s">
        <v>880</v>
      </c>
      <c r="N6327" s="14" t="s">
        <v>881</v>
      </c>
      <c r="O6327" s="14">
        <v>0.0</v>
      </c>
      <c r="P6327" s="21">
        <v>0.0</v>
      </c>
      <c r="Q6327" s="22" t="str">
        <f t="shared" ref="Q6327:R6327" si="3776">"+0"</f>
        <v>+0</v>
      </c>
      <c r="R6327" s="18" t="str">
        <f t="shared" si="3776"/>
        <v>+0</v>
      </c>
      <c r="S6327" s="14" t="s">
        <v>277</v>
      </c>
    </row>
    <row r="6328">
      <c r="A6328" s="13">
        <v>45901.0</v>
      </c>
      <c r="B6328" s="14" t="s">
        <v>47</v>
      </c>
      <c r="C6328" s="14" t="s">
        <v>48</v>
      </c>
      <c r="D6328" s="14" t="s">
        <v>121</v>
      </c>
      <c r="E6328" s="14" t="s">
        <v>122</v>
      </c>
      <c r="F6328" s="15" t="s">
        <v>51</v>
      </c>
      <c r="G6328" s="14" t="s">
        <v>123</v>
      </c>
      <c r="H6328" s="14" t="s">
        <v>124</v>
      </c>
      <c r="I6328" s="14" t="s">
        <v>59</v>
      </c>
      <c r="J6328" s="14" t="s">
        <v>199</v>
      </c>
      <c r="K6328" s="14" t="s">
        <v>206</v>
      </c>
      <c r="L6328" s="14" t="s">
        <v>515</v>
      </c>
      <c r="M6328" s="14" t="s">
        <v>515</v>
      </c>
      <c r="N6328" s="14" t="s">
        <v>516</v>
      </c>
      <c r="O6328" s="14">
        <v>0.0</v>
      </c>
      <c r="P6328" s="21">
        <v>0.0</v>
      </c>
      <c r="Q6328" s="22" t="str">
        <f t="shared" ref="Q6328:R6328" si="3777">"+0"</f>
        <v>+0</v>
      </c>
      <c r="R6328" s="18" t="str">
        <f t="shared" si="3777"/>
        <v>+0</v>
      </c>
      <c r="S6328" s="14" t="s">
        <v>383</v>
      </c>
    </row>
    <row r="6329">
      <c r="A6329" s="13">
        <v>45901.0</v>
      </c>
      <c r="B6329" s="14" t="s">
        <v>47</v>
      </c>
      <c r="C6329" s="14" t="s">
        <v>48</v>
      </c>
      <c r="D6329" s="14" t="s">
        <v>56</v>
      </c>
      <c r="E6329" s="14" t="s">
        <v>57</v>
      </c>
      <c r="F6329" s="15" t="s">
        <v>51</v>
      </c>
      <c r="G6329" s="14" t="s">
        <v>58</v>
      </c>
      <c r="H6329" s="14" t="s">
        <v>56</v>
      </c>
      <c r="I6329" s="14" t="s">
        <v>59</v>
      </c>
      <c r="J6329" s="14" t="s">
        <v>200</v>
      </c>
      <c r="K6329" s="14" t="s">
        <v>223</v>
      </c>
      <c r="L6329" s="14" t="s">
        <v>607</v>
      </c>
      <c r="M6329" s="14" t="s">
        <v>869</v>
      </c>
      <c r="N6329" s="14" t="s">
        <v>870</v>
      </c>
      <c r="O6329" s="14">
        <v>37.0</v>
      </c>
      <c r="P6329" s="23">
        <v>-0.2551</v>
      </c>
      <c r="Q6329" s="22" t="str">
        <f>"+58.82%"</f>
        <v>+58.82%</v>
      </c>
      <c r="R6329" s="18" t="str">
        <f>"-24.68%"</f>
        <v>-24.68%</v>
      </c>
      <c r="S6329" s="14" t="s">
        <v>2669</v>
      </c>
    </row>
    <row r="6330">
      <c r="A6330" s="13">
        <v>45901.0</v>
      </c>
      <c r="B6330" s="14" t="s">
        <v>47</v>
      </c>
      <c r="C6330" s="14" t="s">
        <v>48</v>
      </c>
      <c r="D6330" s="14" t="s">
        <v>140</v>
      </c>
      <c r="E6330" s="14" t="s">
        <v>141</v>
      </c>
      <c r="F6330" s="15" t="s">
        <v>51</v>
      </c>
      <c r="G6330" s="14" t="s">
        <v>142</v>
      </c>
      <c r="H6330" s="14" t="s">
        <v>140</v>
      </c>
      <c r="I6330" s="14" t="s">
        <v>59</v>
      </c>
      <c r="J6330" s="14" t="s">
        <v>200</v>
      </c>
      <c r="K6330" s="14" t="s">
        <v>213</v>
      </c>
      <c r="L6330" s="14" t="s">
        <v>257</v>
      </c>
      <c r="M6330" s="14" t="s">
        <v>493</v>
      </c>
      <c r="N6330" s="14" t="s">
        <v>494</v>
      </c>
      <c r="O6330" s="14">
        <v>36.0</v>
      </c>
      <c r="P6330" s="23">
        <v>-0.2604</v>
      </c>
      <c r="Q6330" s="22" t="str">
        <f>"+10.50%"</f>
        <v>+10.50%</v>
      </c>
      <c r="R6330" s="18" t="str">
        <f>"-7.24%"</f>
        <v>-7.24%</v>
      </c>
      <c r="S6330" s="14" t="s">
        <v>2670</v>
      </c>
    </row>
    <row r="6331">
      <c r="A6331" s="13">
        <v>45901.0</v>
      </c>
      <c r="B6331" s="14" t="s">
        <v>47</v>
      </c>
      <c r="C6331" s="14" t="s">
        <v>48</v>
      </c>
      <c r="D6331" s="14" t="s">
        <v>60</v>
      </c>
      <c r="E6331" s="14" t="s">
        <v>61</v>
      </c>
      <c r="F6331" s="15" t="s">
        <v>51</v>
      </c>
      <c r="G6331" s="14" t="s">
        <v>62</v>
      </c>
      <c r="H6331" s="14" t="s">
        <v>60</v>
      </c>
      <c r="I6331" s="14" t="s">
        <v>59</v>
      </c>
      <c r="J6331" s="14" t="s">
        <v>198</v>
      </c>
      <c r="K6331" s="14" t="s">
        <v>210</v>
      </c>
      <c r="L6331" s="14" t="s">
        <v>264</v>
      </c>
      <c r="M6331" s="14" t="s">
        <v>357</v>
      </c>
      <c r="N6331" s="14" t="s">
        <v>358</v>
      </c>
      <c r="O6331" s="14">
        <v>100.0</v>
      </c>
      <c r="P6331" s="21">
        <v>0.0</v>
      </c>
      <c r="Q6331" s="22" t="str">
        <f t="shared" ref="Q6331:R6331" si="3778">"+0"</f>
        <v>+0</v>
      </c>
      <c r="R6331" s="18" t="str">
        <f t="shared" si="3778"/>
        <v>+0</v>
      </c>
      <c r="S6331" s="14" t="s">
        <v>281</v>
      </c>
    </row>
    <row r="6332">
      <c r="A6332" s="13">
        <v>45901.0</v>
      </c>
      <c r="B6332" s="14" t="s">
        <v>47</v>
      </c>
      <c r="C6332" s="14" t="s">
        <v>48</v>
      </c>
      <c r="D6332" s="14" t="s">
        <v>121</v>
      </c>
      <c r="E6332" s="14" t="s">
        <v>122</v>
      </c>
      <c r="F6332" s="15" t="s">
        <v>51</v>
      </c>
      <c r="G6332" s="14" t="s">
        <v>123</v>
      </c>
      <c r="H6332" s="14" t="s">
        <v>124</v>
      </c>
      <c r="I6332" s="14" t="s">
        <v>59</v>
      </c>
      <c r="J6332" s="14" t="s">
        <v>199</v>
      </c>
      <c r="K6332" s="14" t="s">
        <v>203</v>
      </c>
      <c r="L6332" s="14" t="s">
        <v>601</v>
      </c>
      <c r="M6332" s="14" t="s">
        <v>601</v>
      </c>
      <c r="N6332" s="14" t="s">
        <v>602</v>
      </c>
      <c r="O6332" s="14">
        <v>0.0</v>
      </c>
      <c r="P6332" s="21">
        <v>0.0</v>
      </c>
      <c r="Q6332" s="22" t="str">
        <f t="shared" ref="Q6332:R6332" si="3779">"+0"</f>
        <v>+0</v>
      </c>
      <c r="R6332" s="18" t="str">
        <f t="shared" si="3779"/>
        <v>+0</v>
      </c>
      <c r="S6332" s="14" t="s">
        <v>260</v>
      </c>
    </row>
    <row r="6333">
      <c r="A6333" s="13">
        <v>45901.0</v>
      </c>
      <c r="B6333" s="14" t="s">
        <v>47</v>
      </c>
      <c r="C6333" s="14" t="s">
        <v>48</v>
      </c>
      <c r="D6333" s="14" t="s">
        <v>168</v>
      </c>
      <c r="E6333" s="14" t="s">
        <v>169</v>
      </c>
      <c r="F6333" s="15" t="s">
        <v>51</v>
      </c>
      <c r="G6333" s="14" t="s">
        <v>170</v>
      </c>
      <c r="H6333" s="14" t="s">
        <v>168</v>
      </c>
      <c r="I6333" s="14" t="s">
        <v>59</v>
      </c>
      <c r="J6333" s="14" t="s">
        <v>200</v>
      </c>
      <c r="K6333" s="14" t="s">
        <v>213</v>
      </c>
      <c r="L6333" s="14" t="s">
        <v>289</v>
      </c>
      <c r="M6333" s="14" t="s">
        <v>984</v>
      </c>
      <c r="N6333" s="14" t="s">
        <v>985</v>
      </c>
      <c r="O6333" s="14">
        <v>0.0</v>
      </c>
      <c r="P6333" s="23">
        <v>0.0</v>
      </c>
      <c r="Q6333" s="22" t="str">
        <f t="shared" ref="Q6333:R6333" si="3780">"+0.00%"</f>
        <v>+0.00%</v>
      </c>
      <c r="R6333" s="18" t="str">
        <f t="shared" si="3780"/>
        <v>+0.00%</v>
      </c>
      <c r="S6333" s="14" t="s">
        <v>285</v>
      </c>
    </row>
    <row r="6334">
      <c r="A6334" s="13">
        <v>45901.0</v>
      </c>
      <c r="B6334" s="14" t="s">
        <v>47</v>
      </c>
      <c r="C6334" s="14" t="s">
        <v>48</v>
      </c>
      <c r="D6334" s="14" t="s">
        <v>60</v>
      </c>
      <c r="E6334" s="14" t="s">
        <v>61</v>
      </c>
      <c r="F6334" s="15" t="s">
        <v>51</v>
      </c>
      <c r="G6334" s="14" t="s">
        <v>62</v>
      </c>
      <c r="H6334" s="14" t="s">
        <v>60</v>
      </c>
      <c r="I6334" s="14" t="s">
        <v>59</v>
      </c>
      <c r="J6334" s="14" t="s">
        <v>200</v>
      </c>
      <c r="K6334" s="14" t="s">
        <v>216</v>
      </c>
      <c r="L6334" s="14" t="s">
        <v>799</v>
      </c>
      <c r="M6334" s="14" t="s">
        <v>1007</v>
      </c>
      <c r="N6334" s="14" t="s">
        <v>1008</v>
      </c>
      <c r="O6334" s="14">
        <v>0.0</v>
      </c>
      <c r="P6334" s="21">
        <v>0.0</v>
      </c>
      <c r="Q6334" s="22" t="str">
        <f t="shared" ref="Q6334:R6334" si="3781">"+0"</f>
        <v>+0</v>
      </c>
      <c r="R6334" s="18" t="str">
        <f t="shared" si="3781"/>
        <v>+0</v>
      </c>
      <c r="S6334" s="14" t="s">
        <v>260</v>
      </c>
    </row>
    <row r="6335">
      <c r="A6335" s="13">
        <v>45901.0</v>
      </c>
      <c r="B6335" s="14" t="s">
        <v>47</v>
      </c>
      <c r="C6335" s="14" t="s">
        <v>48</v>
      </c>
      <c r="D6335" s="14" t="s">
        <v>155</v>
      </c>
      <c r="E6335" s="14" t="s">
        <v>156</v>
      </c>
      <c r="F6335" s="15" t="s">
        <v>51</v>
      </c>
      <c r="G6335" s="14" t="s">
        <v>157</v>
      </c>
      <c r="H6335" s="14" t="s">
        <v>155</v>
      </c>
      <c r="I6335" s="14" t="s">
        <v>59</v>
      </c>
      <c r="J6335" s="14" t="s">
        <v>200</v>
      </c>
      <c r="K6335" s="14" t="s">
        <v>223</v>
      </c>
      <c r="L6335" s="14" t="s">
        <v>289</v>
      </c>
      <c r="M6335" s="14" t="s">
        <v>384</v>
      </c>
      <c r="N6335" s="14" t="s">
        <v>385</v>
      </c>
      <c r="O6335" s="14">
        <v>0.0</v>
      </c>
      <c r="P6335" s="17"/>
      <c r="Q6335" s="22"/>
      <c r="S6335" s="14" t="s">
        <v>2671</v>
      </c>
    </row>
    <row r="6336">
      <c r="A6336" s="13">
        <v>45901.0</v>
      </c>
      <c r="B6336" s="14" t="s">
        <v>47</v>
      </c>
      <c r="C6336" s="14" t="s">
        <v>48</v>
      </c>
      <c r="D6336" s="14" t="s">
        <v>140</v>
      </c>
      <c r="E6336" s="14" t="s">
        <v>141</v>
      </c>
      <c r="F6336" s="15" t="s">
        <v>51</v>
      </c>
      <c r="G6336" s="14" t="s">
        <v>142</v>
      </c>
      <c r="H6336" s="14" t="s">
        <v>140</v>
      </c>
      <c r="I6336" s="14" t="s">
        <v>59</v>
      </c>
      <c r="J6336" s="14" t="s">
        <v>199</v>
      </c>
      <c r="K6336" s="14" t="s">
        <v>206</v>
      </c>
      <c r="L6336" s="14" t="s">
        <v>268</v>
      </c>
      <c r="M6336" s="14" t="s">
        <v>268</v>
      </c>
      <c r="N6336" s="14" t="s">
        <v>269</v>
      </c>
      <c r="O6336" s="14">
        <v>0.0</v>
      </c>
      <c r="P6336" s="21">
        <v>0.0</v>
      </c>
      <c r="Q6336" s="22" t="str">
        <f t="shared" ref="Q6336:R6336" si="3782">"+0"</f>
        <v>+0</v>
      </c>
      <c r="R6336" s="18" t="str">
        <f t="shared" si="3782"/>
        <v>+0</v>
      </c>
      <c r="S6336" s="14" t="s">
        <v>260</v>
      </c>
    </row>
    <row r="6337">
      <c r="A6337" s="13">
        <v>45901.0</v>
      </c>
      <c r="B6337" s="14" t="s">
        <v>47</v>
      </c>
      <c r="C6337" s="14" t="s">
        <v>48</v>
      </c>
      <c r="D6337" s="14" t="s">
        <v>181</v>
      </c>
      <c r="E6337" s="14" t="s">
        <v>182</v>
      </c>
      <c r="F6337" s="15" t="s">
        <v>51</v>
      </c>
      <c r="G6337" s="14" t="s">
        <v>183</v>
      </c>
      <c r="H6337" s="14" t="s">
        <v>181</v>
      </c>
      <c r="I6337" s="14" t="s">
        <v>59</v>
      </c>
      <c r="J6337" s="14" t="s">
        <v>198</v>
      </c>
      <c r="K6337" s="14" t="s">
        <v>210</v>
      </c>
      <c r="L6337" s="14" t="s">
        <v>505</v>
      </c>
      <c r="M6337" s="14" t="s">
        <v>506</v>
      </c>
      <c r="N6337" s="14" t="s">
        <v>507</v>
      </c>
      <c r="O6337" s="14">
        <v>100.0</v>
      </c>
      <c r="P6337" s="21">
        <v>0.0</v>
      </c>
      <c r="Q6337" s="22" t="str">
        <f t="shared" ref="Q6337:R6337" si="3783">"+0"</f>
        <v>+0</v>
      </c>
      <c r="R6337" s="18" t="str">
        <f t="shared" si="3783"/>
        <v>+0</v>
      </c>
      <c r="S6337" s="14" t="s">
        <v>281</v>
      </c>
    </row>
    <row r="6338">
      <c r="A6338" s="13">
        <v>45901.0</v>
      </c>
      <c r="B6338" s="14" t="s">
        <v>47</v>
      </c>
      <c r="C6338" s="14" t="s">
        <v>48</v>
      </c>
      <c r="D6338" s="14" t="s">
        <v>60</v>
      </c>
      <c r="E6338" s="14" t="s">
        <v>61</v>
      </c>
      <c r="F6338" s="15" t="s">
        <v>51</v>
      </c>
      <c r="G6338" s="14" t="s">
        <v>62</v>
      </c>
      <c r="H6338" s="14" t="s">
        <v>60</v>
      </c>
      <c r="I6338" s="14" t="s">
        <v>59</v>
      </c>
      <c r="J6338" s="14" t="s">
        <v>200</v>
      </c>
      <c r="K6338" s="14" t="s">
        <v>223</v>
      </c>
      <c r="L6338" s="14" t="s">
        <v>607</v>
      </c>
      <c r="M6338" s="14" t="s">
        <v>1204</v>
      </c>
      <c r="N6338" s="14" t="s">
        <v>1205</v>
      </c>
      <c r="O6338" s="14">
        <v>0.0</v>
      </c>
      <c r="P6338" s="21">
        <v>0.0</v>
      </c>
      <c r="Q6338" s="22" t="str">
        <f t="shared" ref="Q6338:R6338" si="3784">"+0"</f>
        <v>+0</v>
      </c>
      <c r="R6338" s="18" t="str">
        <f t="shared" si="3784"/>
        <v>+0</v>
      </c>
      <c r="S6338" s="14" t="s">
        <v>260</v>
      </c>
    </row>
    <row r="6339">
      <c r="A6339" s="13">
        <v>45901.0</v>
      </c>
      <c r="B6339" s="14" t="s">
        <v>47</v>
      </c>
      <c r="C6339" s="14" t="s">
        <v>48</v>
      </c>
      <c r="D6339" s="14" t="s">
        <v>155</v>
      </c>
      <c r="E6339" s="14" t="s">
        <v>156</v>
      </c>
      <c r="F6339" s="15" t="s">
        <v>51</v>
      </c>
      <c r="G6339" s="14" t="s">
        <v>157</v>
      </c>
      <c r="H6339" s="14" t="s">
        <v>155</v>
      </c>
      <c r="I6339" s="14" t="s">
        <v>59</v>
      </c>
      <c r="J6339" s="14" t="s">
        <v>200</v>
      </c>
      <c r="K6339" s="14" t="s">
        <v>223</v>
      </c>
      <c r="L6339" s="14" t="s">
        <v>607</v>
      </c>
      <c r="M6339" s="14" t="s">
        <v>1312</v>
      </c>
      <c r="N6339" s="14" t="s">
        <v>1313</v>
      </c>
      <c r="O6339" s="14">
        <v>0.0</v>
      </c>
      <c r="P6339" s="17"/>
      <c r="Q6339" s="22"/>
      <c r="S6339" s="14" t="s">
        <v>285</v>
      </c>
    </row>
    <row r="6340">
      <c r="A6340" s="13">
        <v>45901.0</v>
      </c>
      <c r="B6340" s="14" t="s">
        <v>47</v>
      </c>
      <c r="C6340" s="14" t="s">
        <v>48</v>
      </c>
      <c r="D6340" s="14" t="s">
        <v>168</v>
      </c>
      <c r="E6340" s="14" t="s">
        <v>169</v>
      </c>
      <c r="F6340" s="15" t="s">
        <v>51</v>
      </c>
      <c r="G6340" s="14" t="s">
        <v>170</v>
      </c>
      <c r="H6340" s="14" t="s">
        <v>168</v>
      </c>
      <c r="I6340" s="14" t="s">
        <v>59</v>
      </c>
      <c r="J6340" s="14" t="s">
        <v>200</v>
      </c>
      <c r="K6340" s="14" t="s">
        <v>204</v>
      </c>
      <c r="L6340" s="14" t="s">
        <v>253</v>
      </c>
      <c r="M6340" s="14" t="s">
        <v>844</v>
      </c>
      <c r="N6340" s="14" t="s">
        <v>845</v>
      </c>
      <c r="O6340" s="14">
        <v>0.0</v>
      </c>
      <c r="P6340" s="17"/>
      <c r="Q6340" s="22"/>
      <c r="S6340" s="14" t="s">
        <v>846</v>
      </c>
    </row>
    <row r="6341">
      <c r="A6341" s="13">
        <v>45901.0</v>
      </c>
      <c r="B6341" s="14" t="s">
        <v>47</v>
      </c>
      <c r="C6341" s="14" t="s">
        <v>48</v>
      </c>
      <c r="D6341" s="14" t="s">
        <v>155</v>
      </c>
      <c r="E6341" s="14" t="s">
        <v>156</v>
      </c>
      <c r="F6341" s="15" t="s">
        <v>51</v>
      </c>
      <c r="G6341" s="14" t="s">
        <v>157</v>
      </c>
      <c r="H6341" s="14" t="s">
        <v>155</v>
      </c>
      <c r="I6341" s="14" t="s">
        <v>59</v>
      </c>
      <c r="J6341" s="14" t="s">
        <v>200</v>
      </c>
      <c r="K6341" s="14" t="s">
        <v>223</v>
      </c>
      <c r="L6341" s="14" t="s">
        <v>607</v>
      </c>
      <c r="M6341" s="14" t="s">
        <v>932</v>
      </c>
      <c r="N6341" s="14" t="s">
        <v>933</v>
      </c>
      <c r="O6341" s="14">
        <v>0.0</v>
      </c>
      <c r="P6341" s="17"/>
      <c r="Q6341" s="22"/>
      <c r="S6341" s="14" t="s">
        <v>285</v>
      </c>
    </row>
    <row r="6342">
      <c r="A6342" s="13">
        <v>45901.0</v>
      </c>
      <c r="B6342" s="14" t="s">
        <v>47</v>
      </c>
      <c r="C6342" s="14" t="s">
        <v>48</v>
      </c>
      <c r="D6342" s="14" t="s">
        <v>60</v>
      </c>
      <c r="E6342" s="14" t="s">
        <v>61</v>
      </c>
      <c r="F6342" s="15" t="s">
        <v>51</v>
      </c>
      <c r="G6342" s="14" t="s">
        <v>62</v>
      </c>
      <c r="H6342" s="14" t="s">
        <v>60</v>
      </c>
      <c r="I6342" s="14" t="s">
        <v>59</v>
      </c>
      <c r="J6342" s="14" t="s">
        <v>200</v>
      </c>
      <c r="K6342" s="14" t="s">
        <v>216</v>
      </c>
      <c r="L6342" s="14" t="s">
        <v>779</v>
      </c>
      <c r="M6342" s="14" t="s">
        <v>2094</v>
      </c>
      <c r="N6342" s="14" t="s">
        <v>2095</v>
      </c>
      <c r="O6342" s="14">
        <v>100.0</v>
      </c>
      <c r="P6342" s="21">
        <v>67.0</v>
      </c>
      <c r="Q6342" s="22" t="str">
        <f>"+40"</f>
        <v>+40</v>
      </c>
      <c r="R6342" s="18" t="str">
        <f>"+13"</f>
        <v>+13</v>
      </c>
      <c r="S6342" s="14" t="s">
        <v>260</v>
      </c>
    </row>
    <row r="6343">
      <c r="A6343" s="13">
        <v>45901.0</v>
      </c>
      <c r="B6343" s="14" t="s">
        <v>47</v>
      </c>
      <c r="C6343" s="14" t="s">
        <v>48</v>
      </c>
      <c r="D6343" s="14" t="s">
        <v>49</v>
      </c>
      <c r="E6343" s="14" t="s">
        <v>50</v>
      </c>
      <c r="F6343" s="15" t="s">
        <v>51</v>
      </c>
      <c r="G6343" s="14" t="s">
        <v>52</v>
      </c>
      <c r="H6343" s="14" t="s">
        <v>53</v>
      </c>
      <c r="I6343" s="14" t="s">
        <v>54</v>
      </c>
      <c r="J6343" s="14" t="s">
        <v>198</v>
      </c>
      <c r="K6343" s="14" t="s">
        <v>212</v>
      </c>
      <c r="L6343" s="14" t="s">
        <v>249</v>
      </c>
      <c r="M6343" s="14" t="s">
        <v>604</v>
      </c>
      <c r="N6343" s="14" t="s">
        <v>605</v>
      </c>
      <c r="O6343" s="14">
        <v>0.0</v>
      </c>
      <c r="P6343" s="21">
        <v>0.0</v>
      </c>
      <c r="Q6343" s="22" t="str">
        <f t="shared" ref="Q6343:R6343" si="3785">"+0"</f>
        <v>+0</v>
      </c>
      <c r="R6343" s="18" t="str">
        <f t="shared" si="3785"/>
        <v>+0</v>
      </c>
      <c r="S6343" s="14" t="s">
        <v>277</v>
      </c>
    </row>
    <row r="6344">
      <c r="A6344" s="13">
        <v>45901.0</v>
      </c>
      <c r="B6344" s="14" t="s">
        <v>47</v>
      </c>
      <c r="C6344" s="14" t="s">
        <v>48</v>
      </c>
      <c r="D6344" s="14" t="s">
        <v>118</v>
      </c>
      <c r="E6344" s="14" t="s">
        <v>119</v>
      </c>
      <c r="F6344" s="15" t="s">
        <v>51</v>
      </c>
      <c r="G6344" s="14" t="s">
        <v>120</v>
      </c>
      <c r="H6344" s="14" t="s">
        <v>118</v>
      </c>
      <c r="I6344" s="14" t="s">
        <v>59</v>
      </c>
      <c r="J6344" s="14" t="s">
        <v>199</v>
      </c>
      <c r="K6344" s="14" t="s">
        <v>203</v>
      </c>
      <c r="L6344" s="14" t="s">
        <v>736</v>
      </c>
      <c r="M6344" s="14" t="s">
        <v>736</v>
      </c>
      <c r="N6344" s="14" t="s">
        <v>737</v>
      </c>
      <c r="O6344" s="14">
        <v>0.0</v>
      </c>
      <c r="P6344" s="21">
        <v>0.0</v>
      </c>
      <c r="Q6344" s="22" t="str">
        <f t="shared" ref="Q6344:R6344" si="3786">"+0"</f>
        <v>+0</v>
      </c>
      <c r="R6344" s="18" t="str">
        <f t="shared" si="3786"/>
        <v>+0</v>
      </c>
      <c r="S6344" s="14" t="s">
        <v>260</v>
      </c>
    </row>
    <row r="6345">
      <c r="A6345" s="13">
        <v>45901.0</v>
      </c>
      <c r="B6345" s="14" t="s">
        <v>47</v>
      </c>
      <c r="C6345" s="14" t="s">
        <v>48</v>
      </c>
      <c r="D6345" s="14" t="s">
        <v>91</v>
      </c>
      <c r="E6345" s="14" t="s">
        <v>92</v>
      </c>
      <c r="F6345" s="14" t="s">
        <v>71</v>
      </c>
      <c r="G6345" s="14">
        <v>1.00004432E8</v>
      </c>
      <c r="H6345" s="14" t="s">
        <v>91</v>
      </c>
      <c r="I6345" s="14" t="s">
        <v>59</v>
      </c>
      <c r="J6345" s="14" t="s">
        <v>199</v>
      </c>
      <c r="K6345" s="14" t="s">
        <v>203</v>
      </c>
      <c r="L6345" s="14" t="s">
        <v>736</v>
      </c>
      <c r="M6345" s="14" t="s">
        <v>736</v>
      </c>
      <c r="N6345" s="14" t="s">
        <v>737</v>
      </c>
      <c r="O6345" s="14">
        <v>100.0</v>
      </c>
      <c r="P6345" s="21">
        <v>5.0</v>
      </c>
      <c r="Q6345" s="22" t="str">
        <f t="shared" ref="Q6345:R6345" si="3787">"+0"</f>
        <v>+0</v>
      </c>
      <c r="R6345" s="18" t="str">
        <f t="shared" si="3787"/>
        <v>+0</v>
      </c>
      <c r="S6345" s="14" t="s">
        <v>260</v>
      </c>
    </row>
    <row r="6346">
      <c r="A6346" s="13">
        <v>45901.0</v>
      </c>
      <c r="B6346" s="14" t="s">
        <v>47</v>
      </c>
      <c r="C6346" s="14" t="s">
        <v>48</v>
      </c>
      <c r="D6346" s="14" t="s">
        <v>91</v>
      </c>
      <c r="E6346" s="14" t="s">
        <v>92</v>
      </c>
      <c r="F6346" s="14" t="s">
        <v>146</v>
      </c>
      <c r="G6346" s="14" t="s">
        <v>147</v>
      </c>
      <c r="H6346" s="14" t="s">
        <v>91</v>
      </c>
      <c r="I6346" s="14" t="s">
        <v>107</v>
      </c>
      <c r="J6346" s="14" t="s">
        <v>200</v>
      </c>
      <c r="K6346" s="14" t="s">
        <v>226</v>
      </c>
      <c r="L6346" s="14" t="s">
        <v>672</v>
      </c>
      <c r="M6346" s="14" t="s">
        <v>2073</v>
      </c>
      <c r="N6346" s="14" t="s">
        <v>2074</v>
      </c>
      <c r="O6346" s="14">
        <v>0.0</v>
      </c>
      <c r="P6346" s="21">
        <v>0.0</v>
      </c>
      <c r="Q6346" s="22" t="str">
        <f t="shared" ref="Q6346:R6346" si="3788">"+0"</f>
        <v>+0</v>
      </c>
      <c r="R6346" s="18" t="str">
        <f t="shared" si="3788"/>
        <v>+0</v>
      </c>
      <c r="S6346" s="14" t="s">
        <v>260</v>
      </c>
    </row>
    <row r="6347">
      <c r="A6347" s="13">
        <v>45901.0</v>
      </c>
      <c r="B6347" s="14" t="s">
        <v>47</v>
      </c>
      <c r="C6347" s="14" t="s">
        <v>48</v>
      </c>
      <c r="D6347" s="14" t="s">
        <v>91</v>
      </c>
      <c r="E6347" s="14" t="s">
        <v>92</v>
      </c>
      <c r="F6347" s="15" t="s">
        <v>51</v>
      </c>
      <c r="G6347" s="14" t="s">
        <v>163</v>
      </c>
      <c r="H6347" s="14" t="s">
        <v>91</v>
      </c>
      <c r="I6347" s="14" t="s">
        <v>59</v>
      </c>
      <c r="J6347" s="14" t="s">
        <v>200</v>
      </c>
      <c r="K6347" s="14" t="s">
        <v>223</v>
      </c>
      <c r="L6347" s="14" t="s">
        <v>286</v>
      </c>
      <c r="M6347" s="14" t="s">
        <v>287</v>
      </c>
      <c r="N6347" s="14" t="s">
        <v>288</v>
      </c>
      <c r="O6347" s="14">
        <v>0.0</v>
      </c>
      <c r="P6347" s="23">
        <v>0.0</v>
      </c>
      <c r="Q6347" s="22" t="str">
        <f t="shared" ref="Q6347:R6347" si="3789">"+0.00%"</f>
        <v>+0.00%</v>
      </c>
      <c r="R6347" s="18" t="str">
        <f t="shared" si="3789"/>
        <v>+0.00%</v>
      </c>
      <c r="S6347" s="14" t="s">
        <v>285</v>
      </c>
    </row>
    <row r="6348">
      <c r="A6348" s="13">
        <v>45901.0</v>
      </c>
      <c r="B6348" s="14" t="s">
        <v>47</v>
      </c>
      <c r="C6348" s="14" t="s">
        <v>48</v>
      </c>
      <c r="D6348" s="14" t="s">
        <v>91</v>
      </c>
      <c r="E6348" s="14" t="s">
        <v>92</v>
      </c>
      <c r="F6348" s="14" t="s">
        <v>71</v>
      </c>
      <c r="G6348" s="14">
        <v>5.10011769E8</v>
      </c>
      <c r="H6348" s="14" t="s">
        <v>91</v>
      </c>
      <c r="I6348" s="14" t="s">
        <v>59</v>
      </c>
      <c r="J6348" s="14" t="s">
        <v>200</v>
      </c>
      <c r="K6348" s="14" t="s">
        <v>218</v>
      </c>
      <c r="L6348" s="14" t="s">
        <v>253</v>
      </c>
      <c r="M6348" s="14" t="s">
        <v>463</v>
      </c>
      <c r="N6348" s="14" t="s">
        <v>464</v>
      </c>
      <c r="O6348" s="14">
        <v>100.0</v>
      </c>
      <c r="P6348" s="23">
        <v>1.0</v>
      </c>
      <c r="Q6348" s="22" t="str">
        <f>"+0.00%"</f>
        <v>+0.00%</v>
      </c>
      <c r="R6348" s="18" t="str">
        <f>"+100.00%"</f>
        <v>+100.00%</v>
      </c>
      <c r="S6348" s="14" t="s">
        <v>2327</v>
      </c>
    </row>
    <row r="6349">
      <c r="A6349" s="13">
        <v>45901.0</v>
      </c>
      <c r="B6349" s="14" t="s">
        <v>47</v>
      </c>
      <c r="C6349" s="14" t="s">
        <v>48</v>
      </c>
      <c r="D6349" s="14" t="s">
        <v>63</v>
      </c>
      <c r="E6349" s="14" t="s">
        <v>64</v>
      </c>
      <c r="F6349" s="15" t="s">
        <v>51</v>
      </c>
      <c r="G6349" s="14" t="s">
        <v>65</v>
      </c>
      <c r="H6349" s="14" t="s">
        <v>63</v>
      </c>
      <c r="I6349" s="14" t="s">
        <v>54</v>
      </c>
      <c r="J6349" s="14" t="s">
        <v>198</v>
      </c>
      <c r="K6349" s="14" t="s">
        <v>210</v>
      </c>
      <c r="L6349" s="14" t="s">
        <v>278</v>
      </c>
      <c r="M6349" s="14" t="s">
        <v>468</v>
      </c>
      <c r="N6349" s="14" t="s">
        <v>469</v>
      </c>
      <c r="O6349" s="14">
        <v>0.0</v>
      </c>
      <c r="P6349" s="21">
        <v>0.0</v>
      </c>
      <c r="Q6349" s="22" t="str">
        <f t="shared" ref="Q6349:R6349" si="3790">"+0"</f>
        <v>+0</v>
      </c>
      <c r="R6349" s="18" t="str">
        <f t="shared" si="3790"/>
        <v>+0</v>
      </c>
      <c r="S6349" s="14" t="s">
        <v>277</v>
      </c>
    </row>
    <row r="6350">
      <c r="A6350" s="13">
        <v>45901.0</v>
      </c>
      <c r="B6350" s="14" t="s">
        <v>47</v>
      </c>
      <c r="C6350" s="14" t="s">
        <v>48</v>
      </c>
      <c r="D6350" s="14" t="s">
        <v>91</v>
      </c>
      <c r="E6350" s="14" t="s">
        <v>92</v>
      </c>
      <c r="F6350" s="15" t="s">
        <v>51</v>
      </c>
      <c r="G6350" s="14" t="s">
        <v>163</v>
      </c>
      <c r="H6350" s="14" t="s">
        <v>91</v>
      </c>
      <c r="I6350" s="14" t="s">
        <v>59</v>
      </c>
      <c r="J6350" s="14" t="s">
        <v>200</v>
      </c>
      <c r="K6350" s="14" t="s">
        <v>223</v>
      </c>
      <c r="L6350" s="14" t="s">
        <v>487</v>
      </c>
      <c r="M6350" s="14" t="s">
        <v>788</v>
      </c>
      <c r="N6350" s="14" t="s">
        <v>789</v>
      </c>
      <c r="O6350" s="14">
        <v>0.0</v>
      </c>
      <c r="P6350" s="23">
        <v>0.0</v>
      </c>
      <c r="Q6350" s="22" t="str">
        <f t="shared" ref="Q6350:R6350" si="3791">"+0.00%"</f>
        <v>+0.00%</v>
      </c>
      <c r="R6350" s="18" t="str">
        <f t="shared" si="3791"/>
        <v>+0.00%</v>
      </c>
      <c r="S6350" s="14" t="s">
        <v>285</v>
      </c>
    </row>
    <row r="6351">
      <c r="A6351" s="13">
        <v>45901.0</v>
      </c>
      <c r="B6351" s="14" t="s">
        <v>47</v>
      </c>
      <c r="C6351" s="14" t="s">
        <v>48</v>
      </c>
      <c r="D6351" s="14" t="s">
        <v>192</v>
      </c>
      <c r="E6351" s="14" t="s">
        <v>193</v>
      </c>
      <c r="F6351" s="15" t="s">
        <v>51</v>
      </c>
      <c r="G6351" s="14" t="s">
        <v>194</v>
      </c>
      <c r="H6351" s="14" t="s">
        <v>192</v>
      </c>
      <c r="I6351" s="14" t="s">
        <v>54</v>
      </c>
      <c r="J6351" s="14" t="s">
        <v>200</v>
      </c>
      <c r="K6351" s="14" t="s">
        <v>223</v>
      </c>
      <c r="L6351" s="14" t="s">
        <v>282</v>
      </c>
      <c r="M6351" s="14" t="s">
        <v>914</v>
      </c>
      <c r="N6351" s="14" t="s">
        <v>915</v>
      </c>
      <c r="O6351" s="14">
        <v>100.0</v>
      </c>
      <c r="P6351" s="21">
        <v>1.0</v>
      </c>
      <c r="Q6351" s="22" t="str">
        <f t="shared" ref="Q6351:R6351" si="3792">"+1"</f>
        <v>+1</v>
      </c>
      <c r="R6351" s="18" t="str">
        <f t="shared" si="3792"/>
        <v>+1</v>
      </c>
      <c r="S6351" s="14" t="s">
        <v>260</v>
      </c>
    </row>
    <row r="6352">
      <c r="A6352" s="13">
        <v>45901.0</v>
      </c>
      <c r="B6352" s="14" t="s">
        <v>47</v>
      </c>
      <c r="C6352" s="14" t="s">
        <v>48</v>
      </c>
      <c r="D6352" s="14" t="s">
        <v>82</v>
      </c>
      <c r="E6352" s="14" t="s">
        <v>83</v>
      </c>
      <c r="F6352" s="15" t="s">
        <v>51</v>
      </c>
      <c r="G6352" s="14" t="s">
        <v>84</v>
      </c>
      <c r="H6352" s="14" t="s">
        <v>82</v>
      </c>
      <c r="I6352" s="14" t="s">
        <v>59</v>
      </c>
      <c r="J6352" s="14" t="s">
        <v>198</v>
      </c>
      <c r="K6352" s="14" t="s">
        <v>210</v>
      </c>
      <c r="L6352" s="14" t="s">
        <v>278</v>
      </c>
      <c r="M6352" s="14" t="s">
        <v>443</v>
      </c>
      <c r="N6352" s="14" t="s">
        <v>444</v>
      </c>
      <c r="O6352" s="14">
        <v>26.0</v>
      </c>
      <c r="P6352" s="21">
        <v>176.0</v>
      </c>
      <c r="Q6352" s="22" t="str">
        <f t="shared" ref="Q6352:Q6353" si="3793">"+1"</f>
        <v>+1</v>
      </c>
      <c r="R6352" s="18" t="str">
        <f>"+22"</f>
        <v>+22</v>
      </c>
      <c r="S6352" s="14" t="s">
        <v>2672</v>
      </c>
    </row>
    <row r="6353">
      <c r="A6353" s="13">
        <v>45901.0</v>
      </c>
      <c r="B6353" s="14" t="s">
        <v>47</v>
      </c>
      <c r="C6353" s="14" t="s">
        <v>48</v>
      </c>
      <c r="D6353" s="14" t="s">
        <v>132</v>
      </c>
      <c r="E6353" s="14" t="s">
        <v>133</v>
      </c>
      <c r="F6353" s="15" t="s">
        <v>51</v>
      </c>
      <c r="G6353" s="14" t="s">
        <v>134</v>
      </c>
      <c r="H6353" s="14" t="s">
        <v>135</v>
      </c>
      <c r="I6353" s="14" t="s">
        <v>59</v>
      </c>
      <c r="J6353" s="14" t="s">
        <v>198</v>
      </c>
      <c r="K6353" s="14" t="s">
        <v>210</v>
      </c>
      <c r="L6353" s="14" t="s">
        <v>278</v>
      </c>
      <c r="M6353" s="14" t="s">
        <v>443</v>
      </c>
      <c r="N6353" s="14" t="s">
        <v>444</v>
      </c>
      <c r="O6353" s="14">
        <v>49.0</v>
      </c>
      <c r="P6353" s="21">
        <v>113.0</v>
      </c>
      <c r="Q6353" s="22" t="str">
        <f t="shared" si="3793"/>
        <v>+1</v>
      </c>
      <c r="R6353" s="18" t="str">
        <f>"-5"</f>
        <v>-5</v>
      </c>
      <c r="S6353" s="14" t="s">
        <v>2325</v>
      </c>
    </row>
    <row r="6354">
      <c r="A6354" s="13">
        <v>45901.0</v>
      </c>
      <c r="B6354" s="14" t="s">
        <v>47</v>
      </c>
      <c r="C6354" s="14" t="s">
        <v>48</v>
      </c>
      <c r="D6354" s="14" t="s">
        <v>143</v>
      </c>
      <c r="E6354" s="14" t="s">
        <v>144</v>
      </c>
      <c r="F6354" s="15" t="s">
        <v>51</v>
      </c>
      <c r="G6354" s="14" t="s">
        <v>145</v>
      </c>
      <c r="H6354" s="14" t="s">
        <v>143</v>
      </c>
      <c r="I6354" s="14" t="s">
        <v>59</v>
      </c>
      <c r="J6354" s="14" t="s">
        <v>200</v>
      </c>
      <c r="K6354" s="14" t="s">
        <v>227</v>
      </c>
      <c r="L6354" s="14" t="s">
        <v>253</v>
      </c>
      <c r="M6354" s="14" t="s">
        <v>811</v>
      </c>
      <c r="N6354" s="14" t="s">
        <v>812</v>
      </c>
      <c r="O6354" s="14">
        <v>100.0</v>
      </c>
      <c r="P6354" s="23">
        <v>1.0</v>
      </c>
      <c r="Q6354" s="22" t="str">
        <f t="shared" ref="Q6354:R6354" si="3794">"+0.00%"</f>
        <v>+0.00%</v>
      </c>
      <c r="R6354" s="18" t="str">
        <f t="shared" si="3794"/>
        <v>+0.00%</v>
      </c>
      <c r="S6354" s="14" t="s">
        <v>813</v>
      </c>
    </row>
    <row r="6355">
      <c r="A6355" s="13">
        <v>45901.0</v>
      </c>
      <c r="B6355" s="14" t="s">
        <v>47</v>
      </c>
      <c r="C6355" s="14" t="s">
        <v>48</v>
      </c>
      <c r="D6355" s="14" t="s">
        <v>87</v>
      </c>
      <c r="E6355" s="14" t="s">
        <v>88</v>
      </c>
      <c r="F6355" s="15" t="s">
        <v>51</v>
      </c>
      <c r="G6355" s="14" t="s">
        <v>89</v>
      </c>
      <c r="H6355" s="14" t="s">
        <v>90</v>
      </c>
      <c r="I6355" s="14" t="s">
        <v>59</v>
      </c>
      <c r="J6355" s="14" t="s">
        <v>199</v>
      </c>
      <c r="K6355" s="14" t="s">
        <v>203</v>
      </c>
      <c r="L6355" s="14" t="s">
        <v>725</v>
      </c>
      <c r="M6355" s="14" t="s">
        <v>725</v>
      </c>
      <c r="N6355" s="14" t="s">
        <v>726</v>
      </c>
      <c r="O6355" s="14">
        <v>0.0</v>
      </c>
      <c r="P6355" s="21">
        <v>0.0</v>
      </c>
      <c r="Q6355" s="22" t="str">
        <f t="shared" ref="Q6355:R6355" si="3795">"+0"</f>
        <v>+0</v>
      </c>
      <c r="R6355" s="18" t="str">
        <f t="shared" si="3795"/>
        <v>+0</v>
      </c>
      <c r="S6355" s="14" t="s">
        <v>260</v>
      </c>
    </row>
    <row r="6356">
      <c r="A6356" s="13">
        <v>45901.0</v>
      </c>
      <c r="B6356" s="14" t="s">
        <v>47</v>
      </c>
      <c r="C6356" s="14" t="s">
        <v>48</v>
      </c>
      <c r="D6356" s="14" t="s">
        <v>171</v>
      </c>
      <c r="E6356" s="14" t="s">
        <v>172</v>
      </c>
      <c r="F6356" s="15" t="s">
        <v>51</v>
      </c>
      <c r="G6356" s="14" t="s">
        <v>173</v>
      </c>
      <c r="H6356" s="14" t="s">
        <v>171</v>
      </c>
      <c r="I6356" s="14" t="s">
        <v>59</v>
      </c>
      <c r="J6356" s="14" t="s">
        <v>200</v>
      </c>
      <c r="K6356" s="14" t="s">
        <v>213</v>
      </c>
      <c r="L6356" s="14" t="s">
        <v>571</v>
      </c>
      <c r="M6356" s="14" t="s">
        <v>572</v>
      </c>
      <c r="N6356" s="14" t="s">
        <v>573</v>
      </c>
      <c r="O6356" s="14">
        <v>0.0</v>
      </c>
      <c r="P6356" s="23">
        <v>0.0</v>
      </c>
      <c r="Q6356" s="22" t="str">
        <f t="shared" ref="Q6356:R6356" si="3796">"+0.00%"</f>
        <v>+0.00%</v>
      </c>
      <c r="R6356" s="18" t="str">
        <f t="shared" si="3796"/>
        <v>+0.00%</v>
      </c>
      <c r="S6356" s="14" t="s">
        <v>285</v>
      </c>
    </row>
    <row r="6357">
      <c r="A6357" s="13">
        <v>45901.0</v>
      </c>
      <c r="B6357" s="14" t="s">
        <v>47</v>
      </c>
      <c r="C6357" s="14" t="s">
        <v>48</v>
      </c>
      <c r="D6357" s="14" t="s">
        <v>136</v>
      </c>
      <c r="E6357" s="14" t="s">
        <v>137</v>
      </c>
      <c r="F6357" s="15" t="s">
        <v>51</v>
      </c>
      <c r="G6357" s="14" t="s">
        <v>138</v>
      </c>
      <c r="H6357" s="14" t="s">
        <v>139</v>
      </c>
      <c r="I6357" s="14" t="s">
        <v>59</v>
      </c>
      <c r="J6357" s="14" t="s">
        <v>200</v>
      </c>
      <c r="K6357" s="14" t="s">
        <v>227</v>
      </c>
      <c r="L6357" s="14" t="s">
        <v>721</v>
      </c>
      <c r="M6357" s="14" t="s">
        <v>1060</v>
      </c>
      <c r="N6357" s="14" t="s">
        <v>1061</v>
      </c>
      <c r="O6357" s="14">
        <v>44.0</v>
      </c>
      <c r="P6357" s="23">
        <v>-0.1116</v>
      </c>
      <c r="Q6357" s="22" t="str">
        <f>"-1.81%"</f>
        <v>-1.81%</v>
      </c>
      <c r="R6357" s="18" t="str">
        <f>"-26.26%"</f>
        <v>-26.26%</v>
      </c>
      <c r="S6357" s="14" t="s">
        <v>1062</v>
      </c>
    </row>
    <row r="6358">
      <c r="A6358" s="13">
        <v>45901.0</v>
      </c>
      <c r="B6358" s="14" t="s">
        <v>47</v>
      </c>
      <c r="C6358" s="14" t="s">
        <v>48</v>
      </c>
      <c r="D6358" s="14" t="s">
        <v>149</v>
      </c>
      <c r="E6358" s="14" t="s">
        <v>150</v>
      </c>
      <c r="F6358" s="15" t="s">
        <v>51</v>
      </c>
      <c r="G6358" s="14" t="s">
        <v>151</v>
      </c>
      <c r="H6358" s="14" t="s">
        <v>152</v>
      </c>
      <c r="I6358" s="14" t="s">
        <v>54</v>
      </c>
      <c r="J6358" s="14" t="s">
        <v>198</v>
      </c>
      <c r="K6358" s="14" t="s">
        <v>205</v>
      </c>
      <c r="L6358" s="14" t="s">
        <v>274</v>
      </c>
      <c r="M6358" s="14" t="s">
        <v>473</v>
      </c>
      <c r="N6358" s="14" t="s">
        <v>474</v>
      </c>
      <c r="O6358" s="14">
        <v>50.0</v>
      </c>
      <c r="P6358" s="21">
        <v>15.0</v>
      </c>
      <c r="Q6358" s="22" t="str">
        <f t="shared" ref="Q6358:Q6363" si="3797">"+0"</f>
        <v>+0</v>
      </c>
      <c r="S6358" s="14" t="s">
        <v>475</v>
      </c>
    </row>
    <row r="6359">
      <c r="A6359" s="13">
        <v>45901.0</v>
      </c>
      <c r="B6359" s="14" t="s">
        <v>47</v>
      </c>
      <c r="C6359" s="14" t="s">
        <v>48</v>
      </c>
      <c r="D6359" s="14" t="s">
        <v>96</v>
      </c>
      <c r="E6359" s="14" t="s">
        <v>97</v>
      </c>
      <c r="F6359" s="15" t="s">
        <v>51</v>
      </c>
      <c r="G6359" s="14" t="s">
        <v>98</v>
      </c>
      <c r="H6359" s="14" t="s">
        <v>96</v>
      </c>
      <c r="I6359" s="14" t="s">
        <v>59</v>
      </c>
      <c r="J6359" s="14" t="s">
        <v>198</v>
      </c>
      <c r="K6359" s="14" t="s">
        <v>205</v>
      </c>
      <c r="L6359" s="14" t="s">
        <v>274</v>
      </c>
      <c r="M6359" s="14" t="s">
        <v>473</v>
      </c>
      <c r="N6359" s="14" t="s">
        <v>474</v>
      </c>
      <c r="O6359" s="14">
        <v>50.0</v>
      </c>
      <c r="P6359" s="21">
        <v>15.0</v>
      </c>
      <c r="Q6359" s="22" t="str">
        <f t="shared" si="3797"/>
        <v>+0</v>
      </c>
      <c r="S6359" s="14" t="s">
        <v>475</v>
      </c>
    </row>
    <row r="6360">
      <c r="A6360" s="13">
        <v>45901.0</v>
      </c>
      <c r="B6360" s="14" t="s">
        <v>47</v>
      </c>
      <c r="C6360" s="14" t="s">
        <v>48</v>
      </c>
      <c r="D6360" s="14" t="s">
        <v>69</v>
      </c>
      <c r="E6360" s="14" t="s">
        <v>70</v>
      </c>
      <c r="F6360" s="14" t="s">
        <v>71</v>
      </c>
      <c r="G6360" s="14">
        <v>1.00002092E8</v>
      </c>
      <c r="H6360" s="14" t="s">
        <v>72</v>
      </c>
      <c r="I6360" s="14" t="s">
        <v>54</v>
      </c>
      <c r="J6360" s="14" t="s">
        <v>199</v>
      </c>
      <c r="K6360" s="14" t="s">
        <v>203</v>
      </c>
      <c r="L6360" s="14" t="s">
        <v>862</v>
      </c>
      <c r="M6360" s="14" t="s">
        <v>862</v>
      </c>
      <c r="N6360" s="14" t="s">
        <v>863</v>
      </c>
      <c r="O6360" s="14">
        <v>0.0</v>
      </c>
      <c r="P6360" s="21">
        <v>0.0</v>
      </c>
      <c r="Q6360" s="22" t="str">
        <f t="shared" si="3797"/>
        <v>+0</v>
      </c>
      <c r="R6360" s="18" t="str">
        <f t="shared" ref="R6360:R6363" si="3798">"+0"</f>
        <v>+0</v>
      </c>
      <c r="S6360" s="14" t="s">
        <v>260</v>
      </c>
    </row>
    <row r="6361">
      <c r="A6361" s="13">
        <v>45901.0</v>
      </c>
      <c r="B6361" s="14" t="s">
        <v>47</v>
      </c>
      <c r="C6361" s="14" t="s">
        <v>48</v>
      </c>
      <c r="D6361" s="14" t="s">
        <v>125</v>
      </c>
      <c r="E6361" s="14" t="s">
        <v>126</v>
      </c>
      <c r="F6361" s="15" t="s">
        <v>51</v>
      </c>
      <c r="G6361" s="14" t="s">
        <v>127</v>
      </c>
      <c r="H6361" s="14" t="s">
        <v>125</v>
      </c>
      <c r="I6361" s="14" t="s">
        <v>59</v>
      </c>
      <c r="J6361" s="14" t="s">
        <v>198</v>
      </c>
      <c r="K6361" s="14" t="s">
        <v>210</v>
      </c>
      <c r="L6361" s="14" t="s">
        <v>264</v>
      </c>
      <c r="M6361" s="14" t="s">
        <v>470</v>
      </c>
      <c r="N6361" s="14" t="s">
        <v>471</v>
      </c>
      <c r="O6361" s="14">
        <v>100.0</v>
      </c>
      <c r="P6361" s="21">
        <v>0.0</v>
      </c>
      <c r="Q6361" s="22" t="str">
        <f t="shared" si="3797"/>
        <v>+0</v>
      </c>
      <c r="R6361" s="18" t="str">
        <f t="shared" si="3798"/>
        <v>+0</v>
      </c>
      <c r="S6361" s="14" t="s">
        <v>281</v>
      </c>
    </row>
    <row r="6362">
      <c r="A6362" s="13">
        <v>45901.0</v>
      </c>
      <c r="B6362" s="14" t="s">
        <v>47</v>
      </c>
      <c r="C6362" s="14" t="s">
        <v>48</v>
      </c>
      <c r="D6362" s="14" t="s">
        <v>174</v>
      </c>
      <c r="E6362" s="14" t="s">
        <v>175</v>
      </c>
      <c r="F6362" s="15" t="s">
        <v>51</v>
      </c>
      <c r="G6362" s="14" t="s">
        <v>176</v>
      </c>
      <c r="H6362" s="14" t="s">
        <v>174</v>
      </c>
      <c r="I6362" s="14" t="s">
        <v>59</v>
      </c>
      <c r="J6362" s="14" t="s">
        <v>200</v>
      </c>
      <c r="K6362" s="14" t="s">
        <v>227</v>
      </c>
      <c r="L6362" s="14" t="s">
        <v>270</v>
      </c>
      <c r="M6362" s="14" t="s">
        <v>417</v>
      </c>
      <c r="N6362" s="14" t="s">
        <v>418</v>
      </c>
      <c r="O6362" s="14">
        <v>11.0</v>
      </c>
      <c r="P6362" s="21">
        <v>1.0</v>
      </c>
      <c r="Q6362" s="22" t="str">
        <f t="shared" si="3797"/>
        <v>+0</v>
      </c>
      <c r="R6362" s="18" t="str">
        <f t="shared" si="3798"/>
        <v>+0</v>
      </c>
      <c r="S6362" s="14" t="s">
        <v>260</v>
      </c>
    </row>
    <row r="6363">
      <c r="A6363" s="13">
        <v>45901.0</v>
      </c>
      <c r="B6363" s="14" t="s">
        <v>47</v>
      </c>
      <c r="C6363" s="14" t="s">
        <v>48</v>
      </c>
      <c r="D6363" s="14" t="s">
        <v>155</v>
      </c>
      <c r="E6363" s="14" t="s">
        <v>156</v>
      </c>
      <c r="F6363" s="15" t="s">
        <v>51</v>
      </c>
      <c r="G6363" s="14" t="s">
        <v>157</v>
      </c>
      <c r="H6363" s="14" t="s">
        <v>155</v>
      </c>
      <c r="I6363" s="14" t="s">
        <v>59</v>
      </c>
      <c r="J6363" s="14" t="s">
        <v>199</v>
      </c>
      <c r="K6363" s="14" t="s">
        <v>203</v>
      </c>
      <c r="L6363" s="14" t="s">
        <v>736</v>
      </c>
      <c r="M6363" s="14" t="s">
        <v>736</v>
      </c>
      <c r="N6363" s="14" t="s">
        <v>737</v>
      </c>
      <c r="O6363" s="14">
        <v>0.0</v>
      </c>
      <c r="P6363" s="21">
        <v>0.0</v>
      </c>
      <c r="Q6363" s="22" t="str">
        <f t="shared" si="3797"/>
        <v>+0</v>
      </c>
      <c r="R6363" s="18" t="str">
        <f t="shared" si="3798"/>
        <v>+0</v>
      </c>
      <c r="S6363" s="14" t="s">
        <v>260</v>
      </c>
    </row>
    <row r="6364">
      <c r="A6364" s="13">
        <v>45901.0</v>
      </c>
      <c r="B6364" s="14" t="s">
        <v>47</v>
      </c>
      <c r="C6364" s="14" t="s">
        <v>48</v>
      </c>
      <c r="D6364" s="14" t="s">
        <v>155</v>
      </c>
      <c r="E6364" s="14" t="s">
        <v>156</v>
      </c>
      <c r="F6364" s="15" t="s">
        <v>51</v>
      </c>
      <c r="G6364" s="14" t="s">
        <v>157</v>
      </c>
      <c r="H6364" s="14" t="s">
        <v>155</v>
      </c>
      <c r="I6364" s="14" t="s">
        <v>59</v>
      </c>
      <c r="J6364" s="14" t="s">
        <v>200</v>
      </c>
      <c r="K6364" s="14" t="s">
        <v>223</v>
      </c>
      <c r="L6364" s="14" t="s">
        <v>607</v>
      </c>
      <c r="M6364" s="14" t="s">
        <v>1035</v>
      </c>
      <c r="N6364" s="14" t="s">
        <v>1036</v>
      </c>
      <c r="O6364" s="14">
        <v>0.0</v>
      </c>
      <c r="P6364" s="17"/>
      <c r="Q6364" s="22"/>
      <c r="S6364" s="14" t="s">
        <v>2673</v>
      </c>
    </row>
    <row r="6365">
      <c r="A6365" s="13">
        <v>45901.0</v>
      </c>
      <c r="B6365" s="14" t="s">
        <v>47</v>
      </c>
      <c r="C6365" s="14" t="s">
        <v>48</v>
      </c>
      <c r="D6365" s="14" t="s">
        <v>91</v>
      </c>
      <c r="E6365" s="14" t="s">
        <v>92</v>
      </c>
      <c r="F6365" s="15" t="s">
        <v>51</v>
      </c>
      <c r="G6365" s="14" t="s">
        <v>163</v>
      </c>
      <c r="H6365" s="14" t="s">
        <v>91</v>
      </c>
      <c r="I6365" s="14" t="s">
        <v>59</v>
      </c>
      <c r="J6365" s="14" t="s">
        <v>200</v>
      </c>
      <c r="K6365" s="14" t="s">
        <v>223</v>
      </c>
      <c r="L6365" s="14" t="s">
        <v>257</v>
      </c>
      <c r="M6365" s="14" t="s">
        <v>315</v>
      </c>
      <c r="N6365" s="14" t="s">
        <v>316</v>
      </c>
      <c r="O6365" s="14">
        <v>7.0</v>
      </c>
      <c r="P6365" s="23">
        <v>0.0714</v>
      </c>
      <c r="Q6365" s="22" t="str">
        <f>"+4.97%"</f>
        <v>+4.97%</v>
      </c>
      <c r="R6365" s="18" t="str">
        <f>"-0.79%"</f>
        <v>-0.79%</v>
      </c>
      <c r="S6365" s="14" t="s">
        <v>1671</v>
      </c>
    </row>
    <row r="6366">
      <c r="A6366" s="13">
        <v>45901.0</v>
      </c>
      <c r="B6366" s="14" t="s">
        <v>47</v>
      </c>
      <c r="C6366" s="14" t="s">
        <v>48</v>
      </c>
      <c r="D6366" s="14" t="s">
        <v>91</v>
      </c>
      <c r="E6366" s="14" t="s">
        <v>92</v>
      </c>
      <c r="F6366" s="14" t="s">
        <v>79</v>
      </c>
      <c r="G6366" s="14" t="s">
        <v>164</v>
      </c>
      <c r="H6366" s="14" t="s">
        <v>91</v>
      </c>
      <c r="I6366" s="14" t="s">
        <v>154</v>
      </c>
      <c r="J6366" s="14" t="s">
        <v>200</v>
      </c>
      <c r="K6366" s="14" t="s">
        <v>238</v>
      </c>
      <c r="L6366" s="14" t="s">
        <v>333</v>
      </c>
      <c r="M6366" s="14" t="s">
        <v>446</v>
      </c>
      <c r="N6366" s="14" t="s">
        <v>447</v>
      </c>
      <c r="O6366" s="14">
        <v>0.0</v>
      </c>
      <c r="P6366" s="23">
        <v>-1.0</v>
      </c>
      <c r="Q6366" s="22" t="str">
        <f t="shared" ref="Q6366:R6366" si="3799">"+0.00%"</f>
        <v>+0.00%</v>
      </c>
      <c r="R6366" s="18" t="str">
        <f t="shared" si="3799"/>
        <v>+0.00%</v>
      </c>
      <c r="S6366" s="14" t="s">
        <v>336</v>
      </c>
    </row>
    <row r="6367">
      <c r="A6367" s="13">
        <v>45901.0</v>
      </c>
      <c r="B6367" s="14" t="s">
        <v>47</v>
      </c>
      <c r="C6367" s="14" t="s">
        <v>48</v>
      </c>
      <c r="D6367" s="14" t="s">
        <v>66</v>
      </c>
      <c r="E6367" s="14" t="s">
        <v>67</v>
      </c>
      <c r="F6367" s="15" t="s">
        <v>51</v>
      </c>
      <c r="G6367" s="14" t="s">
        <v>68</v>
      </c>
      <c r="H6367" s="14" t="s">
        <v>66</v>
      </c>
      <c r="I6367" s="14" t="s">
        <v>59</v>
      </c>
      <c r="J6367" s="14" t="s">
        <v>198</v>
      </c>
      <c r="K6367" s="14" t="s">
        <v>212</v>
      </c>
      <c r="L6367" s="14" t="s">
        <v>249</v>
      </c>
      <c r="M6367" s="14" t="s">
        <v>250</v>
      </c>
      <c r="N6367" s="14" t="s">
        <v>251</v>
      </c>
      <c r="O6367" s="14">
        <v>100.0</v>
      </c>
      <c r="P6367" s="21">
        <v>0.0</v>
      </c>
      <c r="Q6367" s="22" t="str">
        <f t="shared" ref="Q6367:R6367" si="3800">"+0"</f>
        <v>+0</v>
      </c>
      <c r="R6367" s="18" t="str">
        <f t="shared" si="3800"/>
        <v>+0</v>
      </c>
      <c r="S6367" s="14" t="s">
        <v>281</v>
      </c>
    </row>
    <row r="6368">
      <c r="A6368" s="13">
        <v>45901.0</v>
      </c>
      <c r="B6368" s="14" t="s">
        <v>47</v>
      </c>
      <c r="C6368" s="14" t="s">
        <v>48</v>
      </c>
      <c r="D6368" s="14" t="s">
        <v>69</v>
      </c>
      <c r="E6368" s="14" t="s">
        <v>70</v>
      </c>
      <c r="F6368" s="14" t="s">
        <v>71</v>
      </c>
      <c r="G6368" s="14">
        <v>1.00002092E8</v>
      </c>
      <c r="H6368" s="14" t="s">
        <v>72</v>
      </c>
      <c r="I6368" s="14" t="s">
        <v>54</v>
      </c>
      <c r="J6368" s="14" t="s">
        <v>199</v>
      </c>
      <c r="K6368" s="14" t="s">
        <v>203</v>
      </c>
      <c r="L6368" s="14" t="s">
        <v>1095</v>
      </c>
      <c r="M6368" s="14" t="s">
        <v>1095</v>
      </c>
      <c r="N6368" s="14" t="s">
        <v>1096</v>
      </c>
      <c r="O6368" s="14">
        <v>0.0</v>
      </c>
      <c r="P6368" s="21">
        <v>0.0</v>
      </c>
      <c r="Q6368" s="22" t="str">
        <f t="shared" ref="Q6368:R6368" si="3801">"+0"</f>
        <v>+0</v>
      </c>
      <c r="R6368" s="18" t="str">
        <f t="shared" si="3801"/>
        <v>+0</v>
      </c>
      <c r="S6368" s="14" t="s">
        <v>260</v>
      </c>
    </row>
    <row r="6369">
      <c r="A6369" s="13">
        <v>45901.0</v>
      </c>
      <c r="B6369" s="14" t="s">
        <v>47</v>
      </c>
      <c r="C6369" s="14" t="s">
        <v>48</v>
      </c>
      <c r="D6369" s="14" t="s">
        <v>181</v>
      </c>
      <c r="E6369" s="14" t="s">
        <v>182</v>
      </c>
      <c r="F6369" s="15" t="s">
        <v>51</v>
      </c>
      <c r="G6369" s="14" t="s">
        <v>183</v>
      </c>
      <c r="H6369" s="14" t="s">
        <v>181</v>
      </c>
      <c r="I6369" s="14" t="s">
        <v>59</v>
      </c>
      <c r="J6369" s="14" t="s">
        <v>200</v>
      </c>
      <c r="K6369" s="14" t="s">
        <v>232</v>
      </c>
      <c r="L6369" s="14" t="s">
        <v>304</v>
      </c>
      <c r="M6369" s="14" t="s">
        <v>702</v>
      </c>
      <c r="N6369" s="14" t="s">
        <v>703</v>
      </c>
      <c r="O6369" s="14">
        <v>0.0</v>
      </c>
      <c r="P6369" s="23">
        <v>0.0</v>
      </c>
      <c r="Q6369" s="22" t="str">
        <f t="shared" ref="Q6369:R6369" si="3802">"+0.00%"</f>
        <v>+0.00%</v>
      </c>
      <c r="R6369" s="18" t="str">
        <f t="shared" si="3802"/>
        <v>+0.00%</v>
      </c>
      <c r="S6369" s="14" t="s">
        <v>285</v>
      </c>
    </row>
    <row r="6370">
      <c r="A6370" s="13">
        <v>45901.0</v>
      </c>
      <c r="B6370" s="14" t="s">
        <v>47</v>
      </c>
      <c r="C6370" s="14" t="s">
        <v>48</v>
      </c>
      <c r="D6370" s="14" t="s">
        <v>174</v>
      </c>
      <c r="E6370" s="14" t="s">
        <v>175</v>
      </c>
      <c r="F6370" s="15" t="s">
        <v>51</v>
      </c>
      <c r="G6370" s="14" t="s">
        <v>176</v>
      </c>
      <c r="H6370" s="14" t="s">
        <v>174</v>
      </c>
      <c r="I6370" s="14" t="s">
        <v>59</v>
      </c>
      <c r="J6370" s="14" t="s">
        <v>200</v>
      </c>
      <c r="K6370" s="14" t="s">
        <v>201</v>
      </c>
      <c r="L6370" s="14" t="s">
        <v>253</v>
      </c>
      <c r="M6370" s="14" t="s">
        <v>585</v>
      </c>
      <c r="N6370" s="14" t="s">
        <v>586</v>
      </c>
      <c r="O6370" s="14">
        <v>1.0</v>
      </c>
      <c r="P6370" s="23">
        <v>0.0151</v>
      </c>
      <c r="Q6370" s="22" t="str">
        <f>"+0.19%"</f>
        <v>+0.19%</v>
      </c>
      <c r="R6370" s="18" t="str">
        <f>"+0.32%"</f>
        <v>+0.32%</v>
      </c>
      <c r="S6370" s="14" t="s">
        <v>1071</v>
      </c>
    </row>
    <row r="6371">
      <c r="A6371" s="13">
        <v>45901.0</v>
      </c>
      <c r="B6371" s="14" t="s">
        <v>47</v>
      </c>
      <c r="C6371" s="14" t="s">
        <v>48</v>
      </c>
      <c r="D6371" s="14" t="s">
        <v>91</v>
      </c>
      <c r="E6371" s="14" t="s">
        <v>92</v>
      </c>
      <c r="F6371" s="14" t="s">
        <v>71</v>
      </c>
      <c r="G6371" s="14">
        <v>5.00008613E8</v>
      </c>
      <c r="H6371" s="14" t="s">
        <v>91</v>
      </c>
      <c r="I6371" s="14" t="s">
        <v>59</v>
      </c>
      <c r="J6371" s="14" t="s">
        <v>199</v>
      </c>
      <c r="K6371" s="14" t="s">
        <v>206</v>
      </c>
      <c r="L6371" s="14" t="s">
        <v>295</v>
      </c>
      <c r="M6371" s="14" t="s">
        <v>986</v>
      </c>
      <c r="N6371" s="14" t="s">
        <v>987</v>
      </c>
      <c r="O6371" s="14">
        <v>0.0</v>
      </c>
      <c r="P6371" s="21">
        <v>0.0</v>
      </c>
      <c r="Q6371" s="22" t="str">
        <f t="shared" ref="Q6371:R6371" si="3803">"-6"</f>
        <v>-6</v>
      </c>
      <c r="R6371" s="18" t="str">
        <f t="shared" si="3803"/>
        <v>-6</v>
      </c>
      <c r="S6371" s="14" t="s">
        <v>260</v>
      </c>
    </row>
    <row r="6372">
      <c r="A6372" s="13">
        <v>45901.0</v>
      </c>
      <c r="B6372" s="14" t="s">
        <v>47</v>
      </c>
      <c r="C6372" s="14" t="s">
        <v>48</v>
      </c>
      <c r="D6372" s="14" t="s">
        <v>66</v>
      </c>
      <c r="E6372" s="14" t="s">
        <v>67</v>
      </c>
      <c r="F6372" s="15" t="s">
        <v>51</v>
      </c>
      <c r="G6372" s="14" t="s">
        <v>68</v>
      </c>
      <c r="H6372" s="14" t="s">
        <v>66</v>
      </c>
      <c r="I6372" s="14" t="s">
        <v>59</v>
      </c>
      <c r="J6372" s="14" t="s">
        <v>200</v>
      </c>
      <c r="K6372" s="14" t="s">
        <v>223</v>
      </c>
      <c r="L6372" s="14" t="s">
        <v>261</v>
      </c>
      <c r="M6372" s="14" t="s">
        <v>814</v>
      </c>
      <c r="N6372" s="14" t="s">
        <v>815</v>
      </c>
      <c r="O6372" s="14">
        <v>0.0</v>
      </c>
      <c r="P6372" s="23">
        <v>-1.0</v>
      </c>
      <c r="Q6372" s="22" t="str">
        <f t="shared" ref="Q6372:R6372" si="3804">"+0.00%"</f>
        <v>+0.00%</v>
      </c>
      <c r="R6372" s="18" t="str">
        <f t="shared" si="3804"/>
        <v>+0.00%</v>
      </c>
      <c r="S6372" s="14" t="s">
        <v>1709</v>
      </c>
    </row>
    <row r="6373">
      <c r="A6373" s="13">
        <v>45901.0</v>
      </c>
      <c r="B6373" s="14" t="s">
        <v>47</v>
      </c>
      <c r="C6373" s="14" t="s">
        <v>48</v>
      </c>
      <c r="D6373" s="14" t="s">
        <v>96</v>
      </c>
      <c r="E6373" s="14" t="s">
        <v>97</v>
      </c>
      <c r="F6373" s="15" t="s">
        <v>51</v>
      </c>
      <c r="G6373" s="14" t="s">
        <v>98</v>
      </c>
      <c r="H6373" s="14" t="s">
        <v>96</v>
      </c>
      <c r="I6373" s="14" t="s">
        <v>59</v>
      </c>
      <c r="J6373" s="14" t="s">
        <v>200</v>
      </c>
      <c r="K6373" s="14" t="s">
        <v>223</v>
      </c>
      <c r="L6373" s="14" t="s">
        <v>307</v>
      </c>
      <c r="M6373" s="14" t="s">
        <v>561</v>
      </c>
      <c r="N6373" s="14" t="s">
        <v>562</v>
      </c>
      <c r="O6373" s="14">
        <v>0.0</v>
      </c>
      <c r="P6373" s="23">
        <v>0.0</v>
      </c>
      <c r="Q6373" s="22" t="str">
        <f t="shared" ref="Q6373:R6373" si="3805">"+0.00%"</f>
        <v>+0.00%</v>
      </c>
      <c r="R6373" s="18" t="str">
        <f t="shared" si="3805"/>
        <v>+0.00%</v>
      </c>
      <c r="S6373" s="14" t="s">
        <v>285</v>
      </c>
    </row>
    <row r="6374">
      <c r="A6374" s="13">
        <v>45901.0</v>
      </c>
      <c r="B6374" s="14" t="s">
        <v>47</v>
      </c>
      <c r="C6374" s="14" t="s">
        <v>48</v>
      </c>
      <c r="D6374" s="14" t="s">
        <v>192</v>
      </c>
      <c r="E6374" s="14" t="s">
        <v>193</v>
      </c>
      <c r="F6374" s="15" t="s">
        <v>51</v>
      </c>
      <c r="G6374" s="14" t="s">
        <v>194</v>
      </c>
      <c r="H6374" s="14" t="s">
        <v>192</v>
      </c>
      <c r="I6374" s="14" t="s">
        <v>54</v>
      </c>
      <c r="J6374" s="14" t="s">
        <v>198</v>
      </c>
      <c r="K6374" s="14" t="s">
        <v>210</v>
      </c>
      <c r="L6374" s="14" t="s">
        <v>458</v>
      </c>
      <c r="M6374" s="14" t="s">
        <v>796</v>
      </c>
      <c r="N6374" s="14" t="s">
        <v>797</v>
      </c>
      <c r="O6374" s="14">
        <v>100.0</v>
      </c>
      <c r="P6374" s="21">
        <v>1.0</v>
      </c>
      <c r="Q6374" s="22" t="str">
        <f>"+0"</f>
        <v>+0</v>
      </c>
      <c r="R6374" s="18" t="str">
        <f>"+1"</f>
        <v>+1</v>
      </c>
      <c r="S6374" s="14" t="s">
        <v>277</v>
      </c>
    </row>
    <row r="6375">
      <c r="A6375" s="13">
        <v>45901.0</v>
      </c>
      <c r="B6375" s="14" t="s">
        <v>47</v>
      </c>
      <c r="C6375" s="14" t="s">
        <v>48</v>
      </c>
      <c r="D6375" s="14" t="s">
        <v>66</v>
      </c>
      <c r="E6375" s="14" t="s">
        <v>67</v>
      </c>
      <c r="F6375" s="15" t="s">
        <v>51</v>
      </c>
      <c r="G6375" s="14" t="s">
        <v>68</v>
      </c>
      <c r="H6375" s="14" t="s">
        <v>66</v>
      </c>
      <c r="I6375" s="14" t="s">
        <v>59</v>
      </c>
      <c r="J6375" s="14" t="s">
        <v>200</v>
      </c>
      <c r="K6375" s="14" t="s">
        <v>231</v>
      </c>
      <c r="L6375" s="14" t="s">
        <v>762</v>
      </c>
      <c r="M6375" s="14" t="s">
        <v>1218</v>
      </c>
      <c r="N6375" s="14" t="s">
        <v>1219</v>
      </c>
      <c r="O6375" s="14">
        <v>0.0</v>
      </c>
      <c r="P6375" s="17"/>
      <c r="Q6375" s="22"/>
      <c r="S6375" s="14" t="s">
        <v>2674</v>
      </c>
    </row>
    <row r="6376">
      <c r="A6376" s="13">
        <v>45901.0</v>
      </c>
      <c r="B6376" s="14" t="s">
        <v>47</v>
      </c>
      <c r="C6376" s="14" t="s">
        <v>48</v>
      </c>
      <c r="D6376" s="14" t="s">
        <v>184</v>
      </c>
      <c r="E6376" s="14" t="s">
        <v>185</v>
      </c>
      <c r="F6376" s="15" t="s">
        <v>51</v>
      </c>
      <c r="G6376" s="14" t="s">
        <v>186</v>
      </c>
      <c r="H6376" s="14" t="s">
        <v>187</v>
      </c>
      <c r="I6376" s="14" t="s">
        <v>59</v>
      </c>
      <c r="J6376" s="14" t="s">
        <v>200</v>
      </c>
      <c r="K6376" s="14" t="s">
        <v>224</v>
      </c>
      <c r="L6376" s="14" t="s">
        <v>964</v>
      </c>
      <c r="M6376" s="14" t="s">
        <v>1288</v>
      </c>
      <c r="N6376" s="14" t="s">
        <v>1289</v>
      </c>
      <c r="O6376" s="14">
        <v>0.0</v>
      </c>
      <c r="P6376" s="17"/>
      <c r="Q6376" s="22"/>
      <c r="S6376" s="14" t="s">
        <v>2675</v>
      </c>
    </row>
    <row r="6377">
      <c r="A6377" s="13">
        <v>45901.0</v>
      </c>
      <c r="B6377" s="14" t="s">
        <v>47</v>
      </c>
      <c r="C6377" s="14" t="s">
        <v>48</v>
      </c>
      <c r="D6377" s="14" t="s">
        <v>66</v>
      </c>
      <c r="E6377" s="14" t="s">
        <v>67</v>
      </c>
      <c r="F6377" s="15" t="s">
        <v>51</v>
      </c>
      <c r="G6377" s="14" t="s">
        <v>68</v>
      </c>
      <c r="H6377" s="14" t="s">
        <v>66</v>
      </c>
      <c r="I6377" s="14" t="s">
        <v>59</v>
      </c>
      <c r="J6377" s="14" t="s">
        <v>200</v>
      </c>
      <c r="K6377" s="14" t="s">
        <v>223</v>
      </c>
      <c r="L6377" s="14" t="s">
        <v>487</v>
      </c>
      <c r="M6377" s="14" t="s">
        <v>788</v>
      </c>
      <c r="N6377" s="14" t="s">
        <v>789</v>
      </c>
      <c r="O6377" s="14">
        <v>0.0</v>
      </c>
      <c r="P6377" s="23">
        <v>0.0</v>
      </c>
      <c r="Q6377" s="22" t="str">
        <f t="shared" ref="Q6377:R6377" si="3806">"+0.00%"</f>
        <v>+0.00%</v>
      </c>
      <c r="R6377" s="18" t="str">
        <f t="shared" si="3806"/>
        <v>+0.00%</v>
      </c>
      <c r="S6377" s="14" t="s">
        <v>285</v>
      </c>
    </row>
    <row r="6378">
      <c r="A6378" s="13">
        <v>45901.0</v>
      </c>
      <c r="B6378" s="14" t="s">
        <v>47</v>
      </c>
      <c r="C6378" s="14" t="s">
        <v>48</v>
      </c>
      <c r="D6378" s="14" t="s">
        <v>66</v>
      </c>
      <c r="E6378" s="14" t="s">
        <v>67</v>
      </c>
      <c r="F6378" s="15" t="s">
        <v>51</v>
      </c>
      <c r="G6378" s="14" t="s">
        <v>68</v>
      </c>
      <c r="H6378" s="14" t="s">
        <v>66</v>
      </c>
      <c r="I6378" s="14" t="s">
        <v>59</v>
      </c>
      <c r="J6378" s="14" t="s">
        <v>200</v>
      </c>
      <c r="K6378" s="14" t="s">
        <v>223</v>
      </c>
      <c r="L6378" s="14" t="s">
        <v>253</v>
      </c>
      <c r="M6378" s="14" t="s">
        <v>389</v>
      </c>
      <c r="N6378" s="14" t="s">
        <v>390</v>
      </c>
      <c r="O6378" s="14">
        <v>100.0</v>
      </c>
      <c r="P6378" s="23">
        <v>1.0</v>
      </c>
      <c r="Q6378" s="22" t="str">
        <f t="shared" ref="Q6378:Q6379" si="3807">"+0.00%"</f>
        <v>+0.00%</v>
      </c>
      <c r="R6378" s="18" t="str">
        <f>"+43.48%"</f>
        <v>+43.48%</v>
      </c>
      <c r="S6378" s="14" t="s">
        <v>2676</v>
      </c>
    </row>
    <row r="6379">
      <c r="A6379" s="13">
        <v>45901.0</v>
      </c>
      <c r="B6379" s="14" t="s">
        <v>47</v>
      </c>
      <c r="C6379" s="14" t="s">
        <v>48</v>
      </c>
      <c r="D6379" s="14" t="s">
        <v>103</v>
      </c>
      <c r="E6379" s="14" t="s">
        <v>104</v>
      </c>
      <c r="F6379" s="15" t="s">
        <v>51</v>
      </c>
      <c r="G6379" s="14" t="s">
        <v>105</v>
      </c>
      <c r="H6379" s="14" t="s">
        <v>106</v>
      </c>
      <c r="I6379" s="14" t="s">
        <v>59</v>
      </c>
      <c r="J6379" s="14" t="s">
        <v>200</v>
      </c>
      <c r="K6379" s="14" t="s">
        <v>232</v>
      </c>
      <c r="L6379" s="14" t="s">
        <v>363</v>
      </c>
      <c r="M6379" s="14" t="s">
        <v>1634</v>
      </c>
      <c r="N6379" s="14" t="s">
        <v>1635</v>
      </c>
      <c r="O6379" s="14">
        <v>0.0</v>
      </c>
      <c r="P6379" s="23">
        <v>0.0</v>
      </c>
      <c r="Q6379" s="22" t="str">
        <f t="shared" si="3807"/>
        <v>+0.00%</v>
      </c>
      <c r="R6379" s="18" t="str">
        <f>"+0.00%"</f>
        <v>+0.00%</v>
      </c>
      <c r="S6379" s="14" t="s">
        <v>285</v>
      </c>
    </row>
    <row r="6380">
      <c r="A6380" s="13">
        <v>45901.0</v>
      </c>
      <c r="B6380" s="14" t="s">
        <v>47</v>
      </c>
      <c r="C6380" s="14" t="s">
        <v>48</v>
      </c>
      <c r="D6380" s="14" t="s">
        <v>132</v>
      </c>
      <c r="E6380" s="14" t="s">
        <v>133</v>
      </c>
      <c r="F6380" s="15" t="s">
        <v>51</v>
      </c>
      <c r="G6380" s="14" t="s">
        <v>134</v>
      </c>
      <c r="H6380" s="14" t="s">
        <v>135</v>
      </c>
      <c r="I6380" s="14" t="s">
        <v>59</v>
      </c>
      <c r="J6380" s="14" t="s">
        <v>198</v>
      </c>
      <c r="K6380" s="14" t="s">
        <v>205</v>
      </c>
      <c r="L6380" s="14" t="s">
        <v>274</v>
      </c>
      <c r="M6380" s="14" t="s">
        <v>473</v>
      </c>
      <c r="N6380" s="14" t="s">
        <v>474</v>
      </c>
      <c r="O6380" s="14">
        <v>50.0</v>
      </c>
      <c r="P6380" s="21">
        <v>15.0</v>
      </c>
      <c r="Q6380" s="22" t="str">
        <f>"+0"</f>
        <v>+0</v>
      </c>
      <c r="S6380" s="14" t="s">
        <v>475</v>
      </c>
    </row>
    <row r="6381">
      <c r="A6381" s="13">
        <v>45901.0</v>
      </c>
      <c r="B6381" s="14" t="s">
        <v>47</v>
      </c>
      <c r="C6381" s="14" t="s">
        <v>48</v>
      </c>
      <c r="D6381" s="14" t="s">
        <v>136</v>
      </c>
      <c r="E6381" s="14" t="s">
        <v>137</v>
      </c>
      <c r="F6381" s="15" t="s">
        <v>51</v>
      </c>
      <c r="G6381" s="14" t="s">
        <v>138</v>
      </c>
      <c r="H6381" s="14" t="s">
        <v>139</v>
      </c>
      <c r="I6381" s="14" t="s">
        <v>59</v>
      </c>
      <c r="J6381" s="14" t="s">
        <v>200</v>
      </c>
      <c r="K6381" s="14" t="s">
        <v>213</v>
      </c>
      <c r="L6381" s="14" t="s">
        <v>359</v>
      </c>
      <c r="M6381" s="14" t="s">
        <v>360</v>
      </c>
      <c r="N6381" s="14" t="s">
        <v>361</v>
      </c>
      <c r="O6381" s="14">
        <v>0.0</v>
      </c>
      <c r="P6381" s="23">
        <v>0.0</v>
      </c>
      <c r="Q6381" s="22" t="str">
        <f t="shared" ref="Q6381:R6381" si="3808">"+0.00%"</f>
        <v>+0.00%</v>
      </c>
      <c r="R6381" s="18" t="str">
        <f t="shared" si="3808"/>
        <v>+0.00%</v>
      </c>
      <c r="S6381" s="14" t="s">
        <v>2147</v>
      </c>
    </row>
    <row r="6382">
      <c r="A6382" s="13">
        <v>45901.0</v>
      </c>
      <c r="B6382" s="14" t="s">
        <v>47</v>
      </c>
      <c r="C6382" s="14" t="s">
        <v>48</v>
      </c>
      <c r="D6382" s="14" t="s">
        <v>149</v>
      </c>
      <c r="E6382" s="14" t="s">
        <v>150</v>
      </c>
      <c r="F6382" s="15" t="s">
        <v>51</v>
      </c>
      <c r="G6382" s="14" t="s">
        <v>151</v>
      </c>
      <c r="H6382" s="14" t="s">
        <v>152</v>
      </c>
      <c r="I6382" s="14" t="s">
        <v>54</v>
      </c>
      <c r="J6382" s="14" t="s">
        <v>200</v>
      </c>
      <c r="K6382" s="14" t="s">
        <v>223</v>
      </c>
      <c r="L6382" s="14" t="s">
        <v>363</v>
      </c>
      <c r="M6382" s="14" t="s">
        <v>708</v>
      </c>
      <c r="N6382" s="14" t="s">
        <v>709</v>
      </c>
      <c r="O6382" s="14">
        <v>100.0</v>
      </c>
      <c r="P6382" s="23">
        <v>2.0E-4</v>
      </c>
      <c r="Q6382" s="22" t="str">
        <f>"+0.02%"</f>
        <v>+0.02%</v>
      </c>
      <c r="R6382" s="18" t="str">
        <f>"+0.01%"</f>
        <v>+0.01%</v>
      </c>
      <c r="S6382" s="14" t="s">
        <v>285</v>
      </c>
    </row>
    <row r="6383">
      <c r="A6383" s="13">
        <v>45901.0</v>
      </c>
      <c r="B6383" s="14" t="s">
        <v>47</v>
      </c>
      <c r="C6383" s="14" t="s">
        <v>48</v>
      </c>
      <c r="D6383" s="14" t="s">
        <v>149</v>
      </c>
      <c r="E6383" s="14" t="s">
        <v>150</v>
      </c>
      <c r="F6383" s="15" t="s">
        <v>51</v>
      </c>
      <c r="G6383" s="14" t="s">
        <v>151</v>
      </c>
      <c r="H6383" s="14" t="s">
        <v>152</v>
      </c>
      <c r="I6383" s="14" t="s">
        <v>54</v>
      </c>
      <c r="J6383" s="14" t="s">
        <v>200</v>
      </c>
      <c r="K6383" s="14" t="s">
        <v>204</v>
      </c>
      <c r="L6383" s="14" t="s">
        <v>253</v>
      </c>
      <c r="M6383" s="14" t="s">
        <v>490</v>
      </c>
      <c r="N6383" s="14" t="s">
        <v>491</v>
      </c>
      <c r="O6383" s="14">
        <v>0.0</v>
      </c>
      <c r="P6383" s="23">
        <v>0.0</v>
      </c>
      <c r="Q6383" s="22" t="str">
        <f t="shared" ref="Q6383:R6383" si="3809">"+0.00%"</f>
        <v>+0.00%</v>
      </c>
      <c r="R6383" s="18" t="str">
        <f t="shared" si="3809"/>
        <v>+0.00%</v>
      </c>
      <c r="S6383" s="14" t="s">
        <v>1862</v>
      </c>
    </row>
    <row r="6384">
      <c r="A6384" s="13">
        <v>45901.0</v>
      </c>
      <c r="B6384" s="14" t="s">
        <v>47</v>
      </c>
      <c r="C6384" s="14" t="s">
        <v>48</v>
      </c>
      <c r="D6384" s="14" t="s">
        <v>85</v>
      </c>
      <c r="E6384" s="14" t="s">
        <v>86</v>
      </c>
      <c r="F6384" s="15" t="s">
        <v>51</v>
      </c>
      <c r="G6384" s="14" t="s">
        <v>148</v>
      </c>
      <c r="H6384" s="14" t="s">
        <v>85</v>
      </c>
      <c r="I6384" s="14" t="s">
        <v>59</v>
      </c>
      <c r="J6384" s="14" t="s">
        <v>200</v>
      </c>
      <c r="K6384" s="14" t="s">
        <v>202</v>
      </c>
      <c r="L6384" s="14" t="s">
        <v>253</v>
      </c>
      <c r="M6384" s="14" t="s">
        <v>347</v>
      </c>
      <c r="N6384" s="14" t="s">
        <v>348</v>
      </c>
      <c r="O6384" s="14">
        <v>35.0</v>
      </c>
      <c r="P6384" s="23">
        <v>0.3509</v>
      </c>
      <c r="Q6384" s="22" t="str">
        <f>"+2.33%"</f>
        <v>+2.33%</v>
      </c>
      <c r="R6384" s="18" t="str">
        <f>"+0.60%"</f>
        <v>+0.60%</v>
      </c>
      <c r="S6384" s="14" t="s">
        <v>1991</v>
      </c>
    </row>
    <row r="6385">
      <c r="A6385" s="13">
        <v>45901.0</v>
      </c>
      <c r="B6385" s="14" t="s">
        <v>47</v>
      </c>
      <c r="C6385" s="14" t="s">
        <v>48</v>
      </c>
      <c r="D6385" s="14" t="s">
        <v>69</v>
      </c>
      <c r="E6385" s="14" t="s">
        <v>70</v>
      </c>
      <c r="F6385" s="15" t="s">
        <v>51</v>
      </c>
      <c r="G6385" s="14" t="s">
        <v>115</v>
      </c>
      <c r="H6385" s="14" t="s">
        <v>72</v>
      </c>
      <c r="I6385" s="14" t="s">
        <v>54</v>
      </c>
      <c r="J6385" s="14" t="s">
        <v>198</v>
      </c>
      <c r="K6385" s="14" t="s">
        <v>210</v>
      </c>
      <c r="L6385" s="14" t="s">
        <v>264</v>
      </c>
      <c r="M6385" s="14" t="s">
        <v>1210</v>
      </c>
      <c r="N6385" s="14" t="s">
        <v>1211</v>
      </c>
      <c r="O6385" s="14">
        <v>0.0</v>
      </c>
      <c r="P6385" s="21">
        <v>0.0</v>
      </c>
      <c r="Q6385" s="22" t="str">
        <f t="shared" ref="Q6385:R6385" si="3810">"+0"</f>
        <v>+0</v>
      </c>
      <c r="R6385" s="18" t="str">
        <f t="shared" si="3810"/>
        <v>+0</v>
      </c>
      <c r="S6385" s="14" t="s">
        <v>277</v>
      </c>
    </row>
    <row r="6386">
      <c r="A6386" s="13">
        <v>45901.0</v>
      </c>
      <c r="B6386" s="14" t="s">
        <v>47</v>
      </c>
      <c r="C6386" s="14" t="s">
        <v>48</v>
      </c>
      <c r="D6386" s="14" t="s">
        <v>85</v>
      </c>
      <c r="E6386" s="14" t="s">
        <v>86</v>
      </c>
      <c r="F6386" s="14" t="s">
        <v>71</v>
      </c>
      <c r="G6386" s="14">
        <v>88285.0</v>
      </c>
      <c r="H6386" s="14" t="s">
        <v>85</v>
      </c>
      <c r="I6386" s="14" t="s">
        <v>59</v>
      </c>
      <c r="J6386" s="14" t="s">
        <v>199</v>
      </c>
      <c r="K6386" s="14" t="s">
        <v>206</v>
      </c>
      <c r="L6386" s="14" t="s">
        <v>433</v>
      </c>
      <c r="M6386" s="14" t="s">
        <v>433</v>
      </c>
      <c r="N6386" s="14" t="s">
        <v>434</v>
      </c>
      <c r="O6386" s="14">
        <v>100.0</v>
      </c>
      <c r="P6386" s="21">
        <v>25.0</v>
      </c>
      <c r="Q6386" s="22" t="str">
        <f>"-4"</f>
        <v>-4</v>
      </c>
      <c r="R6386" s="18" t="str">
        <f>"+9"</f>
        <v>+9</v>
      </c>
      <c r="S6386" s="14" t="s">
        <v>383</v>
      </c>
    </row>
    <row r="6387">
      <c r="A6387" s="13">
        <v>45901.0</v>
      </c>
      <c r="B6387" s="14" t="s">
        <v>47</v>
      </c>
      <c r="C6387" s="14" t="s">
        <v>48</v>
      </c>
      <c r="D6387" s="14" t="s">
        <v>125</v>
      </c>
      <c r="E6387" s="14" t="s">
        <v>126</v>
      </c>
      <c r="F6387" s="15" t="s">
        <v>51</v>
      </c>
      <c r="G6387" s="14" t="s">
        <v>127</v>
      </c>
      <c r="H6387" s="14" t="s">
        <v>125</v>
      </c>
      <c r="I6387" s="14" t="s">
        <v>59</v>
      </c>
      <c r="J6387" s="14" t="s">
        <v>200</v>
      </c>
      <c r="K6387" s="14" t="s">
        <v>232</v>
      </c>
      <c r="L6387" s="14" t="s">
        <v>261</v>
      </c>
      <c r="M6387" s="14" t="s">
        <v>906</v>
      </c>
      <c r="N6387" s="14" t="s">
        <v>907</v>
      </c>
      <c r="O6387" s="14">
        <v>0.0</v>
      </c>
      <c r="P6387" s="23">
        <v>0.0</v>
      </c>
      <c r="Q6387" s="22" t="str">
        <f t="shared" ref="Q6387:R6387" si="3811">"+0.00%"</f>
        <v>+0.00%</v>
      </c>
      <c r="R6387" s="18" t="str">
        <f t="shared" si="3811"/>
        <v>+0.00%</v>
      </c>
      <c r="S6387" s="14" t="s">
        <v>2677</v>
      </c>
    </row>
    <row r="6388">
      <c r="A6388" s="13">
        <v>45901.0</v>
      </c>
      <c r="B6388" s="14" t="s">
        <v>47</v>
      </c>
      <c r="C6388" s="14" t="s">
        <v>48</v>
      </c>
      <c r="D6388" s="14" t="s">
        <v>174</v>
      </c>
      <c r="E6388" s="14" t="s">
        <v>175</v>
      </c>
      <c r="F6388" s="15" t="s">
        <v>51</v>
      </c>
      <c r="G6388" s="14" t="s">
        <v>176</v>
      </c>
      <c r="H6388" s="14" t="s">
        <v>174</v>
      </c>
      <c r="I6388" s="14" t="s">
        <v>59</v>
      </c>
      <c r="J6388" s="14" t="s">
        <v>200</v>
      </c>
      <c r="K6388" s="14" t="s">
        <v>213</v>
      </c>
      <c r="L6388" s="14" t="s">
        <v>257</v>
      </c>
      <c r="M6388" s="14" t="s">
        <v>499</v>
      </c>
      <c r="N6388" s="14" t="s">
        <v>500</v>
      </c>
      <c r="O6388" s="14">
        <v>0.0</v>
      </c>
      <c r="P6388" s="23">
        <v>0.0</v>
      </c>
      <c r="Q6388" s="22" t="str">
        <f t="shared" ref="Q6388:R6388" si="3812">"+0.00%"</f>
        <v>+0.00%</v>
      </c>
      <c r="R6388" s="18" t="str">
        <f t="shared" si="3812"/>
        <v>+0.00%</v>
      </c>
      <c r="S6388" s="14" t="s">
        <v>2678</v>
      </c>
    </row>
    <row r="6389">
      <c r="A6389" s="13">
        <v>45901.0</v>
      </c>
      <c r="B6389" s="14" t="s">
        <v>47</v>
      </c>
      <c r="C6389" s="14" t="s">
        <v>48</v>
      </c>
      <c r="D6389" s="14" t="s">
        <v>158</v>
      </c>
      <c r="E6389" s="14" t="s">
        <v>159</v>
      </c>
      <c r="F6389" s="15" t="s">
        <v>51</v>
      </c>
      <c r="G6389" s="14" t="s">
        <v>160</v>
      </c>
      <c r="H6389" s="14" t="s">
        <v>158</v>
      </c>
      <c r="I6389" s="14" t="s">
        <v>54</v>
      </c>
      <c r="J6389" s="14" t="s">
        <v>200</v>
      </c>
      <c r="K6389" s="14" t="s">
        <v>227</v>
      </c>
      <c r="L6389" s="14" t="s">
        <v>270</v>
      </c>
      <c r="M6389" s="14" t="s">
        <v>417</v>
      </c>
      <c r="N6389" s="14" t="s">
        <v>418</v>
      </c>
      <c r="O6389" s="14">
        <v>100.0</v>
      </c>
      <c r="P6389" s="21">
        <v>1.0</v>
      </c>
      <c r="Q6389" s="22" t="str">
        <f>"+0"</f>
        <v>+0</v>
      </c>
      <c r="R6389" s="18" t="str">
        <f>"+1"</f>
        <v>+1</v>
      </c>
      <c r="S6389" s="14" t="s">
        <v>260</v>
      </c>
    </row>
    <row r="6390">
      <c r="A6390" s="13">
        <v>45901.0</v>
      </c>
      <c r="B6390" s="14" t="s">
        <v>47</v>
      </c>
      <c r="C6390" s="14" t="s">
        <v>48</v>
      </c>
      <c r="D6390" s="14" t="s">
        <v>108</v>
      </c>
      <c r="E6390" s="14" t="s">
        <v>109</v>
      </c>
      <c r="F6390" s="15" t="s">
        <v>51</v>
      </c>
      <c r="G6390" s="14" t="s">
        <v>110</v>
      </c>
      <c r="H6390" s="14" t="s">
        <v>108</v>
      </c>
      <c r="I6390" s="14" t="s">
        <v>59</v>
      </c>
      <c r="J6390" s="14" t="s">
        <v>200</v>
      </c>
      <c r="K6390" s="14" t="s">
        <v>215</v>
      </c>
      <c r="L6390" s="14" t="s">
        <v>1341</v>
      </c>
      <c r="M6390" s="14" t="s">
        <v>2035</v>
      </c>
      <c r="N6390" s="14" t="s">
        <v>1367</v>
      </c>
      <c r="O6390" s="14">
        <v>0.0</v>
      </c>
      <c r="P6390" s="23">
        <v>-1.0</v>
      </c>
      <c r="Q6390" s="22" t="str">
        <f t="shared" ref="Q6390:R6390" si="3813">"+0.00%"</f>
        <v>+0.00%</v>
      </c>
      <c r="R6390" s="18" t="str">
        <f t="shared" si="3813"/>
        <v>+0.00%</v>
      </c>
      <c r="S6390" s="14" t="s">
        <v>2679</v>
      </c>
    </row>
    <row r="6391">
      <c r="A6391" s="13">
        <v>45901.0</v>
      </c>
      <c r="B6391" s="14" t="s">
        <v>47</v>
      </c>
      <c r="C6391" s="14" t="s">
        <v>48</v>
      </c>
      <c r="D6391" s="14" t="s">
        <v>108</v>
      </c>
      <c r="E6391" s="14" t="s">
        <v>109</v>
      </c>
      <c r="F6391" s="15" t="s">
        <v>51</v>
      </c>
      <c r="G6391" s="14" t="s">
        <v>110</v>
      </c>
      <c r="H6391" s="14" t="s">
        <v>108</v>
      </c>
      <c r="I6391" s="14" t="s">
        <v>59</v>
      </c>
      <c r="J6391" s="14" t="s">
        <v>200</v>
      </c>
      <c r="K6391" s="14" t="s">
        <v>215</v>
      </c>
      <c r="L6391" s="14" t="s">
        <v>548</v>
      </c>
      <c r="M6391" s="14" t="s">
        <v>1091</v>
      </c>
      <c r="N6391" s="14" t="s">
        <v>1092</v>
      </c>
      <c r="O6391" s="14">
        <v>0.0</v>
      </c>
      <c r="P6391" s="23">
        <v>-1.0</v>
      </c>
      <c r="Q6391" s="22" t="str">
        <f t="shared" ref="Q6391:R6391" si="3814">"+0.00%"</f>
        <v>+0.00%</v>
      </c>
      <c r="R6391" s="18" t="str">
        <f t="shared" si="3814"/>
        <v>+0.00%</v>
      </c>
      <c r="S6391" s="14" t="s">
        <v>2680</v>
      </c>
    </row>
    <row r="6392">
      <c r="A6392" s="13">
        <v>45901.0</v>
      </c>
      <c r="B6392" s="14" t="s">
        <v>47</v>
      </c>
      <c r="C6392" s="14" t="s">
        <v>48</v>
      </c>
      <c r="D6392" s="14" t="s">
        <v>56</v>
      </c>
      <c r="E6392" s="14" t="s">
        <v>57</v>
      </c>
      <c r="F6392" s="14" t="s">
        <v>71</v>
      </c>
      <c r="G6392" s="14">
        <v>5.36003976E8</v>
      </c>
      <c r="H6392" s="14" t="s">
        <v>56</v>
      </c>
      <c r="I6392" s="14" t="s">
        <v>59</v>
      </c>
      <c r="J6392" s="14" t="s">
        <v>200</v>
      </c>
      <c r="K6392" s="14" t="s">
        <v>218</v>
      </c>
      <c r="L6392" s="14" t="s">
        <v>253</v>
      </c>
      <c r="M6392" s="14" t="s">
        <v>1628</v>
      </c>
      <c r="N6392" s="14" t="s">
        <v>1629</v>
      </c>
      <c r="O6392" s="14">
        <v>16.0</v>
      </c>
      <c r="P6392" s="23">
        <v>0.1646</v>
      </c>
      <c r="Q6392" s="22" t="str">
        <f>"+0.47%"</f>
        <v>+0.47%</v>
      </c>
      <c r="R6392" s="18" t="str">
        <f>"+0.88%"</f>
        <v>+0.88%</v>
      </c>
      <c r="S6392" s="14" t="s">
        <v>2681</v>
      </c>
    </row>
    <row r="6393">
      <c r="A6393" s="13">
        <v>45901.0</v>
      </c>
      <c r="B6393" s="14" t="s">
        <v>47</v>
      </c>
      <c r="C6393" s="14" t="s">
        <v>48</v>
      </c>
      <c r="D6393" s="14" t="s">
        <v>168</v>
      </c>
      <c r="E6393" s="14" t="s">
        <v>169</v>
      </c>
      <c r="F6393" s="15" t="s">
        <v>51</v>
      </c>
      <c r="G6393" s="14" t="s">
        <v>170</v>
      </c>
      <c r="H6393" s="14" t="s">
        <v>168</v>
      </c>
      <c r="I6393" s="14" t="s">
        <v>59</v>
      </c>
      <c r="J6393" s="14" t="s">
        <v>198</v>
      </c>
      <c r="K6393" s="14" t="s">
        <v>210</v>
      </c>
      <c r="L6393" s="14" t="s">
        <v>278</v>
      </c>
      <c r="M6393" s="14" t="s">
        <v>839</v>
      </c>
      <c r="N6393" s="14" t="s">
        <v>840</v>
      </c>
      <c r="O6393" s="14">
        <v>51.0</v>
      </c>
      <c r="P6393" s="21">
        <v>1154.0</v>
      </c>
      <c r="Q6393" s="22" t="str">
        <f>"-200"</f>
        <v>-200</v>
      </c>
      <c r="R6393" s="18" t="str">
        <f>"-383"</f>
        <v>-383</v>
      </c>
      <c r="S6393" s="14" t="s">
        <v>2682</v>
      </c>
    </row>
    <row r="6394">
      <c r="A6394" s="13">
        <v>45901.0</v>
      </c>
      <c r="B6394" s="14" t="s">
        <v>47</v>
      </c>
      <c r="C6394" s="14" t="s">
        <v>48</v>
      </c>
      <c r="D6394" s="14" t="s">
        <v>56</v>
      </c>
      <c r="E6394" s="14" t="s">
        <v>57</v>
      </c>
      <c r="F6394" s="15" t="s">
        <v>51</v>
      </c>
      <c r="G6394" s="14" t="s">
        <v>58</v>
      </c>
      <c r="H6394" s="14" t="s">
        <v>56</v>
      </c>
      <c r="I6394" s="14" t="s">
        <v>59</v>
      </c>
      <c r="J6394" s="14" t="s">
        <v>199</v>
      </c>
      <c r="K6394" s="14" t="s">
        <v>208</v>
      </c>
      <c r="L6394" s="14" t="s">
        <v>352</v>
      </c>
      <c r="M6394" s="14" t="s">
        <v>352</v>
      </c>
      <c r="N6394" s="14" t="s">
        <v>353</v>
      </c>
      <c r="O6394" s="14">
        <v>90.0</v>
      </c>
      <c r="P6394" s="21">
        <v>4.0</v>
      </c>
      <c r="Q6394" s="22" t="str">
        <f t="shared" ref="Q6394:R6394" si="3815">"+0"</f>
        <v>+0</v>
      </c>
      <c r="R6394" s="18" t="str">
        <f t="shared" si="3815"/>
        <v>+0</v>
      </c>
      <c r="S6394" s="14" t="s">
        <v>260</v>
      </c>
    </row>
    <row r="6395">
      <c r="A6395" s="13">
        <v>45901.0</v>
      </c>
      <c r="B6395" s="14" t="s">
        <v>47</v>
      </c>
      <c r="C6395" s="14" t="s">
        <v>48</v>
      </c>
      <c r="D6395" s="14" t="s">
        <v>60</v>
      </c>
      <c r="E6395" s="14" t="s">
        <v>61</v>
      </c>
      <c r="F6395" s="15" t="s">
        <v>51</v>
      </c>
      <c r="G6395" s="14" t="s">
        <v>62</v>
      </c>
      <c r="H6395" s="14" t="s">
        <v>60</v>
      </c>
      <c r="I6395" s="14" t="s">
        <v>59</v>
      </c>
      <c r="J6395" s="14" t="s">
        <v>200</v>
      </c>
      <c r="K6395" s="14" t="s">
        <v>223</v>
      </c>
      <c r="L6395" s="14" t="s">
        <v>304</v>
      </c>
      <c r="M6395" s="14" t="s">
        <v>1012</v>
      </c>
      <c r="N6395" s="14" t="s">
        <v>1013</v>
      </c>
      <c r="O6395" s="14">
        <v>100.0</v>
      </c>
      <c r="P6395" s="23">
        <v>0.0588</v>
      </c>
      <c r="Q6395" s="22" t="str">
        <f>"+5.88%"</f>
        <v>+5.88%</v>
      </c>
      <c r="R6395" s="18" t="str">
        <f>"+4.03%"</f>
        <v>+4.03%</v>
      </c>
      <c r="S6395" s="14" t="s">
        <v>285</v>
      </c>
    </row>
    <row r="6396">
      <c r="A6396" s="13">
        <v>45901.0</v>
      </c>
      <c r="B6396" s="14" t="s">
        <v>47</v>
      </c>
      <c r="C6396" s="14" t="s">
        <v>48</v>
      </c>
      <c r="D6396" s="14" t="s">
        <v>165</v>
      </c>
      <c r="E6396" s="14" t="s">
        <v>166</v>
      </c>
      <c r="F6396" s="15" t="s">
        <v>51</v>
      </c>
      <c r="G6396" s="14" t="s">
        <v>167</v>
      </c>
      <c r="H6396" s="14" t="s">
        <v>165</v>
      </c>
      <c r="I6396" s="14" t="s">
        <v>54</v>
      </c>
      <c r="J6396" s="14" t="s">
        <v>198</v>
      </c>
      <c r="K6396" s="14" t="s">
        <v>210</v>
      </c>
      <c r="L6396" s="14" t="s">
        <v>505</v>
      </c>
      <c r="M6396" s="14" t="s">
        <v>1393</v>
      </c>
      <c r="N6396" s="14" t="s">
        <v>1394</v>
      </c>
      <c r="O6396" s="14">
        <v>0.0</v>
      </c>
      <c r="P6396" s="21">
        <v>0.0</v>
      </c>
      <c r="Q6396" s="22" t="str">
        <f t="shared" ref="Q6396:R6396" si="3816">"+0"</f>
        <v>+0</v>
      </c>
      <c r="R6396" s="18" t="str">
        <f t="shared" si="3816"/>
        <v>+0</v>
      </c>
      <c r="S6396" s="14" t="s">
        <v>277</v>
      </c>
    </row>
    <row r="6397">
      <c r="A6397" s="13">
        <v>45901.0</v>
      </c>
      <c r="B6397" s="14" t="s">
        <v>47</v>
      </c>
      <c r="C6397" s="14" t="s">
        <v>48</v>
      </c>
      <c r="D6397" s="14" t="s">
        <v>165</v>
      </c>
      <c r="E6397" s="14" t="s">
        <v>166</v>
      </c>
      <c r="F6397" s="15" t="s">
        <v>51</v>
      </c>
      <c r="G6397" s="14" t="s">
        <v>167</v>
      </c>
      <c r="H6397" s="14" t="s">
        <v>165</v>
      </c>
      <c r="I6397" s="14" t="s">
        <v>54</v>
      </c>
      <c r="J6397" s="14" t="s">
        <v>200</v>
      </c>
      <c r="K6397" s="14" t="s">
        <v>224</v>
      </c>
      <c r="L6397" s="14" t="s">
        <v>392</v>
      </c>
      <c r="M6397" s="14" t="s">
        <v>754</v>
      </c>
      <c r="N6397" s="14" t="s">
        <v>755</v>
      </c>
      <c r="O6397" s="14">
        <v>4.0</v>
      </c>
      <c r="P6397" s="23">
        <v>0.0455</v>
      </c>
      <c r="Q6397" s="22" t="str">
        <f>"-1.70%"</f>
        <v>-1.70%</v>
      </c>
      <c r="R6397" s="18" t="str">
        <f>"-0.72%"</f>
        <v>-0.72%</v>
      </c>
      <c r="S6397" s="14" t="s">
        <v>2683</v>
      </c>
    </row>
    <row r="6398">
      <c r="A6398" s="13">
        <v>45901.0</v>
      </c>
      <c r="B6398" s="14" t="s">
        <v>47</v>
      </c>
      <c r="C6398" s="14" t="s">
        <v>48</v>
      </c>
      <c r="D6398" s="14" t="s">
        <v>165</v>
      </c>
      <c r="E6398" s="14" t="s">
        <v>166</v>
      </c>
      <c r="F6398" s="15" t="s">
        <v>51</v>
      </c>
      <c r="G6398" s="14" t="s">
        <v>167</v>
      </c>
      <c r="H6398" s="14" t="s">
        <v>165</v>
      </c>
      <c r="I6398" s="14" t="s">
        <v>54</v>
      </c>
      <c r="J6398" s="14" t="s">
        <v>198</v>
      </c>
      <c r="K6398" s="14" t="s">
        <v>210</v>
      </c>
      <c r="L6398" s="14" t="s">
        <v>264</v>
      </c>
      <c r="M6398" s="14" t="s">
        <v>265</v>
      </c>
      <c r="N6398" s="14" t="s">
        <v>266</v>
      </c>
      <c r="O6398" s="14">
        <v>50.0</v>
      </c>
      <c r="P6398" s="21">
        <v>146.0</v>
      </c>
      <c r="Q6398" s="22" t="str">
        <f>"-18"</f>
        <v>-18</v>
      </c>
      <c r="R6398" s="18" t="str">
        <f>"-174"</f>
        <v>-174</v>
      </c>
      <c r="S6398" s="14" t="s">
        <v>1989</v>
      </c>
    </row>
    <row r="6399">
      <c r="A6399" s="13">
        <v>45901.0</v>
      </c>
      <c r="B6399" s="14" t="s">
        <v>47</v>
      </c>
      <c r="C6399" s="14" t="s">
        <v>48</v>
      </c>
      <c r="D6399" s="14" t="s">
        <v>91</v>
      </c>
      <c r="E6399" s="14" t="s">
        <v>92</v>
      </c>
      <c r="F6399" s="14" t="s">
        <v>71</v>
      </c>
      <c r="G6399" s="14">
        <v>5.00008612E8</v>
      </c>
      <c r="H6399" s="14" t="s">
        <v>91</v>
      </c>
      <c r="I6399" s="14" t="s">
        <v>59</v>
      </c>
      <c r="J6399" s="14" t="s">
        <v>199</v>
      </c>
      <c r="K6399" s="14" t="s">
        <v>206</v>
      </c>
      <c r="L6399" s="14" t="s">
        <v>433</v>
      </c>
      <c r="M6399" s="14" t="s">
        <v>433</v>
      </c>
      <c r="N6399" s="14" t="s">
        <v>434</v>
      </c>
      <c r="O6399" s="14">
        <v>100.0</v>
      </c>
      <c r="P6399" s="21">
        <v>101.0</v>
      </c>
      <c r="Q6399" s="22" t="str">
        <f>"-32"</f>
        <v>-32</v>
      </c>
      <c r="R6399" s="18" t="str">
        <f>"+4"</f>
        <v>+4</v>
      </c>
      <c r="S6399" s="14" t="s">
        <v>383</v>
      </c>
    </row>
    <row r="6400">
      <c r="A6400" s="13">
        <v>45901.0</v>
      </c>
      <c r="B6400" s="14" t="s">
        <v>47</v>
      </c>
      <c r="C6400" s="14" t="s">
        <v>48</v>
      </c>
      <c r="D6400" s="14" t="s">
        <v>99</v>
      </c>
      <c r="E6400" s="14" t="s">
        <v>100</v>
      </c>
      <c r="F6400" s="15" t="s">
        <v>51</v>
      </c>
      <c r="G6400" s="14" t="s">
        <v>101</v>
      </c>
      <c r="H6400" s="14" t="s">
        <v>102</v>
      </c>
      <c r="I6400" s="14" t="s">
        <v>54</v>
      </c>
      <c r="J6400" s="14" t="s">
        <v>198</v>
      </c>
      <c r="K6400" s="14" t="s">
        <v>210</v>
      </c>
      <c r="L6400" s="14" t="s">
        <v>264</v>
      </c>
      <c r="M6400" s="14" t="s">
        <v>867</v>
      </c>
      <c r="N6400" s="14" t="s">
        <v>868</v>
      </c>
      <c r="O6400" s="14">
        <v>0.0</v>
      </c>
      <c r="P6400" s="21">
        <v>0.0</v>
      </c>
      <c r="Q6400" s="22" t="str">
        <f t="shared" ref="Q6400:R6400" si="3817">"+0"</f>
        <v>+0</v>
      </c>
      <c r="R6400" s="18" t="str">
        <f t="shared" si="3817"/>
        <v>+0</v>
      </c>
      <c r="S6400" s="14" t="s">
        <v>277</v>
      </c>
    </row>
    <row r="6401">
      <c r="A6401" s="13">
        <v>45901.0</v>
      </c>
      <c r="B6401" s="14" t="s">
        <v>47</v>
      </c>
      <c r="C6401" s="14" t="s">
        <v>48</v>
      </c>
      <c r="D6401" s="14" t="s">
        <v>99</v>
      </c>
      <c r="E6401" s="14" t="s">
        <v>100</v>
      </c>
      <c r="F6401" s="15" t="s">
        <v>51</v>
      </c>
      <c r="G6401" s="14" t="s">
        <v>101</v>
      </c>
      <c r="H6401" s="14" t="s">
        <v>102</v>
      </c>
      <c r="I6401" s="14" t="s">
        <v>54</v>
      </c>
      <c r="J6401" s="14" t="s">
        <v>200</v>
      </c>
      <c r="K6401" s="14" t="s">
        <v>213</v>
      </c>
      <c r="L6401" s="14" t="s">
        <v>257</v>
      </c>
      <c r="M6401" s="14" t="s">
        <v>499</v>
      </c>
      <c r="N6401" s="14" t="s">
        <v>500</v>
      </c>
      <c r="O6401" s="14">
        <v>0.0</v>
      </c>
      <c r="P6401" s="23">
        <v>0.0</v>
      </c>
      <c r="Q6401" s="22" t="str">
        <f t="shared" ref="Q6401:R6401" si="3818">"+0.00%"</f>
        <v>+0.00%</v>
      </c>
      <c r="R6401" s="18" t="str">
        <f t="shared" si="3818"/>
        <v>+0.00%</v>
      </c>
      <c r="S6401" s="14" t="s">
        <v>2684</v>
      </c>
    </row>
    <row r="6402">
      <c r="A6402" s="13">
        <v>45901.0</v>
      </c>
      <c r="B6402" s="14" t="s">
        <v>47</v>
      </c>
      <c r="C6402" s="14" t="s">
        <v>48</v>
      </c>
      <c r="D6402" s="14" t="s">
        <v>63</v>
      </c>
      <c r="E6402" s="14" t="s">
        <v>64</v>
      </c>
      <c r="F6402" s="15" t="s">
        <v>51</v>
      </c>
      <c r="G6402" s="14" t="s">
        <v>65</v>
      </c>
      <c r="H6402" s="14" t="s">
        <v>63</v>
      </c>
      <c r="I6402" s="14" t="s">
        <v>54</v>
      </c>
      <c r="J6402" s="14" t="s">
        <v>200</v>
      </c>
      <c r="K6402" s="14" t="s">
        <v>215</v>
      </c>
      <c r="L6402" s="14" t="s">
        <v>1341</v>
      </c>
      <c r="M6402" s="14" t="s">
        <v>2035</v>
      </c>
      <c r="N6402" s="14" t="s">
        <v>1367</v>
      </c>
      <c r="O6402" s="14">
        <v>0.0</v>
      </c>
      <c r="P6402" s="23">
        <v>-1.0</v>
      </c>
      <c r="Q6402" s="22" t="str">
        <f t="shared" ref="Q6402:R6402" si="3819">"+0.00%"</f>
        <v>+0.00%</v>
      </c>
      <c r="R6402" s="18" t="str">
        <f t="shared" si="3819"/>
        <v>+0.00%</v>
      </c>
      <c r="S6402" s="14" t="s">
        <v>2685</v>
      </c>
    </row>
    <row r="6403">
      <c r="A6403" s="13">
        <v>45901.0</v>
      </c>
      <c r="B6403" s="14" t="s">
        <v>47</v>
      </c>
      <c r="C6403" s="14" t="s">
        <v>48</v>
      </c>
      <c r="D6403" s="14" t="s">
        <v>99</v>
      </c>
      <c r="E6403" s="14" t="s">
        <v>100</v>
      </c>
      <c r="F6403" s="15" t="s">
        <v>51</v>
      </c>
      <c r="G6403" s="14" t="s">
        <v>101</v>
      </c>
      <c r="H6403" s="14" t="s">
        <v>102</v>
      </c>
      <c r="I6403" s="14" t="s">
        <v>54</v>
      </c>
      <c r="J6403" s="14" t="s">
        <v>200</v>
      </c>
      <c r="K6403" s="14" t="s">
        <v>222</v>
      </c>
      <c r="L6403" s="14" t="s">
        <v>253</v>
      </c>
      <c r="M6403" s="14" t="s">
        <v>1563</v>
      </c>
      <c r="N6403" s="14" t="s">
        <v>1564</v>
      </c>
      <c r="O6403" s="14">
        <v>100.0</v>
      </c>
      <c r="P6403" s="21">
        <v>1.0</v>
      </c>
      <c r="Q6403" s="22" t="str">
        <f t="shared" ref="Q6403:R6403" si="3820">"+0"</f>
        <v>+0</v>
      </c>
      <c r="R6403" s="18" t="str">
        <f t="shared" si="3820"/>
        <v>+0</v>
      </c>
      <c r="S6403" s="14" t="s">
        <v>260</v>
      </c>
    </row>
    <row r="6404">
      <c r="A6404" s="13">
        <v>45901.0</v>
      </c>
      <c r="B6404" s="14" t="s">
        <v>47</v>
      </c>
      <c r="C6404" s="14" t="s">
        <v>48</v>
      </c>
      <c r="D6404" s="14" t="s">
        <v>73</v>
      </c>
      <c r="E6404" s="14" t="s">
        <v>74</v>
      </c>
      <c r="F6404" s="15" t="s">
        <v>51</v>
      </c>
      <c r="G6404" s="14" t="s">
        <v>75</v>
      </c>
      <c r="H6404" s="14" t="s">
        <v>76</v>
      </c>
      <c r="I6404" s="14" t="s">
        <v>59</v>
      </c>
      <c r="J6404" s="14" t="s">
        <v>198</v>
      </c>
      <c r="K6404" s="14" t="s">
        <v>210</v>
      </c>
      <c r="L6404" s="14" t="s">
        <v>264</v>
      </c>
      <c r="M6404" s="14" t="s">
        <v>470</v>
      </c>
      <c r="N6404" s="14" t="s">
        <v>471</v>
      </c>
      <c r="O6404" s="14">
        <v>100.0</v>
      </c>
      <c r="P6404" s="21">
        <v>0.0</v>
      </c>
      <c r="Q6404" s="22" t="str">
        <f t="shared" ref="Q6404:R6404" si="3821">"+0"</f>
        <v>+0</v>
      </c>
      <c r="R6404" s="18" t="str">
        <f t="shared" si="3821"/>
        <v>+0</v>
      </c>
      <c r="S6404" s="14" t="s">
        <v>281</v>
      </c>
    </row>
    <row r="6405">
      <c r="A6405" s="13">
        <v>45901.0</v>
      </c>
      <c r="B6405" s="14" t="s">
        <v>47</v>
      </c>
      <c r="C6405" s="14" t="s">
        <v>48</v>
      </c>
      <c r="D6405" s="14" t="s">
        <v>103</v>
      </c>
      <c r="E6405" s="14" t="s">
        <v>104</v>
      </c>
      <c r="F6405" s="15" t="s">
        <v>51</v>
      </c>
      <c r="G6405" s="14" t="s">
        <v>105</v>
      </c>
      <c r="H6405" s="14" t="s">
        <v>106</v>
      </c>
      <c r="I6405" s="14" t="s">
        <v>59</v>
      </c>
      <c r="J6405" s="14" t="s">
        <v>198</v>
      </c>
      <c r="K6405" s="14" t="s">
        <v>207</v>
      </c>
      <c r="L6405" s="14" t="s">
        <v>318</v>
      </c>
      <c r="M6405" s="14" t="s">
        <v>319</v>
      </c>
      <c r="N6405" s="14" t="s">
        <v>320</v>
      </c>
      <c r="O6405" s="14">
        <v>0.0</v>
      </c>
      <c r="P6405" s="21">
        <v>0.0</v>
      </c>
      <c r="Q6405" s="22" t="str">
        <f>"+0"</f>
        <v>+0</v>
      </c>
      <c r="S6405" s="14" t="s">
        <v>281</v>
      </c>
    </row>
    <row r="6406">
      <c r="A6406" s="13">
        <v>45901.0</v>
      </c>
      <c r="B6406" s="14" t="s">
        <v>47</v>
      </c>
      <c r="C6406" s="14" t="s">
        <v>48</v>
      </c>
      <c r="D6406" s="14" t="s">
        <v>87</v>
      </c>
      <c r="E6406" s="14" t="s">
        <v>88</v>
      </c>
      <c r="F6406" s="15" t="s">
        <v>51</v>
      </c>
      <c r="G6406" s="14" t="s">
        <v>89</v>
      </c>
      <c r="H6406" s="14" t="s">
        <v>90</v>
      </c>
      <c r="I6406" s="14" t="s">
        <v>59</v>
      </c>
      <c r="J6406" s="14" t="s">
        <v>200</v>
      </c>
      <c r="K6406" s="14" t="s">
        <v>211</v>
      </c>
      <c r="L6406" s="14" t="s">
        <v>253</v>
      </c>
      <c r="M6406" s="14" t="s">
        <v>1381</v>
      </c>
      <c r="N6406" s="14" t="s">
        <v>1382</v>
      </c>
      <c r="O6406" s="14">
        <v>0.0</v>
      </c>
      <c r="P6406" s="23">
        <v>0.0</v>
      </c>
      <c r="Q6406" s="22" t="str">
        <f>"-0.03%"</f>
        <v>-0.03%</v>
      </c>
      <c r="R6406" s="18" t="str">
        <f>"-0.01%"</f>
        <v>-0.01%</v>
      </c>
      <c r="S6406" s="14" t="s">
        <v>371</v>
      </c>
    </row>
    <row r="6407">
      <c r="A6407" s="13">
        <v>45901.0</v>
      </c>
      <c r="B6407" s="14" t="s">
        <v>47</v>
      </c>
      <c r="C6407" s="14" t="s">
        <v>48</v>
      </c>
      <c r="D6407" s="14" t="s">
        <v>129</v>
      </c>
      <c r="E6407" s="14" t="s">
        <v>130</v>
      </c>
      <c r="F6407" s="15" t="s">
        <v>51</v>
      </c>
      <c r="G6407" s="14" t="s">
        <v>131</v>
      </c>
      <c r="H6407" s="14" t="s">
        <v>129</v>
      </c>
      <c r="I6407" s="14" t="s">
        <v>59</v>
      </c>
      <c r="J6407" s="14" t="s">
        <v>199</v>
      </c>
      <c r="K6407" s="14" t="s">
        <v>203</v>
      </c>
      <c r="L6407" s="14" t="s">
        <v>340</v>
      </c>
      <c r="M6407" s="14" t="s">
        <v>340</v>
      </c>
      <c r="N6407" s="14" t="s">
        <v>341</v>
      </c>
      <c r="O6407" s="14">
        <v>0.0</v>
      </c>
      <c r="P6407" s="21">
        <v>0.0</v>
      </c>
      <c r="Q6407" s="22" t="str">
        <f t="shared" ref="Q6407:R6407" si="3822">"+0"</f>
        <v>+0</v>
      </c>
      <c r="R6407" s="18" t="str">
        <f t="shared" si="3822"/>
        <v>+0</v>
      </c>
      <c r="S6407" s="14" t="s">
        <v>260</v>
      </c>
    </row>
    <row r="6408">
      <c r="A6408" s="13">
        <v>45901.0</v>
      </c>
      <c r="B6408" s="14" t="s">
        <v>47</v>
      </c>
      <c r="C6408" s="14" t="s">
        <v>48</v>
      </c>
      <c r="D6408" s="14" t="s">
        <v>87</v>
      </c>
      <c r="E6408" s="14" t="s">
        <v>88</v>
      </c>
      <c r="F6408" s="15" t="s">
        <v>51</v>
      </c>
      <c r="G6408" s="14" t="s">
        <v>89</v>
      </c>
      <c r="H6408" s="14" t="s">
        <v>90</v>
      </c>
      <c r="I6408" s="14" t="s">
        <v>59</v>
      </c>
      <c r="J6408" s="14" t="s">
        <v>200</v>
      </c>
      <c r="K6408" s="14" t="s">
        <v>223</v>
      </c>
      <c r="L6408" s="14" t="s">
        <v>883</v>
      </c>
      <c r="M6408" s="14" t="s">
        <v>884</v>
      </c>
      <c r="N6408" s="14" t="s">
        <v>885</v>
      </c>
      <c r="O6408" s="14">
        <v>100.0</v>
      </c>
      <c r="P6408" s="23">
        <v>0.5385</v>
      </c>
      <c r="Q6408" s="22" t="str">
        <f>"+5.20%"</f>
        <v>+5.20%</v>
      </c>
      <c r="R6408" s="18" t="str">
        <f>"+5.31%"</f>
        <v>+5.31%</v>
      </c>
      <c r="S6408" s="14" t="s">
        <v>285</v>
      </c>
    </row>
    <row r="6409">
      <c r="A6409" s="13">
        <v>45901.0</v>
      </c>
      <c r="B6409" s="14" t="s">
        <v>47</v>
      </c>
      <c r="C6409" s="14" t="s">
        <v>48</v>
      </c>
      <c r="D6409" s="14" t="s">
        <v>108</v>
      </c>
      <c r="E6409" s="14" t="s">
        <v>109</v>
      </c>
      <c r="F6409" s="15" t="s">
        <v>51</v>
      </c>
      <c r="G6409" s="14" t="s">
        <v>110</v>
      </c>
      <c r="H6409" s="14" t="s">
        <v>108</v>
      </c>
      <c r="I6409" s="14" t="s">
        <v>59</v>
      </c>
      <c r="J6409" s="14" t="s">
        <v>200</v>
      </c>
      <c r="K6409" s="14" t="s">
        <v>215</v>
      </c>
      <c r="L6409" s="14" t="s">
        <v>548</v>
      </c>
      <c r="M6409" s="14" t="s">
        <v>549</v>
      </c>
      <c r="N6409" s="14" t="s">
        <v>550</v>
      </c>
      <c r="O6409" s="14">
        <v>0.0</v>
      </c>
      <c r="P6409" s="23">
        <v>-1.0</v>
      </c>
      <c r="Q6409" s="22" t="str">
        <f t="shared" ref="Q6409:R6409" si="3823">"+0.00%"</f>
        <v>+0.00%</v>
      </c>
      <c r="R6409" s="18" t="str">
        <f t="shared" si="3823"/>
        <v>+0.00%</v>
      </c>
      <c r="S6409" s="14" t="s">
        <v>2018</v>
      </c>
    </row>
    <row r="6410">
      <c r="A6410" s="13">
        <v>45901.0</v>
      </c>
      <c r="B6410" s="14" t="s">
        <v>47</v>
      </c>
      <c r="C6410" s="14" t="s">
        <v>48</v>
      </c>
      <c r="D6410" s="14" t="s">
        <v>158</v>
      </c>
      <c r="E6410" s="14" t="s">
        <v>159</v>
      </c>
      <c r="F6410" s="15" t="s">
        <v>51</v>
      </c>
      <c r="G6410" s="14" t="s">
        <v>160</v>
      </c>
      <c r="H6410" s="14" t="s">
        <v>158</v>
      </c>
      <c r="I6410" s="14" t="s">
        <v>54</v>
      </c>
      <c r="J6410" s="14" t="s">
        <v>198</v>
      </c>
      <c r="K6410" s="14" t="s">
        <v>210</v>
      </c>
      <c r="L6410" s="14" t="s">
        <v>458</v>
      </c>
      <c r="M6410" s="14" t="s">
        <v>829</v>
      </c>
      <c r="N6410" s="14" t="s">
        <v>830</v>
      </c>
      <c r="O6410" s="14">
        <v>0.0</v>
      </c>
      <c r="P6410" s="21">
        <v>0.0</v>
      </c>
      <c r="Q6410" s="22" t="str">
        <f t="shared" ref="Q6410:R6410" si="3824">"+0"</f>
        <v>+0</v>
      </c>
      <c r="R6410" s="18" t="str">
        <f t="shared" si="3824"/>
        <v>+0</v>
      </c>
      <c r="S6410" s="14" t="s">
        <v>277</v>
      </c>
    </row>
    <row r="6411">
      <c r="A6411" s="13">
        <v>45901.0</v>
      </c>
      <c r="B6411" s="14" t="s">
        <v>47</v>
      </c>
      <c r="C6411" s="14" t="s">
        <v>48</v>
      </c>
      <c r="D6411" s="14" t="s">
        <v>108</v>
      </c>
      <c r="E6411" s="14" t="s">
        <v>109</v>
      </c>
      <c r="F6411" s="14" t="s">
        <v>146</v>
      </c>
      <c r="G6411" s="14" t="s">
        <v>180</v>
      </c>
      <c r="H6411" s="14" t="s">
        <v>108</v>
      </c>
      <c r="I6411" s="14" t="s">
        <v>59</v>
      </c>
      <c r="J6411" s="14" t="s">
        <v>199</v>
      </c>
      <c r="K6411" s="14" t="s">
        <v>206</v>
      </c>
      <c r="L6411" s="14" t="s">
        <v>295</v>
      </c>
      <c r="M6411" s="14" t="s">
        <v>651</v>
      </c>
      <c r="N6411" s="14" t="s">
        <v>652</v>
      </c>
      <c r="O6411" s="14">
        <v>0.0</v>
      </c>
      <c r="P6411" s="21">
        <v>0.0</v>
      </c>
      <c r="Q6411" s="22" t="str">
        <f>"+0"</f>
        <v>+0</v>
      </c>
      <c r="S6411" s="14" t="s">
        <v>260</v>
      </c>
    </row>
    <row r="6412">
      <c r="A6412" s="13">
        <v>45901.0</v>
      </c>
      <c r="B6412" s="14" t="s">
        <v>47</v>
      </c>
      <c r="C6412" s="14" t="s">
        <v>48</v>
      </c>
      <c r="D6412" s="14" t="s">
        <v>181</v>
      </c>
      <c r="E6412" s="14" t="s">
        <v>182</v>
      </c>
      <c r="F6412" s="15" t="s">
        <v>51</v>
      </c>
      <c r="G6412" s="14" t="s">
        <v>183</v>
      </c>
      <c r="H6412" s="14" t="s">
        <v>181</v>
      </c>
      <c r="I6412" s="14" t="s">
        <v>59</v>
      </c>
      <c r="J6412" s="14" t="s">
        <v>200</v>
      </c>
      <c r="K6412" s="14" t="s">
        <v>227</v>
      </c>
      <c r="L6412" s="14" t="s">
        <v>721</v>
      </c>
      <c r="M6412" s="14" t="s">
        <v>1060</v>
      </c>
      <c r="N6412" s="14" t="s">
        <v>1061</v>
      </c>
      <c r="O6412" s="14">
        <v>30.0</v>
      </c>
      <c r="P6412" s="23">
        <v>-0.3814</v>
      </c>
      <c r="Q6412" s="22" t="str">
        <f>"+13.37%"</f>
        <v>+13.37%</v>
      </c>
      <c r="R6412" s="18" t="str">
        <f>"-7.38%"</f>
        <v>-7.38%</v>
      </c>
      <c r="S6412" s="14" t="s">
        <v>1062</v>
      </c>
    </row>
    <row r="6413">
      <c r="A6413" s="13">
        <v>45901.0</v>
      </c>
      <c r="B6413" s="14" t="s">
        <v>47</v>
      </c>
      <c r="C6413" s="14" t="s">
        <v>48</v>
      </c>
      <c r="D6413" s="14" t="s">
        <v>49</v>
      </c>
      <c r="E6413" s="14" t="s">
        <v>50</v>
      </c>
      <c r="F6413" s="15" t="s">
        <v>51</v>
      </c>
      <c r="G6413" s="14" t="s">
        <v>52</v>
      </c>
      <c r="H6413" s="14" t="s">
        <v>53</v>
      </c>
      <c r="I6413" s="14" t="s">
        <v>54</v>
      </c>
      <c r="J6413" s="14" t="s">
        <v>200</v>
      </c>
      <c r="K6413" s="14" t="s">
        <v>213</v>
      </c>
      <c r="L6413" s="14" t="s">
        <v>307</v>
      </c>
      <c r="M6413" s="14" t="s">
        <v>561</v>
      </c>
      <c r="N6413" s="14" t="s">
        <v>562</v>
      </c>
      <c r="O6413" s="14">
        <v>0.0</v>
      </c>
      <c r="P6413" s="23">
        <v>0.0</v>
      </c>
      <c r="Q6413" s="22" t="str">
        <f t="shared" ref="Q6413:R6413" si="3825">"+0.00%"</f>
        <v>+0.00%</v>
      </c>
      <c r="R6413" s="18" t="str">
        <f t="shared" si="3825"/>
        <v>+0.00%</v>
      </c>
      <c r="S6413" s="14" t="s">
        <v>285</v>
      </c>
    </row>
    <row r="6414">
      <c r="A6414" s="13">
        <v>45901.0</v>
      </c>
      <c r="B6414" s="14" t="s">
        <v>47</v>
      </c>
      <c r="C6414" s="14" t="s">
        <v>48</v>
      </c>
      <c r="D6414" s="14" t="s">
        <v>165</v>
      </c>
      <c r="E6414" s="14" t="s">
        <v>166</v>
      </c>
      <c r="F6414" s="15" t="s">
        <v>51</v>
      </c>
      <c r="G6414" s="14" t="s">
        <v>167</v>
      </c>
      <c r="H6414" s="14" t="s">
        <v>165</v>
      </c>
      <c r="I6414" s="14" t="s">
        <v>54</v>
      </c>
      <c r="J6414" s="14" t="s">
        <v>200</v>
      </c>
      <c r="K6414" s="14" t="s">
        <v>213</v>
      </c>
      <c r="L6414" s="14" t="s">
        <v>253</v>
      </c>
      <c r="M6414" s="14" t="s">
        <v>389</v>
      </c>
      <c r="N6414" s="14" t="s">
        <v>390</v>
      </c>
      <c r="O6414" s="14">
        <v>84.0</v>
      </c>
      <c r="P6414" s="23">
        <v>0.8463</v>
      </c>
      <c r="Q6414" s="22" t="str">
        <f>"+3.11%"</f>
        <v>+3.11%</v>
      </c>
      <c r="R6414" s="18" t="str">
        <f>"+5.15%"</f>
        <v>+5.15%</v>
      </c>
      <c r="S6414" s="14" t="s">
        <v>2125</v>
      </c>
    </row>
    <row r="6415">
      <c r="A6415" s="13">
        <v>45901.0</v>
      </c>
      <c r="B6415" s="14" t="s">
        <v>47</v>
      </c>
      <c r="C6415" s="14" t="s">
        <v>48</v>
      </c>
      <c r="D6415" s="14" t="s">
        <v>66</v>
      </c>
      <c r="E6415" s="14" t="s">
        <v>67</v>
      </c>
      <c r="F6415" s="15" t="s">
        <v>51</v>
      </c>
      <c r="G6415" s="14" t="s">
        <v>68</v>
      </c>
      <c r="H6415" s="14" t="s">
        <v>66</v>
      </c>
      <c r="I6415" s="14" t="s">
        <v>59</v>
      </c>
      <c r="J6415" s="14" t="s">
        <v>200</v>
      </c>
      <c r="K6415" s="14" t="s">
        <v>223</v>
      </c>
      <c r="L6415" s="14" t="s">
        <v>286</v>
      </c>
      <c r="M6415" s="14" t="s">
        <v>979</v>
      </c>
      <c r="N6415" s="14" t="s">
        <v>980</v>
      </c>
      <c r="O6415" s="14">
        <v>0.0</v>
      </c>
      <c r="P6415" s="23">
        <v>0.0</v>
      </c>
      <c r="Q6415" s="22" t="str">
        <f t="shared" ref="Q6415:R6415" si="3826">"+0.00%"</f>
        <v>+0.00%</v>
      </c>
      <c r="R6415" s="18" t="str">
        <f t="shared" si="3826"/>
        <v>+0.00%</v>
      </c>
      <c r="S6415" s="14" t="s">
        <v>2686</v>
      </c>
    </row>
    <row r="6416">
      <c r="A6416" s="13">
        <v>45901.0</v>
      </c>
      <c r="B6416" s="14" t="s">
        <v>47</v>
      </c>
      <c r="C6416" s="14" t="s">
        <v>48</v>
      </c>
      <c r="D6416" s="14" t="s">
        <v>192</v>
      </c>
      <c r="E6416" s="14" t="s">
        <v>193</v>
      </c>
      <c r="F6416" s="15" t="s">
        <v>51</v>
      </c>
      <c r="G6416" s="14" t="s">
        <v>194</v>
      </c>
      <c r="H6416" s="14" t="s">
        <v>192</v>
      </c>
      <c r="I6416" s="14" t="s">
        <v>54</v>
      </c>
      <c r="J6416" s="14" t="s">
        <v>200</v>
      </c>
      <c r="K6416" s="14" t="s">
        <v>223</v>
      </c>
      <c r="L6416" s="14" t="s">
        <v>487</v>
      </c>
      <c r="M6416" s="14" t="s">
        <v>788</v>
      </c>
      <c r="N6416" s="14" t="s">
        <v>789</v>
      </c>
      <c r="O6416" s="14">
        <v>0.0</v>
      </c>
      <c r="P6416" s="23">
        <v>0.0</v>
      </c>
      <c r="Q6416" s="22" t="str">
        <f t="shared" ref="Q6416:R6416" si="3827">"+0.00%"</f>
        <v>+0.00%</v>
      </c>
      <c r="R6416" s="18" t="str">
        <f t="shared" si="3827"/>
        <v>+0.00%</v>
      </c>
      <c r="S6416" s="14" t="s">
        <v>285</v>
      </c>
    </row>
    <row r="6417">
      <c r="A6417" s="13">
        <v>45901.0</v>
      </c>
      <c r="B6417" s="14" t="s">
        <v>47</v>
      </c>
      <c r="C6417" s="14" t="s">
        <v>48</v>
      </c>
      <c r="D6417" s="14" t="s">
        <v>192</v>
      </c>
      <c r="E6417" s="14" t="s">
        <v>193</v>
      </c>
      <c r="F6417" s="15" t="s">
        <v>51</v>
      </c>
      <c r="G6417" s="14" t="s">
        <v>194</v>
      </c>
      <c r="H6417" s="14" t="s">
        <v>192</v>
      </c>
      <c r="I6417" s="14" t="s">
        <v>54</v>
      </c>
      <c r="J6417" s="14" t="s">
        <v>198</v>
      </c>
      <c r="K6417" s="14" t="s">
        <v>212</v>
      </c>
      <c r="L6417" s="14" t="s">
        <v>249</v>
      </c>
      <c r="M6417" s="14" t="s">
        <v>686</v>
      </c>
      <c r="N6417" s="14" t="s">
        <v>687</v>
      </c>
      <c r="O6417" s="14">
        <v>0.0</v>
      </c>
      <c r="P6417" s="21">
        <v>0.0</v>
      </c>
      <c r="Q6417" s="22" t="str">
        <f t="shared" ref="Q6417:R6417" si="3828">"+0"</f>
        <v>+0</v>
      </c>
      <c r="R6417" s="18" t="str">
        <f t="shared" si="3828"/>
        <v>+0</v>
      </c>
      <c r="S6417" s="14" t="s">
        <v>277</v>
      </c>
    </row>
    <row r="6418">
      <c r="A6418" s="13">
        <v>45901.0</v>
      </c>
      <c r="B6418" s="14" t="s">
        <v>47</v>
      </c>
      <c r="C6418" s="14" t="s">
        <v>48</v>
      </c>
      <c r="D6418" s="14" t="s">
        <v>66</v>
      </c>
      <c r="E6418" s="14" t="s">
        <v>67</v>
      </c>
      <c r="F6418" s="15" t="s">
        <v>51</v>
      </c>
      <c r="G6418" s="14" t="s">
        <v>68</v>
      </c>
      <c r="H6418" s="14" t="s">
        <v>66</v>
      </c>
      <c r="I6418" s="14" t="s">
        <v>59</v>
      </c>
      <c r="J6418" s="14" t="s">
        <v>198</v>
      </c>
      <c r="K6418" s="14" t="s">
        <v>210</v>
      </c>
      <c r="L6418" s="14" t="s">
        <v>264</v>
      </c>
      <c r="M6418" s="14" t="s">
        <v>524</v>
      </c>
      <c r="N6418" s="14" t="s">
        <v>525</v>
      </c>
      <c r="O6418" s="14">
        <v>100.0</v>
      </c>
      <c r="P6418" s="21">
        <v>0.0</v>
      </c>
      <c r="Q6418" s="22" t="str">
        <f>"-2"</f>
        <v>-2</v>
      </c>
      <c r="R6418" s="18" t="str">
        <f>"-1"</f>
        <v>-1</v>
      </c>
      <c r="S6418" s="14" t="s">
        <v>281</v>
      </c>
    </row>
    <row r="6419">
      <c r="A6419" s="13">
        <v>45901.0</v>
      </c>
      <c r="B6419" s="14" t="s">
        <v>47</v>
      </c>
      <c r="C6419" s="14" t="s">
        <v>48</v>
      </c>
      <c r="D6419" s="14" t="s">
        <v>129</v>
      </c>
      <c r="E6419" s="14" t="s">
        <v>130</v>
      </c>
      <c r="F6419" s="15" t="s">
        <v>51</v>
      </c>
      <c r="G6419" s="14" t="s">
        <v>131</v>
      </c>
      <c r="H6419" s="14" t="s">
        <v>129</v>
      </c>
      <c r="I6419" s="14" t="s">
        <v>59</v>
      </c>
      <c r="J6419" s="14" t="s">
        <v>200</v>
      </c>
      <c r="K6419" s="14" t="s">
        <v>222</v>
      </c>
      <c r="L6419" s="14" t="s">
        <v>337</v>
      </c>
      <c r="M6419" s="14" t="s">
        <v>1000</v>
      </c>
      <c r="N6419" s="14" t="s">
        <v>1001</v>
      </c>
      <c r="O6419" s="14">
        <v>0.0</v>
      </c>
      <c r="P6419" s="21">
        <v>0.0</v>
      </c>
      <c r="Q6419" s="22" t="str">
        <f t="shared" ref="Q6419:R6419" si="3829">"+0"</f>
        <v>+0</v>
      </c>
      <c r="R6419" s="18" t="str">
        <f t="shared" si="3829"/>
        <v>+0</v>
      </c>
      <c r="S6419" s="14" t="s">
        <v>260</v>
      </c>
    </row>
    <row r="6420">
      <c r="A6420" s="13">
        <v>45901.0</v>
      </c>
      <c r="B6420" s="14" t="s">
        <v>47</v>
      </c>
      <c r="C6420" s="14" t="s">
        <v>48</v>
      </c>
      <c r="D6420" s="14" t="s">
        <v>149</v>
      </c>
      <c r="E6420" s="14" t="s">
        <v>150</v>
      </c>
      <c r="F6420" s="15" t="s">
        <v>51</v>
      </c>
      <c r="G6420" s="14" t="s">
        <v>151</v>
      </c>
      <c r="H6420" s="14" t="s">
        <v>152</v>
      </c>
      <c r="I6420" s="14" t="s">
        <v>54</v>
      </c>
      <c r="J6420" s="14" t="s">
        <v>200</v>
      </c>
      <c r="K6420" s="14" t="s">
        <v>231</v>
      </c>
      <c r="L6420" s="14" t="s">
        <v>512</v>
      </c>
      <c r="M6420" s="14" t="s">
        <v>1327</v>
      </c>
      <c r="N6420" s="14" t="s">
        <v>1328</v>
      </c>
      <c r="O6420" s="14">
        <v>0.0</v>
      </c>
      <c r="P6420" s="21">
        <v>0.0</v>
      </c>
      <c r="Q6420" s="22" t="str">
        <f t="shared" ref="Q6420:R6420" si="3830">"+0"</f>
        <v>+0</v>
      </c>
      <c r="R6420" s="18" t="str">
        <f t="shared" si="3830"/>
        <v>+0</v>
      </c>
      <c r="S6420" s="14" t="s">
        <v>260</v>
      </c>
    </row>
    <row r="6421">
      <c r="A6421" s="13">
        <v>45901.0</v>
      </c>
      <c r="B6421" s="14" t="s">
        <v>47</v>
      </c>
      <c r="C6421" s="14" t="s">
        <v>48</v>
      </c>
      <c r="D6421" s="14" t="s">
        <v>87</v>
      </c>
      <c r="E6421" s="14" t="s">
        <v>88</v>
      </c>
      <c r="F6421" s="15" t="s">
        <v>51</v>
      </c>
      <c r="G6421" s="14" t="s">
        <v>89</v>
      </c>
      <c r="H6421" s="14" t="s">
        <v>90</v>
      </c>
      <c r="I6421" s="14" t="s">
        <v>59</v>
      </c>
      <c r="J6421" s="14" t="s">
        <v>200</v>
      </c>
      <c r="K6421" s="14" t="s">
        <v>223</v>
      </c>
      <c r="L6421" s="14" t="s">
        <v>286</v>
      </c>
      <c r="M6421" s="14" t="s">
        <v>644</v>
      </c>
      <c r="N6421" s="14" t="s">
        <v>645</v>
      </c>
      <c r="O6421" s="14">
        <v>44.0</v>
      </c>
      <c r="P6421" s="23">
        <v>-0.1163</v>
      </c>
      <c r="Q6421" s="22" t="str">
        <f>"+12.04%"</f>
        <v>+12.04%</v>
      </c>
      <c r="R6421" s="18" t="str">
        <f>"+19.65%"</f>
        <v>+19.65%</v>
      </c>
      <c r="S6421" s="14" t="s">
        <v>2687</v>
      </c>
    </row>
    <row r="6422">
      <c r="A6422" s="13">
        <v>45901.0</v>
      </c>
      <c r="B6422" s="14" t="s">
        <v>47</v>
      </c>
      <c r="C6422" s="14" t="s">
        <v>48</v>
      </c>
      <c r="D6422" s="14" t="s">
        <v>136</v>
      </c>
      <c r="E6422" s="14" t="s">
        <v>137</v>
      </c>
      <c r="F6422" s="15" t="s">
        <v>51</v>
      </c>
      <c r="G6422" s="14" t="s">
        <v>138</v>
      </c>
      <c r="H6422" s="14" t="s">
        <v>139</v>
      </c>
      <c r="I6422" s="14" t="s">
        <v>59</v>
      </c>
      <c r="J6422" s="14" t="s">
        <v>198</v>
      </c>
      <c r="K6422" s="14" t="s">
        <v>205</v>
      </c>
      <c r="L6422" s="14" t="s">
        <v>274</v>
      </c>
      <c r="M6422" s="14" t="s">
        <v>791</v>
      </c>
      <c r="N6422" s="14" t="s">
        <v>792</v>
      </c>
      <c r="O6422" s="14">
        <v>100.0</v>
      </c>
      <c r="P6422" s="21">
        <v>4.0</v>
      </c>
      <c r="Q6422" s="22" t="str">
        <f>"+0"</f>
        <v>+0</v>
      </c>
      <c r="S6422" s="14" t="s">
        <v>260</v>
      </c>
    </row>
    <row r="6423">
      <c r="A6423" s="13">
        <v>45901.0</v>
      </c>
      <c r="B6423" s="14" t="s">
        <v>47</v>
      </c>
      <c r="C6423" s="14" t="s">
        <v>48</v>
      </c>
      <c r="D6423" s="14" t="s">
        <v>87</v>
      </c>
      <c r="E6423" s="14" t="s">
        <v>88</v>
      </c>
      <c r="F6423" s="15" t="s">
        <v>51</v>
      </c>
      <c r="G6423" s="14" t="s">
        <v>89</v>
      </c>
      <c r="H6423" s="14" t="s">
        <v>90</v>
      </c>
      <c r="I6423" s="14" t="s">
        <v>59</v>
      </c>
      <c r="J6423" s="14" t="s">
        <v>200</v>
      </c>
      <c r="K6423" s="14" t="s">
        <v>211</v>
      </c>
      <c r="L6423" s="14" t="s">
        <v>889</v>
      </c>
      <c r="M6423" s="14" t="s">
        <v>1578</v>
      </c>
      <c r="N6423" s="14" t="s">
        <v>1579</v>
      </c>
      <c r="O6423" s="14">
        <v>0.0</v>
      </c>
      <c r="P6423" s="23">
        <v>-1.0</v>
      </c>
      <c r="Q6423" s="22" t="str">
        <f>"-35.29%"</f>
        <v>-35.29%</v>
      </c>
      <c r="R6423" s="18" t="str">
        <f>"-17.91%"</f>
        <v>-17.91%</v>
      </c>
      <c r="S6423" s="14" t="s">
        <v>336</v>
      </c>
    </row>
    <row r="6424">
      <c r="A6424" s="13">
        <v>45901.0</v>
      </c>
      <c r="B6424" s="14" t="s">
        <v>47</v>
      </c>
      <c r="C6424" s="14" t="s">
        <v>48</v>
      </c>
      <c r="D6424" s="14" t="s">
        <v>85</v>
      </c>
      <c r="E6424" s="14" t="s">
        <v>86</v>
      </c>
      <c r="F6424" s="15" t="s">
        <v>51</v>
      </c>
      <c r="G6424" s="14" t="s">
        <v>148</v>
      </c>
      <c r="H6424" s="14" t="s">
        <v>85</v>
      </c>
      <c r="I6424" s="14" t="s">
        <v>59</v>
      </c>
      <c r="J6424" s="14" t="s">
        <v>200</v>
      </c>
      <c r="K6424" s="14" t="s">
        <v>201</v>
      </c>
      <c r="L6424" s="14" t="s">
        <v>253</v>
      </c>
      <c r="M6424" s="14" t="s">
        <v>538</v>
      </c>
      <c r="N6424" s="14" t="s">
        <v>539</v>
      </c>
      <c r="O6424" s="14">
        <v>3.0</v>
      </c>
      <c r="P6424" s="23">
        <v>0.0302</v>
      </c>
      <c r="Q6424" s="22" t="str">
        <f>"+0.01%"</f>
        <v>+0.01%</v>
      </c>
      <c r="R6424" s="18" t="str">
        <f>"+0.08%"</f>
        <v>+0.08%</v>
      </c>
      <c r="S6424" s="14" t="s">
        <v>540</v>
      </c>
    </row>
    <row r="6425">
      <c r="A6425" s="13">
        <v>45901.0</v>
      </c>
      <c r="B6425" s="14" t="s">
        <v>47</v>
      </c>
      <c r="C6425" s="14" t="s">
        <v>48</v>
      </c>
      <c r="D6425" s="14" t="s">
        <v>96</v>
      </c>
      <c r="E6425" s="14" t="s">
        <v>97</v>
      </c>
      <c r="F6425" s="15" t="s">
        <v>51</v>
      </c>
      <c r="G6425" s="14" t="s">
        <v>98</v>
      </c>
      <c r="H6425" s="14" t="s">
        <v>96</v>
      </c>
      <c r="I6425" s="14" t="s">
        <v>59</v>
      </c>
      <c r="J6425" s="14" t="s">
        <v>200</v>
      </c>
      <c r="K6425" s="14" t="s">
        <v>223</v>
      </c>
      <c r="L6425" s="14" t="s">
        <v>571</v>
      </c>
      <c r="M6425" s="14" t="s">
        <v>578</v>
      </c>
      <c r="N6425" s="14" t="s">
        <v>579</v>
      </c>
      <c r="O6425" s="14">
        <v>100.0</v>
      </c>
      <c r="P6425" s="23">
        <v>0.0909</v>
      </c>
      <c r="Q6425" s="22" t="str">
        <f>"+0.00%"</f>
        <v>+0.00%</v>
      </c>
      <c r="R6425" s="18" t="str">
        <f>"+2.84%"</f>
        <v>+2.84%</v>
      </c>
      <c r="S6425" s="14" t="s">
        <v>285</v>
      </c>
    </row>
    <row r="6426">
      <c r="A6426" s="13">
        <v>45901.0</v>
      </c>
      <c r="B6426" s="14" t="s">
        <v>47</v>
      </c>
      <c r="C6426" s="14" t="s">
        <v>48</v>
      </c>
      <c r="D6426" s="14" t="s">
        <v>108</v>
      </c>
      <c r="E6426" s="14" t="s">
        <v>109</v>
      </c>
      <c r="F6426" s="14" t="s">
        <v>79</v>
      </c>
      <c r="G6426" s="14" t="s">
        <v>153</v>
      </c>
      <c r="H6426" s="14" t="s">
        <v>108</v>
      </c>
      <c r="I6426" s="14" t="s">
        <v>154</v>
      </c>
      <c r="J6426" s="14" t="s">
        <v>199</v>
      </c>
      <c r="K6426" s="14" t="s">
        <v>206</v>
      </c>
      <c r="L6426" s="14" t="s">
        <v>295</v>
      </c>
      <c r="M6426" s="14" t="s">
        <v>461</v>
      </c>
      <c r="N6426" s="14" t="s">
        <v>462</v>
      </c>
      <c r="O6426" s="14">
        <v>0.0</v>
      </c>
      <c r="P6426" s="21">
        <v>0.0</v>
      </c>
      <c r="Q6426" s="22" t="str">
        <f>"+0"</f>
        <v>+0</v>
      </c>
      <c r="S6426" s="14" t="s">
        <v>260</v>
      </c>
    </row>
    <row r="6427">
      <c r="A6427" s="13">
        <v>45901.0</v>
      </c>
      <c r="B6427" s="14" t="s">
        <v>47</v>
      </c>
      <c r="C6427" s="14" t="s">
        <v>48</v>
      </c>
      <c r="D6427" s="14" t="s">
        <v>116</v>
      </c>
      <c r="E6427" s="14" t="s">
        <v>117</v>
      </c>
      <c r="F6427" s="15" t="s">
        <v>51</v>
      </c>
      <c r="G6427" s="14" t="s">
        <v>161</v>
      </c>
      <c r="H6427" s="14" t="s">
        <v>116</v>
      </c>
      <c r="I6427" s="14" t="s">
        <v>54</v>
      </c>
      <c r="J6427" s="14" t="s">
        <v>200</v>
      </c>
      <c r="K6427" s="14" t="s">
        <v>224</v>
      </c>
      <c r="L6427" s="14" t="s">
        <v>427</v>
      </c>
      <c r="M6427" s="14" t="s">
        <v>428</v>
      </c>
      <c r="N6427" s="14" t="s">
        <v>429</v>
      </c>
      <c r="O6427" s="14">
        <v>100.0</v>
      </c>
      <c r="P6427" s="23">
        <v>1.0</v>
      </c>
      <c r="Q6427" s="22"/>
      <c r="S6427" s="14" t="s">
        <v>2688</v>
      </c>
    </row>
    <row r="6428">
      <c r="A6428" s="13">
        <v>45901.0</v>
      </c>
      <c r="B6428" s="14" t="s">
        <v>47</v>
      </c>
      <c r="C6428" s="14" t="s">
        <v>48</v>
      </c>
      <c r="D6428" s="14" t="s">
        <v>108</v>
      </c>
      <c r="E6428" s="14" t="s">
        <v>109</v>
      </c>
      <c r="F6428" s="14" t="s">
        <v>79</v>
      </c>
      <c r="G6428" s="14" t="s">
        <v>153</v>
      </c>
      <c r="H6428" s="14" t="s">
        <v>108</v>
      </c>
      <c r="I6428" s="14" t="s">
        <v>154</v>
      </c>
      <c r="J6428" s="14" t="s">
        <v>200</v>
      </c>
      <c r="K6428" s="14" t="s">
        <v>237</v>
      </c>
      <c r="L6428" s="14" t="s">
        <v>333</v>
      </c>
      <c r="M6428" s="14" t="s">
        <v>1238</v>
      </c>
      <c r="N6428" s="14" t="s">
        <v>1239</v>
      </c>
      <c r="O6428" s="14">
        <v>0.0</v>
      </c>
      <c r="P6428" s="23">
        <v>-1.0</v>
      </c>
      <c r="Q6428" s="22" t="str">
        <f>"+0.00%"</f>
        <v>+0.00%</v>
      </c>
      <c r="S6428" s="14" t="s">
        <v>336</v>
      </c>
    </row>
    <row r="6429">
      <c r="A6429" s="13">
        <v>45901.0</v>
      </c>
      <c r="B6429" s="14" t="s">
        <v>47</v>
      </c>
      <c r="C6429" s="14" t="s">
        <v>48</v>
      </c>
      <c r="D6429" s="14" t="s">
        <v>77</v>
      </c>
      <c r="E6429" s="14" t="s">
        <v>78</v>
      </c>
      <c r="F6429" s="15" t="s">
        <v>51</v>
      </c>
      <c r="G6429" s="14" t="s">
        <v>128</v>
      </c>
      <c r="H6429" s="14" t="s">
        <v>81</v>
      </c>
      <c r="I6429" s="14" t="s">
        <v>59</v>
      </c>
      <c r="J6429" s="14" t="s">
        <v>199</v>
      </c>
      <c r="K6429" s="14" t="s">
        <v>206</v>
      </c>
      <c r="L6429" s="14" t="s">
        <v>295</v>
      </c>
      <c r="M6429" s="14" t="s">
        <v>461</v>
      </c>
      <c r="N6429" s="14" t="s">
        <v>462</v>
      </c>
      <c r="O6429" s="14">
        <v>0.0</v>
      </c>
      <c r="P6429" s="21">
        <v>0.0</v>
      </c>
      <c r="Q6429" s="22" t="str">
        <f t="shared" ref="Q6429:R6429" si="3831">"+0"</f>
        <v>+0</v>
      </c>
      <c r="R6429" s="18" t="str">
        <f t="shared" si="3831"/>
        <v>+0</v>
      </c>
      <c r="S6429" s="14" t="s">
        <v>260</v>
      </c>
    </row>
    <row r="6430">
      <c r="A6430" s="13">
        <v>45901.0</v>
      </c>
      <c r="B6430" s="14" t="s">
        <v>47</v>
      </c>
      <c r="C6430" s="14" t="s">
        <v>48</v>
      </c>
      <c r="D6430" s="14" t="s">
        <v>108</v>
      </c>
      <c r="E6430" s="14" t="s">
        <v>109</v>
      </c>
      <c r="F6430" s="15" t="s">
        <v>51</v>
      </c>
      <c r="G6430" s="14" t="s">
        <v>110</v>
      </c>
      <c r="H6430" s="14" t="s">
        <v>108</v>
      </c>
      <c r="I6430" s="14" t="s">
        <v>59</v>
      </c>
      <c r="J6430" s="14" t="s">
        <v>200</v>
      </c>
      <c r="K6430" s="14" t="s">
        <v>213</v>
      </c>
      <c r="L6430" s="14" t="s">
        <v>257</v>
      </c>
      <c r="M6430" s="14" t="s">
        <v>517</v>
      </c>
      <c r="N6430" s="14" t="s">
        <v>518</v>
      </c>
      <c r="O6430" s="14">
        <v>0.0</v>
      </c>
      <c r="P6430" s="21">
        <v>0.0</v>
      </c>
      <c r="Q6430" s="22" t="str">
        <f>"+0"</f>
        <v>+0</v>
      </c>
      <c r="S6430" s="14" t="s">
        <v>260</v>
      </c>
    </row>
    <row r="6431">
      <c r="A6431" s="13">
        <v>45901.0</v>
      </c>
      <c r="B6431" s="14" t="s">
        <v>47</v>
      </c>
      <c r="C6431" s="14" t="s">
        <v>48</v>
      </c>
      <c r="D6431" s="14" t="s">
        <v>77</v>
      </c>
      <c r="E6431" s="14" t="s">
        <v>78</v>
      </c>
      <c r="F6431" s="15" t="s">
        <v>51</v>
      </c>
      <c r="G6431" s="14" t="s">
        <v>128</v>
      </c>
      <c r="H6431" s="14" t="s">
        <v>81</v>
      </c>
      <c r="I6431" s="14" t="s">
        <v>59</v>
      </c>
      <c r="J6431" s="14" t="s">
        <v>200</v>
      </c>
      <c r="K6431" s="14" t="s">
        <v>223</v>
      </c>
      <c r="L6431" s="14" t="s">
        <v>676</v>
      </c>
      <c r="M6431" s="14" t="s">
        <v>836</v>
      </c>
      <c r="N6431" s="14" t="s">
        <v>837</v>
      </c>
      <c r="O6431" s="14">
        <v>0.0</v>
      </c>
      <c r="P6431" s="23">
        <v>0.0</v>
      </c>
      <c r="Q6431" s="22" t="str">
        <f t="shared" ref="Q6431:R6431" si="3832">"+0.00%"</f>
        <v>+0.00%</v>
      </c>
      <c r="R6431" s="18" t="str">
        <f t="shared" si="3832"/>
        <v>+0.00%</v>
      </c>
      <c r="S6431" s="14" t="s">
        <v>613</v>
      </c>
    </row>
    <row r="6432">
      <c r="A6432" s="13">
        <v>45901.0</v>
      </c>
      <c r="B6432" s="14" t="s">
        <v>47</v>
      </c>
      <c r="C6432" s="14" t="s">
        <v>48</v>
      </c>
      <c r="D6432" s="14" t="s">
        <v>56</v>
      </c>
      <c r="E6432" s="14" t="s">
        <v>57</v>
      </c>
      <c r="F6432" s="15" t="s">
        <v>51</v>
      </c>
      <c r="G6432" s="14" t="s">
        <v>58</v>
      </c>
      <c r="H6432" s="14" t="s">
        <v>56</v>
      </c>
      <c r="I6432" s="14" t="s">
        <v>59</v>
      </c>
      <c r="J6432" s="14" t="s">
        <v>200</v>
      </c>
      <c r="K6432" s="14" t="s">
        <v>223</v>
      </c>
      <c r="L6432" s="14" t="s">
        <v>363</v>
      </c>
      <c r="M6432" s="14" t="s">
        <v>708</v>
      </c>
      <c r="N6432" s="14" t="s">
        <v>709</v>
      </c>
      <c r="O6432" s="14">
        <v>0.0</v>
      </c>
      <c r="P6432" s="23">
        <v>0.0</v>
      </c>
      <c r="Q6432" s="22" t="str">
        <f t="shared" ref="Q6432:R6432" si="3833">"+0.00%"</f>
        <v>+0.00%</v>
      </c>
      <c r="R6432" s="18" t="str">
        <f t="shared" si="3833"/>
        <v>+0.00%</v>
      </c>
      <c r="S6432" s="14" t="s">
        <v>285</v>
      </c>
    </row>
    <row r="6433">
      <c r="A6433" s="13">
        <v>45901.0</v>
      </c>
      <c r="B6433" s="14" t="s">
        <v>47</v>
      </c>
      <c r="C6433" s="14" t="s">
        <v>48</v>
      </c>
      <c r="D6433" s="14" t="s">
        <v>121</v>
      </c>
      <c r="E6433" s="14" t="s">
        <v>122</v>
      </c>
      <c r="F6433" s="15" t="s">
        <v>51</v>
      </c>
      <c r="G6433" s="14" t="s">
        <v>123</v>
      </c>
      <c r="H6433" s="14" t="s">
        <v>124</v>
      </c>
      <c r="I6433" s="14" t="s">
        <v>59</v>
      </c>
      <c r="J6433" s="14" t="s">
        <v>198</v>
      </c>
      <c r="K6433" s="14" t="s">
        <v>205</v>
      </c>
      <c r="L6433" s="14" t="s">
        <v>274</v>
      </c>
      <c r="M6433" s="14" t="s">
        <v>791</v>
      </c>
      <c r="N6433" s="14" t="s">
        <v>792</v>
      </c>
      <c r="O6433" s="14">
        <v>100.0</v>
      </c>
      <c r="P6433" s="21">
        <v>4.0</v>
      </c>
      <c r="Q6433" s="22" t="str">
        <f t="shared" ref="Q6433:Q6434" si="3834">"+0"</f>
        <v>+0</v>
      </c>
      <c r="S6433" s="14" t="s">
        <v>260</v>
      </c>
    </row>
    <row r="6434">
      <c r="A6434" s="13">
        <v>45901.0</v>
      </c>
      <c r="B6434" s="14" t="s">
        <v>47</v>
      </c>
      <c r="C6434" s="14" t="s">
        <v>48</v>
      </c>
      <c r="D6434" s="14" t="s">
        <v>181</v>
      </c>
      <c r="E6434" s="14" t="s">
        <v>182</v>
      </c>
      <c r="F6434" s="15" t="s">
        <v>51</v>
      </c>
      <c r="G6434" s="14" t="s">
        <v>183</v>
      </c>
      <c r="H6434" s="14" t="s">
        <v>181</v>
      </c>
      <c r="I6434" s="14" t="s">
        <v>59</v>
      </c>
      <c r="J6434" s="14" t="s">
        <v>200</v>
      </c>
      <c r="K6434" s="14" t="s">
        <v>232</v>
      </c>
      <c r="L6434" s="14" t="s">
        <v>705</v>
      </c>
      <c r="M6434" s="14" t="s">
        <v>706</v>
      </c>
      <c r="N6434" s="14" t="s">
        <v>707</v>
      </c>
      <c r="O6434" s="14">
        <v>0.0</v>
      </c>
      <c r="P6434" s="21">
        <v>0.0</v>
      </c>
      <c r="Q6434" s="22" t="str">
        <f t="shared" si="3834"/>
        <v>+0</v>
      </c>
      <c r="R6434" s="18" t="str">
        <f>"+0"</f>
        <v>+0</v>
      </c>
      <c r="S6434" s="14" t="s">
        <v>260</v>
      </c>
    </row>
    <row r="6435">
      <c r="A6435" s="13">
        <v>45901.0</v>
      </c>
      <c r="B6435" s="14" t="s">
        <v>47</v>
      </c>
      <c r="C6435" s="14" t="s">
        <v>48</v>
      </c>
      <c r="D6435" s="14" t="s">
        <v>60</v>
      </c>
      <c r="E6435" s="14" t="s">
        <v>61</v>
      </c>
      <c r="F6435" s="15" t="s">
        <v>51</v>
      </c>
      <c r="G6435" s="14" t="s">
        <v>62</v>
      </c>
      <c r="H6435" s="14" t="s">
        <v>60</v>
      </c>
      <c r="I6435" s="14" t="s">
        <v>59</v>
      </c>
      <c r="J6435" s="14" t="s">
        <v>198</v>
      </c>
      <c r="K6435" s="14" t="s">
        <v>212</v>
      </c>
      <c r="L6435" s="14" t="s">
        <v>344</v>
      </c>
      <c r="M6435" s="14" t="s">
        <v>580</v>
      </c>
      <c r="N6435" s="14" t="s">
        <v>581</v>
      </c>
      <c r="O6435" s="14">
        <v>100.0</v>
      </c>
      <c r="P6435" s="21">
        <v>1.0</v>
      </c>
      <c r="Q6435" s="22" t="str">
        <f>"+1"</f>
        <v>+1</v>
      </c>
      <c r="S6435" s="14" t="s">
        <v>281</v>
      </c>
    </row>
    <row r="6436">
      <c r="A6436" s="13">
        <v>45901.0</v>
      </c>
      <c r="B6436" s="14" t="s">
        <v>47</v>
      </c>
      <c r="C6436" s="14" t="s">
        <v>48</v>
      </c>
      <c r="D6436" s="14" t="s">
        <v>121</v>
      </c>
      <c r="E6436" s="14" t="s">
        <v>122</v>
      </c>
      <c r="F6436" s="15" t="s">
        <v>51</v>
      </c>
      <c r="G6436" s="14" t="s">
        <v>123</v>
      </c>
      <c r="H6436" s="14" t="s">
        <v>124</v>
      </c>
      <c r="I6436" s="14" t="s">
        <v>59</v>
      </c>
      <c r="J6436" s="14" t="s">
        <v>200</v>
      </c>
      <c r="K6436" s="14" t="s">
        <v>232</v>
      </c>
      <c r="L6436" s="14" t="s">
        <v>363</v>
      </c>
      <c r="M6436" s="14" t="s">
        <v>364</v>
      </c>
      <c r="N6436" s="14" t="s">
        <v>365</v>
      </c>
      <c r="O6436" s="14">
        <v>0.0</v>
      </c>
      <c r="P6436" s="23">
        <v>0.0</v>
      </c>
      <c r="Q6436" s="22" t="str">
        <f t="shared" ref="Q6436:R6436" si="3835">"+0.00%"</f>
        <v>+0.00%</v>
      </c>
      <c r="R6436" s="18" t="str">
        <f t="shared" si="3835"/>
        <v>+0.00%</v>
      </c>
      <c r="S6436" s="14" t="s">
        <v>285</v>
      </c>
    </row>
    <row r="6437">
      <c r="A6437" s="13">
        <v>45901.0</v>
      </c>
      <c r="B6437" s="14" t="s">
        <v>47</v>
      </c>
      <c r="C6437" s="14" t="s">
        <v>48</v>
      </c>
      <c r="D6437" s="14" t="s">
        <v>60</v>
      </c>
      <c r="E6437" s="14" t="s">
        <v>61</v>
      </c>
      <c r="F6437" s="15" t="s">
        <v>51</v>
      </c>
      <c r="G6437" s="14" t="s">
        <v>62</v>
      </c>
      <c r="H6437" s="14" t="s">
        <v>60</v>
      </c>
      <c r="I6437" s="14" t="s">
        <v>59</v>
      </c>
      <c r="J6437" s="14" t="s">
        <v>200</v>
      </c>
      <c r="K6437" s="14" t="s">
        <v>223</v>
      </c>
      <c r="L6437" s="14" t="s">
        <v>375</v>
      </c>
      <c r="M6437" s="14" t="s">
        <v>376</v>
      </c>
      <c r="N6437" s="14" t="s">
        <v>377</v>
      </c>
      <c r="O6437" s="14">
        <v>0.0</v>
      </c>
      <c r="P6437" s="23">
        <v>0.0</v>
      </c>
      <c r="Q6437" s="22" t="str">
        <f t="shared" ref="Q6437:R6437" si="3836">"+0.00%"</f>
        <v>+0.00%</v>
      </c>
      <c r="R6437" s="18" t="str">
        <f t="shared" si="3836"/>
        <v>+0.00%</v>
      </c>
      <c r="S6437" s="14" t="s">
        <v>2680</v>
      </c>
    </row>
    <row r="6438">
      <c r="A6438" s="13">
        <v>45901.0</v>
      </c>
      <c r="B6438" s="14" t="s">
        <v>47</v>
      </c>
      <c r="C6438" s="14" t="s">
        <v>48</v>
      </c>
      <c r="D6438" s="14" t="s">
        <v>168</v>
      </c>
      <c r="E6438" s="14" t="s">
        <v>169</v>
      </c>
      <c r="F6438" s="15" t="s">
        <v>51</v>
      </c>
      <c r="G6438" s="14" t="s">
        <v>170</v>
      </c>
      <c r="H6438" s="14" t="s">
        <v>168</v>
      </c>
      <c r="I6438" s="14" t="s">
        <v>59</v>
      </c>
      <c r="J6438" s="14" t="s">
        <v>200</v>
      </c>
      <c r="K6438" s="14" t="s">
        <v>213</v>
      </c>
      <c r="L6438" s="14" t="s">
        <v>307</v>
      </c>
      <c r="M6438" s="14" t="s">
        <v>856</v>
      </c>
      <c r="N6438" s="14" t="s">
        <v>857</v>
      </c>
      <c r="O6438" s="14">
        <v>0.0</v>
      </c>
      <c r="P6438" s="23">
        <v>0.0</v>
      </c>
      <c r="Q6438" s="22" t="str">
        <f t="shared" ref="Q6438:R6438" si="3837">"+0.00%"</f>
        <v>+0.00%</v>
      </c>
      <c r="R6438" s="18" t="str">
        <f t="shared" si="3837"/>
        <v>+0.00%</v>
      </c>
      <c r="S6438" s="14" t="s">
        <v>285</v>
      </c>
    </row>
    <row r="6439">
      <c r="A6439" s="13">
        <v>45901.0</v>
      </c>
      <c r="B6439" s="14" t="s">
        <v>47</v>
      </c>
      <c r="C6439" s="14" t="s">
        <v>48</v>
      </c>
      <c r="D6439" s="14" t="s">
        <v>49</v>
      </c>
      <c r="E6439" s="14" t="s">
        <v>50</v>
      </c>
      <c r="F6439" s="15" t="s">
        <v>51</v>
      </c>
      <c r="G6439" s="14" t="s">
        <v>52</v>
      </c>
      <c r="H6439" s="14" t="s">
        <v>53</v>
      </c>
      <c r="I6439" s="14" t="s">
        <v>54</v>
      </c>
      <c r="J6439" s="14" t="s">
        <v>200</v>
      </c>
      <c r="K6439" s="14" t="s">
        <v>213</v>
      </c>
      <c r="L6439" s="14" t="s">
        <v>359</v>
      </c>
      <c r="M6439" s="14" t="s">
        <v>360</v>
      </c>
      <c r="N6439" s="14" t="s">
        <v>361</v>
      </c>
      <c r="O6439" s="14">
        <v>0.0</v>
      </c>
      <c r="P6439" s="23">
        <v>0.0</v>
      </c>
      <c r="Q6439" s="22" t="str">
        <f t="shared" ref="Q6439:R6439" si="3838">"+0.00%"</f>
        <v>+0.00%</v>
      </c>
      <c r="R6439" s="18" t="str">
        <f t="shared" si="3838"/>
        <v>+0.00%</v>
      </c>
      <c r="S6439" s="14" t="s">
        <v>404</v>
      </c>
    </row>
    <row r="6440">
      <c r="A6440" s="13">
        <v>45901.0</v>
      </c>
      <c r="B6440" s="14" t="s">
        <v>47</v>
      </c>
      <c r="C6440" s="14" t="s">
        <v>48</v>
      </c>
      <c r="D6440" s="14" t="s">
        <v>165</v>
      </c>
      <c r="E6440" s="14" t="s">
        <v>166</v>
      </c>
      <c r="F6440" s="15" t="s">
        <v>51</v>
      </c>
      <c r="G6440" s="14" t="s">
        <v>167</v>
      </c>
      <c r="H6440" s="14" t="s">
        <v>165</v>
      </c>
      <c r="I6440" s="14" t="s">
        <v>54</v>
      </c>
      <c r="J6440" s="14" t="s">
        <v>198</v>
      </c>
      <c r="K6440" s="14" t="s">
        <v>210</v>
      </c>
      <c r="L6440" s="14" t="s">
        <v>264</v>
      </c>
      <c r="M6440" s="14" t="s">
        <v>1274</v>
      </c>
      <c r="N6440" s="14" t="s">
        <v>1275</v>
      </c>
      <c r="O6440" s="14">
        <v>0.0</v>
      </c>
      <c r="P6440" s="21">
        <v>0.0</v>
      </c>
      <c r="Q6440" s="22" t="str">
        <f t="shared" ref="Q6440:R6440" si="3839">"+0"</f>
        <v>+0</v>
      </c>
      <c r="R6440" s="18" t="str">
        <f t="shared" si="3839"/>
        <v>+0</v>
      </c>
      <c r="S6440" s="14" t="s">
        <v>277</v>
      </c>
    </row>
    <row r="6441">
      <c r="A6441" s="13">
        <v>45901.0</v>
      </c>
      <c r="B6441" s="14" t="s">
        <v>47</v>
      </c>
      <c r="C6441" s="14" t="s">
        <v>48</v>
      </c>
      <c r="D6441" s="14" t="s">
        <v>165</v>
      </c>
      <c r="E6441" s="14" t="s">
        <v>166</v>
      </c>
      <c r="F6441" s="15" t="s">
        <v>51</v>
      </c>
      <c r="G6441" s="14" t="s">
        <v>167</v>
      </c>
      <c r="H6441" s="14" t="s">
        <v>165</v>
      </c>
      <c r="I6441" s="14" t="s">
        <v>54</v>
      </c>
      <c r="J6441" s="14" t="s">
        <v>198</v>
      </c>
      <c r="K6441" s="14" t="s">
        <v>210</v>
      </c>
      <c r="L6441" s="14" t="s">
        <v>505</v>
      </c>
      <c r="M6441" s="14" t="s">
        <v>506</v>
      </c>
      <c r="N6441" s="14" t="s">
        <v>507</v>
      </c>
      <c r="O6441" s="14">
        <v>0.0</v>
      </c>
      <c r="P6441" s="21">
        <v>94.0</v>
      </c>
      <c r="Q6441" s="22" t="str">
        <f>"+90"</f>
        <v>+90</v>
      </c>
      <c r="R6441" s="18" t="str">
        <f>"+78"</f>
        <v>+78</v>
      </c>
      <c r="S6441" s="14" t="s">
        <v>2689</v>
      </c>
    </row>
    <row r="6442">
      <c r="A6442" s="13">
        <v>45901.0</v>
      </c>
      <c r="B6442" s="14" t="s">
        <v>47</v>
      </c>
      <c r="C6442" s="14" t="s">
        <v>48</v>
      </c>
      <c r="D6442" s="14" t="s">
        <v>91</v>
      </c>
      <c r="E6442" s="14" t="s">
        <v>92</v>
      </c>
      <c r="F6442" s="14" t="s">
        <v>71</v>
      </c>
      <c r="G6442" s="14">
        <v>1.00004432E8</v>
      </c>
      <c r="H6442" s="14" t="s">
        <v>91</v>
      </c>
      <c r="I6442" s="14" t="s">
        <v>59</v>
      </c>
      <c r="J6442" s="14" t="s">
        <v>199</v>
      </c>
      <c r="K6442" s="14" t="s">
        <v>206</v>
      </c>
      <c r="L6442" s="14" t="s">
        <v>569</v>
      </c>
      <c r="M6442" s="14" t="s">
        <v>569</v>
      </c>
      <c r="N6442" s="14" t="s">
        <v>570</v>
      </c>
      <c r="O6442" s="14">
        <v>100.0</v>
      </c>
      <c r="P6442" s="21">
        <v>10.0</v>
      </c>
      <c r="Q6442" s="22" t="str">
        <f>"-2"</f>
        <v>-2</v>
      </c>
      <c r="R6442" s="18" t="str">
        <f>"-7"</f>
        <v>-7</v>
      </c>
      <c r="S6442" s="14" t="s">
        <v>383</v>
      </c>
    </row>
    <row r="6443">
      <c r="A6443" s="13">
        <v>45901.0</v>
      </c>
      <c r="B6443" s="14" t="s">
        <v>47</v>
      </c>
      <c r="C6443" s="14" t="s">
        <v>48</v>
      </c>
      <c r="D6443" s="14" t="s">
        <v>91</v>
      </c>
      <c r="E6443" s="14" t="s">
        <v>92</v>
      </c>
      <c r="F6443" s="14" t="s">
        <v>79</v>
      </c>
      <c r="G6443" s="14" t="s">
        <v>164</v>
      </c>
      <c r="H6443" s="14" t="s">
        <v>91</v>
      </c>
      <c r="I6443" s="14" t="s">
        <v>154</v>
      </c>
      <c r="J6443" s="14" t="s">
        <v>199</v>
      </c>
      <c r="K6443" s="14" t="s">
        <v>203</v>
      </c>
      <c r="L6443" s="14" t="s">
        <v>431</v>
      </c>
      <c r="M6443" s="14" t="s">
        <v>431</v>
      </c>
      <c r="N6443" s="14" t="s">
        <v>432</v>
      </c>
      <c r="O6443" s="14">
        <v>0.0</v>
      </c>
      <c r="P6443" s="21">
        <v>0.0</v>
      </c>
      <c r="Q6443" s="22" t="str">
        <f t="shared" ref="Q6443:R6443" si="3840">"+0"</f>
        <v>+0</v>
      </c>
      <c r="R6443" s="18" t="str">
        <f t="shared" si="3840"/>
        <v>+0</v>
      </c>
      <c r="S6443" s="14" t="s">
        <v>260</v>
      </c>
    </row>
    <row r="6444">
      <c r="A6444" s="13">
        <v>45901.0</v>
      </c>
      <c r="B6444" s="14" t="s">
        <v>47</v>
      </c>
      <c r="C6444" s="14" t="s">
        <v>48</v>
      </c>
      <c r="D6444" s="14" t="s">
        <v>63</v>
      </c>
      <c r="E6444" s="14" t="s">
        <v>64</v>
      </c>
      <c r="F6444" s="15" t="s">
        <v>51</v>
      </c>
      <c r="G6444" s="14" t="s">
        <v>65</v>
      </c>
      <c r="H6444" s="14" t="s">
        <v>63</v>
      </c>
      <c r="I6444" s="14" t="s">
        <v>54</v>
      </c>
      <c r="J6444" s="14" t="s">
        <v>200</v>
      </c>
      <c r="K6444" s="14" t="s">
        <v>222</v>
      </c>
      <c r="L6444" s="14" t="s">
        <v>253</v>
      </c>
      <c r="M6444" s="14" t="s">
        <v>1563</v>
      </c>
      <c r="N6444" s="14" t="s">
        <v>1564</v>
      </c>
      <c r="O6444" s="14">
        <v>100.0</v>
      </c>
      <c r="P6444" s="21">
        <v>1.0</v>
      </c>
      <c r="Q6444" s="22" t="str">
        <f t="shared" ref="Q6444:R6444" si="3841">"+0"</f>
        <v>+0</v>
      </c>
      <c r="R6444" s="18" t="str">
        <f t="shared" si="3841"/>
        <v>+0</v>
      </c>
      <c r="S6444" s="14" t="s">
        <v>260</v>
      </c>
    </row>
    <row r="6445">
      <c r="A6445" s="13">
        <v>45901.0</v>
      </c>
      <c r="B6445" s="14" t="s">
        <v>47</v>
      </c>
      <c r="C6445" s="14" t="s">
        <v>48</v>
      </c>
      <c r="D6445" s="14" t="s">
        <v>91</v>
      </c>
      <c r="E6445" s="14" t="s">
        <v>92</v>
      </c>
      <c r="F6445" s="15" t="s">
        <v>51</v>
      </c>
      <c r="G6445" s="14" t="s">
        <v>163</v>
      </c>
      <c r="H6445" s="14" t="s">
        <v>91</v>
      </c>
      <c r="I6445" s="14" t="s">
        <v>59</v>
      </c>
      <c r="J6445" s="14" t="s">
        <v>200</v>
      </c>
      <c r="K6445" s="14" t="s">
        <v>223</v>
      </c>
      <c r="L6445" s="14" t="s">
        <v>422</v>
      </c>
      <c r="M6445" s="14" t="s">
        <v>1197</v>
      </c>
      <c r="N6445" s="14" t="s">
        <v>1198</v>
      </c>
      <c r="O6445" s="14">
        <v>0.0</v>
      </c>
      <c r="P6445" s="23">
        <v>0.0</v>
      </c>
      <c r="Q6445" s="22" t="str">
        <f t="shared" ref="Q6445:R6445" si="3842">"+0.00%"</f>
        <v>+0.00%</v>
      </c>
      <c r="R6445" s="18" t="str">
        <f t="shared" si="3842"/>
        <v>+0.00%</v>
      </c>
      <c r="S6445" s="14" t="s">
        <v>285</v>
      </c>
    </row>
    <row r="6446">
      <c r="A6446" s="13">
        <v>45901.0</v>
      </c>
      <c r="B6446" s="14" t="s">
        <v>47</v>
      </c>
      <c r="C6446" s="14" t="s">
        <v>48</v>
      </c>
      <c r="D6446" s="14" t="s">
        <v>118</v>
      </c>
      <c r="E6446" s="14" t="s">
        <v>119</v>
      </c>
      <c r="F6446" s="15" t="s">
        <v>51</v>
      </c>
      <c r="G6446" s="14" t="s">
        <v>120</v>
      </c>
      <c r="H6446" s="14" t="s">
        <v>118</v>
      </c>
      <c r="I6446" s="14" t="s">
        <v>59</v>
      </c>
      <c r="J6446" s="14" t="s">
        <v>200</v>
      </c>
      <c r="K6446" s="14" t="s">
        <v>213</v>
      </c>
      <c r="L6446" s="14" t="s">
        <v>257</v>
      </c>
      <c r="M6446" s="14" t="s">
        <v>499</v>
      </c>
      <c r="N6446" s="14" t="s">
        <v>500</v>
      </c>
      <c r="O6446" s="14">
        <v>0.0</v>
      </c>
      <c r="P6446" s="23">
        <v>0.0</v>
      </c>
      <c r="Q6446" s="22" t="str">
        <f t="shared" ref="Q6446:R6446" si="3843">"+0.00%"</f>
        <v>+0.00%</v>
      </c>
      <c r="R6446" s="18" t="str">
        <f t="shared" si="3843"/>
        <v>+0.00%</v>
      </c>
      <c r="S6446" s="14" t="s">
        <v>2690</v>
      </c>
    </row>
    <row r="6447">
      <c r="A6447" s="13">
        <v>45901.0</v>
      </c>
      <c r="B6447" s="14" t="s">
        <v>47</v>
      </c>
      <c r="C6447" s="14" t="s">
        <v>48</v>
      </c>
      <c r="D6447" s="14" t="s">
        <v>91</v>
      </c>
      <c r="E6447" s="14" t="s">
        <v>92</v>
      </c>
      <c r="F6447" s="14" t="s">
        <v>71</v>
      </c>
      <c r="G6447" s="14">
        <v>5.00008343E8</v>
      </c>
      <c r="H6447" s="14" t="s">
        <v>91</v>
      </c>
      <c r="I6447" s="14" t="s">
        <v>59</v>
      </c>
      <c r="J6447" s="14" t="s">
        <v>199</v>
      </c>
      <c r="K6447" s="14" t="s">
        <v>206</v>
      </c>
      <c r="L6447" s="14" t="s">
        <v>569</v>
      </c>
      <c r="M6447" s="14" t="s">
        <v>569</v>
      </c>
      <c r="N6447" s="14" t="s">
        <v>570</v>
      </c>
      <c r="O6447" s="14">
        <v>100.0</v>
      </c>
      <c r="P6447" s="21">
        <v>10.0</v>
      </c>
      <c r="Q6447" s="22" t="str">
        <f>"-2"</f>
        <v>-2</v>
      </c>
      <c r="R6447" s="18" t="str">
        <f>"-7"</f>
        <v>-7</v>
      </c>
      <c r="S6447" s="14" t="s">
        <v>383</v>
      </c>
    </row>
    <row r="6448">
      <c r="A6448" s="13">
        <v>45901.0</v>
      </c>
      <c r="B6448" s="14" t="s">
        <v>47</v>
      </c>
      <c r="C6448" s="14" t="s">
        <v>48</v>
      </c>
      <c r="D6448" s="14" t="s">
        <v>91</v>
      </c>
      <c r="E6448" s="14" t="s">
        <v>92</v>
      </c>
      <c r="F6448" s="14" t="s">
        <v>79</v>
      </c>
      <c r="G6448" s="14" t="s">
        <v>164</v>
      </c>
      <c r="H6448" s="14" t="s">
        <v>91</v>
      </c>
      <c r="I6448" s="14" t="s">
        <v>154</v>
      </c>
      <c r="J6448" s="14" t="s">
        <v>199</v>
      </c>
      <c r="K6448" s="14" t="s">
        <v>206</v>
      </c>
      <c r="L6448" s="14" t="s">
        <v>433</v>
      </c>
      <c r="M6448" s="14" t="s">
        <v>433</v>
      </c>
      <c r="N6448" s="14" t="s">
        <v>434</v>
      </c>
      <c r="O6448" s="14">
        <v>100.0</v>
      </c>
      <c r="P6448" s="21">
        <v>101.0</v>
      </c>
      <c r="Q6448" s="22" t="str">
        <f>"-32"</f>
        <v>-32</v>
      </c>
      <c r="R6448" s="18" t="str">
        <f>"+4"</f>
        <v>+4</v>
      </c>
      <c r="S6448" s="14" t="s">
        <v>383</v>
      </c>
    </row>
    <row r="6449">
      <c r="A6449" s="13">
        <v>45901.0</v>
      </c>
      <c r="B6449" s="14" t="s">
        <v>47</v>
      </c>
      <c r="C6449" s="14" t="s">
        <v>48</v>
      </c>
      <c r="D6449" s="14" t="s">
        <v>118</v>
      </c>
      <c r="E6449" s="14" t="s">
        <v>119</v>
      </c>
      <c r="F6449" s="15" t="s">
        <v>51</v>
      </c>
      <c r="G6449" s="14" t="s">
        <v>120</v>
      </c>
      <c r="H6449" s="14" t="s">
        <v>118</v>
      </c>
      <c r="I6449" s="14" t="s">
        <v>59</v>
      </c>
      <c r="J6449" s="14" t="s">
        <v>198</v>
      </c>
      <c r="K6449" s="14" t="s">
        <v>205</v>
      </c>
      <c r="L6449" s="14" t="s">
        <v>274</v>
      </c>
      <c r="M6449" s="14" t="s">
        <v>387</v>
      </c>
      <c r="N6449" s="14" t="s">
        <v>388</v>
      </c>
      <c r="O6449" s="14">
        <v>0.0</v>
      </c>
      <c r="P6449" s="21">
        <v>0.0</v>
      </c>
      <c r="Q6449" s="22" t="str">
        <f>"+0"</f>
        <v>+0</v>
      </c>
      <c r="S6449" s="14" t="s">
        <v>281</v>
      </c>
    </row>
    <row r="6450">
      <c r="A6450" s="13">
        <v>45901.0</v>
      </c>
      <c r="B6450" s="14" t="s">
        <v>47</v>
      </c>
      <c r="C6450" s="14" t="s">
        <v>48</v>
      </c>
      <c r="D6450" s="14" t="s">
        <v>82</v>
      </c>
      <c r="E6450" s="14" t="s">
        <v>83</v>
      </c>
      <c r="F6450" s="15" t="s">
        <v>51</v>
      </c>
      <c r="G6450" s="14" t="s">
        <v>84</v>
      </c>
      <c r="H6450" s="14" t="s">
        <v>82</v>
      </c>
      <c r="I6450" s="14" t="s">
        <v>59</v>
      </c>
      <c r="J6450" s="14" t="s">
        <v>200</v>
      </c>
      <c r="K6450" s="14" t="s">
        <v>209</v>
      </c>
      <c r="L6450" s="14" t="s">
        <v>253</v>
      </c>
      <c r="M6450" s="14" t="s">
        <v>817</v>
      </c>
      <c r="N6450" s="14" t="s">
        <v>818</v>
      </c>
      <c r="O6450" s="14">
        <v>100.0</v>
      </c>
      <c r="P6450" s="23">
        <v>1.0</v>
      </c>
      <c r="Q6450" s="22" t="str">
        <f>"+2.44%"</f>
        <v>+2.44%</v>
      </c>
      <c r="R6450" s="18" t="str">
        <f>"+8.64%"</f>
        <v>+8.64%</v>
      </c>
      <c r="S6450" s="14" t="s">
        <v>1562</v>
      </c>
    </row>
    <row r="6451">
      <c r="A6451" s="13">
        <v>45901.0</v>
      </c>
      <c r="B6451" s="14" t="s">
        <v>47</v>
      </c>
      <c r="C6451" s="14" t="s">
        <v>48</v>
      </c>
      <c r="D6451" s="14" t="s">
        <v>192</v>
      </c>
      <c r="E6451" s="14" t="s">
        <v>193</v>
      </c>
      <c r="F6451" s="15" t="s">
        <v>51</v>
      </c>
      <c r="G6451" s="14" t="s">
        <v>194</v>
      </c>
      <c r="H6451" s="14" t="s">
        <v>192</v>
      </c>
      <c r="I6451" s="14" t="s">
        <v>54</v>
      </c>
      <c r="J6451" s="14" t="s">
        <v>200</v>
      </c>
      <c r="K6451" s="14" t="s">
        <v>223</v>
      </c>
      <c r="L6451" s="14" t="s">
        <v>487</v>
      </c>
      <c r="M6451" s="14" t="s">
        <v>670</v>
      </c>
      <c r="N6451" s="14" t="s">
        <v>671</v>
      </c>
      <c r="O6451" s="14">
        <v>100.0</v>
      </c>
      <c r="P6451" s="21">
        <v>3.0</v>
      </c>
      <c r="Q6451" s="22" t="str">
        <f t="shared" ref="Q6451:R6451" si="3844">"+0"</f>
        <v>+0</v>
      </c>
      <c r="R6451" s="18" t="str">
        <f t="shared" si="3844"/>
        <v>+0</v>
      </c>
      <c r="S6451" s="14" t="s">
        <v>260</v>
      </c>
    </row>
    <row r="6452">
      <c r="A6452" s="13">
        <v>45901.0</v>
      </c>
      <c r="B6452" s="14" t="s">
        <v>47</v>
      </c>
      <c r="C6452" s="14" t="s">
        <v>48</v>
      </c>
      <c r="D6452" s="14" t="s">
        <v>143</v>
      </c>
      <c r="E6452" s="14" t="s">
        <v>144</v>
      </c>
      <c r="F6452" s="15" t="s">
        <v>51</v>
      </c>
      <c r="G6452" s="14" t="s">
        <v>145</v>
      </c>
      <c r="H6452" s="14" t="s">
        <v>143</v>
      </c>
      <c r="I6452" s="14" t="s">
        <v>59</v>
      </c>
      <c r="J6452" s="14" t="s">
        <v>200</v>
      </c>
      <c r="K6452" s="14" t="s">
        <v>232</v>
      </c>
      <c r="L6452" s="14" t="s">
        <v>304</v>
      </c>
      <c r="M6452" s="14" t="s">
        <v>877</v>
      </c>
      <c r="N6452" s="14" t="s">
        <v>878</v>
      </c>
      <c r="O6452" s="14">
        <v>7.0</v>
      </c>
      <c r="P6452" s="23">
        <v>0.0769</v>
      </c>
      <c r="Q6452" s="22" t="str">
        <f>"+3.34%"</f>
        <v>+3.34%</v>
      </c>
      <c r="R6452" s="18" t="str">
        <f>"-1.99%"</f>
        <v>-1.99%</v>
      </c>
      <c r="S6452" s="14" t="s">
        <v>2691</v>
      </c>
    </row>
    <row r="6453">
      <c r="A6453" s="13">
        <v>45901.0</v>
      </c>
      <c r="B6453" s="14" t="s">
        <v>47</v>
      </c>
      <c r="C6453" s="14" t="s">
        <v>48</v>
      </c>
      <c r="D6453" s="14" t="s">
        <v>136</v>
      </c>
      <c r="E6453" s="14" t="s">
        <v>137</v>
      </c>
      <c r="F6453" s="15" t="s">
        <v>51</v>
      </c>
      <c r="G6453" s="14" t="s">
        <v>138</v>
      </c>
      <c r="H6453" s="14" t="s">
        <v>139</v>
      </c>
      <c r="I6453" s="14" t="s">
        <v>59</v>
      </c>
      <c r="J6453" s="14" t="s">
        <v>199</v>
      </c>
      <c r="K6453" s="14" t="s">
        <v>206</v>
      </c>
      <c r="L6453" s="14" t="s">
        <v>295</v>
      </c>
      <c r="M6453" s="14" t="s">
        <v>529</v>
      </c>
      <c r="N6453" s="14" t="s">
        <v>530</v>
      </c>
      <c r="O6453" s="14">
        <v>100.0</v>
      </c>
      <c r="P6453" s="21">
        <v>2.0</v>
      </c>
      <c r="Q6453" s="22" t="str">
        <f t="shared" ref="Q6453:R6453" si="3845">"+0"</f>
        <v>+0</v>
      </c>
      <c r="R6453" s="18" t="str">
        <f t="shared" si="3845"/>
        <v>+0</v>
      </c>
      <c r="S6453" s="14" t="s">
        <v>260</v>
      </c>
    </row>
    <row r="6454">
      <c r="A6454" s="13">
        <v>45901.0</v>
      </c>
      <c r="B6454" s="14" t="s">
        <v>47</v>
      </c>
      <c r="C6454" s="14" t="s">
        <v>48</v>
      </c>
      <c r="D6454" s="14" t="s">
        <v>112</v>
      </c>
      <c r="E6454" s="14" t="s">
        <v>113</v>
      </c>
      <c r="F6454" s="15" t="s">
        <v>51</v>
      </c>
      <c r="G6454" s="14" t="s">
        <v>114</v>
      </c>
      <c r="H6454" s="14" t="s">
        <v>112</v>
      </c>
      <c r="I6454" s="14" t="s">
        <v>59</v>
      </c>
      <c r="J6454" s="14" t="s">
        <v>198</v>
      </c>
      <c r="K6454" s="14" t="s">
        <v>210</v>
      </c>
      <c r="L6454" s="14" t="s">
        <v>264</v>
      </c>
      <c r="M6454" s="14" t="s">
        <v>524</v>
      </c>
      <c r="N6454" s="14" t="s">
        <v>525</v>
      </c>
      <c r="O6454" s="14">
        <v>100.0</v>
      </c>
      <c r="P6454" s="21">
        <v>0.0</v>
      </c>
      <c r="Q6454" s="22" t="str">
        <f t="shared" ref="Q6454:R6454" si="3846">"+0"</f>
        <v>+0</v>
      </c>
      <c r="R6454" s="18" t="str">
        <f t="shared" si="3846"/>
        <v>+0</v>
      </c>
      <c r="S6454" s="14" t="s">
        <v>281</v>
      </c>
    </row>
    <row r="6455">
      <c r="A6455" s="13">
        <v>45901.0</v>
      </c>
      <c r="B6455" s="14" t="s">
        <v>47</v>
      </c>
      <c r="C6455" s="14" t="s">
        <v>48</v>
      </c>
      <c r="D6455" s="14" t="s">
        <v>63</v>
      </c>
      <c r="E6455" s="14" t="s">
        <v>64</v>
      </c>
      <c r="F6455" s="15" t="s">
        <v>51</v>
      </c>
      <c r="G6455" s="14" t="s">
        <v>65</v>
      </c>
      <c r="H6455" s="14" t="s">
        <v>63</v>
      </c>
      <c r="I6455" s="14" t="s">
        <v>54</v>
      </c>
      <c r="J6455" s="14" t="s">
        <v>198</v>
      </c>
      <c r="K6455" s="14" t="s">
        <v>210</v>
      </c>
      <c r="L6455" s="14" t="s">
        <v>264</v>
      </c>
      <c r="M6455" s="14" t="s">
        <v>2529</v>
      </c>
      <c r="N6455" s="14" t="s">
        <v>2530</v>
      </c>
      <c r="O6455" s="14">
        <v>100.0</v>
      </c>
      <c r="P6455" s="21">
        <v>100.0</v>
      </c>
      <c r="Q6455" s="22"/>
      <c r="S6455" s="14" t="s">
        <v>327</v>
      </c>
    </row>
    <row r="6456">
      <c r="A6456" s="13">
        <v>45901.0</v>
      </c>
      <c r="B6456" s="14" t="s">
        <v>47</v>
      </c>
      <c r="C6456" s="14" t="s">
        <v>48</v>
      </c>
      <c r="D6456" s="14" t="s">
        <v>192</v>
      </c>
      <c r="E6456" s="14" t="s">
        <v>193</v>
      </c>
      <c r="F6456" s="15" t="s">
        <v>51</v>
      </c>
      <c r="G6456" s="14" t="s">
        <v>194</v>
      </c>
      <c r="H6456" s="14" t="s">
        <v>192</v>
      </c>
      <c r="I6456" s="14" t="s">
        <v>54</v>
      </c>
      <c r="J6456" s="14" t="s">
        <v>198</v>
      </c>
      <c r="K6456" s="14" t="s">
        <v>210</v>
      </c>
      <c r="L6456" s="14" t="s">
        <v>278</v>
      </c>
      <c r="M6456" s="14" t="s">
        <v>279</v>
      </c>
      <c r="N6456" s="14" t="s">
        <v>280</v>
      </c>
      <c r="O6456" s="14">
        <v>100.0</v>
      </c>
      <c r="P6456" s="21">
        <v>0.0</v>
      </c>
      <c r="Q6456" s="22" t="str">
        <f t="shared" ref="Q6456:R6456" si="3847">"+0"</f>
        <v>+0</v>
      </c>
      <c r="R6456" s="18" t="str">
        <f t="shared" si="3847"/>
        <v>+0</v>
      </c>
      <c r="S6456" s="14" t="s">
        <v>281</v>
      </c>
    </row>
    <row r="6457">
      <c r="A6457" s="13">
        <v>45901.0</v>
      </c>
      <c r="B6457" s="14" t="s">
        <v>47</v>
      </c>
      <c r="C6457" s="14" t="s">
        <v>48</v>
      </c>
      <c r="D6457" s="14" t="s">
        <v>66</v>
      </c>
      <c r="E6457" s="14" t="s">
        <v>67</v>
      </c>
      <c r="F6457" s="15" t="s">
        <v>51</v>
      </c>
      <c r="G6457" s="14" t="s">
        <v>68</v>
      </c>
      <c r="H6457" s="14" t="s">
        <v>66</v>
      </c>
      <c r="I6457" s="14" t="s">
        <v>59</v>
      </c>
      <c r="J6457" s="14" t="s">
        <v>199</v>
      </c>
      <c r="K6457" s="14" t="s">
        <v>206</v>
      </c>
      <c r="L6457" s="14" t="s">
        <v>295</v>
      </c>
      <c r="M6457" s="14" t="s">
        <v>296</v>
      </c>
      <c r="N6457" s="14" t="s">
        <v>297</v>
      </c>
      <c r="O6457" s="14">
        <v>0.0</v>
      </c>
      <c r="P6457" s="21">
        <v>0.0</v>
      </c>
      <c r="Q6457" s="22" t="str">
        <f t="shared" ref="Q6457:R6457" si="3848">"+0"</f>
        <v>+0</v>
      </c>
      <c r="R6457" s="18" t="str">
        <f t="shared" si="3848"/>
        <v>+0</v>
      </c>
      <c r="S6457" s="14" t="s">
        <v>260</v>
      </c>
    </row>
    <row r="6458">
      <c r="A6458" s="13">
        <v>45901.0</v>
      </c>
      <c r="B6458" s="14" t="s">
        <v>47</v>
      </c>
      <c r="C6458" s="14" t="s">
        <v>48</v>
      </c>
      <c r="D6458" s="14" t="s">
        <v>143</v>
      </c>
      <c r="E6458" s="14" t="s">
        <v>144</v>
      </c>
      <c r="F6458" s="15" t="s">
        <v>51</v>
      </c>
      <c r="G6458" s="14" t="s">
        <v>145</v>
      </c>
      <c r="H6458" s="14" t="s">
        <v>143</v>
      </c>
      <c r="I6458" s="14" t="s">
        <v>59</v>
      </c>
      <c r="J6458" s="14" t="s">
        <v>198</v>
      </c>
      <c r="K6458" s="14" t="s">
        <v>205</v>
      </c>
      <c r="L6458" s="14" t="s">
        <v>274</v>
      </c>
      <c r="M6458" s="14" t="s">
        <v>448</v>
      </c>
      <c r="N6458" s="14" t="s">
        <v>449</v>
      </c>
      <c r="O6458" s="14">
        <v>100.0</v>
      </c>
      <c r="P6458" s="21">
        <v>3.0</v>
      </c>
      <c r="Q6458" s="22" t="str">
        <f t="shared" ref="Q6458:Q6459" si="3849">"+0"</f>
        <v>+0</v>
      </c>
      <c r="S6458" s="14" t="s">
        <v>450</v>
      </c>
    </row>
    <row r="6459">
      <c r="A6459" s="13">
        <v>45901.0</v>
      </c>
      <c r="B6459" s="14" t="s">
        <v>47</v>
      </c>
      <c r="C6459" s="14" t="s">
        <v>48</v>
      </c>
      <c r="D6459" s="14" t="s">
        <v>132</v>
      </c>
      <c r="E6459" s="14" t="s">
        <v>133</v>
      </c>
      <c r="F6459" s="15" t="s">
        <v>51</v>
      </c>
      <c r="G6459" s="14" t="s">
        <v>134</v>
      </c>
      <c r="H6459" s="14" t="s">
        <v>135</v>
      </c>
      <c r="I6459" s="14" t="s">
        <v>59</v>
      </c>
      <c r="J6459" s="14" t="s">
        <v>200</v>
      </c>
      <c r="K6459" s="14" t="s">
        <v>222</v>
      </c>
      <c r="L6459" s="14" t="s">
        <v>337</v>
      </c>
      <c r="M6459" s="14" t="s">
        <v>338</v>
      </c>
      <c r="N6459" s="14" t="s">
        <v>339</v>
      </c>
      <c r="O6459" s="14">
        <v>0.0</v>
      </c>
      <c r="P6459" s="21">
        <v>0.0</v>
      </c>
      <c r="Q6459" s="22" t="str">
        <f t="shared" si="3849"/>
        <v>+0</v>
      </c>
      <c r="R6459" s="18" t="str">
        <f>"+0"</f>
        <v>+0</v>
      </c>
      <c r="S6459" s="14" t="s">
        <v>260</v>
      </c>
    </row>
    <row r="6460">
      <c r="A6460" s="13">
        <v>45901.0</v>
      </c>
      <c r="B6460" s="14" t="s">
        <v>47</v>
      </c>
      <c r="C6460" s="14" t="s">
        <v>48</v>
      </c>
      <c r="D6460" s="14" t="s">
        <v>73</v>
      </c>
      <c r="E6460" s="14" t="s">
        <v>74</v>
      </c>
      <c r="F6460" s="15" t="s">
        <v>51</v>
      </c>
      <c r="G6460" s="14" t="s">
        <v>75</v>
      </c>
      <c r="H6460" s="14" t="s">
        <v>76</v>
      </c>
      <c r="I6460" s="14" t="s">
        <v>59</v>
      </c>
      <c r="J6460" s="14" t="s">
        <v>200</v>
      </c>
      <c r="K6460" s="14" t="s">
        <v>227</v>
      </c>
      <c r="L6460" s="14" t="s">
        <v>721</v>
      </c>
      <c r="M6460" s="14" t="s">
        <v>748</v>
      </c>
      <c r="N6460" s="14" t="s">
        <v>749</v>
      </c>
      <c r="O6460" s="14">
        <v>0.0</v>
      </c>
      <c r="P6460" s="23">
        <v>-1.0</v>
      </c>
      <c r="Q6460" s="22" t="str">
        <f t="shared" ref="Q6460:R6460" si="3850">"+0.00%"</f>
        <v>+0.00%</v>
      </c>
      <c r="R6460" s="18" t="str">
        <f t="shared" si="3850"/>
        <v>+0.00%</v>
      </c>
      <c r="S6460" s="14" t="s">
        <v>750</v>
      </c>
    </row>
    <row r="6461">
      <c r="A6461" s="13">
        <v>45901.0</v>
      </c>
      <c r="B6461" s="14" t="s">
        <v>47</v>
      </c>
      <c r="C6461" s="14" t="s">
        <v>48</v>
      </c>
      <c r="D6461" s="14" t="s">
        <v>132</v>
      </c>
      <c r="E6461" s="14" t="s">
        <v>133</v>
      </c>
      <c r="F6461" s="15" t="s">
        <v>51</v>
      </c>
      <c r="G6461" s="14" t="s">
        <v>134</v>
      </c>
      <c r="H6461" s="14" t="s">
        <v>135</v>
      </c>
      <c r="I6461" s="14" t="s">
        <v>59</v>
      </c>
      <c r="J6461" s="14" t="s">
        <v>200</v>
      </c>
      <c r="K6461" s="14" t="s">
        <v>227</v>
      </c>
      <c r="L6461" s="14" t="s">
        <v>270</v>
      </c>
      <c r="M6461" s="14" t="s">
        <v>417</v>
      </c>
      <c r="N6461" s="14" t="s">
        <v>418</v>
      </c>
      <c r="O6461" s="14">
        <v>0.0</v>
      </c>
      <c r="P6461" s="21">
        <v>0.0</v>
      </c>
      <c r="Q6461" s="22" t="str">
        <f t="shared" ref="Q6461:R6461" si="3851">"+0"</f>
        <v>+0</v>
      </c>
      <c r="R6461" s="18" t="str">
        <f t="shared" si="3851"/>
        <v>+0</v>
      </c>
      <c r="S6461" s="14" t="s">
        <v>260</v>
      </c>
    </row>
    <row r="6462">
      <c r="A6462" s="13">
        <v>45901.0</v>
      </c>
      <c r="B6462" s="14" t="s">
        <v>47</v>
      </c>
      <c r="C6462" s="14" t="s">
        <v>48</v>
      </c>
      <c r="D6462" s="14" t="s">
        <v>87</v>
      </c>
      <c r="E6462" s="14" t="s">
        <v>88</v>
      </c>
      <c r="F6462" s="15" t="s">
        <v>51</v>
      </c>
      <c r="G6462" s="14" t="s">
        <v>89</v>
      </c>
      <c r="H6462" s="14" t="s">
        <v>90</v>
      </c>
      <c r="I6462" s="14" t="s">
        <v>59</v>
      </c>
      <c r="J6462" s="14" t="s">
        <v>199</v>
      </c>
      <c r="K6462" s="14" t="s">
        <v>206</v>
      </c>
      <c r="L6462" s="14" t="s">
        <v>295</v>
      </c>
      <c r="M6462" s="14" t="s">
        <v>986</v>
      </c>
      <c r="N6462" s="14" t="s">
        <v>987</v>
      </c>
      <c r="O6462" s="14">
        <v>0.0</v>
      </c>
      <c r="P6462" s="21">
        <v>0.0</v>
      </c>
      <c r="Q6462" s="22" t="str">
        <f t="shared" ref="Q6462:R6462" si="3852">"-2"</f>
        <v>-2</v>
      </c>
      <c r="R6462" s="18" t="str">
        <f t="shared" si="3852"/>
        <v>-2</v>
      </c>
      <c r="S6462" s="14" t="s">
        <v>260</v>
      </c>
    </row>
    <row r="6463">
      <c r="A6463" s="13">
        <v>45901.0</v>
      </c>
      <c r="B6463" s="14" t="s">
        <v>47</v>
      </c>
      <c r="C6463" s="14" t="s">
        <v>48</v>
      </c>
      <c r="D6463" s="14" t="s">
        <v>171</v>
      </c>
      <c r="E6463" s="14" t="s">
        <v>172</v>
      </c>
      <c r="F6463" s="15" t="s">
        <v>51</v>
      </c>
      <c r="G6463" s="14" t="s">
        <v>173</v>
      </c>
      <c r="H6463" s="14" t="s">
        <v>171</v>
      </c>
      <c r="I6463" s="14" t="s">
        <v>59</v>
      </c>
      <c r="J6463" s="14" t="s">
        <v>200</v>
      </c>
      <c r="K6463" s="14" t="s">
        <v>202</v>
      </c>
      <c r="L6463" s="14" t="s">
        <v>253</v>
      </c>
      <c r="M6463" s="14" t="s">
        <v>347</v>
      </c>
      <c r="N6463" s="14" t="s">
        <v>348</v>
      </c>
      <c r="O6463" s="14">
        <v>0.0</v>
      </c>
      <c r="P6463" s="23">
        <v>0.0</v>
      </c>
      <c r="Q6463" s="22" t="str">
        <f t="shared" ref="Q6463:R6463" si="3853">"+0.00%"</f>
        <v>+0.00%</v>
      </c>
      <c r="R6463" s="18" t="str">
        <f t="shared" si="3853"/>
        <v>+0.00%</v>
      </c>
      <c r="S6463" s="14" t="s">
        <v>603</v>
      </c>
    </row>
    <row r="6464">
      <c r="A6464" s="13">
        <v>45901.0</v>
      </c>
      <c r="B6464" s="14" t="s">
        <v>47</v>
      </c>
      <c r="C6464" s="14" t="s">
        <v>48</v>
      </c>
      <c r="D6464" s="14" t="s">
        <v>136</v>
      </c>
      <c r="E6464" s="14" t="s">
        <v>137</v>
      </c>
      <c r="F6464" s="15" t="s">
        <v>51</v>
      </c>
      <c r="G6464" s="14" t="s">
        <v>138</v>
      </c>
      <c r="H6464" s="14" t="s">
        <v>139</v>
      </c>
      <c r="I6464" s="14" t="s">
        <v>59</v>
      </c>
      <c r="J6464" s="14" t="s">
        <v>199</v>
      </c>
      <c r="K6464" s="14" t="s">
        <v>203</v>
      </c>
      <c r="L6464" s="14" t="s">
        <v>601</v>
      </c>
      <c r="M6464" s="14" t="s">
        <v>601</v>
      </c>
      <c r="N6464" s="14" t="s">
        <v>602</v>
      </c>
      <c r="O6464" s="14">
        <v>0.0</v>
      </c>
      <c r="P6464" s="21">
        <v>0.0</v>
      </c>
      <c r="Q6464" s="22" t="str">
        <f t="shared" ref="Q6464:R6464" si="3854">"+0"</f>
        <v>+0</v>
      </c>
      <c r="R6464" s="18" t="str">
        <f t="shared" si="3854"/>
        <v>+0</v>
      </c>
      <c r="S6464" s="14" t="s">
        <v>260</v>
      </c>
    </row>
    <row r="6465">
      <c r="A6465" s="13">
        <v>45901.0</v>
      </c>
      <c r="B6465" s="14" t="s">
        <v>47</v>
      </c>
      <c r="C6465" s="14" t="s">
        <v>48</v>
      </c>
      <c r="D6465" s="14" t="s">
        <v>149</v>
      </c>
      <c r="E6465" s="14" t="s">
        <v>150</v>
      </c>
      <c r="F6465" s="15" t="s">
        <v>51</v>
      </c>
      <c r="G6465" s="14" t="s">
        <v>151</v>
      </c>
      <c r="H6465" s="14" t="s">
        <v>152</v>
      </c>
      <c r="I6465" s="14" t="s">
        <v>54</v>
      </c>
      <c r="J6465" s="14" t="s">
        <v>200</v>
      </c>
      <c r="K6465" s="14" t="s">
        <v>224</v>
      </c>
      <c r="L6465" s="14" t="s">
        <v>594</v>
      </c>
      <c r="M6465" s="14" t="s">
        <v>1795</v>
      </c>
      <c r="N6465" s="14" t="s">
        <v>1796</v>
      </c>
      <c r="O6465" s="14">
        <v>0.0</v>
      </c>
      <c r="P6465" s="23">
        <v>0.0</v>
      </c>
      <c r="Q6465" s="22" t="str">
        <f t="shared" ref="Q6465:R6465" si="3855">"+0.00%"</f>
        <v>+0.00%</v>
      </c>
      <c r="R6465" s="18" t="str">
        <f t="shared" si="3855"/>
        <v>+0.00%</v>
      </c>
      <c r="S6465" s="14" t="s">
        <v>1626</v>
      </c>
    </row>
    <row r="6466">
      <c r="A6466" s="13">
        <v>45901.0</v>
      </c>
      <c r="B6466" s="14" t="s">
        <v>47</v>
      </c>
      <c r="C6466" s="14" t="s">
        <v>48</v>
      </c>
      <c r="D6466" s="14" t="s">
        <v>69</v>
      </c>
      <c r="E6466" s="14" t="s">
        <v>70</v>
      </c>
      <c r="F6466" s="15" t="s">
        <v>51</v>
      </c>
      <c r="G6466" s="14" t="s">
        <v>115</v>
      </c>
      <c r="H6466" s="14" t="s">
        <v>72</v>
      </c>
      <c r="I6466" s="14" t="s">
        <v>54</v>
      </c>
      <c r="J6466" s="14" t="s">
        <v>200</v>
      </c>
      <c r="K6466" s="14" t="s">
        <v>219</v>
      </c>
      <c r="L6466" s="14" t="s">
        <v>253</v>
      </c>
      <c r="M6466" s="14" t="s">
        <v>1614</v>
      </c>
      <c r="N6466" s="14" t="s">
        <v>1615</v>
      </c>
      <c r="O6466" s="14">
        <v>100.0</v>
      </c>
      <c r="P6466" s="23">
        <v>1.0</v>
      </c>
      <c r="Q6466" s="22" t="str">
        <f t="shared" ref="Q6466:R6466" si="3856">"+0.00%"</f>
        <v>+0.00%</v>
      </c>
      <c r="R6466" s="18" t="str">
        <f t="shared" si="3856"/>
        <v>+0.00%</v>
      </c>
      <c r="S6466" s="14" t="s">
        <v>285</v>
      </c>
    </row>
    <row r="6467">
      <c r="A6467" s="13">
        <v>45901.0</v>
      </c>
      <c r="B6467" s="14" t="s">
        <v>47</v>
      </c>
      <c r="C6467" s="14" t="s">
        <v>48</v>
      </c>
      <c r="D6467" s="14" t="s">
        <v>85</v>
      </c>
      <c r="E6467" s="14" t="s">
        <v>86</v>
      </c>
      <c r="F6467" s="14" t="s">
        <v>146</v>
      </c>
      <c r="G6467" s="14" t="s">
        <v>162</v>
      </c>
      <c r="H6467" s="14" t="s">
        <v>85</v>
      </c>
      <c r="I6467" s="14" t="s">
        <v>107</v>
      </c>
      <c r="J6467" s="14" t="s">
        <v>199</v>
      </c>
      <c r="K6467" s="14" t="s">
        <v>206</v>
      </c>
      <c r="L6467" s="14" t="s">
        <v>268</v>
      </c>
      <c r="M6467" s="14" t="s">
        <v>268</v>
      </c>
      <c r="N6467" s="14" t="s">
        <v>269</v>
      </c>
      <c r="O6467" s="14">
        <v>0.0</v>
      </c>
      <c r="P6467" s="21">
        <v>0.0</v>
      </c>
      <c r="Q6467" s="22" t="str">
        <f t="shared" ref="Q6467:R6467" si="3857">"+0"</f>
        <v>+0</v>
      </c>
      <c r="R6467" s="18" t="str">
        <f t="shared" si="3857"/>
        <v>+0</v>
      </c>
      <c r="S6467" s="14" t="s">
        <v>260</v>
      </c>
    </row>
    <row r="6468">
      <c r="A6468" s="13">
        <v>45901.0</v>
      </c>
      <c r="B6468" s="14" t="s">
        <v>47</v>
      </c>
      <c r="C6468" s="14" t="s">
        <v>48</v>
      </c>
      <c r="D6468" s="14" t="s">
        <v>69</v>
      </c>
      <c r="E6468" s="14" t="s">
        <v>70</v>
      </c>
      <c r="F6468" s="15" t="s">
        <v>51</v>
      </c>
      <c r="G6468" s="14" t="s">
        <v>115</v>
      </c>
      <c r="H6468" s="14" t="s">
        <v>72</v>
      </c>
      <c r="I6468" s="14" t="s">
        <v>54</v>
      </c>
      <c r="J6468" s="14" t="s">
        <v>200</v>
      </c>
      <c r="K6468" s="14" t="s">
        <v>211</v>
      </c>
      <c r="L6468" s="14" t="s">
        <v>253</v>
      </c>
      <c r="M6468" s="14" t="s">
        <v>2185</v>
      </c>
      <c r="N6468" s="14" t="s">
        <v>2186</v>
      </c>
      <c r="O6468" s="14">
        <v>0.0</v>
      </c>
      <c r="P6468" s="23">
        <v>0.0</v>
      </c>
      <c r="Q6468" s="22" t="str">
        <f t="shared" ref="Q6468:R6468" si="3858">"+0.00%"</f>
        <v>+0.00%</v>
      </c>
      <c r="R6468" s="18" t="str">
        <f t="shared" si="3858"/>
        <v>+0.00%</v>
      </c>
      <c r="S6468" s="14" t="s">
        <v>1471</v>
      </c>
    </row>
    <row r="6469">
      <c r="A6469" s="13">
        <v>45901.0</v>
      </c>
      <c r="B6469" s="14" t="s">
        <v>47</v>
      </c>
      <c r="C6469" s="14" t="s">
        <v>48</v>
      </c>
      <c r="D6469" s="14" t="s">
        <v>96</v>
      </c>
      <c r="E6469" s="14" t="s">
        <v>97</v>
      </c>
      <c r="F6469" s="15" t="s">
        <v>51</v>
      </c>
      <c r="G6469" s="14" t="s">
        <v>98</v>
      </c>
      <c r="H6469" s="14" t="s">
        <v>96</v>
      </c>
      <c r="I6469" s="14" t="s">
        <v>59</v>
      </c>
      <c r="J6469" s="14" t="s">
        <v>200</v>
      </c>
      <c r="K6469" s="14" t="s">
        <v>223</v>
      </c>
      <c r="L6469" s="14" t="s">
        <v>307</v>
      </c>
      <c r="M6469" s="14" t="s">
        <v>308</v>
      </c>
      <c r="N6469" s="14" t="s">
        <v>309</v>
      </c>
      <c r="O6469" s="14">
        <v>0.0</v>
      </c>
      <c r="P6469" s="23">
        <v>0.0</v>
      </c>
      <c r="Q6469" s="22" t="str">
        <f t="shared" ref="Q6469:R6469" si="3859">"+0.00%"</f>
        <v>+0.00%</v>
      </c>
      <c r="R6469" s="18" t="str">
        <f t="shared" si="3859"/>
        <v>+0.00%</v>
      </c>
      <c r="S6469" s="14" t="s">
        <v>285</v>
      </c>
    </row>
    <row r="6470">
      <c r="A6470" s="13">
        <v>45901.0</v>
      </c>
      <c r="B6470" s="14" t="s">
        <v>47</v>
      </c>
      <c r="C6470" s="14" t="s">
        <v>48</v>
      </c>
      <c r="D6470" s="14" t="s">
        <v>125</v>
      </c>
      <c r="E6470" s="14" t="s">
        <v>126</v>
      </c>
      <c r="F6470" s="15" t="s">
        <v>51</v>
      </c>
      <c r="G6470" s="14" t="s">
        <v>127</v>
      </c>
      <c r="H6470" s="14" t="s">
        <v>125</v>
      </c>
      <c r="I6470" s="14" t="s">
        <v>59</v>
      </c>
      <c r="J6470" s="14" t="s">
        <v>200</v>
      </c>
      <c r="K6470" s="14" t="s">
        <v>232</v>
      </c>
      <c r="L6470" s="14" t="s">
        <v>253</v>
      </c>
      <c r="M6470" s="14" t="s">
        <v>366</v>
      </c>
      <c r="N6470" s="14" t="s">
        <v>367</v>
      </c>
      <c r="O6470" s="14">
        <v>80.0</v>
      </c>
      <c r="P6470" s="23">
        <v>0.8</v>
      </c>
      <c r="Q6470" s="22" t="str">
        <f t="shared" ref="Q6470:R6470" si="3860">"+0.00%"</f>
        <v>+0.00%</v>
      </c>
      <c r="R6470" s="18" t="str">
        <f t="shared" si="3860"/>
        <v>+0.00%</v>
      </c>
      <c r="S6470" s="14" t="s">
        <v>2692</v>
      </c>
    </row>
    <row r="6471">
      <c r="A6471" s="13">
        <v>45901.0</v>
      </c>
      <c r="B6471" s="14" t="s">
        <v>47</v>
      </c>
      <c r="C6471" s="14" t="s">
        <v>48</v>
      </c>
      <c r="D6471" s="14" t="s">
        <v>108</v>
      </c>
      <c r="E6471" s="14" t="s">
        <v>109</v>
      </c>
      <c r="F6471" s="15" t="s">
        <v>51</v>
      </c>
      <c r="G6471" s="14" t="s">
        <v>110</v>
      </c>
      <c r="H6471" s="14" t="s">
        <v>108</v>
      </c>
      <c r="I6471" s="14" t="s">
        <v>59</v>
      </c>
      <c r="J6471" s="14" t="s">
        <v>200</v>
      </c>
      <c r="K6471" s="14" t="s">
        <v>233</v>
      </c>
      <c r="L6471" s="14" t="s">
        <v>253</v>
      </c>
      <c r="M6471" s="14" t="s">
        <v>366</v>
      </c>
      <c r="N6471" s="14" t="s">
        <v>367</v>
      </c>
      <c r="O6471" s="14">
        <v>0.0</v>
      </c>
      <c r="P6471" s="23">
        <v>0.0</v>
      </c>
      <c r="Q6471" s="22" t="str">
        <f>"+0.00%"</f>
        <v>+0.00%</v>
      </c>
      <c r="S6471" s="14" t="s">
        <v>371</v>
      </c>
    </row>
    <row r="6472">
      <c r="A6472" s="13">
        <v>45901.0</v>
      </c>
      <c r="B6472" s="14" t="s">
        <v>47</v>
      </c>
      <c r="C6472" s="14" t="s">
        <v>48</v>
      </c>
      <c r="D6472" s="14" t="s">
        <v>60</v>
      </c>
      <c r="E6472" s="14" t="s">
        <v>61</v>
      </c>
      <c r="F6472" s="15" t="s">
        <v>51</v>
      </c>
      <c r="G6472" s="14" t="s">
        <v>62</v>
      </c>
      <c r="H6472" s="14" t="s">
        <v>60</v>
      </c>
      <c r="I6472" s="14" t="s">
        <v>59</v>
      </c>
      <c r="J6472" s="14" t="s">
        <v>198</v>
      </c>
      <c r="K6472" s="14" t="s">
        <v>205</v>
      </c>
      <c r="L6472" s="14" t="s">
        <v>274</v>
      </c>
      <c r="M6472" s="14" t="s">
        <v>791</v>
      </c>
      <c r="N6472" s="14" t="s">
        <v>792</v>
      </c>
      <c r="O6472" s="14">
        <v>100.0</v>
      </c>
      <c r="P6472" s="21">
        <v>4.0</v>
      </c>
      <c r="Q6472" s="22" t="str">
        <f t="shared" ref="Q6472:Q6473" si="3861">"+0"</f>
        <v>+0</v>
      </c>
      <c r="S6472" s="14" t="s">
        <v>260</v>
      </c>
    </row>
    <row r="6473">
      <c r="A6473" s="13">
        <v>45901.0</v>
      </c>
      <c r="B6473" s="14" t="s">
        <v>47</v>
      </c>
      <c r="C6473" s="14" t="s">
        <v>48</v>
      </c>
      <c r="D6473" s="14" t="s">
        <v>155</v>
      </c>
      <c r="E6473" s="14" t="s">
        <v>156</v>
      </c>
      <c r="F6473" s="15" t="s">
        <v>51</v>
      </c>
      <c r="G6473" s="14" t="s">
        <v>157</v>
      </c>
      <c r="H6473" s="14" t="s">
        <v>155</v>
      </c>
      <c r="I6473" s="14" t="s">
        <v>59</v>
      </c>
      <c r="J6473" s="14" t="s">
        <v>199</v>
      </c>
      <c r="K6473" s="14" t="s">
        <v>206</v>
      </c>
      <c r="L6473" s="14" t="s">
        <v>268</v>
      </c>
      <c r="M6473" s="14" t="s">
        <v>268</v>
      </c>
      <c r="N6473" s="14" t="s">
        <v>269</v>
      </c>
      <c r="O6473" s="14">
        <v>0.0</v>
      </c>
      <c r="P6473" s="21">
        <v>0.0</v>
      </c>
      <c r="Q6473" s="22" t="str">
        <f t="shared" si="3861"/>
        <v>+0</v>
      </c>
      <c r="R6473" s="18" t="str">
        <f>"+0"</f>
        <v>+0</v>
      </c>
      <c r="S6473" s="14" t="s">
        <v>260</v>
      </c>
    </row>
    <row r="6474">
      <c r="A6474" s="13">
        <v>45901.0</v>
      </c>
      <c r="B6474" s="14" t="s">
        <v>47</v>
      </c>
      <c r="C6474" s="14" t="s">
        <v>48</v>
      </c>
      <c r="D6474" s="14" t="s">
        <v>60</v>
      </c>
      <c r="E6474" s="14" t="s">
        <v>61</v>
      </c>
      <c r="F6474" s="15" t="s">
        <v>51</v>
      </c>
      <c r="G6474" s="14" t="s">
        <v>62</v>
      </c>
      <c r="H6474" s="14" t="s">
        <v>60</v>
      </c>
      <c r="I6474" s="14" t="s">
        <v>59</v>
      </c>
      <c r="J6474" s="14" t="s">
        <v>200</v>
      </c>
      <c r="K6474" s="14" t="s">
        <v>223</v>
      </c>
      <c r="L6474" s="14" t="s">
        <v>440</v>
      </c>
      <c r="M6474" s="14" t="s">
        <v>510</v>
      </c>
      <c r="N6474" s="14" t="s">
        <v>511</v>
      </c>
      <c r="O6474" s="14">
        <v>0.0</v>
      </c>
      <c r="P6474" s="23">
        <v>0.0</v>
      </c>
      <c r="Q6474" s="22" t="str">
        <f t="shared" ref="Q6474:R6474" si="3862">"+0.00%"</f>
        <v>+0.00%</v>
      </c>
      <c r="R6474" s="18" t="str">
        <f t="shared" si="3862"/>
        <v>+0.00%</v>
      </c>
      <c r="S6474" s="14" t="s">
        <v>285</v>
      </c>
    </row>
    <row r="6475">
      <c r="A6475" s="13">
        <v>45901.0</v>
      </c>
      <c r="B6475" s="14" t="s">
        <v>47</v>
      </c>
      <c r="C6475" s="14" t="s">
        <v>48</v>
      </c>
      <c r="D6475" s="14" t="s">
        <v>181</v>
      </c>
      <c r="E6475" s="14" t="s">
        <v>182</v>
      </c>
      <c r="F6475" s="15" t="s">
        <v>51</v>
      </c>
      <c r="G6475" s="14" t="s">
        <v>183</v>
      </c>
      <c r="H6475" s="14" t="s">
        <v>181</v>
      </c>
      <c r="I6475" s="14" t="s">
        <v>59</v>
      </c>
      <c r="J6475" s="14" t="s">
        <v>200</v>
      </c>
      <c r="K6475" s="14" t="s">
        <v>232</v>
      </c>
      <c r="L6475" s="14" t="s">
        <v>607</v>
      </c>
      <c r="M6475" s="14" t="s">
        <v>608</v>
      </c>
      <c r="N6475" s="14" t="s">
        <v>609</v>
      </c>
      <c r="O6475" s="14">
        <v>0.0</v>
      </c>
      <c r="P6475" s="23">
        <v>0.0</v>
      </c>
      <c r="Q6475" s="22" t="str">
        <f t="shared" ref="Q6475:R6475" si="3863">"+0.00%"</f>
        <v>+0.00%</v>
      </c>
      <c r="R6475" s="18" t="str">
        <f t="shared" si="3863"/>
        <v>+0.00%</v>
      </c>
      <c r="S6475" s="14" t="s">
        <v>2693</v>
      </c>
    </row>
    <row r="6476">
      <c r="A6476" s="13">
        <v>45901.0</v>
      </c>
      <c r="B6476" s="14" t="s">
        <v>47</v>
      </c>
      <c r="C6476" s="14" t="s">
        <v>48</v>
      </c>
      <c r="D6476" s="14" t="s">
        <v>49</v>
      </c>
      <c r="E6476" s="14" t="s">
        <v>50</v>
      </c>
      <c r="F6476" s="15" t="s">
        <v>51</v>
      </c>
      <c r="G6476" s="14" t="s">
        <v>52</v>
      </c>
      <c r="H6476" s="14" t="s">
        <v>53</v>
      </c>
      <c r="I6476" s="14" t="s">
        <v>54</v>
      </c>
      <c r="J6476" s="14" t="s">
        <v>198</v>
      </c>
      <c r="K6476" s="14" t="s">
        <v>210</v>
      </c>
      <c r="L6476" s="14" t="s">
        <v>458</v>
      </c>
      <c r="M6476" s="14" t="s">
        <v>459</v>
      </c>
      <c r="N6476" s="14" t="s">
        <v>460</v>
      </c>
      <c r="O6476" s="14">
        <v>100.0</v>
      </c>
      <c r="P6476" s="21">
        <v>0.0</v>
      </c>
      <c r="Q6476" s="22" t="str">
        <f t="shared" ref="Q6476:R6476" si="3864">"+0"</f>
        <v>+0</v>
      </c>
      <c r="R6476" s="18" t="str">
        <f t="shared" si="3864"/>
        <v>+0</v>
      </c>
      <c r="S6476" s="14" t="s">
        <v>281</v>
      </c>
    </row>
    <row r="6477">
      <c r="A6477" s="13">
        <v>45901.0</v>
      </c>
      <c r="B6477" s="14" t="s">
        <v>47</v>
      </c>
      <c r="C6477" s="14" t="s">
        <v>48</v>
      </c>
      <c r="D6477" s="14" t="s">
        <v>49</v>
      </c>
      <c r="E6477" s="14" t="s">
        <v>50</v>
      </c>
      <c r="F6477" s="15" t="s">
        <v>51</v>
      </c>
      <c r="G6477" s="14" t="s">
        <v>52</v>
      </c>
      <c r="H6477" s="14" t="s">
        <v>53</v>
      </c>
      <c r="I6477" s="14" t="s">
        <v>54</v>
      </c>
      <c r="J6477" s="14" t="s">
        <v>199</v>
      </c>
      <c r="K6477" s="14" t="s">
        <v>203</v>
      </c>
      <c r="L6477" s="14" t="s">
        <v>725</v>
      </c>
      <c r="M6477" s="14" t="s">
        <v>725</v>
      </c>
      <c r="N6477" s="14" t="s">
        <v>726</v>
      </c>
      <c r="O6477" s="14">
        <v>100.0</v>
      </c>
      <c r="P6477" s="21">
        <v>2.0</v>
      </c>
      <c r="Q6477" s="22" t="str">
        <f t="shared" ref="Q6477:R6477" si="3865">"-1"</f>
        <v>-1</v>
      </c>
      <c r="R6477" s="18" t="str">
        <f t="shared" si="3865"/>
        <v>-1</v>
      </c>
      <c r="S6477" s="14" t="s">
        <v>260</v>
      </c>
    </row>
    <row r="6478">
      <c r="A6478" s="13">
        <v>45901.0</v>
      </c>
      <c r="B6478" s="14" t="s">
        <v>47</v>
      </c>
      <c r="C6478" s="14" t="s">
        <v>48</v>
      </c>
      <c r="D6478" s="14" t="s">
        <v>91</v>
      </c>
      <c r="E6478" s="14" t="s">
        <v>92</v>
      </c>
      <c r="F6478" s="15" t="s">
        <v>51</v>
      </c>
      <c r="G6478" s="14" t="s">
        <v>163</v>
      </c>
      <c r="H6478" s="14" t="s">
        <v>91</v>
      </c>
      <c r="I6478" s="14" t="s">
        <v>59</v>
      </c>
      <c r="J6478" s="14" t="s">
        <v>200</v>
      </c>
      <c r="K6478" s="14" t="s">
        <v>223</v>
      </c>
      <c r="L6478" s="14" t="s">
        <v>261</v>
      </c>
      <c r="M6478" s="14" t="s">
        <v>906</v>
      </c>
      <c r="N6478" s="14" t="s">
        <v>907</v>
      </c>
      <c r="O6478" s="14">
        <v>0.0</v>
      </c>
      <c r="P6478" s="23">
        <v>0.0</v>
      </c>
      <c r="Q6478" s="22" t="str">
        <f t="shared" ref="Q6478:R6478" si="3866">"+0.00%"</f>
        <v>+0.00%</v>
      </c>
      <c r="R6478" s="18" t="str">
        <f t="shared" si="3866"/>
        <v>+0.00%</v>
      </c>
      <c r="S6478" s="14" t="s">
        <v>2694</v>
      </c>
    </row>
    <row r="6479">
      <c r="A6479" s="13">
        <v>45901.0</v>
      </c>
      <c r="B6479" s="14" t="s">
        <v>47</v>
      </c>
      <c r="C6479" s="14" t="s">
        <v>48</v>
      </c>
      <c r="D6479" s="14" t="s">
        <v>63</v>
      </c>
      <c r="E6479" s="14" t="s">
        <v>64</v>
      </c>
      <c r="F6479" s="15" t="s">
        <v>51</v>
      </c>
      <c r="G6479" s="14" t="s">
        <v>65</v>
      </c>
      <c r="H6479" s="14" t="s">
        <v>63</v>
      </c>
      <c r="I6479" s="14" t="s">
        <v>54</v>
      </c>
      <c r="J6479" s="14" t="s">
        <v>198</v>
      </c>
      <c r="K6479" s="14" t="s">
        <v>210</v>
      </c>
      <c r="L6479" s="14" t="s">
        <v>264</v>
      </c>
      <c r="M6479" s="14" t="s">
        <v>350</v>
      </c>
      <c r="N6479" s="14" t="s">
        <v>351</v>
      </c>
      <c r="O6479" s="14">
        <v>0.0</v>
      </c>
      <c r="P6479" s="21">
        <v>0.0</v>
      </c>
      <c r="Q6479" s="22" t="str">
        <f t="shared" ref="Q6479:R6479" si="3867">"+0"</f>
        <v>+0</v>
      </c>
      <c r="R6479" s="18" t="str">
        <f t="shared" si="3867"/>
        <v>+0</v>
      </c>
      <c r="S6479" s="14" t="s">
        <v>277</v>
      </c>
    </row>
    <row r="6480">
      <c r="A6480" s="13">
        <v>45901.0</v>
      </c>
      <c r="B6480" s="14" t="s">
        <v>47</v>
      </c>
      <c r="C6480" s="14" t="s">
        <v>48</v>
      </c>
      <c r="D6480" s="14" t="s">
        <v>91</v>
      </c>
      <c r="E6480" s="14" t="s">
        <v>92</v>
      </c>
      <c r="F6480" s="14" t="s">
        <v>71</v>
      </c>
      <c r="G6480" s="14">
        <v>5.00008612E8</v>
      </c>
      <c r="H6480" s="14" t="s">
        <v>91</v>
      </c>
      <c r="I6480" s="14" t="s">
        <v>59</v>
      </c>
      <c r="J6480" s="14" t="s">
        <v>199</v>
      </c>
      <c r="K6480" s="14" t="s">
        <v>206</v>
      </c>
      <c r="L6480" s="14" t="s">
        <v>295</v>
      </c>
      <c r="M6480" s="14" t="s">
        <v>651</v>
      </c>
      <c r="N6480" s="14" t="s">
        <v>652</v>
      </c>
      <c r="O6480" s="14">
        <v>0.0</v>
      </c>
      <c r="P6480" s="21">
        <v>0.0</v>
      </c>
      <c r="Q6480" s="22" t="str">
        <f t="shared" ref="Q6480:R6480" si="3868">"+0"</f>
        <v>+0</v>
      </c>
      <c r="R6480" s="18" t="str">
        <f t="shared" si="3868"/>
        <v>+0</v>
      </c>
      <c r="S6480" s="14" t="s">
        <v>260</v>
      </c>
    </row>
    <row r="6481">
      <c r="A6481" s="13">
        <v>45901.0</v>
      </c>
      <c r="B6481" s="14" t="s">
        <v>47</v>
      </c>
      <c r="C6481" s="14" t="s">
        <v>48</v>
      </c>
      <c r="D6481" s="14" t="s">
        <v>91</v>
      </c>
      <c r="E6481" s="14" t="s">
        <v>92</v>
      </c>
      <c r="F6481" s="14" t="s">
        <v>71</v>
      </c>
      <c r="G6481" s="14">
        <v>5.10000484E8</v>
      </c>
      <c r="H6481" s="14" t="s">
        <v>91</v>
      </c>
      <c r="I6481" s="14" t="s">
        <v>54</v>
      </c>
      <c r="J6481" s="14" t="s">
        <v>200</v>
      </c>
      <c r="K6481" s="14" t="s">
        <v>218</v>
      </c>
      <c r="L6481" s="14" t="s">
        <v>253</v>
      </c>
      <c r="M6481" s="14" t="s">
        <v>1388</v>
      </c>
      <c r="N6481" s="14" t="s">
        <v>1389</v>
      </c>
      <c r="O6481" s="14">
        <v>12.0</v>
      </c>
      <c r="P6481" s="23">
        <v>0.1232</v>
      </c>
      <c r="Q6481" s="22" t="str">
        <f>"-3.45%"</f>
        <v>-3.45%</v>
      </c>
      <c r="R6481" s="18" t="str">
        <f>"-4.95%"</f>
        <v>-4.95%</v>
      </c>
      <c r="S6481" s="14" t="s">
        <v>2082</v>
      </c>
    </row>
    <row r="6482">
      <c r="A6482" s="13">
        <v>45901.0</v>
      </c>
      <c r="B6482" s="14" t="s">
        <v>47</v>
      </c>
      <c r="C6482" s="14" t="s">
        <v>48</v>
      </c>
      <c r="D6482" s="14" t="s">
        <v>93</v>
      </c>
      <c r="E6482" s="14" t="s">
        <v>94</v>
      </c>
      <c r="F6482" s="14" t="s">
        <v>71</v>
      </c>
      <c r="G6482" s="14">
        <v>5.36001438E8</v>
      </c>
      <c r="H6482" s="14" t="s">
        <v>95</v>
      </c>
      <c r="I6482" s="14" t="s">
        <v>59</v>
      </c>
      <c r="J6482" s="14" t="s">
        <v>199</v>
      </c>
      <c r="K6482" s="14" t="s">
        <v>206</v>
      </c>
      <c r="L6482" s="14" t="s">
        <v>295</v>
      </c>
      <c r="M6482" s="14" t="s">
        <v>651</v>
      </c>
      <c r="N6482" s="14" t="s">
        <v>652</v>
      </c>
      <c r="O6482" s="14">
        <v>0.0</v>
      </c>
      <c r="P6482" s="21">
        <v>0.0</v>
      </c>
      <c r="Q6482" s="22" t="str">
        <f t="shared" ref="Q6482:R6482" si="3869">"+0"</f>
        <v>+0</v>
      </c>
      <c r="R6482" s="18" t="str">
        <f t="shared" si="3869"/>
        <v>+0</v>
      </c>
      <c r="S6482" s="14" t="s">
        <v>260</v>
      </c>
    </row>
    <row r="6483">
      <c r="A6483" s="13">
        <v>45901.0</v>
      </c>
      <c r="B6483" s="14" t="s">
        <v>47</v>
      </c>
      <c r="C6483" s="14" t="s">
        <v>48</v>
      </c>
      <c r="D6483" s="14" t="s">
        <v>66</v>
      </c>
      <c r="E6483" s="14" t="s">
        <v>67</v>
      </c>
      <c r="F6483" s="15" t="s">
        <v>51</v>
      </c>
      <c r="G6483" s="14" t="s">
        <v>68</v>
      </c>
      <c r="H6483" s="14" t="s">
        <v>66</v>
      </c>
      <c r="I6483" s="14" t="s">
        <v>59</v>
      </c>
      <c r="J6483" s="14" t="s">
        <v>200</v>
      </c>
      <c r="K6483" s="14" t="s">
        <v>231</v>
      </c>
      <c r="L6483" s="14" t="s">
        <v>512</v>
      </c>
      <c r="M6483" s="14" t="s">
        <v>934</v>
      </c>
      <c r="N6483" s="14" t="s">
        <v>935</v>
      </c>
      <c r="O6483" s="14">
        <v>0.0</v>
      </c>
      <c r="P6483" s="21">
        <v>0.0</v>
      </c>
      <c r="Q6483" s="22" t="str">
        <f t="shared" ref="Q6483:R6483" si="3870">"+0"</f>
        <v>+0</v>
      </c>
      <c r="R6483" s="18" t="str">
        <f t="shared" si="3870"/>
        <v>+0</v>
      </c>
      <c r="S6483" s="14" t="s">
        <v>260</v>
      </c>
    </row>
    <row r="6484">
      <c r="A6484" s="13">
        <v>45901.0</v>
      </c>
      <c r="B6484" s="14" t="s">
        <v>47</v>
      </c>
      <c r="C6484" s="14" t="s">
        <v>48</v>
      </c>
      <c r="D6484" s="14" t="s">
        <v>93</v>
      </c>
      <c r="E6484" s="14" t="s">
        <v>94</v>
      </c>
      <c r="F6484" s="15" t="s">
        <v>51</v>
      </c>
      <c r="G6484" s="14" t="s">
        <v>191</v>
      </c>
      <c r="H6484" s="14" t="s">
        <v>95</v>
      </c>
      <c r="I6484" s="14" t="s">
        <v>59</v>
      </c>
      <c r="J6484" s="14" t="s">
        <v>198</v>
      </c>
      <c r="K6484" s="14" t="s">
        <v>207</v>
      </c>
      <c r="L6484" s="14" t="s">
        <v>318</v>
      </c>
      <c r="M6484" s="14" t="s">
        <v>508</v>
      </c>
      <c r="N6484" s="14" t="s">
        <v>509</v>
      </c>
      <c r="O6484" s="14">
        <v>0.0</v>
      </c>
      <c r="P6484" s="21">
        <v>0.0</v>
      </c>
      <c r="Q6484" s="22" t="str">
        <f>"+0"</f>
        <v>+0</v>
      </c>
      <c r="S6484" s="14" t="s">
        <v>281</v>
      </c>
    </row>
    <row r="6485">
      <c r="A6485" s="13">
        <v>45901.0</v>
      </c>
      <c r="B6485" s="14" t="s">
        <v>47</v>
      </c>
      <c r="C6485" s="14" t="s">
        <v>48</v>
      </c>
      <c r="D6485" s="14" t="s">
        <v>192</v>
      </c>
      <c r="E6485" s="14" t="s">
        <v>193</v>
      </c>
      <c r="F6485" s="15" t="s">
        <v>51</v>
      </c>
      <c r="G6485" s="14" t="s">
        <v>194</v>
      </c>
      <c r="H6485" s="14" t="s">
        <v>192</v>
      </c>
      <c r="I6485" s="14" t="s">
        <v>54</v>
      </c>
      <c r="J6485" s="14" t="s">
        <v>200</v>
      </c>
      <c r="K6485" s="14" t="s">
        <v>223</v>
      </c>
      <c r="L6485" s="14" t="s">
        <v>261</v>
      </c>
      <c r="M6485" s="14" t="s">
        <v>906</v>
      </c>
      <c r="N6485" s="14" t="s">
        <v>907</v>
      </c>
      <c r="O6485" s="14">
        <v>8.0</v>
      </c>
      <c r="P6485" s="23">
        <v>0.0824</v>
      </c>
      <c r="Q6485" s="22" t="str">
        <f>"+0.06%"</f>
        <v>+0.06%</v>
      </c>
      <c r="R6485" s="18" t="str">
        <f>"+0.69%"</f>
        <v>+0.69%</v>
      </c>
      <c r="S6485" s="14" t="s">
        <v>2111</v>
      </c>
    </row>
    <row r="6486">
      <c r="A6486" s="13">
        <v>45901.0</v>
      </c>
      <c r="B6486" s="14" t="s">
        <v>47</v>
      </c>
      <c r="C6486" s="14" t="s">
        <v>48</v>
      </c>
      <c r="D6486" s="14" t="s">
        <v>103</v>
      </c>
      <c r="E6486" s="14" t="s">
        <v>104</v>
      </c>
      <c r="F6486" s="15" t="s">
        <v>51</v>
      </c>
      <c r="G6486" s="14" t="s">
        <v>105</v>
      </c>
      <c r="H6486" s="14" t="s">
        <v>106</v>
      </c>
      <c r="I6486" s="14" t="s">
        <v>59</v>
      </c>
      <c r="J6486" s="14" t="s">
        <v>199</v>
      </c>
      <c r="K6486" s="14" t="s">
        <v>206</v>
      </c>
      <c r="L6486" s="14" t="s">
        <v>268</v>
      </c>
      <c r="M6486" s="14" t="s">
        <v>268</v>
      </c>
      <c r="N6486" s="14" t="s">
        <v>269</v>
      </c>
      <c r="O6486" s="14">
        <v>0.0</v>
      </c>
      <c r="P6486" s="21">
        <v>0.0</v>
      </c>
      <c r="Q6486" s="22" t="str">
        <f t="shared" ref="Q6486:R6486" si="3871">"+0"</f>
        <v>+0</v>
      </c>
      <c r="R6486" s="18" t="str">
        <f t="shared" si="3871"/>
        <v>+0</v>
      </c>
      <c r="S6486" s="14" t="s">
        <v>260</v>
      </c>
    </row>
    <row r="6487">
      <c r="A6487" s="13">
        <v>45901.0</v>
      </c>
      <c r="B6487" s="14" t="s">
        <v>47</v>
      </c>
      <c r="C6487" s="14" t="s">
        <v>48</v>
      </c>
      <c r="D6487" s="14" t="s">
        <v>73</v>
      </c>
      <c r="E6487" s="14" t="s">
        <v>74</v>
      </c>
      <c r="F6487" s="15" t="s">
        <v>51</v>
      </c>
      <c r="G6487" s="14" t="s">
        <v>75</v>
      </c>
      <c r="H6487" s="14" t="s">
        <v>76</v>
      </c>
      <c r="I6487" s="14" t="s">
        <v>59</v>
      </c>
      <c r="J6487" s="14" t="s">
        <v>200</v>
      </c>
      <c r="K6487" s="14" t="s">
        <v>232</v>
      </c>
      <c r="L6487" s="14" t="s">
        <v>607</v>
      </c>
      <c r="M6487" s="14" t="s">
        <v>1312</v>
      </c>
      <c r="N6487" s="14" t="s">
        <v>1313</v>
      </c>
      <c r="O6487" s="14">
        <v>0.0</v>
      </c>
      <c r="P6487" s="23">
        <v>0.0</v>
      </c>
      <c r="Q6487" s="22" t="str">
        <f t="shared" ref="Q6487:R6487" si="3872">"+0.00%"</f>
        <v>+0.00%</v>
      </c>
      <c r="R6487" s="18" t="str">
        <f t="shared" si="3872"/>
        <v>+0.00%</v>
      </c>
      <c r="S6487" s="14" t="s">
        <v>285</v>
      </c>
    </row>
    <row r="6488">
      <c r="A6488" s="13">
        <v>45901.0</v>
      </c>
      <c r="B6488" s="14" t="s">
        <v>47</v>
      </c>
      <c r="C6488" s="14" t="s">
        <v>48</v>
      </c>
      <c r="D6488" s="14" t="s">
        <v>129</v>
      </c>
      <c r="E6488" s="14" t="s">
        <v>130</v>
      </c>
      <c r="F6488" s="15" t="s">
        <v>51</v>
      </c>
      <c r="G6488" s="14" t="s">
        <v>131</v>
      </c>
      <c r="H6488" s="14" t="s">
        <v>129</v>
      </c>
      <c r="I6488" s="14" t="s">
        <v>59</v>
      </c>
      <c r="J6488" s="14" t="s">
        <v>200</v>
      </c>
      <c r="K6488" s="14" t="s">
        <v>231</v>
      </c>
      <c r="L6488" s="14" t="s">
        <v>512</v>
      </c>
      <c r="M6488" s="14" t="s">
        <v>1403</v>
      </c>
      <c r="N6488" s="14" t="s">
        <v>1404</v>
      </c>
      <c r="O6488" s="14">
        <v>0.0</v>
      </c>
      <c r="P6488" s="21">
        <v>0.0</v>
      </c>
      <c r="Q6488" s="22" t="str">
        <f t="shared" ref="Q6488:R6488" si="3873">"+0"</f>
        <v>+0</v>
      </c>
      <c r="R6488" s="18" t="str">
        <f t="shared" si="3873"/>
        <v>+0</v>
      </c>
      <c r="S6488" s="14" t="s">
        <v>260</v>
      </c>
    </row>
    <row r="6489">
      <c r="A6489" s="13">
        <v>45901.0</v>
      </c>
      <c r="B6489" s="14" t="s">
        <v>47</v>
      </c>
      <c r="C6489" s="14" t="s">
        <v>48</v>
      </c>
      <c r="D6489" s="14" t="s">
        <v>149</v>
      </c>
      <c r="E6489" s="14" t="s">
        <v>150</v>
      </c>
      <c r="F6489" s="15" t="s">
        <v>51</v>
      </c>
      <c r="G6489" s="14" t="s">
        <v>151</v>
      </c>
      <c r="H6489" s="14" t="s">
        <v>152</v>
      </c>
      <c r="I6489" s="14" t="s">
        <v>54</v>
      </c>
      <c r="J6489" s="14" t="s">
        <v>198</v>
      </c>
      <c r="K6489" s="14" t="s">
        <v>210</v>
      </c>
      <c r="L6489" s="14" t="s">
        <v>264</v>
      </c>
      <c r="M6489" s="14" t="s">
        <v>313</v>
      </c>
      <c r="N6489" s="14" t="s">
        <v>314</v>
      </c>
      <c r="O6489" s="14">
        <v>0.0</v>
      </c>
      <c r="P6489" s="21">
        <v>0.0</v>
      </c>
      <c r="Q6489" s="22" t="str">
        <f t="shared" ref="Q6489:R6489" si="3874">"+0"</f>
        <v>+0</v>
      </c>
      <c r="R6489" s="18" t="str">
        <f t="shared" si="3874"/>
        <v>+0</v>
      </c>
      <c r="S6489" s="14" t="s">
        <v>277</v>
      </c>
    </row>
    <row r="6490">
      <c r="A6490" s="13">
        <v>45901.0</v>
      </c>
      <c r="B6490" s="14" t="s">
        <v>47</v>
      </c>
      <c r="C6490" s="14" t="s">
        <v>48</v>
      </c>
      <c r="D6490" s="14" t="s">
        <v>171</v>
      </c>
      <c r="E6490" s="14" t="s">
        <v>172</v>
      </c>
      <c r="F6490" s="15" t="s">
        <v>51</v>
      </c>
      <c r="G6490" s="14" t="s">
        <v>173</v>
      </c>
      <c r="H6490" s="14" t="s">
        <v>171</v>
      </c>
      <c r="I6490" s="14" t="s">
        <v>59</v>
      </c>
      <c r="J6490" s="14" t="s">
        <v>198</v>
      </c>
      <c r="K6490" s="14" t="s">
        <v>205</v>
      </c>
      <c r="L6490" s="14" t="s">
        <v>274</v>
      </c>
      <c r="M6490" s="14" t="s">
        <v>791</v>
      </c>
      <c r="N6490" s="14" t="s">
        <v>792</v>
      </c>
      <c r="O6490" s="14">
        <v>100.0</v>
      </c>
      <c r="P6490" s="21">
        <v>2.0</v>
      </c>
      <c r="Q6490" s="22" t="str">
        <f>"+0"</f>
        <v>+0</v>
      </c>
      <c r="S6490" s="14" t="s">
        <v>260</v>
      </c>
    </row>
    <row r="6491">
      <c r="A6491" s="13">
        <v>45901.0</v>
      </c>
      <c r="B6491" s="14" t="s">
        <v>47</v>
      </c>
      <c r="C6491" s="14" t="s">
        <v>48</v>
      </c>
      <c r="D6491" s="14" t="s">
        <v>85</v>
      </c>
      <c r="E6491" s="14" t="s">
        <v>86</v>
      </c>
      <c r="F6491" s="15" t="s">
        <v>51</v>
      </c>
      <c r="G6491" s="14" t="s">
        <v>148</v>
      </c>
      <c r="H6491" s="14" t="s">
        <v>85</v>
      </c>
      <c r="I6491" s="14" t="s">
        <v>59</v>
      </c>
      <c r="J6491" s="14" t="s">
        <v>200</v>
      </c>
      <c r="K6491" s="14" t="s">
        <v>204</v>
      </c>
      <c r="L6491" s="14" t="s">
        <v>253</v>
      </c>
      <c r="M6491" s="14" t="s">
        <v>490</v>
      </c>
      <c r="N6491" s="14" t="s">
        <v>491</v>
      </c>
      <c r="O6491" s="14">
        <v>0.0</v>
      </c>
      <c r="P6491" s="23">
        <v>0.0</v>
      </c>
      <c r="Q6491" s="22" t="str">
        <f t="shared" ref="Q6491:R6491" si="3875">"+0.00%"</f>
        <v>+0.00%</v>
      </c>
      <c r="R6491" s="18" t="str">
        <f t="shared" si="3875"/>
        <v>+0.00%</v>
      </c>
      <c r="S6491" s="14" t="s">
        <v>492</v>
      </c>
    </row>
    <row r="6492">
      <c r="A6492" s="13">
        <v>45901.0</v>
      </c>
      <c r="B6492" s="14" t="s">
        <v>47</v>
      </c>
      <c r="C6492" s="14" t="s">
        <v>48</v>
      </c>
      <c r="D6492" s="14" t="s">
        <v>125</v>
      </c>
      <c r="E6492" s="14" t="s">
        <v>126</v>
      </c>
      <c r="F6492" s="15" t="s">
        <v>51</v>
      </c>
      <c r="G6492" s="14" t="s">
        <v>127</v>
      </c>
      <c r="H6492" s="14" t="s">
        <v>125</v>
      </c>
      <c r="I6492" s="14" t="s">
        <v>59</v>
      </c>
      <c r="J6492" s="14" t="s">
        <v>200</v>
      </c>
      <c r="K6492" s="14" t="s">
        <v>232</v>
      </c>
      <c r="L6492" s="14" t="s">
        <v>261</v>
      </c>
      <c r="M6492" s="14" t="s">
        <v>414</v>
      </c>
      <c r="N6492" s="14" t="s">
        <v>415</v>
      </c>
      <c r="O6492" s="14">
        <v>0.0</v>
      </c>
      <c r="P6492" s="23">
        <v>-1.0</v>
      </c>
      <c r="Q6492" s="22" t="str">
        <f t="shared" ref="Q6492:R6492" si="3876">"+0.00%"</f>
        <v>+0.00%</v>
      </c>
      <c r="R6492" s="18" t="str">
        <f t="shared" si="3876"/>
        <v>+0.00%</v>
      </c>
      <c r="S6492" s="14" t="s">
        <v>2695</v>
      </c>
    </row>
    <row r="6493">
      <c r="A6493" s="13">
        <v>45901.0</v>
      </c>
      <c r="B6493" s="14" t="s">
        <v>47</v>
      </c>
      <c r="C6493" s="14" t="s">
        <v>48</v>
      </c>
      <c r="D6493" s="14" t="s">
        <v>108</v>
      </c>
      <c r="E6493" s="14" t="s">
        <v>109</v>
      </c>
      <c r="F6493" s="15" t="s">
        <v>51</v>
      </c>
      <c r="G6493" s="14" t="s">
        <v>110</v>
      </c>
      <c r="H6493" s="14" t="s">
        <v>108</v>
      </c>
      <c r="I6493" s="14" t="s">
        <v>59</v>
      </c>
      <c r="J6493" s="14" t="s">
        <v>200</v>
      </c>
      <c r="K6493" s="14" t="s">
        <v>215</v>
      </c>
      <c r="L6493" s="14" t="s">
        <v>253</v>
      </c>
      <c r="M6493" s="14" t="s">
        <v>1504</v>
      </c>
      <c r="N6493" s="14" t="s">
        <v>1505</v>
      </c>
      <c r="O6493" s="14">
        <v>0.0</v>
      </c>
      <c r="P6493" s="23">
        <v>0.0</v>
      </c>
      <c r="Q6493" s="22" t="str">
        <f t="shared" ref="Q6493:R6493" si="3877">"+0.00%"</f>
        <v>+0.00%</v>
      </c>
      <c r="R6493" s="18" t="str">
        <f t="shared" si="3877"/>
        <v>+0.00%</v>
      </c>
      <c r="S6493" s="14" t="s">
        <v>1287</v>
      </c>
    </row>
    <row r="6494">
      <c r="A6494" s="13">
        <v>45901.0</v>
      </c>
      <c r="B6494" s="14" t="s">
        <v>47</v>
      </c>
      <c r="C6494" s="14" t="s">
        <v>48</v>
      </c>
      <c r="D6494" s="14" t="s">
        <v>77</v>
      </c>
      <c r="E6494" s="14" t="s">
        <v>78</v>
      </c>
      <c r="F6494" s="15" t="s">
        <v>51</v>
      </c>
      <c r="G6494" s="14" t="s">
        <v>128</v>
      </c>
      <c r="H6494" s="14" t="s">
        <v>81</v>
      </c>
      <c r="I6494" s="14" t="s">
        <v>59</v>
      </c>
      <c r="J6494" s="14" t="s">
        <v>200</v>
      </c>
      <c r="K6494" s="14" t="s">
        <v>223</v>
      </c>
      <c r="L6494" s="14" t="s">
        <v>607</v>
      </c>
      <c r="M6494" s="14" t="s">
        <v>869</v>
      </c>
      <c r="N6494" s="14" t="s">
        <v>870</v>
      </c>
      <c r="O6494" s="14">
        <v>0.0</v>
      </c>
      <c r="P6494" s="23">
        <v>-1.0</v>
      </c>
      <c r="Q6494" s="22" t="str">
        <f t="shared" ref="Q6494:R6494" si="3878">"+0.00%"</f>
        <v>+0.00%</v>
      </c>
      <c r="R6494" s="18" t="str">
        <f t="shared" si="3878"/>
        <v>+0.00%</v>
      </c>
      <c r="S6494" s="14" t="s">
        <v>2696</v>
      </c>
    </row>
    <row r="6495">
      <c r="A6495" s="13">
        <v>45901.0</v>
      </c>
      <c r="B6495" s="14" t="s">
        <v>47</v>
      </c>
      <c r="C6495" s="14" t="s">
        <v>48</v>
      </c>
      <c r="D6495" s="14" t="s">
        <v>112</v>
      </c>
      <c r="E6495" s="14" t="s">
        <v>113</v>
      </c>
      <c r="F6495" s="15" t="s">
        <v>51</v>
      </c>
      <c r="G6495" s="14" t="s">
        <v>114</v>
      </c>
      <c r="H6495" s="14" t="s">
        <v>112</v>
      </c>
      <c r="I6495" s="14" t="s">
        <v>59</v>
      </c>
      <c r="J6495" s="14" t="s">
        <v>200</v>
      </c>
      <c r="K6495" s="14" t="s">
        <v>213</v>
      </c>
      <c r="L6495" s="14" t="s">
        <v>307</v>
      </c>
      <c r="M6495" s="14" t="s">
        <v>533</v>
      </c>
      <c r="N6495" s="14" t="s">
        <v>534</v>
      </c>
      <c r="O6495" s="14">
        <v>0.0</v>
      </c>
      <c r="P6495" s="23">
        <v>0.0</v>
      </c>
      <c r="Q6495" s="22" t="str">
        <f t="shared" ref="Q6495:R6495" si="3879">"+0.00%"</f>
        <v>+0.00%</v>
      </c>
      <c r="R6495" s="18" t="str">
        <f t="shared" si="3879"/>
        <v>+0.00%</v>
      </c>
      <c r="S6495" s="14" t="s">
        <v>2697</v>
      </c>
    </row>
    <row r="6496">
      <c r="A6496" s="13">
        <v>45901.0</v>
      </c>
      <c r="B6496" s="14" t="s">
        <v>47</v>
      </c>
      <c r="C6496" s="14" t="s">
        <v>48</v>
      </c>
      <c r="D6496" s="14" t="s">
        <v>108</v>
      </c>
      <c r="E6496" s="14" t="s">
        <v>109</v>
      </c>
      <c r="F6496" s="15" t="s">
        <v>51</v>
      </c>
      <c r="G6496" s="14" t="s">
        <v>110</v>
      </c>
      <c r="H6496" s="14" t="s">
        <v>108</v>
      </c>
      <c r="I6496" s="14" t="s">
        <v>59</v>
      </c>
      <c r="J6496" s="14" t="s">
        <v>199</v>
      </c>
      <c r="K6496" s="14" t="s">
        <v>203</v>
      </c>
      <c r="L6496" s="14" t="s">
        <v>431</v>
      </c>
      <c r="M6496" s="14" t="s">
        <v>431</v>
      </c>
      <c r="N6496" s="14" t="s">
        <v>432</v>
      </c>
      <c r="O6496" s="14">
        <v>0.0</v>
      </c>
      <c r="P6496" s="21">
        <v>0.0</v>
      </c>
      <c r="Q6496" s="22" t="str">
        <f t="shared" ref="Q6496:R6496" si="3880">"+0"</f>
        <v>+0</v>
      </c>
      <c r="R6496" s="18" t="str">
        <f t="shared" si="3880"/>
        <v>+0</v>
      </c>
      <c r="S6496" s="14" t="s">
        <v>260</v>
      </c>
    </row>
    <row r="6497">
      <c r="A6497" s="13">
        <v>45901.0</v>
      </c>
      <c r="B6497" s="14" t="s">
        <v>47</v>
      </c>
      <c r="C6497" s="14" t="s">
        <v>48</v>
      </c>
      <c r="D6497" s="14" t="s">
        <v>116</v>
      </c>
      <c r="E6497" s="14" t="s">
        <v>117</v>
      </c>
      <c r="F6497" s="15" t="s">
        <v>51</v>
      </c>
      <c r="G6497" s="14" t="s">
        <v>161</v>
      </c>
      <c r="H6497" s="14" t="s">
        <v>116</v>
      </c>
      <c r="I6497" s="14" t="s">
        <v>54</v>
      </c>
      <c r="J6497" s="14" t="s">
        <v>200</v>
      </c>
      <c r="K6497" s="14" t="s">
        <v>213</v>
      </c>
      <c r="L6497" s="14" t="s">
        <v>289</v>
      </c>
      <c r="M6497" s="14" t="s">
        <v>290</v>
      </c>
      <c r="N6497" s="14" t="s">
        <v>291</v>
      </c>
      <c r="O6497" s="14">
        <v>0.0</v>
      </c>
      <c r="P6497" s="23">
        <v>0.0</v>
      </c>
      <c r="Q6497" s="22" t="str">
        <f t="shared" ref="Q6497:R6497" si="3881">"+0.00%"</f>
        <v>+0.00%</v>
      </c>
      <c r="R6497" s="18" t="str">
        <f t="shared" si="3881"/>
        <v>+0.00%</v>
      </c>
      <c r="S6497" s="14" t="s">
        <v>285</v>
      </c>
    </row>
    <row r="6498">
      <c r="A6498" s="13">
        <v>45901.0</v>
      </c>
      <c r="B6498" s="14" t="s">
        <v>47</v>
      </c>
      <c r="C6498" s="14" t="s">
        <v>48</v>
      </c>
      <c r="D6498" s="14" t="s">
        <v>56</v>
      </c>
      <c r="E6498" s="14" t="s">
        <v>57</v>
      </c>
      <c r="F6498" s="14" t="s">
        <v>71</v>
      </c>
      <c r="G6498" s="14">
        <v>5.36003976E8</v>
      </c>
      <c r="H6498" s="14" t="s">
        <v>56</v>
      </c>
      <c r="I6498" s="14" t="s">
        <v>59</v>
      </c>
      <c r="J6498" s="14" t="s">
        <v>199</v>
      </c>
      <c r="K6498" s="14" t="s">
        <v>206</v>
      </c>
      <c r="L6498" s="14" t="s">
        <v>381</v>
      </c>
      <c r="M6498" s="14" t="s">
        <v>381</v>
      </c>
      <c r="N6498" s="14" t="s">
        <v>382</v>
      </c>
      <c r="O6498" s="14">
        <v>0.0</v>
      </c>
      <c r="P6498" s="21">
        <v>0.0</v>
      </c>
      <c r="Q6498" s="22" t="str">
        <f t="shared" ref="Q6498:R6498" si="3882">"+0"</f>
        <v>+0</v>
      </c>
      <c r="R6498" s="18" t="str">
        <f t="shared" si="3882"/>
        <v>+0</v>
      </c>
      <c r="S6498" s="14" t="s">
        <v>383</v>
      </c>
    </row>
    <row r="6499">
      <c r="A6499" s="13">
        <v>45901.0</v>
      </c>
      <c r="B6499" s="14" t="s">
        <v>47</v>
      </c>
      <c r="C6499" s="14" t="s">
        <v>48</v>
      </c>
      <c r="D6499" s="14" t="s">
        <v>56</v>
      </c>
      <c r="E6499" s="14" t="s">
        <v>57</v>
      </c>
      <c r="F6499" s="14" t="s">
        <v>71</v>
      </c>
      <c r="G6499" s="14">
        <v>5.36003976E8</v>
      </c>
      <c r="H6499" s="14" t="s">
        <v>56</v>
      </c>
      <c r="I6499" s="14" t="s">
        <v>59</v>
      </c>
      <c r="J6499" s="14" t="s">
        <v>199</v>
      </c>
      <c r="K6499" s="14" t="s">
        <v>206</v>
      </c>
      <c r="L6499" s="14" t="s">
        <v>295</v>
      </c>
      <c r="M6499" s="14" t="s">
        <v>651</v>
      </c>
      <c r="N6499" s="14" t="s">
        <v>652</v>
      </c>
      <c r="O6499" s="14">
        <v>0.0</v>
      </c>
      <c r="P6499" s="21">
        <v>0.0</v>
      </c>
      <c r="Q6499" s="22" t="str">
        <f t="shared" ref="Q6499:R6499" si="3883">"+0"</f>
        <v>+0</v>
      </c>
      <c r="R6499" s="18" t="str">
        <f t="shared" si="3883"/>
        <v>+0</v>
      </c>
      <c r="S6499" s="14" t="s">
        <v>260</v>
      </c>
    </row>
    <row r="6500">
      <c r="A6500" s="13">
        <v>45901.0</v>
      </c>
      <c r="B6500" s="14" t="s">
        <v>47</v>
      </c>
      <c r="C6500" s="14" t="s">
        <v>48</v>
      </c>
      <c r="D6500" s="14" t="s">
        <v>121</v>
      </c>
      <c r="E6500" s="14" t="s">
        <v>122</v>
      </c>
      <c r="F6500" s="15" t="s">
        <v>51</v>
      </c>
      <c r="G6500" s="14" t="s">
        <v>123</v>
      </c>
      <c r="H6500" s="14" t="s">
        <v>124</v>
      </c>
      <c r="I6500" s="14" t="s">
        <v>59</v>
      </c>
      <c r="J6500" s="14" t="s">
        <v>200</v>
      </c>
      <c r="K6500" s="14" t="s">
        <v>232</v>
      </c>
      <c r="L6500" s="14" t="s">
        <v>261</v>
      </c>
      <c r="M6500" s="14" t="s">
        <v>906</v>
      </c>
      <c r="N6500" s="14" t="s">
        <v>907</v>
      </c>
      <c r="O6500" s="14">
        <v>30.0</v>
      </c>
      <c r="P6500" s="23">
        <v>0.3077</v>
      </c>
      <c r="Q6500" s="22" t="str">
        <f>"+19.66%"</f>
        <v>+19.66%</v>
      </c>
      <c r="R6500" s="18" t="str">
        <f>"-14.69%"</f>
        <v>-14.69%</v>
      </c>
      <c r="S6500" s="14" t="s">
        <v>2698</v>
      </c>
    </row>
    <row r="6501">
      <c r="A6501" s="13">
        <v>45901.0</v>
      </c>
      <c r="B6501" s="14" t="s">
        <v>47</v>
      </c>
      <c r="C6501" s="14" t="s">
        <v>48</v>
      </c>
      <c r="D6501" s="14" t="s">
        <v>165</v>
      </c>
      <c r="E6501" s="14" t="s">
        <v>166</v>
      </c>
      <c r="F6501" s="14" t="s">
        <v>111</v>
      </c>
      <c r="G6501" s="14">
        <v>7116371.0</v>
      </c>
      <c r="H6501" s="14" t="s">
        <v>165</v>
      </c>
      <c r="I6501" s="14" t="s">
        <v>59</v>
      </c>
      <c r="J6501" s="14" t="s">
        <v>200</v>
      </c>
      <c r="K6501" s="14" t="s">
        <v>221</v>
      </c>
      <c r="L6501" s="14" t="s">
        <v>253</v>
      </c>
      <c r="M6501" s="14" t="s">
        <v>2067</v>
      </c>
      <c r="N6501" s="14" t="s">
        <v>2068</v>
      </c>
      <c r="O6501" s="14">
        <v>87.0</v>
      </c>
      <c r="P6501" s="23">
        <v>0.8792</v>
      </c>
      <c r="Q6501" s="22" t="str">
        <f>"+0.06%"</f>
        <v>+0.06%</v>
      </c>
      <c r="R6501" s="18" t="str">
        <f>"+0.17%"</f>
        <v>+0.17%</v>
      </c>
      <c r="S6501" s="14" t="s">
        <v>2699</v>
      </c>
    </row>
    <row r="6502">
      <c r="A6502" s="13">
        <v>45901.0</v>
      </c>
      <c r="B6502" s="14" t="s">
        <v>47</v>
      </c>
      <c r="C6502" s="14" t="s">
        <v>48</v>
      </c>
      <c r="D6502" s="14" t="s">
        <v>91</v>
      </c>
      <c r="E6502" s="14" t="s">
        <v>92</v>
      </c>
      <c r="F6502" s="14" t="s">
        <v>71</v>
      </c>
      <c r="G6502" s="14">
        <v>5.00008613E8</v>
      </c>
      <c r="H6502" s="14" t="s">
        <v>91</v>
      </c>
      <c r="I6502" s="14" t="s">
        <v>59</v>
      </c>
      <c r="J6502" s="14" t="s">
        <v>199</v>
      </c>
      <c r="K6502" s="14" t="s">
        <v>206</v>
      </c>
      <c r="L6502" s="14" t="s">
        <v>381</v>
      </c>
      <c r="M6502" s="14" t="s">
        <v>381</v>
      </c>
      <c r="N6502" s="14" t="s">
        <v>382</v>
      </c>
      <c r="O6502" s="14">
        <v>0.0</v>
      </c>
      <c r="P6502" s="21">
        <v>0.0</v>
      </c>
      <c r="Q6502" s="22" t="str">
        <f t="shared" ref="Q6502:R6502" si="3884">"+0"</f>
        <v>+0</v>
      </c>
      <c r="R6502" s="18" t="str">
        <f t="shared" si="3884"/>
        <v>+0</v>
      </c>
      <c r="S6502" s="14" t="s">
        <v>383</v>
      </c>
    </row>
    <row r="6503">
      <c r="A6503" s="13">
        <v>45901.0</v>
      </c>
      <c r="B6503" s="14" t="s">
        <v>47</v>
      </c>
      <c r="C6503" s="14" t="s">
        <v>48</v>
      </c>
      <c r="D6503" s="14" t="s">
        <v>63</v>
      </c>
      <c r="E6503" s="14" t="s">
        <v>64</v>
      </c>
      <c r="F6503" s="14" t="s">
        <v>111</v>
      </c>
      <c r="G6503" s="14">
        <v>4916210.0</v>
      </c>
      <c r="H6503" s="14" t="s">
        <v>63</v>
      </c>
      <c r="I6503" s="14" t="s">
        <v>59</v>
      </c>
      <c r="J6503" s="14" t="s">
        <v>199</v>
      </c>
      <c r="K6503" s="14" t="s">
        <v>208</v>
      </c>
      <c r="L6503" s="14" t="s">
        <v>352</v>
      </c>
      <c r="M6503" s="14" t="s">
        <v>352</v>
      </c>
      <c r="N6503" s="14" t="s">
        <v>353</v>
      </c>
      <c r="O6503" s="14">
        <v>95.0</v>
      </c>
      <c r="P6503" s="21">
        <v>5.0</v>
      </c>
      <c r="Q6503" s="22" t="str">
        <f t="shared" ref="Q6503:R6503" si="3885">"+0"</f>
        <v>+0</v>
      </c>
      <c r="R6503" s="18" t="str">
        <f t="shared" si="3885"/>
        <v>+0</v>
      </c>
      <c r="S6503" s="14" t="s">
        <v>260</v>
      </c>
    </row>
    <row r="6504">
      <c r="A6504" s="13">
        <v>45901.0</v>
      </c>
      <c r="B6504" s="14" t="s">
        <v>47</v>
      </c>
      <c r="C6504" s="14" t="s">
        <v>48</v>
      </c>
      <c r="D6504" s="14" t="s">
        <v>118</v>
      </c>
      <c r="E6504" s="14" t="s">
        <v>119</v>
      </c>
      <c r="F6504" s="15" t="s">
        <v>51</v>
      </c>
      <c r="G6504" s="14" t="s">
        <v>120</v>
      </c>
      <c r="H6504" s="14" t="s">
        <v>118</v>
      </c>
      <c r="I6504" s="14" t="s">
        <v>59</v>
      </c>
      <c r="J6504" s="14" t="s">
        <v>198</v>
      </c>
      <c r="K6504" s="14" t="s">
        <v>210</v>
      </c>
      <c r="L6504" s="14" t="s">
        <v>505</v>
      </c>
      <c r="M6504" s="14" t="s">
        <v>506</v>
      </c>
      <c r="N6504" s="14" t="s">
        <v>507</v>
      </c>
      <c r="O6504" s="14">
        <v>100.0</v>
      </c>
      <c r="P6504" s="21">
        <v>0.0</v>
      </c>
      <c r="Q6504" s="22" t="str">
        <f t="shared" ref="Q6504:R6504" si="3886">"+0"</f>
        <v>+0</v>
      </c>
      <c r="R6504" s="18" t="str">
        <f t="shared" si="3886"/>
        <v>+0</v>
      </c>
      <c r="S6504" s="14" t="s">
        <v>281</v>
      </c>
    </row>
    <row r="6505">
      <c r="A6505" s="13">
        <v>45901.0</v>
      </c>
      <c r="B6505" s="14" t="s">
        <v>47</v>
      </c>
      <c r="C6505" s="14" t="s">
        <v>48</v>
      </c>
      <c r="D6505" s="14" t="s">
        <v>99</v>
      </c>
      <c r="E6505" s="14" t="s">
        <v>100</v>
      </c>
      <c r="F6505" s="15" t="s">
        <v>51</v>
      </c>
      <c r="G6505" s="14" t="s">
        <v>101</v>
      </c>
      <c r="H6505" s="14" t="s">
        <v>102</v>
      </c>
      <c r="I6505" s="14" t="s">
        <v>54</v>
      </c>
      <c r="J6505" s="14" t="s">
        <v>200</v>
      </c>
      <c r="K6505" s="14" t="s">
        <v>213</v>
      </c>
      <c r="L6505" s="14" t="s">
        <v>307</v>
      </c>
      <c r="M6505" s="14" t="s">
        <v>533</v>
      </c>
      <c r="N6505" s="14" t="s">
        <v>534</v>
      </c>
      <c r="O6505" s="14">
        <v>0.0</v>
      </c>
      <c r="P6505" s="23">
        <v>0.0</v>
      </c>
      <c r="Q6505" s="22" t="str">
        <f t="shared" ref="Q6505:R6505" si="3887">"+0.00%"</f>
        <v>+0.00%</v>
      </c>
      <c r="R6505" s="18" t="str">
        <f t="shared" si="3887"/>
        <v>+0.00%</v>
      </c>
      <c r="S6505" s="14" t="s">
        <v>1514</v>
      </c>
    </row>
    <row r="6506">
      <c r="A6506" s="13">
        <v>45901.0</v>
      </c>
      <c r="B6506" s="14" t="s">
        <v>47</v>
      </c>
      <c r="C6506" s="14" t="s">
        <v>48</v>
      </c>
      <c r="D6506" s="14" t="s">
        <v>91</v>
      </c>
      <c r="E6506" s="14" t="s">
        <v>92</v>
      </c>
      <c r="F6506" s="14" t="s">
        <v>71</v>
      </c>
      <c r="G6506" s="14">
        <v>5.10000484E8</v>
      </c>
      <c r="H6506" s="14" t="s">
        <v>91</v>
      </c>
      <c r="I6506" s="14" t="s">
        <v>54</v>
      </c>
      <c r="J6506" s="14" t="s">
        <v>199</v>
      </c>
      <c r="K6506" s="14" t="s">
        <v>206</v>
      </c>
      <c r="L6506" s="14" t="s">
        <v>569</v>
      </c>
      <c r="M6506" s="14" t="s">
        <v>569</v>
      </c>
      <c r="N6506" s="14" t="s">
        <v>570</v>
      </c>
      <c r="O6506" s="14">
        <v>100.0</v>
      </c>
      <c r="P6506" s="21">
        <v>10.0</v>
      </c>
      <c r="Q6506" s="22" t="str">
        <f>"-2"</f>
        <v>-2</v>
      </c>
      <c r="R6506" s="18" t="str">
        <f>"-7"</f>
        <v>-7</v>
      </c>
      <c r="S6506" s="14" t="s">
        <v>383</v>
      </c>
    </row>
    <row r="6507">
      <c r="A6507" s="13">
        <v>45901.0</v>
      </c>
      <c r="B6507" s="14" t="s">
        <v>47</v>
      </c>
      <c r="C6507" s="14" t="s">
        <v>48</v>
      </c>
      <c r="D6507" s="14" t="s">
        <v>192</v>
      </c>
      <c r="E6507" s="14" t="s">
        <v>193</v>
      </c>
      <c r="F6507" s="15" t="s">
        <v>51</v>
      </c>
      <c r="G6507" s="14" t="s">
        <v>194</v>
      </c>
      <c r="H6507" s="14" t="s">
        <v>192</v>
      </c>
      <c r="I6507" s="14" t="s">
        <v>54</v>
      </c>
      <c r="J6507" s="14" t="s">
        <v>200</v>
      </c>
      <c r="K6507" s="14" t="s">
        <v>223</v>
      </c>
      <c r="L6507" s="14" t="s">
        <v>286</v>
      </c>
      <c r="M6507" s="14" t="s">
        <v>730</v>
      </c>
      <c r="N6507" s="14" t="s">
        <v>731</v>
      </c>
      <c r="O6507" s="14">
        <v>0.0</v>
      </c>
      <c r="P6507" s="23">
        <v>0.0</v>
      </c>
      <c r="Q6507" s="22" t="str">
        <f t="shared" ref="Q6507:R6507" si="3888">"+0.00%"</f>
        <v>+0.00%</v>
      </c>
      <c r="R6507" s="18" t="str">
        <f t="shared" si="3888"/>
        <v>+0.00%</v>
      </c>
      <c r="S6507" s="14" t="s">
        <v>285</v>
      </c>
    </row>
    <row r="6508">
      <c r="A6508" s="13">
        <v>45901.0</v>
      </c>
      <c r="B6508" s="14" t="s">
        <v>47</v>
      </c>
      <c r="C6508" s="14" t="s">
        <v>48</v>
      </c>
      <c r="D6508" s="14" t="s">
        <v>192</v>
      </c>
      <c r="E6508" s="14" t="s">
        <v>193</v>
      </c>
      <c r="F6508" s="15" t="s">
        <v>51</v>
      </c>
      <c r="G6508" s="14" t="s">
        <v>194</v>
      </c>
      <c r="H6508" s="14" t="s">
        <v>192</v>
      </c>
      <c r="I6508" s="14" t="s">
        <v>54</v>
      </c>
      <c r="J6508" s="14" t="s">
        <v>198</v>
      </c>
      <c r="K6508" s="14" t="s">
        <v>212</v>
      </c>
      <c r="L6508" s="14" t="s">
        <v>249</v>
      </c>
      <c r="M6508" s="14" t="s">
        <v>598</v>
      </c>
      <c r="N6508" s="14" t="s">
        <v>599</v>
      </c>
      <c r="O6508" s="14">
        <v>87.0</v>
      </c>
      <c r="P6508" s="21">
        <v>4470.0</v>
      </c>
      <c r="Q6508" s="22" t="str">
        <f>"-149"</f>
        <v>-149</v>
      </c>
      <c r="R6508" s="18" t="str">
        <f>"+0"</f>
        <v>+0</v>
      </c>
      <c r="S6508" s="14" t="s">
        <v>2700</v>
      </c>
    </row>
    <row r="6509">
      <c r="A6509" s="13">
        <v>45901.0</v>
      </c>
      <c r="B6509" s="14" t="s">
        <v>47</v>
      </c>
      <c r="C6509" s="14" t="s">
        <v>48</v>
      </c>
      <c r="D6509" s="14" t="s">
        <v>192</v>
      </c>
      <c r="E6509" s="14" t="s">
        <v>193</v>
      </c>
      <c r="F6509" s="15" t="s">
        <v>51</v>
      </c>
      <c r="G6509" s="14" t="s">
        <v>194</v>
      </c>
      <c r="H6509" s="14" t="s">
        <v>192</v>
      </c>
      <c r="I6509" s="14" t="s">
        <v>54</v>
      </c>
      <c r="J6509" s="14" t="s">
        <v>198</v>
      </c>
      <c r="K6509" s="14" t="s">
        <v>210</v>
      </c>
      <c r="L6509" s="14" t="s">
        <v>505</v>
      </c>
      <c r="M6509" s="14" t="s">
        <v>1111</v>
      </c>
      <c r="N6509" s="14" t="s">
        <v>1112</v>
      </c>
      <c r="O6509" s="14">
        <v>0.0</v>
      </c>
      <c r="P6509" s="21">
        <v>0.0</v>
      </c>
      <c r="Q6509" s="22" t="str">
        <f t="shared" ref="Q6509:R6509" si="3889">"+0"</f>
        <v>+0</v>
      </c>
      <c r="R6509" s="18" t="str">
        <f t="shared" si="3889"/>
        <v>+0</v>
      </c>
      <c r="S6509" s="14" t="s">
        <v>277</v>
      </c>
    </row>
    <row r="6510">
      <c r="A6510" s="13">
        <v>45901.0</v>
      </c>
      <c r="B6510" s="14" t="s">
        <v>47</v>
      </c>
      <c r="C6510" s="14" t="s">
        <v>48</v>
      </c>
      <c r="D6510" s="14" t="s">
        <v>184</v>
      </c>
      <c r="E6510" s="14" t="s">
        <v>185</v>
      </c>
      <c r="F6510" s="15" t="s">
        <v>51</v>
      </c>
      <c r="G6510" s="14" t="s">
        <v>186</v>
      </c>
      <c r="H6510" s="14" t="s">
        <v>187</v>
      </c>
      <c r="I6510" s="14" t="s">
        <v>59</v>
      </c>
      <c r="J6510" s="14" t="s">
        <v>198</v>
      </c>
      <c r="K6510" s="14" t="s">
        <v>212</v>
      </c>
      <c r="L6510" s="14" t="s">
        <v>249</v>
      </c>
      <c r="M6510" s="14" t="s">
        <v>598</v>
      </c>
      <c r="N6510" s="14" t="s">
        <v>599</v>
      </c>
      <c r="O6510" s="14">
        <v>0.0</v>
      </c>
      <c r="P6510" s="21">
        <v>1680.0</v>
      </c>
      <c r="Q6510" s="22" t="str">
        <f>"-56"</f>
        <v>-56</v>
      </c>
      <c r="R6510" s="18" t="str">
        <f>"+0"</f>
        <v>+0</v>
      </c>
      <c r="S6510" s="14" t="s">
        <v>2701</v>
      </c>
    </row>
    <row r="6511">
      <c r="A6511" s="13">
        <v>45901.0</v>
      </c>
      <c r="B6511" s="14" t="s">
        <v>47</v>
      </c>
      <c r="C6511" s="14" t="s">
        <v>48</v>
      </c>
      <c r="D6511" s="14" t="s">
        <v>93</v>
      </c>
      <c r="E6511" s="14" t="s">
        <v>94</v>
      </c>
      <c r="F6511" s="15" t="s">
        <v>51</v>
      </c>
      <c r="G6511" s="14" t="s">
        <v>191</v>
      </c>
      <c r="H6511" s="14" t="s">
        <v>95</v>
      </c>
      <c r="I6511" s="14" t="s">
        <v>59</v>
      </c>
      <c r="J6511" s="14" t="s">
        <v>199</v>
      </c>
      <c r="K6511" s="14" t="s">
        <v>206</v>
      </c>
      <c r="L6511" s="14" t="s">
        <v>381</v>
      </c>
      <c r="M6511" s="14" t="s">
        <v>381</v>
      </c>
      <c r="N6511" s="14" t="s">
        <v>382</v>
      </c>
      <c r="O6511" s="14">
        <v>0.0</v>
      </c>
      <c r="P6511" s="21">
        <v>0.0</v>
      </c>
      <c r="Q6511" s="22" t="str">
        <f t="shared" ref="Q6511:R6511" si="3890">"+0"</f>
        <v>+0</v>
      </c>
      <c r="R6511" s="18" t="str">
        <f t="shared" si="3890"/>
        <v>+0</v>
      </c>
      <c r="S6511" s="14" t="s">
        <v>383</v>
      </c>
    </row>
    <row r="6512">
      <c r="A6512" s="13">
        <v>45901.0</v>
      </c>
      <c r="B6512" s="14" t="s">
        <v>47</v>
      </c>
      <c r="C6512" s="14" t="s">
        <v>48</v>
      </c>
      <c r="D6512" s="14" t="s">
        <v>143</v>
      </c>
      <c r="E6512" s="14" t="s">
        <v>144</v>
      </c>
      <c r="F6512" s="15" t="s">
        <v>51</v>
      </c>
      <c r="G6512" s="14" t="s">
        <v>145</v>
      </c>
      <c r="H6512" s="14" t="s">
        <v>143</v>
      </c>
      <c r="I6512" s="14" t="s">
        <v>59</v>
      </c>
      <c r="J6512" s="14" t="s">
        <v>200</v>
      </c>
      <c r="K6512" s="14" t="s">
        <v>232</v>
      </c>
      <c r="L6512" s="14" t="s">
        <v>261</v>
      </c>
      <c r="M6512" s="14" t="s">
        <v>566</v>
      </c>
      <c r="N6512" s="14" t="s">
        <v>567</v>
      </c>
      <c r="O6512" s="14">
        <v>23.0</v>
      </c>
      <c r="P6512" s="23">
        <v>0.2308</v>
      </c>
      <c r="Q6512" s="22" t="str">
        <f>"-3.01%"</f>
        <v>-3.01%</v>
      </c>
      <c r="R6512" s="18" t="str">
        <f>"-2.73%"</f>
        <v>-2.73%</v>
      </c>
      <c r="S6512" s="14" t="s">
        <v>2702</v>
      </c>
    </row>
    <row r="6513">
      <c r="A6513" s="13">
        <v>45901.0</v>
      </c>
      <c r="B6513" s="14" t="s">
        <v>47</v>
      </c>
      <c r="C6513" s="14" t="s">
        <v>48</v>
      </c>
      <c r="D6513" s="14" t="s">
        <v>143</v>
      </c>
      <c r="E6513" s="14" t="s">
        <v>144</v>
      </c>
      <c r="F6513" s="15" t="s">
        <v>51</v>
      </c>
      <c r="G6513" s="14" t="s">
        <v>145</v>
      </c>
      <c r="H6513" s="14" t="s">
        <v>143</v>
      </c>
      <c r="I6513" s="14" t="s">
        <v>59</v>
      </c>
      <c r="J6513" s="14" t="s">
        <v>199</v>
      </c>
      <c r="K6513" s="14" t="s">
        <v>206</v>
      </c>
      <c r="L6513" s="14" t="s">
        <v>295</v>
      </c>
      <c r="M6513" s="14" t="s">
        <v>651</v>
      </c>
      <c r="N6513" s="14" t="s">
        <v>652</v>
      </c>
      <c r="O6513" s="14">
        <v>0.0</v>
      </c>
      <c r="P6513" s="21">
        <v>0.0</v>
      </c>
      <c r="Q6513" s="22" t="str">
        <f t="shared" ref="Q6513:R6513" si="3891">"+0"</f>
        <v>+0</v>
      </c>
      <c r="R6513" s="18" t="str">
        <f t="shared" si="3891"/>
        <v>+0</v>
      </c>
      <c r="S6513" s="14" t="s">
        <v>260</v>
      </c>
    </row>
    <row r="6514">
      <c r="A6514" s="13">
        <v>45901.0</v>
      </c>
      <c r="B6514" s="14" t="s">
        <v>47</v>
      </c>
      <c r="C6514" s="14" t="s">
        <v>48</v>
      </c>
      <c r="D6514" s="14" t="s">
        <v>171</v>
      </c>
      <c r="E6514" s="14" t="s">
        <v>172</v>
      </c>
      <c r="F6514" s="15" t="s">
        <v>51</v>
      </c>
      <c r="G6514" s="14" t="s">
        <v>173</v>
      </c>
      <c r="H6514" s="14" t="s">
        <v>171</v>
      </c>
      <c r="I6514" s="14" t="s">
        <v>59</v>
      </c>
      <c r="J6514" s="14" t="s">
        <v>198</v>
      </c>
      <c r="K6514" s="14" t="s">
        <v>210</v>
      </c>
      <c r="L6514" s="14" t="s">
        <v>278</v>
      </c>
      <c r="M6514" s="14" t="s">
        <v>279</v>
      </c>
      <c r="N6514" s="14" t="s">
        <v>280</v>
      </c>
      <c r="O6514" s="14">
        <v>100.0</v>
      </c>
      <c r="P6514" s="21">
        <v>0.0</v>
      </c>
      <c r="Q6514" s="22" t="str">
        <f t="shared" ref="Q6514:R6514" si="3892">"+0"</f>
        <v>+0</v>
      </c>
      <c r="R6514" s="18" t="str">
        <f t="shared" si="3892"/>
        <v>+0</v>
      </c>
      <c r="S6514" s="14" t="s">
        <v>281</v>
      </c>
    </row>
    <row r="6515">
      <c r="A6515" s="13">
        <v>45901.0</v>
      </c>
      <c r="B6515" s="14" t="s">
        <v>47</v>
      </c>
      <c r="C6515" s="14" t="s">
        <v>48</v>
      </c>
      <c r="D6515" s="14" t="s">
        <v>136</v>
      </c>
      <c r="E6515" s="14" t="s">
        <v>137</v>
      </c>
      <c r="F6515" s="15" t="s">
        <v>51</v>
      </c>
      <c r="G6515" s="14" t="s">
        <v>138</v>
      </c>
      <c r="H6515" s="14" t="s">
        <v>139</v>
      </c>
      <c r="I6515" s="14" t="s">
        <v>59</v>
      </c>
      <c r="J6515" s="14" t="s">
        <v>199</v>
      </c>
      <c r="K6515" s="14" t="s">
        <v>203</v>
      </c>
      <c r="L6515" s="14" t="s">
        <v>342</v>
      </c>
      <c r="M6515" s="14" t="s">
        <v>342</v>
      </c>
      <c r="N6515" s="14" t="s">
        <v>343</v>
      </c>
      <c r="O6515" s="14">
        <v>0.0</v>
      </c>
      <c r="P6515" s="21">
        <v>0.0</v>
      </c>
      <c r="Q6515" s="22" t="str">
        <f t="shared" ref="Q6515:R6515" si="3893">"+0"</f>
        <v>+0</v>
      </c>
      <c r="R6515" s="18" t="str">
        <f t="shared" si="3893"/>
        <v>+0</v>
      </c>
      <c r="S6515" s="14" t="s">
        <v>260</v>
      </c>
    </row>
    <row r="6516">
      <c r="A6516" s="13">
        <v>45901.0</v>
      </c>
      <c r="B6516" s="14" t="s">
        <v>47</v>
      </c>
      <c r="C6516" s="14" t="s">
        <v>48</v>
      </c>
      <c r="D6516" s="14" t="s">
        <v>87</v>
      </c>
      <c r="E6516" s="14" t="s">
        <v>88</v>
      </c>
      <c r="F6516" s="15" t="s">
        <v>51</v>
      </c>
      <c r="G6516" s="14" t="s">
        <v>89</v>
      </c>
      <c r="H6516" s="14" t="s">
        <v>90</v>
      </c>
      <c r="I6516" s="14" t="s">
        <v>59</v>
      </c>
      <c r="J6516" s="14" t="s">
        <v>199</v>
      </c>
      <c r="K6516" s="14" t="s">
        <v>206</v>
      </c>
      <c r="L6516" s="14" t="s">
        <v>268</v>
      </c>
      <c r="M6516" s="14" t="s">
        <v>268</v>
      </c>
      <c r="N6516" s="14" t="s">
        <v>269</v>
      </c>
      <c r="O6516" s="14">
        <v>0.0</v>
      </c>
      <c r="P6516" s="21">
        <v>0.0</v>
      </c>
      <c r="Q6516" s="22" t="str">
        <f t="shared" ref="Q6516:R6516" si="3894">"+0"</f>
        <v>+0</v>
      </c>
      <c r="R6516" s="18" t="str">
        <f t="shared" si="3894"/>
        <v>+0</v>
      </c>
      <c r="S6516" s="14" t="s">
        <v>260</v>
      </c>
    </row>
    <row r="6517">
      <c r="A6517" s="13">
        <v>45901.0</v>
      </c>
      <c r="B6517" s="14" t="s">
        <v>47</v>
      </c>
      <c r="C6517" s="14" t="s">
        <v>48</v>
      </c>
      <c r="D6517" s="14" t="s">
        <v>171</v>
      </c>
      <c r="E6517" s="14" t="s">
        <v>172</v>
      </c>
      <c r="F6517" s="15" t="s">
        <v>51</v>
      </c>
      <c r="G6517" s="14" t="s">
        <v>173</v>
      </c>
      <c r="H6517" s="14" t="s">
        <v>171</v>
      </c>
      <c r="I6517" s="14" t="s">
        <v>59</v>
      </c>
      <c r="J6517" s="14" t="s">
        <v>200</v>
      </c>
      <c r="K6517" s="14" t="s">
        <v>213</v>
      </c>
      <c r="L6517" s="14" t="s">
        <v>257</v>
      </c>
      <c r="M6517" s="14" t="s">
        <v>499</v>
      </c>
      <c r="N6517" s="14" t="s">
        <v>500</v>
      </c>
      <c r="O6517" s="14">
        <v>0.0</v>
      </c>
      <c r="P6517" s="23">
        <v>0.0</v>
      </c>
      <c r="Q6517" s="22" t="str">
        <f t="shared" ref="Q6517:R6517" si="3895">"+0.00%"</f>
        <v>+0.00%</v>
      </c>
      <c r="R6517" s="18" t="str">
        <f t="shared" si="3895"/>
        <v>+0.00%</v>
      </c>
      <c r="S6517" s="14" t="s">
        <v>2703</v>
      </c>
    </row>
    <row r="6518">
      <c r="A6518" s="13">
        <v>45901.0</v>
      </c>
      <c r="B6518" s="14" t="s">
        <v>47</v>
      </c>
      <c r="C6518" s="14" t="s">
        <v>48</v>
      </c>
      <c r="D6518" s="14" t="s">
        <v>149</v>
      </c>
      <c r="E6518" s="14" t="s">
        <v>150</v>
      </c>
      <c r="F6518" s="15" t="s">
        <v>51</v>
      </c>
      <c r="G6518" s="14" t="s">
        <v>151</v>
      </c>
      <c r="H6518" s="14" t="s">
        <v>152</v>
      </c>
      <c r="I6518" s="14" t="s">
        <v>54</v>
      </c>
      <c r="J6518" s="14" t="s">
        <v>199</v>
      </c>
      <c r="K6518" s="14" t="s">
        <v>203</v>
      </c>
      <c r="L6518" s="14" t="s">
        <v>1183</v>
      </c>
      <c r="M6518" s="14" t="s">
        <v>1184</v>
      </c>
      <c r="N6518" s="14" t="s">
        <v>1185</v>
      </c>
      <c r="O6518" s="14">
        <v>0.0</v>
      </c>
      <c r="P6518" s="23">
        <v>0.0</v>
      </c>
      <c r="Q6518" s="22" t="str">
        <f t="shared" ref="Q6518:R6518" si="3896">"+0.00%"</f>
        <v>+0.00%</v>
      </c>
      <c r="R6518" s="18" t="str">
        <f t="shared" si="3896"/>
        <v>+0.00%</v>
      </c>
      <c r="S6518" s="14" t="s">
        <v>371</v>
      </c>
    </row>
    <row r="6519">
      <c r="A6519" s="13">
        <v>45901.0</v>
      </c>
      <c r="B6519" s="14" t="s">
        <v>47</v>
      </c>
      <c r="C6519" s="14" t="s">
        <v>48</v>
      </c>
      <c r="D6519" s="14" t="s">
        <v>85</v>
      </c>
      <c r="E6519" s="14" t="s">
        <v>86</v>
      </c>
      <c r="F6519" s="15" t="s">
        <v>51</v>
      </c>
      <c r="G6519" s="14" t="s">
        <v>148</v>
      </c>
      <c r="H6519" s="14" t="s">
        <v>85</v>
      </c>
      <c r="I6519" s="14" t="s">
        <v>59</v>
      </c>
      <c r="J6519" s="14" t="s">
        <v>199</v>
      </c>
      <c r="K6519" s="14" t="s">
        <v>206</v>
      </c>
      <c r="L6519" s="14" t="s">
        <v>531</v>
      </c>
      <c r="M6519" s="14" t="s">
        <v>531</v>
      </c>
      <c r="N6519" s="14" t="s">
        <v>532</v>
      </c>
      <c r="O6519" s="14">
        <v>75.0</v>
      </c>
      <c r="P6519" s="21">
        <v>1.0</v>
      </c>
      <c r="Q6519" s="22" t="str">
        <f t="shared" ref="Q6519:R6519" si="3897">"+0"</f>
        <v>+0</v>
      </c>
      <c r="R6519" s="18" t="str">
        <f t="shared" si="3897"/>
        <v>+0</v>
      </c>
      <c r="S6519" s="14" t="s">
        <v>260</v>
      </c>
    </row>
    <row r="6520">
      <c r="A6520" s="13">
        <v>45901.0</v>
      </c>
      <c r="B6520" s="14" t="s">
        <v>47</v>
      </c>
      <c r="C6520" s="14" t="s">
        <v>48</v>
      </c>
      <c r="D6520" s="14" t="s">
        <v>69</v>
      </c>
      <c r="E6520" s="14" t="s">
        <v>70</v>
      </c>
      <c r="F6520" s="15" t="s">
        <v>51</v>
      </c>
      <c r="G6520" s="14" t="s">
        <v>115</v>
      </c>
      <c r="H6520" s="14" t="s">
        <v>72</v>
      </c>
      <c r="I6520" s="14" t="s">
        <v>54</v>
      </c>
      <c r="J6520" s="14" t="s">
        <v>198</v>
      </c>
      <c r="K6520" s="14" t="s">
        <v>205</v>
      </c>
      <c r="L6520" s="14" t="s">
        <v>274</v>
      </c>
      <c r="M6520" s="14" t="s">
        <v>575</v>
      </c>
      <c r="N6520" s="14" t="s">
        <v>576</v>
      </c>
      <c r="O6520" s="14">
        <v>100.0</v>
      </c>
      <c r="P6520" s="21">
        <v>90.0</v>
      </c>
      <c r="Q6520" s="22" t="str">
        <f>"+0"</f>
        <v>+0</v>
      </c>
      <c r="S6520" s="14" t="s">
        <v>577</v>
      </c>
    </row>
    <row r="6521">
      <c r="A6521" s="13">
        <v>45901.0</v>
      </c>
      <c r="B6521" s="14" t="s">
        <v>47</v>
      </c>
      <c r="C6521" s="14" t="s">
        <v>48</v>
      </c>
      <c r="D6521" s="14" t="s">
        <v>125</v>
      </c>
      <c r="E6521" s="14" t="s">
        <v>126</v>
      </c>
      <c r="F6521" s="15" t="s">
        <v>51</v>
      </c>
      <c r="G6521" s="14" t="s">
        <v>127</v>
      </c>
      <c r="H6521" s="14" t="s">
        <v>125</v>
      </c>
      <c r="I6521" s="14" t="s">
        <v>59</v>
      </c>
      <c r="J6521" s="14" t="s">
        <v>200</v>
      </c>
      <c r="K6521" s="14" t="s">
        <v>224</v>
      </c>
      <c r="L6521" s="14" t="s">
        <v>594</v>
      </c>
      <c r="M6521" s="14" t="s">
        <v>1795</v>
      </c>
      <c r="N6521" s="14" t="s">
        <v>1796</v>
      </c>
      <c r="O6521" s="14">
        <v>0.0</v>
      </c>
      <c r="P6521" s="17"/>
      <c r="Q6521" s="22"/>
      <c r="S6521" s="14" t="s">
        <v>2575</v>
      </c>
    </row>
    <row r="6522">
      <c r="A6522" s="13">
        <v>45901.0</v>
      </c>
      <c r="B6522" s="14" t="s">
        <v>47</v>
      </c>
      <c r="C6522" s="14" t="s">
        <v>48</v>
      </c>
      <c r="D6522" s="14" t="s">
        <v>85</v>
      </c>
      <c r="E6522" s="14" t="s">
        <v>86</v>
      </c>
      <c r="F6522" s="15" t="s">
        <v>51</v>
      </c>
      <c r="G6522" s="14" t="s">
        <v>148</v>
      </c>
      <c r="H6522" s="14" t="s">
        <v>85</v>
      </c>
      <c r="I6522" s="14" t="s">
        <v>59</v>
      </c>
      <c r="J6522" s="14" t="s">
        <v>200</v>
      </c>
      <c r="K6522" s="14" t="s">
        <v>213</v>
      </c>
      <c r="L6522" s="14" t="s">
        <v>307</v>
      </c>
      <c r="M6522" s="14" t="s">
        <v>308</v>
      </c>
      <c r="N6522" s="14" t="s">
        <v>309</v>
      </c>
      <c r="O6522" s="14">
        <v>0.0</v>
      </c>
      <c r="P6522" s="23">
        <v>0.0</v>
      </c>
      <c r="Q6522" s="22" t="str">
        <f t="shared" ref="Q6522:R6522" si="3898">"+0.00%"</f>
        <v>+0.00%</v>
      </c>
      <c r="R6522" s="18" t="str">
        <f t="shared" si="3898"/>
        <v>+0.00%</v>
      </c>
      <c r="S6522" s="14" t="s">
        <v>285</v>
      </c>
    </row>
    <row r="6523">
      <c r="A6523" s="13">
        <v>45901.0</v>
      </c>
      <c r="B6523" s="14" t="s">
        <v>47</v>
      </c>
      <c r="C6523" s="14" t="s">
        <v>48</v>
      </c>
      <c r="D6523" s="14" t="s">
        <v>69</v>
      </c>
      <c r="E6523" s="14" t="s">
        <v>70</v>
      </c>
      <c r="F6523" s="15" t="s">
        <v>51</v>
      </c>
      <c r="G6523" s="14" t="s">
        <v>115</v>
      </c>
      <c r="H6523" s="14" t="s">
        <v>72</v>
      </c>
      <c r="I6523" s="14" t="s">
        <v>54</v>
      </c>
      <c r="J6523" s="14" t="s">
        <v>199</v>
      </c>
      <c r="K6523" s="14" t="s">
        <v>203</v>
      </c>
      <c r="L6523" s="14" t="s">
        <v>1083</v>
      </c>
      <c r="M6523" s="14" t="s">
        <v>1083</v>
      </c>
      <c r="N6523" s="14" t="s">
        <v>1084</v>
      </c>
      <c r="O6523" s="14">
        <v>100.0</v>
      </c>
      <c r="P6523" s="21">
        <v>4.0</v>
      </c>
      <c r="Q6523" s="22" t="str">
        <f t="shared" ref="Q6523:Q6524" si="3899">"+0"</f>
        <v>+0</v>
      </c>
      <c r="R6523" s="18" t="str">
        <f>"-3"</f>
        <v>-3</v>
      </c>
      <c r="S6523" s="14" t="s">
        <v>260</v>
      </c>
    </row>
    <row r="6524">
      <c r="A6524" s="13">
        <v>45901.0</v>
      </c>
      <c r="B6524" s="14" t="s">
        <v>47</v>
      </c>
      <c r="C6524" s="14" t="s">
        <v>48</v>
      </c>
      <c r="D6524" s="14" t="s">
        <v>69</v>
      </c>
      <c r="E6524" s="14" t="s">
        <v>70</v>
      </c>
      <c r="F6524" s="15" t="s">
        <v>51</v>
      </c>
      <c r="G6524" s="14" t="s">
        <v>115</v>
      </c>
      <c r="H6524" s="14" t="s">
        <v>72</v>
      </c>
      <c r="I6524" s="14" t="s">
        <v>54</v>
      </c>
      <c r="J6524" s="14" t="s">
        <v>199</v>
      </c>
      <c r="K6524" s="14" t="s">
        <v>203</v>
      </c>
      <c r="L6524" s="14" t="s">
        <v>1088</v>
      </c>
      <c r="M6524" s="14" t="s">
        <v>1089</v>
      </c>
      <c r="N6524" s="14" t="s">
        <v>1090</v>
      </c>
      <c r="O6524" s="14">
        <v>100.0</v>
      </c>
      <c r="P6524" s="21">
        <v>1.0</v>
      </c>
      <c r="Q6524" s="22" t="str">
        <f t="shared" si="3899"/>
        <v>+0</v>
      </c>
      <c r="R6524" s="18" t="str">
        <f>"+0"</f>
        <v>+0</v>
      </c>
      <c r="S6524" s="14" t="s">
        <v>260</v>
      </c>
    </row>
    <row r="6525">
      <c r="A6525" s="13">
        <v>45901.0</v>
      </c>
      <c r="B6525" s="14" t="s">
        <v>47</v>
      </c>
      <c r="C6525" s="14" t="s">
        <v>48</v>
      </c>
      <c r="D6525" s="14" t="s">
        <v>69</v>
      </c>
      <c r="E6525" s="14" t="s">
        <v>70</v>
      </c>
      <c r="F6525" s="14" t="s">
        <v>71</v>
      </c>
      <c r="G6525" s="14">
        <v>1.00002092E8</v>
      </c>
      <c r="H6525" s="14" t="s">
        <v>72</v>
      </c>
      <c r="I6525" s="14" t="s">
        <v>54</v>
      </c>
      <c r="J6525" s="14" t="s">
        <v>199</v>
      </c>
      <c r="K6525" s="14" t="s">
        <v>206</v>
      </c>
      <c r="L6525" s="14" t="s">
        <v>433</v>
      </c>
      <c r="M6525" s="14" t="s">
        <v>433</v>
      </c>
      <c r="N6525" s="14" t="s">
        <v>434</v>
      </c>
      <c r="O6525" s="14">
        <v>100.0</v>
      </c>
      <c r="P6525" s="21">
        <v>48.0</v>
      </c>
      <c r="Q6525" s="22" t="str">
        <f>"-1"</f>
        <v>-1</v>
      </c>
      <c r="R6525" s="18" t="str">
        <f>"-36"</f>
        <v>-36</v>
      </c>
      <c r="S6525" s="14" t="s">
        <v>383</v>
      </c>
    </row>
    <row r="6526">
      <c r="A6526" s="13">
        <v>45901.0</v>
      </c>
      <c r="B6526" s="14" t="s">
        <v>47</v>
      </c>
      <c r="C6526" s="14" t="s">
        <v>48</v>
      </c>
      <c r="D6526" s="14" t="s">
        <v>116</v>
      </c>
      <c r="E6526" s="14" t="s">
        <v>117</v>
      </c>
      <c r="F6526" s="15" t="s">
        <v>51</v>
      </c>
      <c r="G6526" s="14" t="s">
        <v>161</v>
      </c>
      <c r="H6526" s="14" t="s">
        <v>116</v>
      </c>
      <c r="I6526" s="14" t="s">
        <v>54</v>
      </c>
      <c r="J6526" s="14" t="s">
        <v>198</v>
      </c>
      <c r="K6526" s="14" t="s">
        <v>210</v>
      </c>
      <c r="L6526" s="14" t="s">
        <v>505</v>
      </c>
      <c r="M6526" s="14" t="s">
        <v>1097</v>
      </c>
      <c r="N6526" s="14" t="s">
        <v>1098</v>
      </c>
      <c r="O6526" s="14">
        <v>0.0</v>
      </c>
      <c r="P6526" s="21">
        <v>0.0</v>
      </c>
      <c r="Q6526" s="22" t="str">
        <f t="shared" ref="Q6526:R6526" si="3900">"+0"</f>
        <v>+0</v>
      </c>
      <c r="R6526" s="18" t="str">
        <f t="shared" si="3900"/>
        <v>+0</v>
      </c>
      <c r="S6526" s="14" t="s">
        <v>277</v>
      </c>
    </row>
    <row r="6527">
      <c r="A6527" s="13">
        <v>45901.0</v>
      </c>
      <c r="B6527" s="14" t="s">
        <v>47</v>
      </c>
      <c r="C6527" s="14" t="s">
        <v>48</v>
      </c>
      <c r="D6527" s="14" t="s">
        <v>108</v>
      </c>
      <c r="E6527" s="14" t="s">
        <v>109</v>
      </c>
      <c r="F6527" s="14" t="s">
        <v>79</v>
      </c>
      <c r="G6527" s="14" t="s">
        <v>153</v>
      </c>
      <c r="H6527" s="14" t="s">
        <v>108</v>
      </c>
      <c r="I6527" s="14" t="s">
        <v>154</v>
      </c>
      <c r="J6527" s="14" t="s">
        <v>199</v>
      </c>
      <c r="K6527" s="14" t="s">
        <v>206</v>
      </c>
      <c r="L6527" s="14" t="s">
        <v>515</v>
      </c>
      <c r="M6527" s="14" t="s">
        <v>515</v>
      </c>
      <c r="N6527" s="14" t="s">
        <v>516</v>
      </c>
      <c r="O6527" s="14">
        <v>0.0</v>
      </c>
      <c r="P6527" s="21">
        <v>0.0</v>
      </c>
      <c r="Q6527" s="22" t="str">
        <f t="shared" ref="Q6527:Q6528" si="3901">"+0"</f>
        <v>+0</v>
      </c>
      <c r="S6527" s="14" t="s">
        <v>383</v>
      </c>
    </row>
    <row r="6528">
      <c r="A6528" s="13">
        <v>45901.0</v>
      </c>
      <c r="B6528" s="14" t="s">
        <v>47</v>
      </c>
      <c r="C6528" s="14" t="s">
        <v>48</v>
      </c>
      <c r="D6528" s="14" t="s">
        <v>174</v>
      </c>
      <c r="E6528" s="14" t="s">
        <v>175</v>
      </c>
      <c r="F6528" s="15" t="s">
        <v>51</v>
      </c>
      <c r="G6528" s="14" t="s">
        <v>176</v>
      </c>
      <c r="H6528" s="14" t="s">
        <v>174</v>
      </c>
      <c r="I6528" s="14" t="s">
        <v>59</v>
      </c>
      <c r="J6528" s="14" t="s">
        <v>200</v>
      </c>
      <c r="K6528" s="14" t="s">
        <v>213</v>
      </c>
      <c r="L6528" s="14" t="s">
        <v>257</v>
      </c>
      <c r="M6528" s="14" t="s">
        <v>517</v>
      </c>
      <c r="N6528" s="14" t="s">
        <v>518</v>
      </c>
      <c r="O6528" s="14">
        <v>100.0</v>
      </c>
      <c r="P6528" s="21">
        <v>9.0</v>
      </c>
      <c r="Q6528" s="22" t="str">
        <f t="shared" si="3901"/>
        <v>+0</v>
      </c>
      <c r="R6528" s="18" t="str">
        <f>"+0"</f>
        <v>+0</v>
      </c>
      <c r="S6528" s="14" t="s">
        <v>260</v>
      </c>
    </row>
    <row r="6529">
      <c r="A6529" s="13">
        <v>45901.0</v>
      </c>
      <c r="B6529" s="14" t="s">
        <v>47</v>
      </c>
      <c r="C6529" s="14" t="s">
        <v>48</v>
      </c>
      <c r="D6529" s="14" t="s">
        <v>108</v>
      </c>
      <c r="E6529" s="14" t="s">
        <v>109</v>
      </c>
      <c r="F6529" s="15" t="s">
        <v>51</v>
      </c>
      <c r="G6529" s="14" t="s">
        <v>110</v>
      </c>
      <c r="H6529" s="14" t="s">
        <v>108</v>
      </c>
      <c r="I6529" s="14" t="s">
        <v>59</v>
      </c>
      <c r="J6529" s="14" t="s">
        <v>200</v>
      </c>
      <c r="K6529" s="14" t="s">
        <v>244</v>
      </c>
      <c r="L6529" s="14" t="s">
        <v>253</v>
      </c>
      <c r="M6529" s="14" t="s">
        <v>2704</v>
      </c>
      <c r="N6529" s="14" t="s">
        <v>367</v>
      </c>
      <c r="O6529" s="14">
        <v>0.0</v>
      </c>
      <c r="P6529" s="23">
        <v>0.0</v>
      </c>
      <c r="Q6529" s="22" t="str">
        <f t="shared" ref="Q6529:R6529" si="3902">"+0.00%"</f>
        <v>+0.00%</v>
      </c>
      <c r="R6529" s="18" t="str">
        <f t="shared" si="3902"/>
        <v>+0.00%</v>
      </c>
      <c r="S6529" s="14" t="s">
        <v>2705</v>
      </c>
    </row>
    <row r="6530">
      <c r="A6530" s="13">
        <v>45901.0</v>
      </c>
      <c r="B6530" s="14" t="s">
        <v>47</v>
      </c>
      <c r="C6530" s="14" t="s">
        <v>48</v>
      </c>
      <c r="D6530" s="14" t="s">
        <v>140</v>
      </c>
      <c r="E6530" s="14" t="s">
        <v>141</v>
      </c>
      <c r="F6530" s="15" t="s">
        <v>51</v>
      </c>
      <c r="G6530" s="14" t="s">
        <v>142</v>
      </c>
      <c r="H6530" s="14" t="s">
        <v>140</v>
      </c>
      <c r="I6530" s="14" t="s">
        <v>59</v>
      </c>
      <c r="J6530" s="14" t="s">
        <v>198</v>
      </c>
      <c r="K6530" s="14" t="s">
        <v>210</v>
      </c>
      <c r="L6530" s="14" t="s">
        <v>278</v>
      </c>
      <c r="M6530" s="14" t="s">
        <v>839</v>
      </c>
      <c r="N6530" s="14" t="s">
        <v>840</v>
      </c>
      <c r="O6530" s="14">
        <v>43.0</v>
      </c>
      <c r="P6530" s="21">
        <v>1395.0</v>
      </c>
      <c r="Q6530" s="22" t="str">
        <f>"-562"</f>
        <v>-562</v>
      </c>
      <c r="R6530" s="18" t="str">
        <f>"-32"</f>
        <v>-32</v>
      </c>
      <c r="S6530" s="14" t="s">
        <v>2089</v>
      </c>
    </row>
    <row r="6531">
      <c r="A6531" s="13">
        <v>45901.0</v>
      </c>
      <c r="B6531" s="14" t="s">
        <v>47</v>
      </c>
      <c r="C6531" s="14" t="s">
        <v>48</v>
      </c>
      <c r="D6531" s="14" t="s">
        <v>155</v>
      </c>
      <c r="E6531" s="14" t="s">
        <v>156</v>
      </c>
      <c r="F6531" s="15" t="s">
        <v>51</v>
      </c>
      <c r="G6531" s="14" t="s">
        <v>157</v>
      </c>
      <c r="H6531" s="14" t="s">
        <v>155</v>
      </c>
      <c r="I6531" s="14" t="s">
        <v>59</v>
      </c>
      <c r="J6531" s="14" t="s">
        <v>200</v>
      </c>
      <c r="K6531" s="14" t="s">
        <v>223</v>
      </c>
      <c r="L6531" s="14" t="s">
        <v>307</v>
      </c>
      <c r="M6531" s="14" t="s">
        <v>561</v>
      </c>
      <c r="N6531" s="14" t="s">
        <v>562</v>
      </c>
      <c r="O6531" s="14">
        <v>0.0</v>
      </c>
      <c r="P6531" s="17"/>
      <c r="Q6531" s="22"/>
      <c r="S6531" s="14" t="s">
        <v>285</v>
      </c>
    </row>
    <row r="6532">
      <c r="A6532" s="13">
        <v>45901.0</v>
      </c>
      <c r="B6532" s="14" t="s">
        <v>47</v>
      </c>
      <c r="C6532" s="14" t="s">
        <v>48</v>
      </c>
      <c r="D6532" s="14" t="s">
        <v>121</v>
      </c>
      <c r="E6532" s="14" t="s">
        <v>122</v>
      </c>
      <c r="F6532" s="15" t="s">
        <v>51</v>
      </c>
      <c r="G6532" s="14" t="s">
        <v>123</v>
      </c>
      <c r="H6532" s="14" t="s">
        <v>124</v>
      </c>
      <c r="I6532" s="14" t="s">
        <v>59</v>
      </c>
      <c r="J6532" s="14" t="s">
        <v>200</v>
      </c>
      <c r="K6532" s="14" t="s">
        <v>232</v>
      </c>
      <c r="L6532" s="14" t="s">
        <v>286</v>
      </c>
      <c r="M6532" s="14" t="s">
        <v>644</v>
      </c>
      <c r="N6532" s="14" t="s">
        <v>645</v>
      </c>
      <c r="O6532" s="14">
        <v>0.0</v>
      </c>
      <c r="P6532" s="23">
        <v>-1.0</v>
      </c>
      <c r="Q6532" s="22" t="str">
        <f t="shared" ref="Q6532:R6532" si="3903">"+0.00%"</f>
        <v>+0.00%</v>
      </c>
      <c r="R6532" s="18" t="str">
        <f t="shared" si="3903"/>
        <v>+0.00%</v>
      </c>
      <c r="S6532" s="14" t="s">
        <v>2706</v>
      </c>
    </row>
    <row r="6533">
      <c r="A6533" s="13">
        <v>45901.0</v>
      </c>
      <c r="B6533" s="14" t="s">
        <v>47</v>
      </c>
      <c r="C6533" s="14" t="s">
        <v>48</v>
      </c>
      <c r="D6533" s="14" t="s">
        <v>60</v>
      </c>
      <c r="E6533" s="14" t="s">
        <v>61</v>
      </c>
      <c r="F6533" s="15" t="s">
        <v>51</v>
      </c>
      <c r="G6533" s="14" t="s">
        <v>62</v>
      </c>
      <c r="H6533" s="14" t="s">
        <v>60</v>
      </c>
      <c r="I6533" s="14" t="s">
        <v>59</v>
      </c>
      <c r="J6533" s="14" t="s">
        <v>200</v>
      </c>
      <c r="K6533" s="14" t="s">
        <v>223</v>
      </c>
      <c r="L6533" s="14" t="s">
        <v>304</v>
      </c>
      <c r="M6533" s="14" t="s">
        <v>662</v>
      </c>
      <c r="N6533" s="14" t="s">
        <v>663</v>
      </c>
      <c r="O6533" s="14">
        <v>62.0</v>
      </c>
      <c r="P6533" s="23">
        <v>0.2525</v>
      </c>
      <c r="Q6533" s="22" t="str">
        <f>"+101.49%"</f>
        <v>+101.49%</v>
      </c>
      <c r="R6533" s="18" t="str">
        <f>"+7.61%"</f>
        <v>+7.61%</v>
      </c>
      <c r="S6533" s="14" t="s">
        <v>2707</v>
      </c>
    </row>
    <row r="6534">
      <c r="A6534" s="13">
        <v>45901.0</v>
      </c>
      <c r="B6534" s="14" t="s">
        <v>47</v>
      </c>
      <c r="C6534" s="14" t="s">
        <v>48</v>
      </c>
      <c r="D6534" s="14" t="s">
        <v>155</v>
      </c>
      <c r="E6534" s="14" t="s">
        <v>156</v>
      </c>
      <c r="F6534" s="15" t="s">
        <v>51</v>
      </c>
      <c r="G6534" s="14" t="s">
        <v>157</v>
      </c>
      <c r="H6534" s="14" t="s">
        <v>155</v>
      </c>
      <c r="I6534" s="14" t="s">
        <v>59</v>
      </c>
      <c r="J6534" s="14" t="s">
        <v>199</v>
      </c>
      <c r="K6534" s="14" t="s">
        <v>203</v>
      </c>
      <c r="L6534" s="14" t="s">
        <v>340</v>
      </c>
      <c r="M6534" s="14" t="s">
        <v>340</v>
      </c>
      <c r="N6534" s="14" t="s">
        <v>341</v>
      </c>
      <c r="O6534" s="14">
        <v>0.0</v>
      </c>
      <c r="P6534" s="21">
        <v>0.0</v>
      </c>
      <c r="Q6534" s="22" t="str">
        <f t="shared" ref="Q6534:R6534" si="3904">"+0"</f>
        <v>+0</v>
      </c>
      <c r="R6534" s="18" t="str">
        <f t="shared" si="3904"/>
        <v>+0</v>
      </c>
      <c r="S6534" s="14" t="s">
        <v>260</v>
      </c>
    </row>
    <row r="6535">
      <c r="A6535" s="13">
        <v>45901.0</v>
      </c>
      <c r="B6535" s="14" t="s">
        <v>47</v>
      </c>
      <c r="C6535" s="14" t="s">
        <v>48</v>
      </c>
      <c r="D6535" s="14" t="s">
        <v>168</v>
      </c>
      <c r="E6535" s="14" t="s">
        <v>169</v>
      </c>
      <c r="F6535" s="15" t="s">
        <v>51</v>
      </c>
      <c r="G6535" s="14" t="s">
        <v>170</v>
      </c>
      <c r="H6535" s="14" t="s">
        <v>168</v>
      </c>
      <c r="I6535" s="14" t="s">
        <v>59</v>
      </c>
      <c r="J6535" s="14" t="s">
        <v>198</v>
      </c>
      <c r="K6535" s="14" t="s">
        <v>205</v>
      </c>
      <c r="L6535" s="14" t="s">
        <v>274</v>
      </c>
      <c r="M6535" s="14" t="s">
        <v>575</v>
      </c>
      <c r="N6535" s="14" t="s">
        <v>576</v>
      </c>
      <c r="O6535" s="14">
        <v>100.0</v>
      </c>
      <c r="P6535" s="21">
        <v>90.0</v>
      </c>
      <c r="Q6535" s="22" t="str">
        <f>"+0"</f>
        <v>+0</v>
      </c>
      <c r="S6535" s="14" t="s">
        <v>577</v>
      </c>
    </row>
    <row r="6536">
      <c r="A6536" s="13">
        <v>45901.0</v>
      </c>
      <c r="B6536" s="14" t="s">
        <v>47</v>
      </c>
      <c r="C6536" s="14" t="s">
        <v>48</v>
      </c>
      <c r="D6536" s="14" t="s">
        <v>140</v>
      </c>
      <c r="E6536" s="14" t="s">
        <v>141</v>
      </c>
      <c r="F6536" s="15" t="s">
        <v>51</v>
      </c>
      <c r="G6536" s="14" t="s">
        <v>142</v>
      </c>
      <c r="H6536" s="14" t="s">
        <v>140</v>
      </c>
      <c r="I6536" s="14" t="s">
        <v>59</v>
      </c>
      <c r="J6536" s="14" t="s">
        <v>200</v>
      </c>
      <c r="K6536" s="14" t="s">
        <v>227</v>
      </c>
      <c r="L6536" s="14" t="s">
        <v>270</v>
      </c>
      <c r="M6536" s="14" t="s">
        <v>271</v>
      </c>
      <c r="N6536" s="14" t="s">
        <v>272</v>
      </c>
      <c r="O6536" s="14">
        <v>0.0</v>
      </c>
      <c r="P6536" s="23">
        <v>-1.0</v>
      </c>
      <c r="Q6536" s="22" t="str">
        <f t="shared" ref="Q6536:R6536" si="3905">"+0.00%"</f>
        <v>+0.00%</v>
      </c>
      <c r="R6536" s="18" t="str">
        <f t="shared" si="3905"/>
        <v>+0.00%</v>
      </c>
      <c r="S6536" s="14" t="s">
        <v>273</v>
      </c>
    </row>
    <row r="6537">
      <c r="A6537" s="13">
        <v>45901.0</v>
      </c>
      <c r="B6537" s="14" t="s">
        <v>47</v>
      </c>
      <c r="C6537" s="14" t="s">
        <v>48</v>
      </c>
      <c r="D6537" s="14" t="s">
        <v>60</v>
      </c>
      <c r="E6537" s="14" t="s">
        <v>61</v>
      </c>
      <c r="F6537" s="15" t="s">
        <v>51</v>
      </c>
      <c r="G6537" s="14" t="s">
        <v>62</v>
      </c>
      <c r="H6537" s="14" t="s">
        <v>60</v>
      </c>
      <c r="I6537" s="14" t="s">
        <v>59</v>
      </c>
      <c r="J6537" s="14" t="s">
        <v>200</v>
      </c>
      <c r="K6537" s="14" t="s">
        <v>216</v>
      </c>
      <c r="L6537" s="14" t="s">
        <v>2090</v>
      </c>
      <c r="M6537" s="14" t="s">
        <v>2091</v>
      </c>
      <c r="N6537" s="14" t="s">
        <v>2092</v>
      </c>
      <c r="O6537" s="14">
        <v>0.0</v>
      </c>
      <c r="P6537" s="21">
        <v>0.0</v>
      </c>
      <c r="Q6537" s="22" t="str">
        <f t="shared" ref="Q6537:R6537" si="3906">"+0"</f>
        <v>+0</v>
      </c>
      <c r="R6537" s="18" t="str">
        <f t="shared" si="3906"/>
        <v>+0</v>
      </c>
      <c r="S6537" s="14" t="s">
        <v>327</v>
      </c>
    </row>
    <row r="6538">
      <c r="A6538" s="13">
        <v>45901.0</v>
      </c>
      <c r="B6538" s="14" t="s">
        <v>47</v>
      </c>
      <c r="C6538" s="14" t="s">
        <v>48</v>
      </c>
      <c r="D6538" s="14" t="s">
        <v>165</v>
      </c>
      <c r="E6538" s="14" t="s">
        <v>166</v>
      </c>
      <c r="F6538" s="14" t="s">
        <v>111</v>
      </c>
      <c r="G6538" s="14">
        <v>7116371.0</v>
      </c>
      <c r="H6538" s="14" t="s">
        <v>165</v>
      </c>
      <c r="I6538" s="14" t="s">
        <v>59</v>
      </c>
      <c r="J6538" s="14" t="s">
        <v>199</v>
      </c>
      <c r="K6538" s="14" t="s">
        <v>206</v>
      </c>
      <c r="L6538" s="14" t="s">
        <v>295</v>
      </c>
      <c r="M6538" s="14" t="s">
        <v>296</v>
      </c>
      <c r="N6538" s="14" t="s">
        <v>297</v>
      </c>
      <c r="O6538" s="14">
        <v>0.0</v>
      </c>
      <c r="P6538" s="21">
        <v>0.0</v>
      </c>
      <c r="Q6538" s="22" t="str">
        <f t="shared" ref="Q6538:R6538" si="3907">"+0"</f>
        <v>+0</v>
      </c>
      <c r="R6538" s="18" t="str">
        <f t="shared" si="3907"/>
        <v>+0</v>
      </c>
      <c r="S6538" s="14" t="s">
        <v>260</v>
      </c>
    </row>
    <row r="6539">
      <c r="A6539" s="13">
        <v>45901.0</v>
      </c>
      <c r="B6539" s="14" t="s">
        <v>47</v>
      </c>
      <c r="C6539" s="14" t="s">
        <v>48</v>
      </c>
      <c r="D6539" s="14" t="s">
        <v>49</v>
      </c>
      <c r="E6539" s="14" t="s">
        <v>50</v>
      </c>
      <c r="F6539" s="15" t="s">
        <v>51</v>
      </c>
      <c r="G6539" s="14" t="s">
        <v>52</v>
      </c>
      <c r="H6539" s="14" t="s">
        <v>53</v>
      </c>
      <c r="I6539" s="14" t="s">
        <v>54</v>
      </c>
      <c r="J6539" s="14" t="s">
        <v>200</v>
      </c>
      <c r="K6539" s="14" t="s">
        <v>224</v>
      </c>
      <c r="L6539" s="14" t="s">
        <v>427</v>
      </c>
      <c r="M6539" s="14" t="s">
        <v>617</v>
      </c>
      <c r="N6539" s="14" t="s">
        <v>618</v>
      </c>
      <c r="O6539" s="14">
        <v>0.0</v>
      </c>
      <c r="P6539" s="23">
        <v>0.0</v>
      </c>
      <c r="Q6539" s="22" t="str">
        <f t="shared" ref="Q6539:R6539" si="3908">"+0.00%"</f>
        <v>+0.00%</v>
      </c>
      <c r="R6539" s="18" t="str">
        <f t="shared" si="3908"/>
        <v>+0.00%</v>
      </c>
      <c r="S6539" s="14" t="s">
        <v>619</v>
      </c>
    </row>
    <row r="6540">
      <c r="A6540" s="13">
        <v>45901.0</v>
      </c>
      <c r="B6540" s="14" t="s">
        <v>47</v>
      </c>
      <c r="C6540" s="14" t="s">
        <v>48</v>
      </c>
      <c r="D6540" s="14" t="s">
        <v>165</v>
      </c>
      <c r="E6540" s="14" t="s">
        <v>166</v>
      </c>
      <c r="F6540" s="14" t="s">
        <v>111</v>
      </c>
      <c r="G6540" s="14">
        <v>7116371.0</v>
      </c>
      <c r="H6540" s="14" t="s">
        <v>165</v>
      </c>
      <c r="I6540" s="14" t="s">
        <v>59</v>
      </c>
      <c r="J6540" s="14" t="s">
        <v>199</v>
      </c>
      <c r="K6540" s="14" t="s">
        <v>203</v>
      </c>
      <c r="L6540" s="14" t="s">
        <v>342</v>
      </c>
      <c r="M6540" s="14" t="s">
        <v>342</v>
      </c>
      <c r="N6540" s="14" t="s">
        <v>343</v>
      </c>
      <c r="O6540" s="14">
        <v>100.0</v>
      </c>
      <c r="P6540" s="21">
        <v>15.0</v>
      </c>
      <c r="Q6540" s="22" t="str">
        <f t="shared" ref="Q6540:R6540" si="3909">"+0"</f>
        <v>+0</v>
      </c>
      <c r="R6540" s="18" t="str">
        <f t="shared" si="3909"/>
        <v>+0</v>
      </c>
      <c r="S6540" s="14" t="s">
        <v>260</v>
      </c>
    </row>
    <row r="6541">
      <c r="A6541" s="13">
        <v>45901.0</v>
      </c>
      <c r="B6541" s="14" t="s">
        <v>47</v>
      </c>
      <c r="C6541" s="14" t="s">
        <v>48</v>
      </c>
      <c r="D6541" s="14" t="s">
        <v>91</v>
      </c>
      <c r="E6541" s="14" t="s">
        <v>92</v>
      </c>
      <c r="F6541" s="14" t="s">
        <v>71</v>
      </c>
      <c r="G6541" s="14">
        <v>5.10001669E8</v>
      </c>
      <c r="H6541" s="14" t="s">
        <v>91</v>
      </c>
      <c r="I6541" s="14" t="s">
        <v>107</v>
      </c>
      <c r="J6541" s="14" t="s">
        <v>199</v>
      </c>
      <c r="K6541" s="14" t="s">
        <v>206</v>
      </c>
      <c r="L6541" s="14" t="s">
        <v>295</v>
      </c>
      <c r="M6541" s="14" t="s">
        <v>651</v>
      </c>
      <c r="N6541" s="14" t="s">
        <v>652</v>
      </c>
      <c r="O6541" s="14">
        <v>0.0</v>
      </c>
      <c r="P6541" s="21">
        <v>0.0</v>
      </c>
      <c r="Q6541" s="22" t="str">
        <f t="shared" ref="Q6541:R6541" si="3910">"+0"</f>
        <v>+0</v>
      </c>
      <c r="R6541" s="18" t="str">
        <f t="shared" si="3910"/>
        <v>+0</v>
      </c>
      <c r="S6541" s="14" t="s">
        <v>260</v>
      </c>
    </row>
    <row r="6542">
      <c r="A6542" s="13">
        <v>45901.0</v>
      </c>
      <c r="B6542" s="14" t="s">
        <v>47</v>
      </c>
      <c r="C6542" s="14" t="s">
        <v>48</v>
      </c>
      <c r="D6542" s="14" t="s">
        <v>63</v>
      </c>
      <c r="E6542" s="14" t="s">
        <v>64</v>
      </c>
      <c r="F6542" s="15" t="s">
        <v>51</v>
      </c>
      <c r="G6542" s="14" t="s">
        <v>65</v>
      </c>
      <c r="H6542" s="14" t="s">
        <v>63</v>
      </c>
      <c r="I6542" s="14" t="s">
        <v>54</v>
      </c>
      <c r="J6542" s="14" t="s">
        <v>200</v>
      </c>
      <c r="K6542" s="14" t="s">
        <v>213</v>
      </c>
      <c r="L6542" s="14" t="s">
        <v>676</v>
      </c>
      <c r="M6542" s="14" t="s">
        <v>836</v>
      </c>
      <c r="N6542" s="14" t="s">
        <v>837</v>
      </c>
      <c r="O6542" s="14">
        <v>28.0</v>
      </c>
      <c r="P6542" s="23">
        <v>0.2886</v>
      </c>
      <c r="Q6542" s="22" t="str">
        <f>"+0.98%"</f>
        <v>+0.98%</v>
      </c>
      <c r="R6542" s="18" t="str">
        <f>"-1.15%"</f>
        <v>-1.15%</v>
      </c>
      <c r="S6542" s="14" t="s">
        <v>2016</v>
      </c>
    </row>
    <row r="6543">
      <c r="A6543" s="13">
        <v>45901.0</v>
      </c>
      <c r="B6543" s="14" t="s">
        <v>47</v>
      </c>
      <c r="C6543" s="14" t="s">
        <v>48</v>
      </c>
      <c r="D6543" s="14" t="s">
        <v>91</v>
      </c>
      <c r="E6543" s="14" t="s">
        <v>92</v>
      </c>
      <c r="F6543" s="14" t="s">
        <v>71</v>
      </c>
      <c r="G6543" s="14">
        <v>5.10011769E8</v>
      </c>
      <c r="H6543" s="14" t="s">
        <v>91</v>
      </c>
      <c r="I6543" s="14" t="s">
        <v>59</v>
      </c>
      <c r="J6543" s="14" t="s">
        <v>199</v>
      </c>
      <c r="K6543" s="14" t="s">
        <v>206</v>
      </c>
      <c r="L6543" s="14" t="s">
        <v>295</v>
      </c>
      <c r="M6543" s="14" t="s">
        <v>529</v>
      </c>
      <c r="N6543" s="14" t="s">
        <v>530</v>
      </c>
      <c r="O6543" s="14">
        <v>0.0</v>
      </c>
      <c r="P6543" s="21">
        <v>0.0</v>
      </c>
      <c r="Q6543" s="22" t="str">
        <f t="shared" ref="Q6543:R6543" si="3911">"+0"</f>
        <v>+0</v>
      </c>
      <c r="R6543" s="18" t="str">
        <f t="shared" si="3911"/>
        <v>+0</v>
      </c>
      <c r="S6543" s="14" t="s">
        <v>260</v>
      </c>
    </row>
    <row r="6544">
      <c r="A6544" s="13">
        <v>45901.0</v>
      </c>
      <c r="B6544" s="14" t="s">
        <v>47</v>
      </c>
      <c r="C6544" s="14" t="s">
        <v>48</v>
      </c>
      <c r="D6544" s="14" t="s">
        <v>66</v>
      </c>
      <c r="E6544" s="14" t="s">
        <v>67</v>
      </c>
      <c r="F6544" s="15" t="s">
        <v>51</v>
      </c>
      <c r="G6544" s="14" t="s">
        <v>68</v>
      </c>
      <c r="H6544" s="14" t="s">
        <v>66</v>
      </c>
      <c r="I6544" s="14" t="s">
        <v>59</v>
      </c>
      <c r="J6544" s="14" t="s">
        <v>200</v>
      </c>
      <c r="K6544" s="14" t="s">
        <v>223</v>
      </c>
      <c r="L6544" s="14" t="s">
        <v>304</v>
      </c>
      <c r="M6544" s="14" t="s">
        <v>877</v>
      </c>
      <c r="N6544" s="14" t="s">
        <v>878</v>
      </c>
      <c r="O6544" s="14">
        <v>0.0</v>
      </c>
      <c r="P6544" s="23">
        <v>0.0</v>
      </c>
      <c r="Q6544" s="22" t="str">
        <f t="shared" ref="Q6544:R6544" si="3912">"+0.00%"</f>
        <v>+0.00%</v>
      </c>
      <c r="R6544" s="18" t="str">
        <f t="shared" si="3912"/>
        <v>+0.00%</v>
      </c>
      <c r="S6544" s="14" t="s">
        <v>2708</v>
      </c>
    </row>
    <row r="6545">
      <c r="A6545" s="13">
        <v>45901.0</v>
      </c>
      <c r="B6545" s="14" t="s">
        <v>47</v>
      </c>
      <c r="C6545" s="14" t="s">
        <v>48</v>
      </c>
      <c r="D6545" s="14" t="s">
        <v>66</v>
      </c>
      <c r="E6545" s="14" t="s">
        <v>67</v>
      </c>
      <c r="F6545" s="15" t="s">
        <v>51</v>
      </c>
      <c r="G6545" s="14" t="s">
        <v>68</v>
      </c>
      <c r="H6545" s="14" t="s">
        <v>66</v>
      </c>
      <c r="I6545" s="14" t="s">
        <v>59</v>
      </c>
      <c r="J6545" s="14" t="s">
        <v>200</v>
      </c>
      <c r="K6545" s="14" t="s">
        <v>227</v>
      </c>
      <c r="L6545" s="14" t="s">
        <v>270</v>
      </c>
      <c r="M6545" s="14" t="s">
        <v>417</v>
      </c>
      <c r="N6545" s="14" t="s">
        <v>418</v>
      </c>
      <c r="O6545" s="14">
        <v>0.0</v>
      </c>
      <c r="P6545" s="21">
        <v>0.0</v>
      </c>
      <c r="Q6545" s="22" t="str">
        <f>"-1"</f>
        <v>-1</v>
      </c>
      <c r="R6545" s="18" t="str">
        <f>"-2"</f>
        <v>-2</v>
      </c>
      <c r="S6545" s="14" t="s">
        <v>260</v>
      </c>
    </row>
    <row r="6546">
      <c r="A6546" s="13">
        <v>45901.0</v>
      </c>
      <c r="B6546" s="14" t="s">
        <v>47</v>
      </c>
      <c r="C6546" s="14" t="s">
        <v>48</v>
      </c>
      <c r="D6546" s="14" t="s">
        <v>192</v>
      </c>
      <c r="E6546" s="14" t="s">
        <v>193</v>
      </c>
      <c r="F6546" s="15" t="s">
        <v>51</v>
      </c>
      <c r="G6546" s="14" t="s">
        <v>194</v>
      </c>
      <c r="H6546" s="14" t="s">
        <v>192</v>
      </c>
      <c r="I6546" s="14" t="s">
        <v>54</v>
      </c>
      <c r="J6546" s="14" t="s">
        <v>198</v>
      </c>
      <c r="K6546" s="14" t="s">
        <v>210</v>
      </c>
      <c r="L6546" s="14" t="s">
        <v>278</v>
      </c>
      <c r="M6546" s="14" t="s">
        <v>853</v>
      </c>
      <c r="N6546" s="14" t="s">
        <v>854</v>
      </c>
      <c r="O6546" s="14">
        <v>0.0</v>
      </c>
      <c r="P6546" s="21">
        <v>0.0</v>
      </c>
      <c r="Q6546" s="22" t="str">
        <f t="shared" ref="Q6546:R6546" si="3913">"+0"</f>
        <v>+0</v>
      </c>
      <c r="R6546" s="18" t="str">
        <f t="shared" si="3913"/>
        <v>+0</v>
      </c>
      <c r="S6546" s="14" t="s">
        <v>277</v>
      </c>
    </row>
    <row r="6547">
      <c r="A6547" s="13">
        <v>45901.0</v>
      </c>
      <c r="B6547" s="14" t="s">
        <v>47</v>
      </c>
      <c r="C6547" s="14" t="s">
        <v>48</v>
      </c>
      <c r="D6547" s="14" t="s">
        <v>103</v>
      </c>
      <c r="E6547" s="14" t="s">
        <v>104</v>
      </c>
      <c r="F6547" s="15" t="s">
        <v>51</v>
      </c>
      <c r="G6547" s="14" t="s">
        <v>105</v>
      </c>
      <c r="H6547" s="14" t="s">
        <v>106</v>
      </c>
      <c r="I6547" s="14" t="s">
        <v>59</v>
      </c>
      <c r="J6547" s="14" t="s">
        <v>200</v>
      </c>
      <c r="K6547" s="14" t="s">
        <v>232</v>
      </c>
      <c r="L6547" s="14" t="s">
        <v>286</v>
      </c>
      <c r="M6547" s="14" t="s">
        <v>644</v>
      </c>
      <c r="N6547" s="14" t="s">
        <v>645</v>
      </c>
      <c r="O6547" s="14">
        <v>40.0</v>
      </c>
      <c r="P6547" s="23">
        <v>-0.2</v>
      </c>
      <c r="Q6547" s="22" t="str">
        <f>"-5.71%"</f>
        <v>-5.71%</v>
      </c>
      <c r="R6547" s="18" t="str">
        <f>"+33.85%"</f>
        <v>+33.85%</v>
      </c>
      <c r="S6547" s="14" t="s">
        <v>2459</v>
      </c>
    </row>
    <row r="6548">
      <c r="A6548" s="13">
        <v>45901.0</v>
      </c>
      <c r="B6548" s="14" t="s">
        <v>47</v>
      </c>
      <c r="C6548" s="14" t="s">
        <v>48</v>
      </c>
      <c r="D6548" s="14" t="s">
        <v>103</v>
      </c>
      <c r="E6548" s="14" t="s">
        <v>104</v>
      </c>
      <c r="F6548" s="15" t="s">
        <v>51</v>
      </c>
      <c r="G6548" s="14" t="s">
        <v>105</v>
      </c>
      <c r="H6548" s="14" t="s">
        <v>106</v>
      </c>
      <c r="I6548" s="14" t="s">
        <v>59</v>
      </c>
      <c r="J6548" s="14" t="s">
        <v>199</v>
      </c>
      <c r="K6548" s="14" t="s">
        <v>203</v>
      </c>
      <c r="L6548" s="14" t="s">
        <v>431</v>
      </c>
      <c r="M6548" s="14" t="s">
        <v>431</v>
      </c>
      <c r="N6548" s="14" t="s">
        <v>432</v>
      </c>
      <c r="O6548" s="14">
        <v>0.0</v>
      </c>
      <c r="P6548" s="21">
        <v>0.0</v>
      </c>
      <c r="Q6548" s="22" t="str">
        <f t="shared" ref="Q6548:R6548" si="3914">"+0"</f>
        <v>+0</v>
      </c>
      <c r="R6548" s="18" t="str">
        <f t="shared" si="3914"/>
        <v>+0</v>
      </c>
      <c r="S6548" s="14" t="s">
        <v>260</v>
      </c>
    </row>
    <row r="6549">
      <c r="A6549" s="13">
        <v>45901.0</v>
      </c>
      <c r="B6549" s="14" t="s">
        <v>47</v>
      </c>
      <c r="C6549" s="14" t="s">
        <v>48</v>
      </c>
      <c r="D6549" s="14" t="s">
        <v>136</v>
      </c>
      <c r="E6549" s="14" t="s">
        <v>137</v>
      </c>
      <c r="F6549" s="15" t="s">
        <v>51</v>
      </c>
      <c r="G6549" s="14" t="s">
        <v>138</v>
      </c>
      <c r="H6549" s="14" t="s">
        <v>139</v>
      </c>
      <c r="I6549" s="14" t="s">
        <v>59</v>
      </c>
      <c r="J6549" s="14" t="s">
        <v>200</v>
      </c>
      <c r="K6549" s="14" t="s">
        <v>224</v>
      </c>
      <c r="L6549" s="14" t="s">
        <v>453</v>
      </c>
      <c r="M6549" s="14" t="s">
        <v>454</v>
      </c>
      <c r="N6549" s="14" t="s">
        <v>455</v>
      </c>
      <c r="O6549" s="14">
        <v>100.0</v>
      </c>
      <c r="P6549" s="23">
        <v>1.0</v>
      </c>
      <c r="Q6549" s="22" t="str">
        <f>"+0.00%"</f>
        <v>+0.00%</v>
      </c>
      <c r="S6549" s="14" t="s">
        <v>371</v>
      </c>
    </row>
    <row r="6550">
      <c r="A6550" s="13">
        <v>45901.0</v>
      </c>
      <c r="B6550" s="14" t="s">
        <v>47</v>
      </c>
      <c r="C6550" s="14" t="s">
        <v>48</v>
      </c>
      <c r="D6550" s="14" t="s">
        <v>125</v>
      </c>
      <c r="E6550" s="14" t="s">
        <v>126</v>
      </c>
      <c r="F6550" s="15" t="s">
        <v>51</v>
      </c>
      <c r="G6550" s="14" t="s">
        <v>127</v>
      </c>
      <c r="H6550" s="14" t="s">
        <v>125</v>
      </c>
      <c r="I6550" s="14" t="s">
        <v>59</v>
      </c>
      <c r="J6550" s="14" t="s">
        <v>199</v>
      </c>
      <c r="K6550" s="14" t="s">
        <v>206</v>
      </c>
      <c r="L6550" s="14" t="s">
        <v>381</v>
      </c>
      <c r="M6550" s="14" t="s">
        <v>381</v>
      </c>
      <c r="N6550" s="14" t="s">
        <v>382</v>
      </c>
      <c r="O6550" s="14">
        <v>0.0</v>
      </c>
      <c r="P6550" s="21">
        <v>0.0</v>
      </c>
      <c r="Q6550" s="22" t="str">
        <f t="shared" ref="Q6550:R6550" si="3915">"+0"</f>
        <v>+0</v>
      </c>
      <c r="R6550" s="18" t="str">
        <f t="shared" si="3915"/>
        <v>+0</v>
      </c>
      <c r="S6550" s="14" t="s">
        <v>383</v>
      </c>
    </row>
    <row r="6551">
      <c r="A6551" s="13">
        <v>45901.0</v>
      </c>
      <c r="B6551" s="14" t="s">
        <v>47</v>
      </c>
      <c r="C6551" s="14" t="s">
        <v>48</v>
      </c>
      <c r="D6551" s="14" t="s">
        <v>85</v>
      </c>
      <c r="E6551" s="14" t="s">
        <v>86</v>
      </c>
      <c r="F6551" s="15" t="s">
        <v>51</v>
      </c>
      <c r="G6551" s="14" t="s">
        <v>148</v>
      </c>
      <c r="H6551" s="14" t="s">
        <v>85</v>
      </c>
      <c r="I6551" s="14" t="s">
        <v>59</v>
      </c>
      <c r="J6551" s="14" t="s">
        <v>199</v>
      </c>
      <c r="K6551" s="14" t="s">
        <v>206</v>
      </c>
      <c r="L6551" s="14" t="s">
        <v>268</v>
      </c>
      <c r="M6551" s="14" t="s">
        <v>268</v>
      </c>
      <c r="N6551" s="14" t="s">
        <v>269</v>
      </c>
      <c r="O6551" s="14">
        <v>0.0</v>
      </c>
      <c r="P6551" s="21">
        <v>0.0</v>
      </c>
      <c r="Q6551" s="22" t="str">
        <f t="shared" ref="Q6551:R6551" si="3916">"+0"</f>
        <v>+0</v>
      </c>
      <c r="R6551" s="18" t="str">
        <f t="shared" si="3916"/>
        <v>+0</v>
      </c>
      <c r="S6551" s="14" t="s">
        <v>260</v>
      </c>
    </row>
    <row r="6552">
      <c r="A6552" s="13">
        <v>45901.0</v>
      </c>
      <c r="B6552" s="14" t="s">
        <v>47</v>
      </c>
      <c r="C6552" s="14" t="s">
        <v>48</v>
      </c>
      <c r="D6552" s="14" t="s">
        <v>108</v>
      </c>
      <c r="E6552" s="14" t="s">
        <v>109</v>
      </c>
      <c r="F6552" s="15" t="s">
        <v>51</v>
      </c>
      <c r="G6552" s="14" t="s">
        <v>110</v>
      </c>
      <c r="H6552" s="14" t="s">
        <v>108</v>
      </c>
      <c r="I6552" s="14" t="s">
        <v>59</v>
      </c>
      <c r="J6552" s="14" t="s">
        <v>199</v>
      </c>
      <c r="K6552" s="14" t="s">
        <v>203</v>
      </c>
      <c r="L6552" s="14" t="s">
        <v>340</v>
      </c>
      <c r="M6552" s="14" t="s">
        <v>340</v>
      </c>
      <c r="N6552" s="14" t="s">
        <v>341</v>
      </c>
      <c r="O6552" s="14">
        <v>0.0</v>
      </c>
      <c r="P6552" s="21">
        <v>0.0</v>
      </c>
      <c r="Q6552" s="22" t="str">
        <f t="shared" ref="Q6552:R6552" si="3917">"+0"</f>
        <v>+0</v>
      </c>
      <c r="R6552" s="18" t="str">
        <f t="shared" si="3917"/>
        <v>+0</v>
      </c>
      <c r="S6552" s="14" t="s">
        <v>260</v>
      </c>
    </row>
    <row r="6553">
      <c r="A6553" s="13">
        <v>45901.0</v>
      </c>
      <c r="B6553" s="14" t="s">
        <v>47</v>
      </c>
      <c r="C6553" s="14" t="s">
        <v>48</v>
      </c>
      <c r="D6553" s="14" t="s">
        <v>108</v>
      </c>
      <c r="E6553" s="14" t="s">
        <v>109</v>
      </c>
      <c r="F6553" s="15" t="s">
        <v>51</v>
      </c>
      <c r="G6553" s="14" t="s">
        <v>110</v>
      </c>
      <c r="H6553" s="14" t="s">
        <v>108</v>
      </c>
      <c r="I6553" s="14" t="s">
        <v>59</v>
      </c>
      <c r="J6553" s="14" t="s">
        <v>199</v>
      </c>
      <c r="K6553" s="14" t="s">
        <v>208</v>
      </c>
      <c r="L6553" s="14" t="s">
        <v>412</v>
      </c>
      <c r="M6553" s="14" t="s">
        <v>412</v>
      </c>
      <c r="N6553" s="14" t="s">
        <v>413</v>
      </c>
      <c r="O6553" s="14">
        <v>0.0</v>
      </c>
      <c r="P6553" s="21">
        <v>0.0</v>
      </c>
      <c r="Q6553" s="22" t="str">
        <f t="shared" ref="Q6553:R6553" si="3918">"+0"</f>
        <v>+0</v>
      </c>
      <c r="R6553" s="18" t="str">
        <f t="shared" si="3918"/>
        <v>+0</v>
      </c>
      <c r="S6553" s="14" t="s">
        <v>260</v>
      </c>
    </row>
    <row r="6554">
      <c r="A6554" s="13">
        <v>45901.0</v>
      </c>
      <c r="B6554" s="14" t="s">
        <v>47</v>
      </c>
      <c r="C6554" s="14" t="s">
        <v>48</v>
      </c>
      <c r="D6554" s="14" t="s">
        <v>155</v>
      </c>
      <c r="E6554" s="14" t="s">
        <v>156</v>
      </c>
      <c r="F6554" s="15" t="s">
        <v>51</v>
      </c>
      <c r="G6554" s="14" t="s">
        <v>157</v>
      </c>
      <c r="H6554" s="14" t="s">
        <v>155</v>
      </c>
      <c r="I6554" s="14" t="s">
        <v>59</v>
      </c>
      <c r="J6554" s="14" t="s">
        <v>200</v>
      </c>
      <c r="K6554" s="14" t="s">
        <v>223</v>
      </c>
      <c r="L6554" s="14" t="s">
        <v>487</v>
      </c>
      <c r="M6554" s="14" t="s">
        <v>1015</v>
      </c>
      <c r="N6554" s="14" t="s">
        <v>1016</v>
      </c>
      <c r="O6554" s="14">
        <v>0.0</v>
      </c>
      <c r="P6554" s="17"/>
      <c r="Q6554" s="22"/>
      <c r="S6554" s="14" t="s">
        <v>285</v>
      </c>
    </row>
    <row r="6555">
      <c r="A6555" s="13">
        <v>45901.0</v>
      </c>
      <c r="B6555" s="14" t="s">
        <v>47</v>
      </c>
      <c r="C6555" s="14" t="s">
        <v>48</v>
      </c>
      <c r="D6555" s="14" t="s">
        <v>168</v>
      </c>
      <c r="E6555" s="14" t="s">
        <v>169</v>
      </c>
      <c r="F6555" s="15" t="s">
        <v>51</v>
      </c>
      <c r="G6555" s="14" t="s">
        <v>170</v>
      </c>
      <c r="H6555" s="14" t="s">
        <v>168</v>
      </c>
      <c r="I6555" s="14" t="s">
        <v>59</v>
      </c>
      <c r="J6555" s="14" t="s">
        <v>200</v>
      </c>
      <c r="K6555" s="14" t="s">
        <v>222</v>
      </c>
      <c r="L6555" s="14" t="s">
        <v>301</v>
      </c>
      <c r="M6555" s="14" t="s">
        <v>302</v>
      </c>
      <c r="N6555" s="14" t="s">
        <v>303</v>
      </c>
      <c r="O6555" s="14">
        <v>0.0</v>
      </c>
      <c r="P6555" s="21">
        <v>0.0</v>
      </c>
      <c r="Q6555" s="22" t="str">
        <f>"+0"</f>
        <v>+0</v>
      </c>
      <c r="S6555" s="14" t="s">
        <v>260</v>
      </c>
    </row>
    <row r="6556">
      <c r="A6556" s="13">
        <v>45901.0</v>
      </c>
      <c r="B6556" s="14" t="s">
        <v>47</v>
      </c>
      <c r="C6556" s="14" t="s">
        <v>48</v>
      </c>
      <c r="D6556" s="14" t="s">
        <v>165</v>
      </c>
      <c r="E6556" s="14" t="s">
        <v>166</v>
      </c>
      <c r="F6556" s="15" t="s">
        <v>51</v>
      </c>
      <c r="G6556" s="14" t="s">
        <v>167</v>
      </c>
      <c r="H6556" s="14" t="s">
        <v>165</v>
      </c>
      <c r="I6556" s="14" t="s">
        <v>54</v>
      </c>
      <c r="J6556" s="14" t="s">
        <v>200</v>
      </c>
      <c r="K6556" s="14" t="s">
        <v>224</v>
      </c>
      <c r="L6556" s="14" t="s">
        <v>392</v>
      </c>
      <c r="M6556" s="14" t="s">
        <v>1172</v>
      </c>
      <c r="N6556" s="14" t="s">
        <v>1173</v>
      </c>
      <c r="O6556" s="14">
        <v>4.0</v>
      </c>
      <c r="P6556" s="23">
        <v>0.0455</v>
      </c>
      <c r="Q6556" s="22" t="str">
        <f>"-7.95%"</f>
        <v>-7.95%</v>
      </c>
      <c r="R6556" s="18" t="str">
        <f>"-0.72%"</f>
        <v>-0.72%</v>
      </c>
      <c r="S6556" s="14" t="s">
        <v>2709</v>
      </c>
    </row>
    <row r="6557">
      <c r="A6557" s="13">
        <v>45901.0</v>
      </c>
      <c r="B6557" s="14" t="s">
        <v>47</v>
      </c>
      <c r="C6557" s="14" t="s">
        <v>48</v>
      </c>
      <c r="D6557" s="14" t="s">
        <v>165</v>
      </c>
      <c r="E6557" s="14" t="s">
        <v>166</v>
      </c>
      <c r="F6557" s="15" t="s">
        <v>51</v>
      </c>
      <c r="G6557" s="14" t="s">
        <v>167</v>
      </c>
      <c r="H6557" s="14" t="s">
        <v>165</v>
      </c>
      <c r="I6557" s="14" t="s">
        <v>54</v>
      </c>
      <c r="J6557" s="14" t="s">
        <v>199</v>
      </c>
      <c r="K6557" s="14" t="s">
        <v>206</v>
      </c>
      <c r="L6557" s="14" t="s">
        <v>295</v>
      </c>
      <c r="M6557" s="14" t="s">
        <v>529</v>
      </c>
      <c r="N6557" s="14" t="s">
        <v>530</v>
      </c>
      <c r="O6557" s="14">
        <v>100.0</v>
      </c>
      <c r="P6557" s="21">
        <v>6.0</v>
      </c>
      <c r="Q6557" s="22" t="str">
        <f t="shared" ref="Q6557:R6557" si="3919">"+0"</f>
        <v>+0</v>
      </c>
      <c r="R6557" s="18" t="str">
        <f t="shared" si="3919"/>
        <v>+0</v>
      </c>
      <c r="S6557" s="14" t="s">
        <v>260</v>
      </c>
    </row>
    <row r="6558">
      <c r="A6558" s="13">
        <v>45901.0</v>
      </c>
      <c r="B6558" s="14" t="s">
        <v>47</v>
      </c>
      <c r="C6558" s="14" t="s">
        <v>48</v>
      </c>
      <c r="D6558" s="14" t="s">
        <v>49</v>
      </c>
      <c r="E6558" s="14" t="s">
        <v>50</v>
      </c>
      <c r="F6558" s="15" t="s">
        <v>51</v>
      </c>
      <c r="G6558" s="14" t="s">
        <v>52</v>
      </c>
      <c r="H6558" s="14" t="s">
        <v>53</v>
      </c>
      <c r="I6558" s="14" t="s">
        <v>54</v>
      </c>
      <c r="J6558" s="14" t="s">
        <v>198</v>
      </c>
      <c r="K6558" s="14" t="s">
        <v>210</v>
      </c>
      <c r="L6558" s="14" t="s">
        <v>505</v>
      </c>
      <c r="M6558" s="14" t="s">
        <v>1393</v>
      </c>
      <c r="N6558" s="14" t="s">
        <v>1394</v>
      </c>
      <c r="O6558" s="14">
        <v>0.0</v>
      </c>
      <c r="P6558" s="21">
        <v>0.0</v>
      </c>
      <c r="Q6558" s="22" t="str">
        <f t="shared" ref="Q6558:R6558" si="3920">"+0"</f>
        <v>+0</v>
      </c>
      <c r="R6558" s="18" t="str">
        <f t="shared" si="3920"/>
        <v>+0</v>
      </c>
      <c r="S6558" s="14" t="s">
        <v>277</v>
      </c>
    </row>
    <row r="6559">
      <c r="A6559" s="13">
        <v>45901.0</v>
      </c>
      <c r="B6559" s="14" t="s">
        <v>47</v>
      </c>
      <c r="C6559" s="14" t="s">
        <v>48</v>
      </c>
      <c r="D6559" s="14" t="s">
        <v>99</v>
      </c>
      <c r="E6559" s="14" t="s">
        <v>100</v>
      </c>
      <c r="F6559" s="15" t="s">
        <v>51</v>
      </c>
      <c r="G6559" s="14" t="s">
        <v>101</v>
      </c>
      <c r="H6559" s="14" t="s">
        <v>102</v>
      </c>
      <c r="I6559" s="14" t="s">
        <v>54</v>
      </c>
      <c r="J6559" s="14" t="s">
        <v>200</v>
      </c>
      <c r="K6559" s="14" t="s">
        <v>222</v>
      </c>
      <c r="L6559" s="14" t="s">
        <v>337</v>
      </c>
      <c r="M6559" s="14" t="s">
        <v>734</v>
      </c>
      <c r="N6559" s="14" t="s">
        <v>735</v>
      </c>
      <c r="O6559" s="14">
        <v>0.0</v>
      </c>
      <c r="P6559" s="21">
        <v>0.0</v>
      </c>
      <c r="Q6559" s="22" t="str">
        <f t="shared" ref="Q6559:R6559" si="3921">"+0"</f>
        <v>+0</v>
      </c>
      <c r="R6559" s="18" t="str">
        <f t="shared" si="3921"/>
        <v>+0</v>
      </c>
      <c r="S6559" s="14" t="s">
        <v>260</v>
      </c>
    </row>
    <row r="6560">
      <c r="A6560" s="13">
        <v>45901.0</v>
      </c>
      <c r="B6560" s="14" t="s">
        <v>47</v>
      </c>
      <c r="C6560" s="14" t="s">
        <v>48</v>
      </c>
      <c r="D6560" s="14" t="s">
        <v>91</v>
      </c>
      <c r="E6560" s="14" t="s">
        <v>92</v>
      </c>
      <c r="F6560" s="14" t="s">
        <v>71</v>
      </c>
      <c r="G6560" s="14">
        <v>1.00005882E8</v>
      </c>
      <c r="H6560" s="14" t="s">
        <v>91</v>
      </c>
      <c r="I6560" s="14" t="s">
        <v>59</v>
      </c>
      <c r="J6560" s="14" t="s">
        <v>199</v>
      </c>
      <c r="K6560" s="14" t="s">
        <v>203</v>
      </c>
      <c r="L6560" s="14" t="s">
        <v>725</v>
      </c>
      <c r="M6560" s="14" t="s">
        <v>725</v>
      </c>
      <c r="N6560" s="14" t="s">
        <v>726</v>
      </c>
      <c r="O6560" s="14">
        <v>100.0</v>
      </c>
      <c r="P6560" s="21">
        <v>4.0</v>
      </c>
      <c r="Q6560" s="22" t="str">
        <f>"+1"</f>
        <v>+1</v>
      </c>
      <c r="R6560" s="18" t="str">
        <f>"+2"</f>
        <v>+2</v>
      </c>
      <c r="S6560" s="14" t="s">
        <v>260</v>
      </c>
    </row>
    <row r="6561">
      <c r="A6561" s="13">
        <v>45901.0</v>
      </c>
      <c r="B6561" s="14" t="s">
        <v>47</v>
      </c>
      <c r="C6561" s="14" t="s">
        <v>48</v>
      </c>
      <c r="D6561" s="14" t="s">
        <v>91</v>
      </c>
      <c r="E6561" s="14" t="s">
        <v>92</v>
      </c>
      <c r="F6561" s="14" t="s">
        <v>71</v>
      </c>
      <c r="G6561" s="14">
        <v>7295600.0</v>
      </c>
      <c r="H6561" s="14" t="s">
        <v>91</v>
      </c>
      <c r="I6561" s="14" t="s">
        <v>54</v>
      </c>
      <c r="J6561" s="14" t="s">
        <v>199</v>
      </c>
      <c r="K6561" s="14" t="s">
        <v>206</v>
      </c>
      <c r="L6561" s="14" t="s">
        <v>569</v>
      </c>
      <c r="M6561" s="14" t="s">
        <v>569</v>
      </c>
      <c r="N6561" s="14" t="s">
        <v>570</v>
      </c>
      <c r="O6561" s="14">
        <v>100.0</v>
      </c>
      <c r="P6561" s="21">
        <v>10.0</v>
      </c>
      <c r="Q6561" s="22" t="str">
        <f>"-2"</f>
        <v>-2</v>
      </c>
      <c r="R6561" s="18" t="str">
        <f>"-7"</f>
        <v>-7</v>
      </c>
      <c r="S6561" s="14" t="s">
        <v>383</v>
      </c>
    </row>
    <row r="6562">
      <c r="A6562" s="13">
        <v>45901.0</v>
      </c>
      <c r="B6562" s="14" t="s">
        <v>47</v>
      </c>
      <c r="C6562" s="14" t="s">
        <v>48</v>
      </c>
      <c r="D6562" s="14" t="s">
        <v>99</v>
      </c>
      <c r="E6562" s="14" t="s">
        <v>100</v>
      </c>
      <c r="F6562" s="15" t="s">
        <v>51</v>
      </c>
      <c r="G6562" s="14" t="s">
        <v>101</v>
      </c>
      <c r="H6562" s="14" t="s">
        <v>102</v>
      </c>
      <c r="I6562" s="14" t="s">
        <v>54</v>
      </c>
      <c r="J6562" s="14" t="s">
        <v>200</v>
      </c>
      <c r="K6562" s="14" t="s">
        <v>227</v>
      </c>
      <c r="L6562" s="14" t="s">
        <v>253</v>
      </c>
      <c r="M6562" s="14" t="s">
        <v>849</v>
      </c>
      <c r="N6562" s="14" t="s">
        <v>850</v>
      </c>
      <c r="O6562" s="14">
        <v>60.0</v>
      </c>
      <c r="P6562" s="23">
        <v>0.6</v>
      </c>
      <c r="Q6562" s="22" t="str">
        <f t="shared" ref="Q6562:R6562" si="3922">"+0.00%"</f>
        <v>+0.00%</v>
      </c>
      <c r="R6562" s="18" t="str">
        <f t="shared" si="3922"/>
        <v>+0.00%</v>
      </c>
      <c r="S6562" s="14" t="s">
        <v>851</v>
      </c>
    </row>
    <row r="6563">
      <c r="A6563" s="13">
        <v>45901.0</v>
      </c>
      <c r="B6563" s="14" t="s">
        <v>47</v>
      </c>
      <c r="C6563" s="14" t="s">
        <v>48</v>
      </c>
      <c r="D6563" s="14" t="s">
        <v>93</v>
      </c>
      <c r="E6563" s="14" t="s">
        <v>94</v>
      </c>
      <c r="F6563" s="15" t="s">
        <v>51</v>
      </c>
      <c r="G6563" s="14" t="s">
        <v>191</v>
      </c>
      <c r="H6563" s="14" t="s">
        <v>95</v>
      </c>
      <c r="I6563" s="14" t="s">
        <v>59</v>
      </c>
      <c r="J6563" s="14" t="s">
        <v>200</v>
      </c>
      <c r="K6563" s="14" t="s">
        <v>215</v>
      </c>
      <c r="L6563" s="14" t="s">
        <v>253</v>
      </c>
      <c r="M6563" s="14" t="s">
        <v>1504</v>
      </c>
      <c r="N6563" s="14" t="s">
        <v>1505</v>
      </c>
      <c r="O6563" s="14">
        <v>0.0</v>
      </c>
      <c r="P6563" s="23">
        <v>0.0</v>
      </c>
      <c r="Q6563" s="22" t="str">
        <f t="shared" ref="Q6563:R6563" si="3923">"+0.00%"</f>
        <v>+0.00%</v>
      </c>
      <c r="R6563" s="18" t="str">
        <f t="shared" si="3923"/>
        <v>+0.00%</v>
      </c>
      <c r="S6563" s="14" t="s">
        <v>1725</v>
      </c>
    </row>
    <row r="6564">
      <c r="A6564" s="13">
        <v>45901.0</v>
      </c>
      <c r="B6564" s="14" t="s">
        <v>47</v>
      </c>
      <c r="C6564" s="14" t="s">
        <v>48</v>
      </c>
      <c r="D6564" s="14" t="s">
        <v>93</v>
      </c>
      <c r="E6564" s="14" t="s">
        <v>94</v>
      </c>
      <c r="F6564" s="15" t="s">
        <v>51</v>
      </c>
      <c r="G6564" s="14" t="s">
        <v>191</v>
      </c>
      <c r="H6564" s="14" t="s">
        <v>95</v>
      </c>
      <c r="I6564" s="14" t="s">
        <v>59</v>
      </c>
      <c r="J6564" s="14" t="s">
        <v>198</v>
      </c>
      <c r="K6564" s="14" t="s">
        <v>205</v>
      </c>
      <c r="L6564" s="14" t="s">
        <v>274</v>
      </c>
      <c r="M6564" s="14" t="s">
        <v>636</v>
      </c>
      <c r="N6564" s="14" t="s">
        <v>637</v>
      </c>
      <c r="O6564" s="14">
        <v>0.0</v>
      </c>
      <c r="P6564" s="21">
        <v>0.0</v>
      </c>
      <c r="Q6564" s="22" t="str">
        <f t="shared" ref="Q6564:Q6566" si="3924">"+0"</f>
        <v>+0</v>
      </c>
      <c r="S6564" s="14" t="s">
        <v>281</v>
      </c>
    </row>
    <row r="6565">
      <c r="A6565" s="13">
        <v>45901.0</v>
      </c>
      <c r="B6565" s="14" t="s">
        <v>47</v>
      </c>
      <c r="C6565" s="14" t="s">
        <v>48</v>
      </c>
      <c r="D6565" s="14" t="s">
        <v>82</v>
      </c>
      <c r="E6565" s="14" t="s">
        <v>83</v>
      </c>
      <c r="F6565" s="15" t="s">
        <v>51</v>
      </c>
      <c r="G6565" s="14" t="s">
        <v>84</v>
      </c>
      <c r="H6565" s="14" t="s">
        <v>82</v>
      </c>
      <c r="I6565" s="14" t="s">
        <v>59</v>
      </c>
      <c r="J6565" s="14" t="s">
        <v>199</v>
      </c>
      <c r="K6565" s="14" t="s">
        <v>206</v>
      </c>
      <c r="L6565" s="14" t="s">
        <v>381</v>
      </c>
      <c r="M6565" s="14" t="s">
        <v>381</v>
      </c>
      <c r="N6565" s="14" t="s">
        <v>382</v>
      </c>
      <c r="O6565" s="14">
        <v>0.0</v>
      </c>
      <c r="P6565" s="21">
        <v>0.0</v>
      </c>
      <c r="Q6565" s="22" t="str">
        <f t="shared" si="3924"/>
        <v>+0</v>
      </c>
      <c r="R6565" s="18" t="str">
        <f t="shared" ref="R6565:R6566" si="3925">"+0"</f>
        <v>+0</v>
      </c>
      <c r="S6565" s="14" t="s">
        <v>383</v>
      </c>
    </row>
    <row r="6566">
      <c r="A6566" s="13">
        <v>45901.0</v>
      </c>
      <c r="B6566" s="14" t="s">
        <v>47</v>
      </c>
      <c r="C6566" s="14" t="s">
        <v>48</v>
      </c>
      <c r="D6566" s="14" t="s">
        <v>93</v>
      </c>
      <c r="E6566" s="14" t="s">
        <v>94</v>
      </c>
      <c r="F6566" s="15" t="s">
        <v>51</v>
      </c>
      <c r="G6566" s="14" t="s">
        <v>191</v>
      </c>
      <c r="H6566" s="14" t="s">
        <v>95</v>
      </c>
      <c r="I6566" s="14" t="s">
        <v>59</v>
      </c>
      <c r="J6566" s="14" t="s">
        <v>198</v>
      </c>
      <c r="K6566" s="14" t="s">
        <v>210</v>
      </c>
      <c r="L6566" s="14" t="s">
        <v>458</v>
      </c>
      <c r="M6566" s="14" t="s">
        <v>459</v>
      </c>
      <c r="N6566" s="14" t="s">
        <v>460</v>
      </c>
      <c r="O6566" s="14">
        <v>100.0</v>
      </c>
      <c r="P6566" s="21">
        <v>0.0</v>
      </c>
      <c r="Q6566" s="22" t="str">
        <f t="shared" si="3924"/>
        <v>+0</v>
      </c>
      <c r="R6566" s="18" t="str">
        <f t="shared" si="3925"/>
        <v>+0</v>
      </c>
      <c r="S6566" s="14" t="s">
        <v>281</v>
      </c>
    </row>
    <row r="6567">
      <c r="A6567" s="13">
        <v>45901.0</v>
      </c>
      <c r="B6567" s="14" t="s">
        <v>47</v>
      </c>
      <c r="C6567" s="14" t="s">
        <v>48</v>
      </c>
      <c r="D6567" s="14" t="s">
        <v>82</v>
      </c>
      <c r="E6567" s="14" t="s">
        <v>83</v>
      </c>
      <c r="F6567" s="15" t="s">
        <v>51</v>
      </c>
      <c r="G6567" s="14" t="s">
        <v>84</v>
      </c>
      <c r="H6567" s="14" t="s">
        <v>82</v>
      </c>
      <c r="I6567" s="14" t="s">
        <v>59</v>
      </c>
      <c r="J6567" s="14" t="s">
        <v>200</v>
      </c>
      <c r="K6567" s="14" t="s">
        <v>213</v>
      </c>
      <c r="L6567" s="14" t="s">
        <v>571</v>
      </c>
      <c r="M6567" s="14" t="s">
        <v>572</v>
      </c>
      <c r="N6567" s="14" t="s">
        <v>573</v>
      </c>
      <c r="O6567" s="14">
        <v>0.0</v>
      </c>
      <c r="P6567" s="23">
        <v>0.0</v>
      </c>
      <c r="Q6567" s="22" t="str">
        <f t="shared" ref="Q6567:R6567" si="3926">"+0.00%"</f>
        <v>+0.00%</v>
      </c>
      <c r="R6567" s="18" t="str">
        <f t="shared" si="3926"/>
        <v>+0.00%</v>
      </c>
      <c r="S6567" s="14" t="s">
        <v>285</v>
      </c>
    </row>
    <row r="6568">
      <c r="A6568" s="13">
        <v>45901.0</v>
      </c>
      <c r="B6568" s="14" t="s">
        <v>47</v>
      </c>
      <c r="C6568" s="14" t="s">
        <v>48</v>
      </c>
      <c r="D6568" s="14" t="s">
        <v>103</v>
      </c>
      <c r="E6568" s="14" t="s">
        <v>104</v>
      </c>
      <c r="F6568" s="15" t="s">
        <v>51</v>
      </c>
      <c r="G6568" s="14" t="s">
        <v>105</v>
      </c>
      <c r="H6568" s="14" t="s">
        <v>106</v>
      </c>
      <c r="I6568" s="14" t="s">
        <v>59</v>
      </c>
      <c r="J6568" s="14" t="s">
        <v>200</v>
      </c>
      <c r="K6568" s="14" t="s">
        <v>232</v>
      </c>
      <c r="L6568" s="14" t="s">
        <v>487</v>
      </c>
      <c r="M6568" s="14" t="s">
        <v>1075</v>
      </c>
      <c r="N6568" s="14" t="s">
        <v>1076</v>
      </c>
      <c r="O6568" s="14">
        <v>0.0</v>
      </c>
      <c r="P6568" s="23">
        <v>0.0</v>
      </c>
      <c r="Q6568" s="22" t="str">
        <f t="shared" ref="Q6568:R6568" si="3927">"+0.00%"</f>
        <v>+0.00%</v>
      </c>
      <c r="R6568" s="18" t="str">
        <f t="shared" si="3927"/>
        <v>+0.00%</v>
      </c>
      <c r="S6568" s="14" t="s">
        <v>285</v>
      </c>
    </row>
    <row r="6569">
      <c r="A6569" s="13">
        <v>45901.0</v>
      </c>
      <c r="B6569" s="14" t="s">
        <v>47</v>
      </c>
      <c r="C6569" s="14" t="s">
        <v>48</v>
      </c>
      <c r="D6569" s="14" t="s">
        <v>132</v>
      </c>
      <c r="E6569" s="14" t="s">
        <v>133</v>
      </c>
      <c r="F6569" s="15" t="s">
        <v>51</v>
      </c>
      <c r="G6569" s="14" t="s">
        <v>134</v>
      </c>
      <c r="H6569" s="14" t="s">
        <v>135</v>
      </c>
      <c r="I6569" s="14" t="s">
        <v>59</v>
      </c>
      <c r="J6569" s="14" t="s">
        <v>200</v>
      </c>
      <c r="K6569" s="14" t="s">
        <v>201</v>
      </c>
      <c r="L6569" s="14" t="s">
        <v>253</v>
      </c>
      <c r="M6569" s="14" t="s">
        <v>538</v>
      </c>
      <c r="N6569" s="14" t="s">
        <v>539</v>
      </c>
      <c r="O6569" s="14">
        <v>1.0</v>
      </c>
      <c r="P6569" s="23">
        <v>0.0031</v>
      </c>
      <c r="Q6569" s="22" t="str">
        <f>"-0.05%"</f>
        <v>-0.05%</v>
      </c>
      <c r="R6569" s="18" t="str">
        <f>"-0.15%"</f>
        <v>-0.15%</v>
      </c>
      <c r="S6569" s="14" t="s">
        <v>1595</v>
      </c>
    </row>
    <row r="6570">
      <c r="A6570" s="13">
        <v>45901.0</v>
      </c>
      <c r="B6570" s="14" t="s">
        <v>47</v>
      </c>
      <c r="C6570" s="14" t="s">
        <v>48</v>
      </c>
      <c r="D6570" s="14" t="s">
        <v>87</v>
      </c>
      <c r="E6570" s="14" t="s">
        <v>88</v>
      </c>
      <c r="F6570" s="15" t="s">
        <v>51</v>
      </c>
      <c r="G6570" s="14" t="s">
        <v>89</v>
      </c>
      <c r="H6570" s="14" t="s">
        <v>90</v>
      </c>
      <c r="I6570" s="14" t="s">
        <v>59</v>
      </c>
      <c r="J6570" s="14" t="s">
        <v>200</v>
      </c>
      <c r="K6570" s="14" t="s">
        <v>223</v>
      </c>
      <c r="L6570" s="14" t="s">
        <v>261</v>
      </c>
      <c r="M6570" s="14" t="s">
        <v>414</v>
      </c>
      <c r="N6570" s="14" t="s">
        <v>415</v>
      </c>
      <c r="O6570" s="14">
        <v>52.0</v>
      </c>
      <c r="P6570" s="23">
        <v>0.0534</v>
      </c>
      <c r="Q6570" s="22" t="str">
        <f>"-11.93%"</f>
        <v>-11.93%</v>
      </c>
      <c r="R6570" s="18" t="str">
        <f>"-10.28%"</f>
        <v>-10.28%</v>
      </c>
      <c r="S6570" s="14" t="s">
        <v>2710</v>
      </c>
    </row>
    <row r="6571">
      <c r="A6571" s="13">
        <v>45901.0</v>
      </c>
      <c r="B6571" s="14" t="s">
        <v>47</v>
      </c>
      <c r="C6571" s="14" t="s">
        <v>48</v>
      </c>
      <c r="D6571" s="14" t="s">
        <v>149</v>
      </c>
      <c r="E6571" s="14" t="s">
        <v>150</v>
      </c>
      <c r="F6571" s="15" t="s">
        <v>51</v>
      </c>
      <c r="G6571" s="14" t="s">
        <v>151</v>
      </c>
      <c r="H6571" s="14" t="s">
        <v>152</v>
      </c>
      <c r="I6571" s="14" t="s">
        <v>54</v>
      </c>
      <c r="J6571" s="14" t="s">
        <v>200</v>
      </c>
      <c r="K6571" s="14" t="s">
        <v>223</v>
      </c>
      <c r="L6571" s="14" t="s">
        <v>307</v>
      </c>
      <c r="M6571" s="14" t="s">
        <v>533</v>
      </c>
      <c r="N6571" s="14" t="s">
        <v>534</v>
      </c>
      <c r="O6571" s="14">
        <v>1.0</v>
      </c>
      <c r="P6571" s="23">
        <v>0.004</v>
      </c>
      <c r="Q6571" s="22" t="str">
        <f>"-0.04%"</f>
        <v>-0.04%</v>
      </c>
      <c r="R6571" s="18" t="str">
        <f>"+0.14%"</f>
        <v>+0.14%</v>
      </c>
      <c r="S6571" s="14" t="s">
        <v>2711</v>
      </c>
    </row>
    <row r="6572">
      <c r="A6572" s="13">
        <v>45901.0</v>
      </c>
      <c r="B6572" s="14" t="s">
        <v>47</v>
      </c>
      <c r="C6572" s="14" t="s">
        <v>48</v>
      </c>
      <c r="D6572" s="14" t="s">
        <v>87</v>
      </c>
      <c r="E6572" s="14" t="s">
        <v>88</v>
      </c>
      <c r="F6572" s="15" t="s">
        <v>51</v>
      </c>
      <c r="G6572" s="14" t="s">
        <v>89</v>
      </c>
      <c r="H6572" s="14" t="s">
        <v>90</v>
      </c>
      <c r="I6572" s="14" t="s">
        <v>59</v>
      </c>
      <c r="J6572" s="14" t="s">
        <v>200</v>
      </c>
      <c r="K6572" s="14" t="s">
        <v>223</v>
      </c>
      <c r="L6572" s="14" t="s">
        <v>676</v>
      </c>
      <c r="M6572" s="14" t="s">
        <v>836</v>
      </c>
      <c r="N6572" s="14" t="s">
        <v>837</v>
      </c>
      <c r="O6572" s="14">
        <v>1.0</v>
      </c>
      <c r="P6572" s="23">
        <v>0.0165</v>
      </c>
      <c r="Q6572" s="22" t="str">
        <f>"+0.03%"</f>
        <v>+0.03%</v>
      </c>
      <c r="R6572" s="18" t="str">
        <f>"-0.11%"</f>
        <v>-0.11%</v>
      </c>
      <c r="S6572" s="14" t="s">
        <v>2712</v>
      </c>
    </row>
    <row r="6573">
      <c r="A6573" s="13">
        <v>45901.0</v>
      </c>
      <c r="B6573" s="14" t="s">
        <v>47</v>
      </c>
      <c r="C6573" s="14" t="s">
        <v>48</v>
      </c>
      <c r="D6573" s="14" t="s">
        <v>87</v>
      </c>
      <c r="E6573" s="14" t="s">
        <v>88</v>
      </c>
      <c r="F6573" s="15" t="s">
        <v>51</v>
      </c>
      <c r="G6573" s="14" t="s">
        <v>89</v>
      </c>
      <c r="H6573" s="14" t="s">
        <v>90</v>
      </c>
      <c r="I6573" s="14" t="s">
        <v>59</v>
      </c>
      <c r="J6573" s="14" t="s">
        <v>200</v>
      </c>
      <c r="K6573" s="14" t="s">
        <v>246</v>
      </c>
      <c r="L6573" s="14" t="s">
        <v>292</v>
      </c>
      <c r="M6573" s="14" t="s">
        <v>2713</v>
      </c>
      <c r="N6573" s="14" t="s">
        <v>2714</v>
      </c>
      <c r="O6573" s="14">
        <v>0.0</v>
      </c>
      <c r="P6573" s="21">
        <v>0.0</v>
      </c>
      <c r="Q6573" s="22" t="str">
        <f t="shared" ref="Q6573:R6573" si="3928">"+0"</f>
        <v>+0</v>
      </c>
      <c r="R6573" s="18" t="str">
        <f t="shared" si="3928"/>
        <v>+0</v>
      </c>
      <c r="S6573" s="14" t="s">
        <v>260</v>
      </c>
    </row>
    <row r="6574">
      <c r="A6574" s="13">
        <v>45901.0</v>
      </c>
      <c r="B6574" s="14" t="s">
        <v>47</v>
      </c>
      <c r="C6574" s="14" t="s">
        <v>48</v>
      </c>
      <c r="D6574" s="14" t="s">
        <v>87</v>
      </c>
      <c r="E6574" s="14" t="s">
        <v>88</v>
      </c>
      <c r="F6574" s="15" t="s">
        <v>51</v>
      </c>
      <c r="G6574" s="14" t="s">
        <v>89</v>
      </c>
      <c r="H6574" s="14" t="s">
        <v>90</v>
      </c>
      <c r="I6574" s="14" t="s">
        <v>59</v>
      </c>
      <c r="J6574" s="14" t="s">
        <v>200</v>
      </c>
      <c r="K6574" s="14" t="s">
        <v>223</v>
      </c>
      <c r="L6574" s="14" t="s">
        <v>257</v>
      </c>
      <c r="M6574" s="14" t="s">
        <v>298</v>
      </c>
      <c r="N6574" s="14" t="s">
        <v>299</v>
      </c>
      <c r="O6574" s="14">
        <v>1.0</v>
      </c>
      <c r="P6574" s="23">
        <v>0.011</v>
      </c>
      <c r="Q6574" s="22" t="str">
        <f>"-1.06%"</f>
        <v>-1.06%</v>
      </c>
      <c r="R6574" s="18" t="str">
        <f>"-0.66%"</f>
        <v>-0.66%</v>
      </c>
      <c r="S6574" s="14" t="s">
        <v>2715</v>
      </c>
    </row>
    <row r="6575">
      <c r="A6575" s="13">
        <v>45901.0</v>
      </c>
      <c r="B6575" s="14" t="s">
        <v>47</v>
      </c>
      <c r="C6575" s="14" t="s">
        <v>48</v>
      </c>
      <c r="D6575" s="14" t="s">
        <v>87</v>
      </c>
      <c r="E6575" s="14" t="s">
        <v>88</v>
      </c>
      <c r="F6575" s="15" t="s">
        <v>51</v>
      </c>
      <c r="G6575" s="14" t="s">
        <v>89</v>
      </c>
      <c r="H6575" s="14" t="s">
        <v>90</v>
      </c>
      <c r="I6575" s="14" t="s">
        <v>59</v>
      </c>
      <c r="J6575" s="14" t="s">
        <v>200</v>
      </c>
      <c r="K6575" s="14" t="s">
        <v>223</v>
      </c>
      <c r="L6575" s="14" t="s">
        <v>286</v>
      </c>
      <c r="M6575" s="14" t="s">
        <v>588</v>
      </c>
      <c r="N6575" s="14" t="s">
        <v>589</v>
      </c>
      <c r="O6575" s="14">
        <v>100.0</v>
      </c>
      <c r="P6575" s="23">
        <v>0.6593</v>
      </c>
      <c r="Q6575" s="22" t="str">
        <f>"+5.39%"</f>
        <v>+5.39%</v>
      </c>
      <c r="R6575" s="18" t="str">
        <f>"+5.12%"</f>
        <v>+5.12%</v>
      </c>
      <c r="S6575" s="14" t="s">
        <v>285</v>
      </c>
    </row>
    <row r="6576">
      <c r="A6576" s="13">
        <v>45901.0</v>
      </c>
      <c r="B6576" s="14" t="s">
        <v>47</v>
      </c>
      <c r="C6576" s="14" t="s">
        <v>48</v>
      </c>
      <c r="D6576" s="14" t="s">
        <v>69</v>
      </c>
      <c r="E6576" s="14" t="s">
        <v>70</v>
      </c>
      <c r="F6576" s="15" t="s">
        <v>51</v>
      </c>
      <c r="G6576" s="14" t="s">
        <v>115</v>
      </c>
      <c r="H6576" s="14" t="s">
        <v>72</v>
      </c>
      <c r="I6576" s="14" t="s">
        <v>54</v>
      </c>
      <c r="J6576" s="14" t="s">
        <v>198</v>
      </c>
      <c r="K6576" s="14" t="s">
        <v>210</v>
      </c>
      <c r="L6576" s="14" t="s">
        <v>278</v>
      </c>
      <c r="M6576" s="14" t="s">
        <v>1005</v>
      </c>
      <c r="N6576" s="14" t="s">
        <v>1006</v>
      </c>
      <c r="O6576" s="14">
        <v>0.0</v>
      </c>
      <c r="P6576" s="21">
        <v>0.0</v>
      </c>
      <c r="Q6576" s="22" t="str">
        <f t="shared" ref="Q6576:R6576" si="3929">"+0"</f>
        <v>+0</v>
      </c>
      <c r="R6576" s="18" t="str">
        <f t="shared" si="3929"/>
        <v>+0</v>
      </c>
      <c r="S6576" s="14" t="s">
        <v>277</v>
      </c>
    </row>
    <row r="6577">
      <c r="A6577" s="13">
        <v>45901.0</v>
      </c>
      <c r="B6577" s="14" t="s">
        <v>47</v>
      </c>
      <c r="C6577" s="14" t="s">
        <v>48</v>
      </c>
      <c r="D6577" s="14" t="s">
        <v>96</v>
      </c>
      <c r="E6577" s="14" t="s">
        <v>97</v>
      </c>
      <c r="F6577" s="15" t="s">
        <v>51</v>
      </c>
      <c r="G6577" s="14" t="s">
        <v>98</v>
      </c>
      <c r="H6577" s="14" t="s">
        <v>96</v>
      </c>
      <c r="I6577" s="14" t="s">
        <v>59</v>
      </c>
      <c r="J6577" s="14" t="s">
        <v>200</v>
      </c>
      <c r="K6577" s="14" t="s">
        <v>227</v>
      </c>
      <c r="L6577" s="14" t="s">
        <v>253</v>
      </c>
      <c r="M6577" s="14" t="s">
        <v>849</v>
      </c>
      <c r="N6577" s="14" t="s">
        <v>850</v>
      </c>
      <c r="O6577" s="14">
        <v>20.0</v>
      </c>
      <c r="P6577" s="23">
        <v>0.2</v>
      </c>
      <c r="Q6577" s="22" t="str">
        <f t="shared" ref="Q6577:R6577" si="3930">"+0.00%"</f>
        <v>+0.00%</v>
      </c>
      <c r="R6577" s="18" t="str">
        <f t="shared" si="3930"/>
        <v>+0.00%</v>
      </c>
      <c r="S6577" s="14" t="s">
        <v>851</v>
      </c>
    </row>
    <row r="6578">
      <c r="A6578" s="13">
        <v>45901.0</v>
      </c>
      <c r="B6578" s="14" t="s">
        <v>47</v>
      </c>
      <c r="C6578" s="14" t="s">
        <v>48</v>
      </c>
      <c r="D6578" s="14" t="s">
        <v>125</v>
      </c>
      <c r="E6578" s="14" t="s">
        <v>126</v>
      </c>
      <c r="F6578" s="15" t="s">
        <v>51</v>
      </c>
      <c r="G6578" s="14" t="s">
        <v>127</v>
      </c>
      <c r="H6578" s="14" t="s">
        <v>125</v>
      </c>
      <c r="I6578" s="14" t="s">
        <v>59</v>
      </c>
      <c r="J6578" s="14" t="s">
        <v>200</v>
      </c>
      <c r="K6578" s="14" t="s">
        <v>209</v>
      </c>
      <c r="L6578" s="14" t="s">
        <v>253</v>
      </c>
      <c r="M6578" s="14" t="s">
        <v>817</v>
      </c>
      <c r="N6578" s="14" t="s">
        <v>818</v>
      </c>
      <c r="O6578" s="14">
        <v>19.0</v>
      </c>
      <c r="P6578" s="23">
        <v>0.1971</v>
      </c>
      <c r="Q6578" s="22" t="str">
        <f t="shared" ref="Q6578:R6578" si="3931">"+0.00%"</f>
        <v>+0.00%</v>
      </c>
      <c r="R6578" s="18" t="str">
        <f t="shared" si="3931"/>
        <v>+0.00%</v>
      </c>
      <c r="S6578" s="14" t="s">
        <v>1023</v>
      </c>
    </row>
    <row r="6579">
      <c r="A6579" s="13">
        <v>45901.0</v>
      </c>
      <c r="B6579" s="14" t="s">
        <v>47</v>
      </c>
      <c r="C6579" s="14" t="s">
        <v>48</v>
      </c>
      <c r="D6579" s="14" t="s">
        <v>77</v>
      </c>
      <c r="E6579" s="14" t="s">
        <v>78</v>
      </c>
      <c r="F6579" s="15" t="s">
        <v>51</v>
      </c>
      <c r="G6579" s="14" t="s">
        <v>128</v>
      </c>
      <c r="H6579" s="14" t="s">
        <v>81</v>
      </c>
      <c r="I6579" s="14" t="s">
        <v>59</v>
      </c>
      <c r="J6579" s="14" t="s">
        <v>200</v>
      </c>
      <c r="K6579" s="14" t="s">
        <v>211</v>
      </c>
      <c r="L6579" s="14" t="s">
        <v>991</v>
      </c>
      <c r="M6579" s="14" t="s">
        <v>992</v>
      </c>
      <c r="N6579" s="14" t="s">
        <v>993</v>
      </c>
      <c r="O6579" s="14">
        <v>0.0</v>
      </c>
      <c r="P6579" s="23">
        <v>-1.0</v>
      </c>
      <c r="Q6579" s="22" t="str">
        <f t="shared" ref="Q6579:R6579" si="3932">"+0.00%"</f>
        <v>+0.00%</v>
      </c>
      <c r="R6579" s="18" t="str">
        <f t="shared" si="3932"/>
        <v>+0.00%</v>
      </c>
      <c r="S6579" s="14" t="s">
        <v>2716</v>
      </c>
    </row>
    <row r="6580">
      <c r="A6580" s="13">
        <v>45901.0</v>
      </c>
      <c r="B6580" s="14" t="s">
        <v>47</v>
      </c>
      <c r="C6580" s="14" t="s">
        <v>48</v>
      </c>
      <c r="D6580" s="14" t="s">
        <v>112</v>
      </c>
      <c r="E6580" s="14" t="s">
        <v>113</v>
      </c>
      <c r="F6580" s="15" t="s">
        <v>51</v>
      </c>
      <c r="G6580" s="14" t="s">
        <v>114</v>
      </c>
      <c r="H6580" s="14" t="s">
        <v>112</v>
      </c>
      <c r="I6580" s="14" t="s">
        <v>59</v>
      </c>
      <c r="J6580" s="14" t="s">
        <v>199</v>
      </c>
      <c r="K6580" s="14" t="s">
        <v>206</v>
      </c>
      <c r="L6580" s="14" t="s">
        <v>295</v>
      </c>
      <c r="M6580" s="14" t="s">
        <v>296</v>
      </c>
      <c r="N6580" s="14" t="s">
        <v>297</v>
      </c>
      <c r="O6580" s="14">
        <v>0.0</v>
      </c>
      <c r="P6580" s="21">
        <v>0.0</v>
      </c>
      <c r="Q6580" s="22" t="str">
        <f t="shared" ref="Q6580:R6580" si="3933">"+0"</f>
        <v>+0</v>
      </c>
      <c r="R6580" s="18" t="str">
        <f t="shared" si="3933"/>
        <v>+0</v>
      </c>
      <c r="S6580" s="14" t="s">
        <v>260</v>
      </c>
    </row>
    <row r="6581">
      <c r="A6581" s="13">
        <v>45901.0</v>
      </c>
      <c r="B6581" s="14" t="s">
        <v>47</v>
      </c>
      <c r="C6581" s="14" t="s">
        <v>48</v>
      </c>
      <c r="D6581" s="14" t="s">
        <v>108</v>
      </c>
      <c r="E6581" s="14" t="s">
        <v>109</v>
      </c>
      <c r="F6581" s="14" t="s">
        <v>146</v>
      </c>
      <c r="G6581" s="14" t="s">
        <v>180</v>
      </c>
      <c r="H6581" s="14" t="s">
        <v>108</v>
      </c>
      <c r="I6581" s="14" t="s">
        <v>59</v>
      </c>
      <c r="J6581" s="14" t="s">
        <v>199</v>
      </c>
      <c r="K6581" s="14" t="s">
        <v>203</v>
      </c>
      <c r="L6581" s="14" t="s">
        <v>431</v>
      </c>
      <c r="M6581" s="14" t="s">
        <v>431</v>
      </c>
      <c r="N6581" s="14" t="s">
        <v>432</v>
      </c>
      <c r="O6581" s="14">
        <v>0.0</v>
      </c>
      <c r="P6581" s="21">
        <v>0.0</v>
      </c>
      <c r="Q6581" s="22" t="str">
        <f t="shared" ref="Q6581:Q6582" si="3934">"+0"</f>
        <v>+0</v>
      </c>
      <c r="S6581" s="14" t="s">
        <v>260</v>
      </c>
    </row>
    <row r="6582">
      <c r="A6582" s="13">
        <v>45901.0</v>
      </c>
      <c r="B6582" s="14" t="s">
        <v>47</v>
      </c>
      <c r="C6582" s="14" t="s">
        <v>48</v>
      </c>
      <c r="D6582" s="14" t="s">
        <v>116</v>
      </c>
      <c r="E6582" s="14" t="s">
        <v>117</v>
      </c>
      <c r="F6582" s="15" t="s">
        <v>51</v>
      </c>
      <c r="G6582" s="14" t="s">
        <v>161</v>
      </c>
      <c r="H6582" s="14" t="s">
        <v>116</v>
      </c>
      <c r="I6582" s="14" t="s">
        <v>54</v>
      </c>
      <c r="J6582" s="14" t="s">
        <v>198</v>
      </c>
      <c r="K6582" s="14" t="s">
        <v>212</v>
      </c>
      <c r="L6582" s="14" t="s">
        <v>249</v>
      </c>
      <c r="M6582" s="14" t="s">
        <v>1149</v>
      </c>
      <c r="N6582" s="14" t="s">
        <v>1150</v>
      </c>
      <c r="O6582" s="14">
        <v>0.0</v>
      </c>
      <c r="P6582" s="21">
        <v>0.0</v>
      </c>
      <c r="Q6582" s="22" t="str">
        <f t="shared" si="3934"/>
        <v>+0</v>
      </c>
      <c r="R6582" s="18" t="str">
        <f>"+0"</f>
        <v>+0</v>
      </c>
      <c r="S6582" s="14" t="s">
        <v>277</v>
      </c>
    </row>
    <row r="6583">
      <c r="A6583" s="13">
        <v>45901.0</v>
      </c>
      <c r="B6583" s="14" t="s">
        <v>47</v>
      </c>
      <c r="C6583" s="14" t="s">
        <v>48</v>
      </c>
      <c r="D6583" s="14" t="s">
        <v>112</v>
      </c>
      <c r="E6583" s="14" t="s">
        <v>113</v>
      </c>
      <c r="F6583" s="15" t="s">
        <v>51</v>
      </c>
      <c r="G6583" s="14" t="s">
        <v>114</v>
      </c>
      <c r="H6583" s="14" t="s">
        <v>112</v>
      </c>
      <c r="I6583" s="14" t="s">
        <v>59</v>
      </c>
      <c r="J6583" s="14" t="s">
        <v>200</v>
      </c>
      <c r="K6583" s="14" t="s">
        <v>213</v>
      </c>
      <c r="L6583" s="14" t="s">
        <v>257</v>
      </c>
      <c r="M6583" s="14" t="s">
        <v>298</v>
      </c>
      <c r="N6583" s="14" t="s">
        <v>299</v>
      </c>
      <c r="O6583" s="14">
        <v>0.0</v>
      </c>
      <c r="P6583" s="23">
        <v>0.0</v>
      </c>
      <c r="Q6583" s="22" t="str">
        <f t="shared" ref="Q6583:R6583" si="3935">"+0.00%"</f>
        <v>+0.00%</v>
      </c>
      <c r="R6583" s="18" t="str">
        <f t="shared" si="3935"/>
        <v>+0.00%</v>
      </c>
      <c r="S6583" s="14" t="s">
        <v>2717</v>
      </c>
    </row>
    <row r="6584">
      <c r="A6584" s="13">
        <v>45901.0</v>
      </c>
      <c r="B6584" s="14" t="s">
        <v>47</v>
      </c>
      <c r="C6584" s="14" t="s">
        <v>48</v>
      </c>
      <c r="D6584" s="14" t="s">
        <v>116</v>
      </c>
      <c r="E6584" s="14" t="s">
        <v>117</v>
      </c>
      <c r="F6584" s="15" t="s">
        <v>51</v>
      </c>
      <c r="G6584" s="14" t="s">
        <v>161</v>
      </c>
      <c r="H6584" s="14" t="s">
        <v>116</v>
      </c>
      <c r="I6584" s="14" t="s">
        <v>54</v>
      </c>
      <c r="J6584" s="14" t="s">
        <v>200</v>
      </c>
      <c r="K6584" s="14" t="s">
        <v>211</v>
      </c>
      <c r="L6584" s="14" t="s">
        <v>253</v>
      </c>
      <c r="M6584" s="14" t="s">
        <v>1260</v>
      </c>
      <c r="N6584" s="14" t="s">
        <v>1261</v>
      </c>
      <c r="O6584" s="14">
        <v>0.0</v>
      </c>
      <c r="P6584" s="23">
        <v>0.0</v>
      </c>
      <c r="Q6584" s="22" t="str">
        <f>"+0.00%"</f>
        <v>+0.00%</v>
      </c>
      <c r="R6584" s="18" t="str">
        <f>"-0.09%"</f>
        <v>-0.09%</v>
      </c>
      <c r="S6584" s="14" t="s">
        <v>371</v>
      </c>
    </row>
    <row r="6585">
      <c r="A6585" s="13">
        <v>45901.0</v>
      </c>
      <c r="B6585" s="14" t="s">
        <v>47</v>
      </c>
      <c r="C6585" s="14" t="s">
        <v>48</v>
      </c>
      <c r="D6585" s="14" t="s">
        <v>116</v>
      </c>
      <c r="E6585" s="14" t="s">
        <v>117</v>
      </c>
      <c r="F6585" s="15" t="s">
        <v>51</v>
      </c>
      <c r="G6585" s="14" t="s">
        <v>161</v>
      </c>
      <c r="H6585" s="14" t="s">
        <v>116</v>
      </c>
      <c r="I6585" s="14" t="s">
        <v>54</v>
      </c>
      <c r="J6585" s="14" t="s">
        <v>198</v>
      </c>
      <c r="K6585" s="14" t="s">
        <v>212</v>
      </c>
      <c r="L6585" s="14" t="s">
        <v>344</v>
      </c>
      <c r="M6585" s="14" t="s">
        <v>345</v>
      </c>
      <c r="N6585" s="14" t="s">
        <v>346</v>
      </c>
      <c r="O6585" s="14">
        <v>0.0</v>
      </c>
      <c r="P6585" s="21">
        <v>0.0</v>
      </c>
      <c r="Q6585" s="22" t="str">
        <f t="shared" ref="Q6585:R6585" si="3936">"+0"</f>
        <v>+0</v>
      </c>
      <c r="R6585" s="18" t="str">
        <f t="shared" si="3936"/>
        <v>+0</v>
      </c>
      <c r="S6585" s="14" t="s">
        <v>277</v>
      </c>
    </row>
    <row r="6586">
      <c r="A6586" s="13">
        <v>45901.0</v>
      </c>
      <c r="B6586" s="14" t="s">
        <v>47</v>
      </c>
      <c r="C6586" s="14" t="s">
        <v>48</v>
      </c>
      <c r="D6586" s="14" t="s">
        <v>121</v>
      </c>
      <c r="E6586" s="14" t="s">
        <v>122</v>
      </c>
      <c r="F6586" s="15" t="s">
        <v>51</v>
      </c>
      <c r="G6586" s="14" t="s">
        <v>123</v>
      </c>
      <c r="H6586" s="14" t="s">
        <v>124</v>
      </c>
      <c r="I6586" s="14" t="s">
        <v>59</v>
      </c>
      <c r="J6586" s="14" t="s">
        <v>200</v>
      </c>
      <c r="K6586" s="14" t="s">
        <v>232</v>
      </c>
      <c r="L6586" s="14" t="s">
        <v>286</v>
      </c>
      <c r="M6586" s="14" t="s">
        <v>730</v>
      </c>
      <c r="N6586" s="14" t="s">
        <v>731</v>
      </c>
      <c r="O6586" s="14">
        <v>0.0</v>
      </c>
      <c r="P6586" s="23">
        <v>0.0</v>
      </c>
      <c r="Q6586" s="22" t="str">
        <f t="shared" ref="Q6586:R6586" si="3937">"+0.00%"</f>
        <v>+0.00%</v>
      </c>
      <c r="R6586" s="18" t="str">
        <f t="shared" si="3937"/>
        <v>+0.00%</v>
      </c>
      <c r="S6586" s="14" t="s">
        <v>285</v>
      </c>
    </row>
    <row r="6587">
      <c r="A6587" s="13">
        <v>45901.0</v>
      </c>
      <c r="B6587" s="14" t="s">
        <v>47</v>
      </c>
      <c r="C6587" s="14" t="s">
        <v>48</v>
      </c>
      <c r="D6587" s="14" t="s">
        <v>121</v>
      </c>
      <c r="E6587" s="14" t="s">
        <v>122</v>
      </c>
      <c r="F6587" s="15" t="s">
        <v>51</v>
      </c>
      <c r="G6587" s="14" t="s">
        <v>123</v>
      </c>
      <c r="H6587" s="14" t="s">
        <v>124</v>
      </c>
      <c r="I6587" s="14" t="s">
        <v>59</v>
      </c>
      <c r="J6587" s="14" t="s">
        <v>200</v>
      </c>
      <c r="K6587" s="14" t="s">
        <v>232</v>
      </c>
      <c r="L6587" s="14" t="s">
        <v>607</v>
      </c>
      <c r="M6587" s="14" t="s">
        <v>758</v>
      </c>
      <c r="N6587" s="14" t="s">
        <v>759</v>
      </c>
      <c r="O6587" s="14">
        <v>0.0</v>
      </c>
      <c r="P6587" s="23">
        <v>-1.0</v>
      </c>
      <c r="Q6587" s="22" t="str">
        <f t="shared" ref="Q6587:R6587" si="3938">"+0.00%"</f>
        <v>+0.00%</v>
      </c>
      <c r="R6587" s="18" t="str">
        <f t="shared" si="3938"/>
        <v>+0.00%</v>
      </c>
      <c r="S6587" s="14" t="s">
        <v>2718</v>
      </c>
    </row>
    <row r="6588">
      <c r="A6588" s="13">
        <v>45901.0</v>
      </c>
      <c r="B6588" s="14" t="s">
        <v>47</v>
      </c>
      <c r="C6588" s="14" t="s">
        <v>48</v>
      </c>
      <c r="D6588" s="14" t="s">
        <v>121</v>
      </c>
      <c r="E6588" s="14" t="s">
        <v>122</v>
      </c>
      <c r="F6588" s="15" t="s">
        <v>51</v>
      </c>
      <c r="G6588" s="14" t="s">
        <v>123</v>
      </c>
      <c r="H6588" s="14" t="s">
        <v>124</v>
      </c>
      <c r="I6588" s="14" t="s">
        <v>59</v>
      </c>
      <c r="J6588" s="14" t="s">
        <v>200</v>
      </c>
      <c r="K6588" s="14" t="s">
        <v>232</v>
      </c>
      <c r="L6588" s="14" t="s">
        <v>607</v>
      </c>
      <c r="M6588" s="14" t="s">
        <v>1035</v>
      </c>
      <c r="N6588" s="14" t="s">
        <v>1036</v>
      </c>
      <c r="O6588" s="14">
        <v>0.0</v>
      </c>
      <c r="P6588" s="23">
        <v>0.0</v>
      </c>
      <c r="Q6588" s="22" t="str">
        <f>"+0.00%"</f>
        <v>+0.00%</v>
      </c>
      <c r="R6588" s="18" t="str">
        <f>"-9.09%"</f>
        <v>-9.09%</v>
      </c>
      <c r="S6588" s="14" t="s">
        <v>2719</v>
      </c>
    </row>
    <row r="6589">
      <c r="A6589" s="13">
        <v>45901.0</v>
      </c>
      <c r="B6589" s="14" t="s">
        <v>47</v>
      </c>
      <c r="C6589" s="14" t="s">
        <v>48</v>
      </c>
      <c r="D6589" s="14" t="s">
        <v>168</v>
      </c>
      <c r="E6589" s="14" t="s">
        <v>169</v>
      </c>
      <c r="F6589" s="15" t="s">
        <v>51</v>
      </c>
      <c r="G6589" s="14" t="s">
        <v>170</v>
      </c>
      <c r="H6589" s="14" t="s">
        <v>168</v>
      </c>
      <c r="I6589" s="14" t="s">
        <v>59</v>
      </c>
      <c r="J6589" s="14" t="s">
        <v>200</v>
      </c>
      <c r="K6589" s="14" t="s">
        <v>213</v>
      </c>
      <c r="L6589" s="14" t="s">
        <v>253</v>
      </c>
      <c r="M6589" s="14" t="s">
        <v>552</v>
      </c>
      <c r="N6589" s="14" t="s">
        <v>553</v>
      </c>
      <c r="O6589" s="14">
        <v>26.0</v>
      </c>
      <c r="P6589" s="23">
        <v>0.266</v>
      </c>
      <c r="Q6589" s="22" t="str">
        <f>"+3.30%"</f>
        <v>+3.30%</v>
      </c>
      <c r="R6589" s="18" t="str">
        <f>"+1.94%"</f>
        <v>+1.94%</v>
      </c>
      <c r="S6589" s="14" t="s">
        <v>2720</v>
      </c>
    </row>
    <row r="6590">
      <c r="A6590" s="13">
        <v>45901.0</v>
      </c>
      <c r="B6590" s="14" t="s">
        <v>47</v>
      </c>
      <c r="C6590" s="14" t="s">
        <v>48</v>
      </c>
      <c r="D6590" s="14" t="s">
        <v>99</v>
      </c>
      <c r="E6590" s="14" t="s">
        <v>100</v>
      </c>
      <c r="F6590" s="15" t="s">
        <v>51</v>
      </c>
      <c r="G6590" s="14" t="s">
        <v>101</v>
      </c>
      <c r="H6590" s="14" t="s">
        <v>102</v>
      </c>
      <c r="I6590" s="14" t="s">
        <v>54</v>
      </c>
      <c r="J6590" s="14" t="s">
        <v>200</v>
      </c>
      <c r="K6590" s="14" t="s">
        <v>213</v>
      </c>
      <c r="L6590" s="14" t="s">
        <v>307</v>
      </c>
      <c r="M6590" s="14" t="s">
        <v>561</v>
      </c>
      <c r="N6590" s="14" t="s">
        <v>562</v>
      </c>
      <c r="O6590" s="14">
        <v>0.0</v>
      </c>
      <c r="P6590" s="23">
        <v>0.0</v>
      </c>
      <c r="Q6590" s="22" t="str">
        <f t="shared" ref="Q6590:R6590" si="3939">"+0.00%"</f>
        <v>+0.00%</v>
      </c>
      <c r="R6590" s="18" t="str">
        <f t="shared" si="3939"/>
        <v>+0.00%</v>
      </c>
      <c r="S6590" s="14" t="s">
        <v>285</v>
      </c>
    </row>
    <row r="6591">
      <c r="A6591" s="13">
        <v>45901.0</v>
      </c>
      <c r="B6591" s="14" t="s">
        <v>47</v>
      </c>
      <c r="C6591" s="14" t="s">
        <v>48</v>
      </c>
      <c r="D6591" s="14" t="s">
        <v>63</v>
      </c>
      <c r="E6591" s="14" t="s">
        <v>64</v>
      </c>
      <c r="F6591" s="15" t="s">
        <v>51</v>
      </c>
      <c r="G6591" s="14" t="s">
        <v>65</v>
      </c>
      <c r="H6591" s="14" t="s">
        <v>63</v>
      </c>
      <c r="I6591" s="14" t="s">
        <v>54</v>
      </c>
      <c r="J6591" s="14" t="s">
        <v>200</v>
      </c>
      <c r="K6591" s="14" t="s">
        <v>202</v>
      </c>
      <c r="L6591" s="14" t="s">
        <v>253</v>
      </c>
      <c r="M6591" s="14" t="s">
        <v>874</v>
      </c>
      <c r="N6591" s="14" t="s">
        <v>875</v>
      </c>
      <c r="O6591" s="14">
        <v>99.0</v>
      </c>
      <c r="P6591" s="23">
        <v>0.9921</v>
      </c>
      <c r="Q6591" s="22" t="str">
        <f>"-0.05%"</f>
        <v>-0.05%</v>
      </c>
      <c r="R6591" s="18" t="str">
        <f>"-0.21%"</f>
        <v>-0.21%</v>
      </c>
      <c r="S6591" s="14" t="s">
        <v>876</v>
      </c>
    </row>
    <row r="6592">
      <c r="A6592" s="13">
        <v>45901.0</v>
      </c>
      <c r="B6592" s="14" t="s">
        <v>47</v>
      </c>
      <c r="C6592" s="14" t="s">
        <v>48</v>
      </c>
      <c r="D6592" s="14" t="s">
        <v>91</v>
      </c>
      <c r="E6592" s="14" t="s">
        <v>92</v>
      </c>
      <c r="F6592" s="15" t="s">
        <v>51</v>
      </c>
      <c r="G6592" s="14" t="s">
        <v>163</v>
      </c>
      <c r="H6592" s="14" t="s">
        <v>91</v>
      </c>
      <c r="I6592" s="14" t="s">
        <v>59</v>
      </c>
      <c r="J6592" s="14" t="s">
        <v>198</v>
      </c>
      <c r="K6592" s="14" t="s">
        <v>210</v>
      </c>
      <c r="L6592" s="14" t="s">
        <v>264</v>
      </c>
      <c r="M6592" s="14" t="s">
        <v>524</v>
      </c>
      <c r="N6592" s="14" t="s">
        <v>525</v>
      </c>
      <c r="O6592" s="14">
        <v>100.0</v>
      </c>
      <c r="P6592" s="21">
        <v>0.0</v>
      </c>
      <c r="Q6592" s="22" t="str">
        <f>"-1"</f>
        <v>-1</v>
      </c>
      <c r="R6592" s="18" t="str">
        <f>"+0"</f>
        <v>+0</v>
      </c>
      <c r="S6592" s="14" t="s">
        <v>281</v>
      </c>
    </row>
    <row r="6593">
      <c r="A6593" s="13">
        <v>45901.0</v>
      </c>
      <c r="B6593" s="14" t="s">
        <v>47</v>
      </c>
      <c r="C6593" s="14" t="s">
        <v>48</v>
      </c>
      <c r="D6593" s="14" t="s">
        <v>91</v>
      </c>
      <c r="E6593" s="14" t="s">
        <v>92</v>
      </c>
      <c r="F6593" s="15" t="s">
        <v>51</v>
      </c>
      <c r="G6593" s="14" t="s">
        <v>163</v>
      </c>
      <c r="H6593" s="14" t="s">
        <v>91</v>
      </c>
      <c r="I6593" s="14" t="s">
        <v>59</v>
      </c>
      <c r="J6593" s="14" t="s">
        <v>200</v>
      </c>
      <c r="K6593" s="14" t="s">
        <v>223</v>
      </c>
      <c r="L6593" s="14" t="s">
        <v>607</v>
      </c>
      <c r="M6593" s="14" t="s">
        <v>1312</v>
      </c>
      <c r="N6593" s="14" t="s">
        <v>1313</v>
      </c>
      <c r="O6593" s="14">
        <v>0.0</v>
      </c>
      <c r="P6593" s="23">
        <v>0.0</v>
      </c>
      <c r="Q6593" s="22" t="str">
        <f t="shared" ref="Q6593:R6593" si="3940">"+0.00%"</f>
        <v>+0.00%</v>
      </c>
      <c r="R6593" s="18" t="str">
        <f t="shared" si="3940"/>
        <v>+0.00%</v>
      </c>
      <c r="S6593" s="14" t="s">
        <v>285</v>
      </c>
    </row>
    <row r="6594">
      <c r="A6594" s="13">
        <v>45901.0</v>
      </c>
      <c r="B6594" s="14" t="s">
        <v>47</v>
      </c>
      <c r="C6594" s="14" t="s">
        <v>48</v>
      </c>
      <c r="D6594" s="14" t="s">
        <v>63</v>
      </c>
      <c r="E6594" s="14" t="s">
        <v>64</v>
      </c>
      <c r="F6594" s="15" t="s">
        <v>51</v>
      </c>
      <c r="G6594" s="14" t="s">
        <v>65</v>
      </c>
      <c r="H6594" s="14" t="s">
        <v>63</v>
      </c>
      <c r="I6594" s="14" t="s">
        <v>54</v>
      </c>
      <c r="J6594" s="14" t="s">
        <v>200</v>
      </c>
      <c r="K6594" s="14" t="s">
        <v>204</v>
      </c>
      <c r="L6594" s="14" t="s">
        <v>253</v>
      </c>
      <c r="M6594" s="14" t="s">
        <v>490</v>
      </c>
      <c r="N6594" s="14" t="s">
        <v>491</v>
      </c>
      <c r="O6594" s="14">
        <v>0.0</v>
      </c>
      <c r="P6594" s="23">
        <v>0.0</v>
      </c>
      <c r="Q6594" s="22" t="str">
        <f t="shared" ref="Q6594:R6594" si="3941">"+0.00%"</f>
        <v>+0.00%</v>
      </c>
      <c r="R6594" s="18" t="str">
        <f t="shared" si="3941"/>
        <v>+0.00%</v>
      </c>
      <c r="S6594" s="14" t="s">
        <v>492</v>
      </c>
    </row>
    <row r="6595">
      <c r="A6595" s="13">
        <v>45901.0</v>
      </c>
      <c r="B6595" s="14" t="s">
        <v>47</v>
      </c>
      <c r="C6595" s="14" t="s">
        <v>48</v>
      </c>
      <c r="D6595" s="14" t="s">
        <v>82</v>
      </c>
      <c r="E6595" s="14" t="s">
        <v>83</v>
      </c>
      <c r="F6595" s="15" t="s">
        <v>51</v>
      </c>
      <c r="G6595" s="14" t="s">
        <v>84</v>
      </c>
      <c r="H6595" s="14" t="s">
        <v>82</v>
      </c>
      <c r="I6595" s="14" t="s">
        <v>59</v>
      </c>
      <c r="J6595" s="14" t="s">
        <v>198</v>
      </c>
      <c r="K6595" s="14" t="s">
        <v>210</v>
      </c>
      <c r="L6595" s="14" t="s">
        <v>458</v>
      </c>
      <c r="M6595" s="14" t="s">
        <v>459</v>
      </c>
      <c r="N6595" s="14" t="s">
        <v>460</v>
      </c>
      <c r="O6595" s="14">
        <v>100.0</v>
      </c>
      <c r="P6595" s="21">
        <v>0.0</v>
      </c>
      <c r="Q6595" s="22" t="str">
        <f t="shared" ref="Q6595:R6595" si="3942">"+0"</f>
        <v>+0</v>
      </c>
      <c r="R6595" s="18" t="str">
        <f t="shared" si="3942"/>
        <v>+0</v>
      </c>
      <c r="S6595" s="14" t="s">
        <v>281</v>
      </c>
    </row>
    <row r="6596">
      <c r="A6596" s="13">
        <v>45901.0</v>
      </c>
      <c r="B6596" s="14" t="s">
        <v>47</v>
      </c>
      <c r="C6596" s="14" t="s">
        <v>48</v>
      </c>
      <c r="D6596" s="14" t="s">
        <v>66</v>
      </c>
      <c r="E6596" s="14" t="s">
        <v>67</v>
      </c>
      <c r="F6596" s="15" t="s">
        <v>51</v>
      </c>
      <c r="G6596" s="14" t="s">
        <v>68</v>
      </c>
      <c r="H6596" s="14" t="s">
        <v>66</v>
      </c>
      <c r="I6596" s="14" t="s">
        <v>59</v>
      </c>
      <c r="J6596" s="14" t="s">
        <v>198</v>
      </c>
      <c r="K6596" s="14" t="s">
        <v>205</v>
      </c>
      <c r="L6596" s="14" t="s">
        <v>274</v>
      </c>
      <c r="M6596" s="14" t="s">
        <v>354</v>
      </c>
      <c r="N6596" s="14" t="s">
        <v>355</v>
      </c>
      <c r="O6596" s="14">
        <v>28.0</v>
      </c>
      <c r="P6596" s="21">
        <v>10.0</v>
      </c>
      <c r="Q6596" s="22" t="str">
        <f>"+0"</f>
        <v>+0</v>
      </c>
      <c r="S6596" s="14" t="s">
        <v>356</v>
      </c>
    </row>
    <row r="6597">
      <c r="A6597" s="13">
        <v>45901.0</v>
      </c>
      <c r="B6597" s="14" t="s">
        <v>47</v>
      </c>
      <c r="C6597" s="14" t="s">
        <v>48</v>
      </c>
      <c r="D6597" s="14" t="s">
        <v>192</v>
      </c>
      <c r="E6597" s="14" t="s">
        <v>193</v>
      </c>
      <c r="F6597" s="15" t="s">
        <v>51</v>
      </c>
      <c r="G6597" s="14" t="s">
        <v>194</v>
      </c>
      <c r="H6597" s="14" t="s">
        <v>192</v>
      </c>
      <c r="I6597" s="14" t="s">
        <v>54</v>
      </c>
      <c r="J6597" s="14" t="s">
        <v>200</v>
      </c>
      <c r="K6597" s="14" t="s">
        <v>211</v>
      </c>
      <c r="L6597" s="14" t="s">
        <v>253</v>
      </c>
      <c r="M6597" s="14" t="s">
        <v>1085</v>
      </c>
      <c r="N6597" s="14" t="s">
        <v>1086</v>
      </c>
      <c r="O6597" s="14">
        <v>0.0</v>
      </c>
      <c r="P6597" s="23">
        <v>0.0</v>
      </c>
      <c r="Q6597" s="22" t="str">
        <f t="shared" ref="Q6597:R6597" si="3943">"+0.00%"</f>
        <v>+0.00%</v>
      </c>
      <c r="R6597" s="18" t="str">
        <f t="shared" si="3943"/>
        <v>+0.00%</v>
      </c>
      <c r="S6597" s="14" t="s">
        <v>2721</v>
      </c>
    </row>
    <row r="6598">
      <c r="A6598" s="13">
        <v>45901.0</v>
      </c>
      <c r="B6598" s="14" t="s">
        <v>47</v>
      </c>
      <c r="C6598" s="14" t="s">
        <v>48</v>
      </c>
      <c r="D6598" s="14" t="s">
        <v>132</v>
      </c>
      <c r="E6598" s="14" t="s">
        <v>133</v>
      </c>
      <c r="F6598" s="15" t="s">
        <v>51</v>
      </c>
      <c r="G6598" s="14" t="s">
        <v>134</v>
      </c>
      <c r="H6598" s="14" t="s">
        <v>135</v>
      </c>
      <c r="I6598" s="14" t="s">
        <v>59</v>
      </c>
      <c r="J6598" s="14" t="s">
        <v>198</v>
      </c>
      <c r="K6598" s="14" t="s">
        <v>212</v>
      </c>
      <c r="L6598" s="14" t="s">
        <v>249</v>
      </c>
      <c r="M6598" s="14" t="s">
        <v>598</v>
      </c>
      <c r="N6598" s="14" t="s">
        <v>599</v>
      </c>
      <c r="O6598" s="14">
        <v>100.0</v>
      </c>
      <c r="P6598" s="21">
        <v>0.0</v>
      </c>
      <c r="Q6598" s="22" t="str">
        <f>"+0"</f>
        <v>+0</v>
      </c>
      <c r="R6598" s="18" t="str">
        <f>"-360"</f>
        <v>-360</v>
      </c>
      <c r="S6598" s="14" t="s">
        <v>281</v>
      </c>
    </row>
    <row r="6599">
      <c r="A6599" s="13">
        <v>45901.0</v>
      </c>
      <c r="B6599" s="14" t="s">
        <v>47</v>
      </c>
      <c r="C6599" s="14" t="s">
        <v>48</v>
      </c>
      <c r="D6599" s="14" t="s">
        <v>132</v>
      </c>
      <c r="E6599" s="14" t="s">
        <v>133</v>
      </c>
      <c r="F6599" s="15" t="s">
        <v>51</v>
      </c>
      <c r="G6599" s="14" t="s">
        <v>134</v>
      </c>
      <c r="H6599" s="14" t="s">
        <v>135</v>
      </c>
      <c r="I6599" s="14" t="s">
        <v>59</v>
      </c>
      <c r="J6599" s="14" t="s">
        <v>200</v>
      </c>
      <c r="K6599" s="14" t="s">
        <v>213</v>
      </c>
      <c r="L6599" s="14" t="s">
        <v>257</v>
      </c>
      <c r="M6599" s="14" t="s">
        <v>315</v>
      </c>
      <c r="N6599" s="14" t="s">
        <v>316</v>
      </c>
      <c r="O6599" s="14">
        <v>52.0</v>
      </c>
      <c r="P6599" s="23">
        <v>0.5238</v>
      </c>
      <c r="Q6599" s="22" t="str">
        <f>"-3.87%"</f>
        <v>-3.87%</v>
      </c>
      <c r="R6599" s="18" t="str">
        <f>"-12.84%"</f>
        <v>-12.84%</v>
      </c>
      <c r="S6599" s="14" t="s">
        <v>2722</v>
      </c>
    </row>
    <row r="6600">
      <c r="A6600" s="13">
        <v>45901.0</v>
      </c>
      <c r="B6600" s="14" t="s">
        <v>47</v>
      </c>
      <c r="C6600" s="14" t="s">
        <v>48</v>
      </c>
      <c r="D6600" s="14" t="s">
        <v>149</v>
      </c>
      <c r="E6600" s="14" t="s">
        <v>150</v>
      </c>
      <c r="F6600" s="15" t="s">
        <v>51</v>
      </c>
      <c r="G6600" s="14" t="s">
        <v>151</v>
      </c>
      <c r="H6600" s="14" t="s">
        <v>152</v>
      </c>
      <c r="I6600" s="14" t="s">
        <v>54</v>
      </c>
      <c r="J6600" s="14" t="s">
        <v>200</v>
      </c>
      <c r="K6600" s="14" t="s">
        <v>223</v>
      </c>
      <c r="L6600" s="14" t="s">
        <v>710</v>
      </c>
      <c r="M6600" s="14" t="s">
        <v>711</v>
      </c>
      <c r="N6600" s="14" t="s">
        <v>712</v>
      </c>
      <c r="O6600" s="14">
        <v>0.0</v>
      </c>
      <c r="P6600" s="23">
        <v>0.0</v>
      </c>
      <c r="Q6600" s="22" t="str">
        <f t="shared" ref="Q6600:R6600" si="3944">"+0.00%"</f>
        <v>+0.00%</v>
      </c>
      <c r="R6600" s="18" t="str">
        <f t="shared" si="3944"/>
        <v>+0.00%</v>
      </c>
      <c r="S6600" s="14" t="s">
        <v>285</v>
      </c>
    </row>
    <row r="6601">
      <c r="A6601" s="13">
        <v>45901.0</v>
      </c>
      <c r="B6601" s="14" t="s">
        <v>47</v>
      </c>
      <c r="C6601" s="14" t="s">
        <v>48</v>
      </c>
      <c r="D6601" s="14" t="s">
        <v>136</v>
      </c>
      <c r="E6601" s="14" t="s">
        <v>137</v>
      </c>
      <c r="F6601" s="15" t="s">
        <v>51</v>
      </c>
      <c r="G6601" s="14" t="s">
        <v>138</v>
      </c>
      <c r="H6601" s="14" t="s">
        <v>139</v>
      </c>
      <c r="I6601" s="14" t="s">
        <v>59</v>
      </c>
      <c r="J6601" s="14" t="s">
        <v>200</v>
      </c>
      <c r="K6601" s="14" t="s">
        <v>222</v>
      </c>
      <c r="L6601" s="14" t="s">
        <v>337</v>
      </c>
      <c r="M6601" s="14" t="s">
        <v>734</v>
      </c>
      <c r="N6601" s="14" t="s">
        <v>735</v>
      </c>
      <c r="O6601" s="14">
        <v>0.0</v>
      </c>
      <c r="P6601" s="21">
        <v>0.0</v>
      </c>
      <c r="Q6601" s="22" t="str">
        <f t="shared" ref="Q6601:R6601" si="3945">"+0"</f>
        <v>+0</v>
      </c>
      <c r="R6601" s="18" t="str">
        <f t="shared" si="3945"/>
        <v>+0</v>
      </c>
      <c r="S6601" s="14" t="s">
        <v>260</v>
      </c>
    </row>
    <row r="6602">
      <c r="A6602" s="13">
        <v>45901.0</v>
      </c>
      <c r="B6602" s="14" t="s">
        <v>47</v>
      </c>
      <c r="C6602" s="14" t="s">
        <v>48</v>
      </c>
      <c r="D6602" s="14" t="s">
        <v>149</v>
      </c>
      <c r="E6602" s="14" t="s">
        <v>150</v>
      </c>
      <c r="F6602" s="15" t="s">
        <v>51</v>
      </c>
      <c r="G6602" s="14" t="s">
        <v>151</v>
      </c>
      <c r="H6602" s="14" t="s">
        <v>152</v>
      </c>
      <c r="I6602" s="14" t="s">
        <v>54</v>
      </c>
      <c r="J6602" s="14" t="s">
        <v>198</v>
      </c>
      <c r="K6602" s="14" t="s">
        <v>210</v>
      </c>
      <c r="L6602" s="14" t="s">
        <v>264</v>
      </c>
      <c r="M6602" s="14" t="s">
        <v>930</v>
      </c>
      <c r="N6602" s="14" t="s">
        <v>931</v>
      </c>
      <c r="O6602" s="14">
        <v>0.0</v>
      </c>
      <c r="P6602" s="21">
        <v>0.0</v>
      </c>
      <c r="Q6602" s="22" t="str">
        <f t="shared" ref="Q6602:R6602" si="3946">"+0"</f>
        <v>+0</v>
      </c>
      <c r="R6602" s="18" t="str">
        <f t="shared" si="3946"/>
        <v>+0</v>
      </c>
      <c r="S6602" s="14" t="s">
        <v>277</v>
      </c>
    </row>
    <row r="6603">
      <c r="A6603" s="13">
        <v>45901.0</v>
      </c>
      <c r="B6603" s="14" t="s">
        <v>47</v>
      </c>
      <c r="C6603" s="14" t="s">
        <v>48</v>
      </c>
      <c r="D6603" s="14" t="s">
        <v>149</v>
      </c>
      <c r="E6603" s="14" t="s">
        <v>150</v>
      </c>
      <c r="F6603" s="15" t="s">
        <v>51</v>
      </c>
      <c r="G6603" s="14" t="s">
        <v>151</v>
      </c>
      <c r="H6603" s="14" t="s">
        <v>152</v>
      </c>
      <c r="I6603" s="14" t="s">
        <v>54</v>
      </c>
      <c r="J6603" s="14" t="s">
        <v>199</v>
      </c>
      <c r="K6603" s="14" t="s">
        <v>206</v>
      </c>
      <c r="L6603" s="14" t="s">
        <v>295</v>
      </c>
      <c r="M6603" s="14" t="s">
        <v>296</v>
      </c>
      <c r="N6603" s="14" t="s">
        <v>297</v>
      </c>
      <c r="O6603" s="14">
        <v>100.0</v>
      </c>
      <c r="P6603" s="21">
        <v>1.0</v>
      </c>
      <c r="Q6603" s="22" t="str">
        <f t="shared" ref="Q6603:R6603" si="3947">"+0"</f>
        <v>+0</v>
      </c>
      <c r="R6603" s="18" t="str">
        <f t="shared" si="3947"/>
        <v>+0</v>
      </c>
      <c r="S6603" s="14" t="s">
        <v>260</v>
      </c>
    </row>
    <row r="6604">
      <c r="A6604" s="13">
        <v>45901.0</v>
      </c>
      <c r="B6604" s="14" t="s">
        <v>47</v>
      </c>
      <c r="C6604" s="14" t="s">
        <v>48</v>
      </c>
      <c r="D6604" s="14" t="s">
        <v>87</v>
      </c>
      <c r="E6604" s="14" t="s">
        <v>88</v>
      </c>
      <c r="F6604" s="15" t="s">
        <v>51</v>
      </c>
      <c r="G6604" s="14" t="s">
        <v>89</v>
      </c>
      <c r="H6604" s="14" t="s">
        <v>90</v>
      </c>
      <c r="I6604" s="14" t="s">
        <v>59</v>
      </c>
      <c r="J6604" s="14" t="s">
        <v>199</v>
      </c>
      <c r="K6604" s="14" t="s">
        <v>206</v>
      </c>
      <c r="L6604" s="14" t="s">
        <v>381</v>
      </c>
      <c r="M6604" s="14" t="s">
        <v>381</v>
      </c>
      <c r="N6604" s="14" t="s">
        <v>382</v>
      </c>
      <c r="O6604" s="14">
        <v>0.0</v>
      </c>
      <c r="P6604" s="21">
        <v>0.0</v>
      </c>
      <c r="Q6604" s="22" t="str">
        <f t="shared" ref="Q6604:R6604" si="3948">"+0"</f>
        <v>+0</v>
      </c>
      <c r="R6604" s="18" t="str">
        <f t="shared" si="3948"/>
        <v>+0</v>
      </c>
      <c r="S6604" s="14" t="s">
        <v>383</v>
      </c>
    </row>
    <row r="6605">
      <c r="A6605" s="13">
        <v>45901.0</v>
      </c>
      <c r="B6605" s="14" t="s">
        <v>47</v>
      </c>
      <c r="C6605" s="14" t="s">
        <v>48</v>
      </c>
      <c r="D6605" s="14" t="s">
        <v>87</v>
      </c>
      <c r="E6605" s="14" t="s">
        <v>88</v>
      </c>
      <c r="F6605" s="15" t="s">
        <v>51</v>
      </c>
      <c r="G6605" s="14" t="s">
        <v>89</v>
      </c>
      <c r="H6605" s="14" t="s">
        <v>90</v>
      </c>
      <c r="I6605" s="14" t="s">
        <v>59</v>
      </c>
      <c r="J6605" s="14" t="s">
        <v>199</v>
      </c>
      <c r="K6605" s="14" t="s">
        <v>206</v>
      </c>
      <c r="L6605" s="14" t="s">
        <v>295</v>
      </c>
      <c r="M6605" s="14" t="s">
        <v>461</v>
      </c>
      <c r="N6605" s="14" t="s">
        <v>462</v>
      </c>
      <c r="O6605" s="14">
        <v>0.0</v>
      </c>
      <c r="P6605" s="21">
        <v>0.0</v>
      </c>
      <c r="Q6605" s="22" t="str">
        <f t="shared" ref="Q6605:R6605" si="3949">"+0"</f>
        <v>+0</v>
      </c>
      <c r="R6605" s="18" t="str">
        <f t="shared" si="3949"/>
        <v>+0</v>
      </c>
      <c r="S6605" s="14" t="s">
        <v>260</v>
      </c>
    </row>
    <row r="6606">
      <c r="A6606" s="13">
        <v>45901.0</v>
      </c>
      <c r="B6606" s="14" t="s">
        <v>47</v>
      </c>
      <c r="C6606" s="14" t="s">
        <v>48</v>
      </c>
      <c r="D6606" s="14" t="s">
        <v>149</v>
      </c>
      <c r="E6606" s="14" t="s">
        <v>150</v>
      </c>
      <c r="F6606" s="15" t="s">
        <v>51</v>
      </c>
      <c r="G6606" s="14" t="s">
        <v>151</v>
      </c>
      <c r="H6606" s="14" t="s">
        <v>152</v>
      </c>
      <c r="I6606" s="14" t="s">
        <v>54</v>
      </c>
      <c r="J6606" s="14" t="s">
        <v>198</v>
      </c>
      <c r="K6606" s="14" t="s">
        <v>210</v>
      </c>
      <c r="L6606" s="14" t="s">
        <v>264</v>
      </c>
      <c r="M6606" s="14" t="s">
        <v>638</v>
      </c>
      <c r="N6606" s="14" t="s">
        <v>639</v>
      </c>
      <c r="O6606" s="14">
        <v>100.0</v>
      </c>
      <c r="P6606" s="21">
        <v>2.0</v>
      </c>
      <c r="Q6606" s="22" t="str">
        <f>"-4"</f>
        <v>-4</v>
      </c>
      <c r="R6606" s="18" t="str">
        <f>"+2"</f>
        <v>+2</v>
      </c>
      <c r="S6606" s="14" t="s">
        <v>277</v>
      </c>
    </row>
    <row r="6607">
      <c r="A6607" s="13">
        <v>45901.0</v>
      </c>
      <c r="B6607" s="14" t="s">
        <v>47</v>
      </c>
      <c r="C6607" s="14" t="s">
        <v>48</v>
      </c>
      <c r="D6607" s="14" t="s">
        <v>85</v>
      </c>
      <c r="E6607" s="14" t="s">
        <v>86</v>
      </c>
      <c r="F6607" s="15" t="s">
        <v>51</v>
      </c>
      <c r="G6607" s="14" t="s">
        <v>148</v>
      </c>
      <c r="H6607" s="14" t="s">
        <v>85</v>
      </c>
      <c r="I6607" s="14" t="s">
        <v>59</v>
      </c>
      <c r="J6607" s="14" t="s">
        <v>198</v>
      </c>
      <c r="K6607" s="14" t="s">
        <v>210</v>
      </c>
      <c r="L6607" s="14" t="s">
        <v>264</v>
      </c>
      <c r="M6607" s="14" t="s">
        <v>265</v>
      </c>
      <c r="N6607" s="14" t="s">
        <v>266</v>
      </c>
      <c r="O6607" s="14">
        <v>68.0</v>
      </c>
      <c r="P6607" s="21">
        <v>79.0</v>
      </c>
      <c r="Q6607" s="22" t="str">
        <f>"-7"</f>
        <v>-7</v>
      </c>
      <c r="R6607" s="18" t="str">
        <f>"-156"</f>
        <v>-156</v>
      </c>
      <c r="S6607" s="14" t="s">
        <v>2723</v>
      </c>
    </row>
    <row r="6608">
      <c r="A6608" s="13">
        <v>45901.0</v>
      </c>
      <c r="B6608" s="14" t="s">
        <v>47</v>
      </c>
      <c r="C6608" s="14" t="s">
        <v>48</v>
      </c>
      <c r="D6608" s="14" t="s">
        <v>125</v>
      </c>
      <c r="E6608" s="14" t="s">
        <v>126</v>
      </c>
      <c r="F6608" s="15" t="s">
        <v>51</v>
      </c>
      <c r="G6608" s="14" t="s">
        <v>127</v>
      </c>
      <c r="H6608" s="14" t="s">
        <v>125</v>
      </c>
      <c r="I6608" s="14" t="s">
        <v>59</v>
      </c>
      <c r="J6608" s="14" t="s">
        <v>199</v>
      </c>
      <c r="K6608" s="14" t="s">
        <v>203</v>
      </c>
      <c r="L6608" s="14" t="s">
        <v>431</v>
      </c>
      <c r="M6608" s="14" t="s">
        <v>431</v>
      </c>
      <c r="N6608" s="14" t="s">
        <v>432</v>
      </c>
      <c r="O6608" s="14">
        <v>0.0</v>
      </c>
      <c r="P6608" s="21">
        <v>0.0</v>
      </c>
      <c r="Q6608" s="22" t="str">
        <f t="shared" ref="Q6608:R6608" si="3950">"+0"</f>
        <v>+0</v>
      </c>
      <c r="R6608" s="18" t="str">
        <f t="shared" si="3950"/>
        <v>+0</v>
      </c>
      <c r="S6608" s="14" t="s">
        <v>260</v>
      </c>
    </row>
    <row r="6609">
      <c r="A6609" s="13">
        <v>45901.0</v>
      </c>
      <c r="B6609" s="14" t="s">
        <v>47</v>
      </c>
      <c r="C6609" s="14" t="s">
        <v>48</v>
      </c>
      <c r="D6609" s="14" t="s">
        <v>69</v>
      </c>
      <c r="E6609" s="14" t="s">
        <v>70</v>
      </c>
      <c r="F6609" s="15" t="s">
        <v>51</v>
      </c>
      <c r="G6609" s="14" t="s">
        <v>115</v>
      </c>
      <c r="H6609" s="14" t="s">
        <v>72</v>
      </c>
      <c r="I6609" s="14" t="s">
        <v>54</v>
      </c>
      <c r="J6609" s="14" t="s">
        <v>198</v>
      </c>
      <c r="K6609" s="14" t="s">
        <v>210</v>
      </c>
      <c r="L6609" s="14" t="s">
        <v>458</v>
      </c>
      <c r="M6609" s="14" t="s">
        <v>459</v>
      </c>
      <c r="N6609" s="14" t="s">
        <v>460</v>
      </c>
      <c r="O6609" s="14">
        <v>100.0</v>
      </c>
      <c r="P6609" s="21">
        <v>0.0</v>
      </c>
      <c r="Q6609" s="22" t="str">
        <f t="shared" ref="Q6609:R6609" si="3951">"+0"</f>
        <v>+0</v>
      </c>
      <c r="R6609" s="18" t="str">
        <f t="shared" si="3951"/>
        <v>+0</v>
      </c>
      <c r="S6609" s="14" t="s">
        <v>281</v>
      </c>
    </row>
    <row r="6610">
      <c r="A6610" s="13">
        <v>45901.0</v>
      </c>
      <c r="B6610" s="14" t="s">
        <v>47</v>
      </c>
      <c r="C6610" s="14" t="s">
        <v>48</v>
      </c>
      <c r="D6610" s="14" t="s">
        <v>69</v>
      </c>
      <c r="E6610" s="14" t="s">
        <v>70</v>
      </c>
      <c r="F6610" s="15" t="s">
        <v>51</v>
      </c>
      <c r="G6610" s="14" t="s">
        <v>115</v>
      </c>
      <c r="H6610" s="14" t="s">
        <v>72</v>
      </c>
      <c r="I6610" s="14" t="s">
        <v>54</v>
      </c>
      <c r="J6610" s="14" t="s">
        <v>198</v>
      </c>
      <c r="K6610" s="14" t="s">
        <v>210</v>
      </c>
      <c r="L6610" s="14" t="s">
        <v>505</v>
      </c>
      <c r="M6610" s="14" t="s">
        <v>1475</v>
      </c>
      <c r="N6610" s="14" t="s">
        <v>1476</v>
      </c>
      <c r="O6610" s="14">
        <v>0.0</v>
      </c>
      <c r="P6610" s="21">
        <v>0.0</v>
      </c>
      <c r="Q6610" s="22" t="str">
        <f t="shared" ref="Q6610:R6610" si="3952">"+0"</f>
        <v>+0</v>
      </c>
      <c r="R6610" s="18" t="str">
        <f t="shared" si="3952"/>
        <v>+0</v>
      </c>
      <c r="S6610" s="14" t="s">
        <v>277</v>
      </c>
    </row>
    <row r="6611">
      <c r="A6611" s="13">
        <v>45901.0</v>
      </c>
      <c r="B6611" s="14" t="s">
        <v>47</v>
      </c>
      <c r="C6611" s="14" t="s">
        <v>48</v>
      </c>
      <c r="D6611" s="14" t="s">
        <v>77</v>
      </c>
      <c r="E6611" s="14" t="s">
        <v>78</v>
      </c>
      <c r="F6611" s="15" t="s">
        <v>51</v>
      </c>
      <c r="G6611" s="14" t="s">
        <v>128</v>
      </c>
      <c r="H6611" s="14" t="s">
        <v>81</v>
      </c>
      <c r="I6611" s="14" t="s">
        <v>59</v>
      </c>
      <c r="J6611" s="14" t="s">
        <v>200</v>
      </c>
      <c r="K6611" s="14" t="s">
        <v>201</v>
      </c>
      <c r="L6611" s="14" t="s">
        <v>253</v>
      </c>
      <c r="M6611" s="14" t="s">
        <v>538</v>
      </c>
      <c r="N6611" s="14" t="s">
        <v>539</v>
      </c>
      <c r="O6611" s="14">
        <v>1.0</v>
      </c>
      <c r="P6611" s="23">
        <v>1.0E-4</v>
      </c>
      <c r="Q6611" s="22" t="str">
        <f t="shared" ref="Q6611:R6611" si="3953">"-0.00%"</f>
        <v>-0.00%</v>
      </c>
      <c r="R6611" s="18" t="str">
        <f t="shared" si="3953"/>
        <v>-0.00%</v>
      </c>
      <c r="S6611" s="14" t="s">
        <v>1732</v>
      </c>
    </row>
    <row r="6612">
      <c r="A6612" s="13">
        <v>45901.0</v>
      </c>
      <c r="B6612" s="14" t="s">
        <v>47</v>
      </c>
      <c r="C6612" s="14" t="s">
        <v>48</v>
      </c>
      <c r="D6612" s="14" t="s">
        <v>77</v>
      </c>
      <c r="E6612" s="14" t="s">
        <v>78</v>
      </c>
      <c r="F6612" s="15" t="s">
        <v>51</v>
      </c>
      <c r="G6612" s="14" t="s">
        <v>128</v>
      </c>
      <c r="H6612" s="14" t="s">
        <v>81</v>
      </c>
      <c r="I6612" s="14" t="s">
        <v>59</v>
      </c>
      <c r="J6612" s="14" t="s">
        <v>198</v>
      </c>
      <c r="K6612" s="14" t="s">
        <v>205</v>
      </c>
      <c r="L6612" s="14" t="s">
        <v>274</v>
      </c>
      <c r="M6612" s="14" t="s">
        <v>575</v>
      </c>
      <c r="N6612" s="14" t="s">
        <v>576</v>
      </c>
      <c r="O6612" s="14">
        <v>100.0</v>
      </c>
      <c r="P6612" s="21">
        <v>90.0</v>
      </c>
      <c r="Q6612" s="22" t="str">
        <f>"+0"</f>
        <v>+0</v>
      </c>
      <c r="S6612" s="14" t="s">
        <v>577</v>
      </c>
    </row>
    <row r="6613">
      <c r="A6613" s="13">
        <v>45901.0</v>
      </c>
      <c r="B6613" s="14" t="s">
        <v>47</v>
      </c>
      <c r="C6613" s="14" t="s">
        <v>48</v>
      </c>
      <c r="D6613" s="14" t="s">
        <v>116</v>
      </c>
      <c r="E6613" s="14" t="s">
        <v>117</v>
      </c>
      <c r="F6613" s="15" t="s">
        <v>51</v>
      </c>
      <c r="G6613" s="14" t="s">
        <v>161</v>
      </c>
      <c r="H6613" s="14" t="s">
        <v>116</v>
      </c>
      <c r="I6613" s="14" t="s">
        <v>54</v>
      </c>
      <c r="J6613" s="14" t="s">
        <v>200</v>
      </c>
      <c r="K6613" s="14" t="s">
        <v>213</v>
      </c>
      <c r="L6613" s="14" t="s">
        <v>571</v>
      </c>
      <c r="M6613" s="14" t="s">
        <v>572</v>
      </c>
      <c r="N6613" s="14" t="s">
        <v>573</v>
      </c>
      <c r="O6613" s="14">
        <v>0.0</v>
      </c>
      <c r="P6613" s="23">
        <v>0.0</v>
      </c>
      <c r="Q6613" s="22" t="str">
        <f t="shared" ref="Q6613:R6613" si="3954">"+0.00%"</f>
        <v>+0.00%</v>
      </c>
      <c r="R6613" s="18" t="str">
        <f t="shared" si="3954"/>
        <v>+0.00%</v>
      </c>
      <c r="S6613" s="14" t="s">
        <v>285</v>
      </c>
    </row>
    <row r="6614">
      <c r="A6614" s="13">
        <v>45901.0</v>
      </c>
      <c r="B6614" s="14" t="s">
        <v>47</v>
      </c>
      <c r="C6614" s="14" t="s">
        <v>48</v>
      </c>
      <c r="D6614" s="14" t="s">
        <v>112</v>
      </c>
      <c r="E6614" s="14" t="s">
        <v>113</v>
      </c>
      <c r="F6614" s="15" t="s">
        <v>51</v>
      </c>
      <c r="G6614" s="14" t="s">
        <v>114</v>
      </c>
      <c r="H6614" s="14" t="s">
        <v>112</v>
      </c>
      <c r="I6614" s="14" t="s">
        <v>59</v>
      </c>
      <c r="J6614" s="14" t="s">
        <v>199</v>
      </c>
      <c r="K6614" s="14" t="s">
        <v>203</v>
      </c>
      <c r="L6614" s="14" t="s">
        <v>431</v>
      </c>
      <c r="M6614" s="14" t="s">
        <v>431</v>
      </c>
      <c r="N6614" s="14" t="s">
        <v>432</v>
      </c>
      <c r="O6614" s="14">
        <v>0.0</v>
      </c>
      <c r="P6614" s="21">
        <v>0.0</v>
      </c>
      <c r="Q6614" s="22" t="str">
        <f t="shared" ref="Q6614:R6614" si="3955">"+0"</f>
        <v>+0</v>
      </c>
      <c r="R6614" s="18" t="str">
        <f t="shared" si="3955"/>
        <v>+0</v>
      </c>
      <c r="S6614" s="14" t="s">
        <v>260</v>
      </c>
    </row>
    <row r="6615">
      <c r="A6615" s="13">
        <v>45901.0</v>
      </c>
      <c r="B6615" s="14" t="s">
        <v>47</v>
      </c>
      <c r="C6615" s="14" t="s">
        <v>48</v>
      </c>
      <c r="D6615" s="14" t="s">
        <v>155</v>
      </c>
      <c r="E6615" s="14" t="s">
        <v>156</v>
      </c>
      <c r="F6615" s="15" t="s">
        <v>51</v>
      </c>
      <c r="G6615" s="14" t="s">
        <v>157</v>
      </c>
      <c r="H6615" s="14" t="s">
        <v>155</v>
      </c>
      <c r="I6615" s="14" t="s">
        <v>59</v>
      </c>
      <c r="J6615" s="14" t="s">
        <v>199</v>
      </c>
      <c r="K6615" s="14" t="s">
        <v>206</v>
      </c>
      <c r="L6615" s="14" t="s">
        <v>569</v>
      </c>
      <c r="M6615" s="14" t="s">
        <v>569</v>
      </c>
      <c r="N6615" s="14" t="s">
        <v>570</v>
      </c>
      <c r="O6615" s="14">
        <v>0.0</v>
      </c>
      <c r="P6615" s="21">
        <v>0.0</v>
      </c>
      <c r="Q6615" s="22" t="str">
        <f t="shared" ref="Q6615:R6615" si="3956">"+0"</f>
        <v>+0</v>
      </c>
      <c r="R6615" s="18" t="str">
        <f t="shared" si="3956"/>
        <v>+0</v>
      </c>
      <c r="S6615" s="14" t="s">
        <v>383</v>
      </c>
    </row>
    <row r="6616">
      <c r="A6616" s="13">
        <v>45901.0</v>
      </c>
      <c r="B6616" s="14" t="s">
        <v>47</v>
      </c>
      <c r="C6616" s="14" t="s">
        <v>48</v>
      </c>
      <c r="D6616" s="14" t="s">
        <v>60</v>
      </c>
      <c r="E6616" s="14" t="s">
        <v>61</v>
      </c>
      <c r="F6616" s="15" t="s">
        <v>51</v>
      </c>
      <c r="G6616" s="14" t="s">
        <v>62</v>
      </c>
      <c r="H6616" s="14" t="s">
        <v>60</v>
      </c>
      <c r="I6616" s="14" t="s">
        <v>59</v>
      </c>
      <c r="J6616" s="14" t="s">
        <v>200</v>
      </c>
      <c r="K6616" s="14" t="s">
        <v>223</v>
      </c>
      <c r="L6616" s="14" t="s">
        <v>257</v>
      </c>
      <c r="M6616" s="14" t="s">
        <v>517</v>
      </c>
      <c r="N6616" s="14" t="s">
        <v>518</v>
      </c>
      <c r="O6616" s="14">
        <v>0.0</v>
      </c>
      <c r="P6616" s="21">
        <v>0.0</v>
      </c>
      <c r="Q6616" s="22" t="str">
        <f t="shared" ref="Q6616:R6616" si="3957">"+0"</f>
        <v>+0</v>
      </c>
      <c r="R6616" s="18" t="str">
        <f t="shared" si="3957"/>
        <v>+0</v>
      </c>
      <c r="S6616" s="14" t="s">
        <v>260</v>
      </c>
    </row>
    <row r="6617">
      <c r="A6617" s="13">
        <v>45901.0</v>
      </c>
      <c r="B6617" s="14" t="s">
        <v>47</v>
      </c>
      <c r="C6617" s="14" t="s">
        <v>48</v>
      </c>
      <c r="D6617" s="14" t="s">
        <v>140</v>
      </c>
      <c r="E6617" s="14" t="s">
        <v>141</v>
      </c>
      <c r="F6617" s="15" t="s">
        <v>51</v>
      </c>
      <c r="G6617" s="14" t="s">
        <v>142</v>
      </c>
      <c r="H6617" s="14" t="s">
        <v>140</v>
      </c>
      <c r="I6617" s="14" t="s">
        <v>59</v>
      </c>
      <c r="J6617" s="14" t="s">
        <v>199</v>
      </c>
      <c r="K6617" s="14" t="s">
        <v>206</v>
      </c>
      <c r="L6617" s="14" t="s">
        <v>515</v>
      </c>
      <c r="M6617" s="14" t="s">
        <v>515</v>
      </c>
      <c r="N6617" s="14" t="s">
        <v>516</v>
      </c>
      <c r="O6617" s="14">
        <v>0.0</v>
      </c>
      <c r="P6617" s="21">
        <v>0.0</v>
      </c>
      <c r="Q6617" s="22" t="str">
        <f t="shared" ref="Q6617:R6617" si="3958">"+0"</f>
        <v>+0</v>
      </c>
      <c r="R6617" s="18" t="str">
        <f t="shared" si="3958"/>
        <v>+0</v>
      </c>
      <c r="S6617" s="14" t="s">
        <v>383</v>
      </c>
    </row>
    <row r="6618">
      <c r="A6618" s="13">
        <v>45901.0</v>
      </c>
      <c r="B6618" s="14" t="s">
        <v>47</v>
      </c>
      <c r="C6618" s="14" t="s">
        <v>48</v>
      </c>
      <c r="D6618" s="14" t="s">
        <v>168</v>
      </c>
      <c r="E6618" s="14" t="s">
        <v>169</v>
      </c>
      <c r="F6618" s="15" t="s">
        <v>51</v>
      </c>
      <c r="G6618" s="14" t="s">
        <v>170</v>
      </c>
      <c r="H6618" s="14" t="s">
        <v>168</v>
      </c>
      <c r="I6618" s="14" t="s">
        <v>59</v>
      </c>
      <c r="J6618" s="14" t="s">
        <v>200</v>
      </c>
      <c r="K6618" s="14" t="s">
        <v>222</v>
      </c>
      <c r="L6618" s="14" t="s">
        <v>337</v>
      </c>
      <c r="M6618" s="14" t="s">
        <v>734</v>
      </c>
      <c r="N6618" s="14" t="s">
        <v>735</v>
      </c>
      <c r="O6618" s="14">
        <v>0.0</v>
      </c>
      <c r="P6618" s="21">
        <v>0.0</v>
      </c>
      <c r="Q6618" s="22" t="str">
        <f>"+0"</f>
        <v>+0</v>
      </c>
      <c r="S6618" s="14" t="s">
        <v>260</v>
      </c>
    </row>
    <row r="6619">
      <c r="A6619" s="13">
        <v>45901.0</v>
      </c>
      <c r="B6619" s="14" t="s">
        <v>47</v>
      </c>
      <c r="C6619" s="14" t="s">
        <v>48</v>
      </c>
      <c r="D6619" s="14" t="s">
        <v>49</v>
      </c>
      <c r="E6619" s="14" t="s">
        <v>50</v>
      </c>
      <c r="F6619" s="15" t="s">
        <v>51</v>
      </c>
      <c r="G6619" s="14" t="s">
        <v>52</v>
      </c>
      <c r="H6619" s="14" t="s">
        <v>53</v>
      </c>
      <c r="I6619" s="14" t="s">
        <v>54</v>
      </c>
      <c r="J6619" s="14" t="s">
        <v>200</v>
      </c>
      <c r="K6619" s="14" t="s">
        <v>213</v>
      </c>
      <c r="L6619" s="14" t="s">
        <v>257</v>
      </c>
      <c r="M6619" s="14" t="s">
        <v>298</v>
      </c>
      <c r="N6619" s="14" t="s">
        <v>299</v>
      </c>
      <c r="O6619" s="14">
        <v>0.0</v>
      </c>
      <c r="P6619" s="23">
        <v>0.0</v>
      </c>
      <c r="Q6619" s="22" t="str">
        <f t="shared" ref="Q6619:R6619" si="3959">"+0.00%"</f>
        <v>+0.00%</v>
      </c>
      <c r="R6619" s="18" t="str">
        <f t="shared" si="3959"/>
        <v>+0.00%</v>
      </c>
      <c r="S6619" s="14" t="s">
        <v>643</v>
      </c>
    </row>
    <row r="6620">
      <c r="A6620" s="13">
        <v>45901.0</v>
      </c>
      <c r="B6620" s="14" t="s">
        <v>47</v>
      </c>
      <c r="C6620" s="14" t="s">
        <v>48</v>
      </c>
      <c r="D6620" s="14" t="s">
        <v>49</v>
      </c>
      <c r="E6620" s="14" t="s">
        <v>50</v>
      </c>
      <c r="F6620" s="15" t="s">
        <v>51</v>
      </c>
      <c r="G6620" s="14" t="s">
        <v>52</v>
      </c>
      <c r="H6620" s="14" t="s">
        <v>53</v>
      </c>
      <c r="I6620" s="14" t="s">
        <v>54</v>
      </c>
      <c r="J6620" s="14" t="s">
        <v>199</v>
      </c>
      <c r="K6620" s="14" t="s">
        <v>203</v>
      </c>
      <c r="L6620" s="14" t="s">
        <v>340</v>
      </c>
      <c r="M6620" s="14" t="s">
        <v>340</v>
      </c>
      <c r="N6620" s="14" t="s">
        <v>341</v>
      </c>
      <c r="O6620" s="14">
        <v>0.0</v>
      </c>
      <c r="P6620" s="21">
        <v>0.0</v>
      </c>
      <c r="Q6620" s="22" t="str">
        <f t="shared" ref="Q6620:R6620" si="3960">"+0"</f>
        <v>+0</v>
      </c>
      <c r="R6620" s="18" t="str">
        <f t="shared" si="3960"/>
        <v>+0</v>
      </c>
      <c r="S6620" s="14" t="s">
        <v>260</v>
      </c>
    </row>
    <row r="6621">
      <c r="A6621" s="13">
        <v>45901.0</v>
      </c>
      <c r="B6621" s="14" t="s">
        <v>47</v>
      </c>
      <c r="C6621" s="14" t="s">
        <v>48</v>
      </c>
      <c r="D6621" s="14" t="s">
        <v>91</v>
      </c>
      <c r="E6621" s="14" t="s">
        <v>92</v>
      </c>
      <c r="F6621" s="14" t="s">
        <v>79</v>
      </c>
      <c r="G6621" s="14" t="s">
        <v>164</v>
      </c>
      <c r="H6621" s="14" t="s">
        <v>91</v>
      </c>
      <c r="I6621" s="14" t="s">
        <v>154</v>
      </c>
      <c r="J6621" s="14" t="s">
        <v>199</v>
      </c>
      <c r="K6621" s="14" t="s">
        <v>206</v>
      </c>
      <c r="L6621" s="14" t="s">
        <v>295</v>
      </c>
      <c r="M6621" s="14" t="s">
        <v>986</v>
      </c>
      <c r="N6621" s="14" t="s">
        <v>987</v>
      </c>
      <c r="O6621" s="14">
        <v>0.0</v>
      </c>
      <c r="P6621" s="21">
        <v>0.0</v>
      </c>
      <c r="Q6621" s="22" t="str">
        <f t="shared" ref="Q6621:R6621" si="3961">"-6"</f>
        <v>-6</v>
      </c>
      <c r="R6621" s="18" t="str">
        <f t="shared" si="3961"/>
        <v>-6</v>
      </c>
      <c r="S6621" s="14" t="s">
        <v>260</v>
      </c>
    </row>
    <row r="6622">
      <c r="A6622" s="13">
        <v>45901.0</v>
      </c>
      <c r="B6622" s="14" t="s">
        <v>47</v>
      </c>
      <c r="C6622" s="14" t="s">
        <v>48</v>
      </c>
      <c r="D6622" s="14" t="s">
        <v>91</v>
      </c>
      <c r="E6622" s="14" t="s">
        <v>92</v>
      </c>
      <c r="F6622" s="15" t="s">
        <v>51</v>
      </c>
      <c r="G6622" s="14" t="s">
        <v>163</v>
      </c>
      <c r="H6622" s="14" t="s">
        <v>91</v>
      </c>
      <c r="I6622" s="14" t="s">
        <v>59</v>
      </c>
      <c r="J6622" s="14" t="s">
        <v>198</v>
      </c>
      <c r="K6622" s="14" t="s">
        <v>205</v>
      </c>
      <c r="L6622" s="14" t="s">
        <v>274</v>
      </c>
      <c r="M6622" s="14" t="s">
        <v>354</v>
      </c>
      <c r="N6622" s="14" t="s">
        <v>355</v>
      </c>
      <c r="O6622" s="14">
        <v>50.0</v>
      </c>
      <c r="P6622" s="21">
        <v>5.0</v>
      </c>
      <c r="Q6622" s="22" t="str">
        <f>"+0"</f>
        <v>+0</v>
      </c>
      <c r="S6622" s="14" t="s">
        <v>356</v>
      </c>
    </row>
    <row r="6623">
      <c r="A6623" s="13">
        <v>45901.0</v>
      </c>
      <c r="B6623" s="14" t="s">
        <v>47</v>
      </c>
      <c r="C6623" s="14" t="s">
        <v>48</v>
      </c>
      <c r="D6623" s="14" t="s">
        <v>63</v>
      </c>
      <c r="E6623" s="14" t="s">
        <v>64</v>
      </c>
      <c r="F6623" s="15" t="s">
        <v>51</v>
      </c>
      <c r="G6623" s="14" t="s">
        <v>65</v>
      </c>
      <c r="H6623" s="14" t="s">
        <v>63</v>
      </c>
      <c r="I6623" s="14" t="s">
        <v>54</v>
      </c>
      <c r="J6623" s="14" t="s">
        <v>200</v>
      </c>
      <c r="K6623" s="14" t="s">
        <v>224</v>
      </c>
      <c r="L6623" s="14" t="s">
        <v>453</v>
      </c>
      <c r="M6623" s="14" t="s">
        <v>665</v>
      </c>
      <c r="N6623" s="14" t="s">
        <v>666</v>
      </c>
      <c r="O6623" s="14">
        <v>100.0</v>
      </c>
      <c r="P6623" s="23">
        <v>1.0</v>
      </c>
      <c r="Q6623" s="22" t="str">
        <f t="shared" ref="Q6623:Q6624" si="3962">"+0.00%"</f>
        <v>+0.00%</v>
      </c>
      <c r="R6623" s="18" t="str">
        <f>"+4.55%"</f>
        <v>+4.55%</v>
      </c>
      <c r="S6623" s="14" t="s">
        <v>667</v>
      </c>
    </row>
    <row r="6624">
      <c r="A6624" s="13">
        <v>45901.0</v>
      </c>
      <c r="B6624" s="14" t="s">
        <v>47</v>
      </c>
      <c r="C6624" s="14" t="s">
        <v>48</v>
      </c>
      <c r="D6624" s="14" t="s">
        <v>192</v>
      </c>
      <c r="E6624" s="14" t="s">
        <v>193</v>
      </c>
      <c r="F6624" s="15" t="s">
        <v>51</v>
      </c>
      <c r="G6624" s="14" t="s">
        <v>194</v>
      </c>
      <c r="H6624" s="14" t="s">
        <v>192</v>
      </c>
      <c r="I6624" s="14" t="s">
        <v>54</v>
      </c>
      <c r="J6624" s="14" t="s">
        <v>200</v>
      </c>
      <c r="K6624" s="14" t="s">
        <v>204</v>
      </c>
      <c r="L6624" s="14" t="s">
        <v>253</v>
      </c>
      <c r="M6624" s="14" t="s">
        <v>490</v>
      </c>
      <c r="N6624" s="14" t="s">
        <v>491</v>
      </c>
      <c r="O6624" s="14">
        <v>0.0</v>
      </c>
      <c r="P6624" s="23">
        <v>0.0</v>
      </c>
      <c r="Q6624" s="22" t="str">
        <f t="shared" si="3962"/>
        <v>+0.00%</v>
      </c>
      <c r="R6624" s="18" t="str">
        <f>"+0.00%"</f>
        <v>+0.00%</v>
      </c>
      <c r="S6624" s="14" t="s">
        <v>492</v>
      </c>
    </row>
    <row r="6625">
      <c r="A6625" s="13">
        <v>45901.0</v>
      </c>
      <c r="B6625" s="14" t="s">
        <v>47</v>
      </c>
      <c r="C6625" s="14" t="s">
        <v>48</v>
      </c>
      <c r="D6625" s="14" t="s">
        <v>174</v>
      </c>
      <c r="E6625" s="14" t="s">
        <v>175</v>
      </c>
      <c r="F6625" s="15" t="s">
        <v>51</v>
      </c>
      <c r="G6625" s="14" t="s">
        <v>176</v>
      </c>
      <c r="H6625" s="14" t="s">
        <v>174</v>
      </c>
      <c r="I6625" s="14" t="s">
        <v>59</v>
      </c>
      <c r="J6625" s="14" t="s">
        <v>198</v>
      </c>
      <c r="K6625" s="14" t="s">
        <v>210</v>
      </c>
      <c r="L6625" s="14" t="s">
        <v>278</v>
      </c>
      <c r="M6625" s="14" t="s">
        <v>443</v>
      </c>
      <c r="N6625" s="14" t="s">
        <v>444</v>
      </c>
      <c r="O6625" s="14">
        <v>32.0</v>
      </c>
      <c r="P6625" s="21">
        <v>160.0</v>
      </c>
      <c r="Q6625" s="22" t="str">
        <f>"+1"</f>
        <v>+1</v>
      </c>
      <c r="R6625" s="18" t="str">
        <f>"-4"</f>
        <v>-4</v>
      </c>
      <c r="S6625" s="14" t="s">
        <v>2495</v>
      </c>
    </row>
    <row r="6626">
      <c r="A6626" s="13">
        <v>45901.0</v>
      </c>
      <c r="B6626" s="14" t="s">
        <v>47</v>
      </c>
      <c r="C6626" s="14" t="s">
        <v>48</v>
      </c>
      <c r="D6626" s="14" t="s">
        <v>91</v>
      </c>
      <c r="E6626" s="14" t="s">
        <v>92</v>
      </c>
      <c r="F6626" s="15" t="s">
        <v>51</v>
      </c>
      <c r="G6626" s="14" t="s">
        <v>163</v>
      </c>
      <c r="H6626" s="14" t="s">
        <v>91</v>
      </c>
      <c r="I6626" s="14" t="s">
        <v>59</v>
      </c>
      <c r="J6626" s="14" t="s">
        <v>200</v>
      </c>
      <c r="K6626" s="14" t="s">
        <v>223</v>
      </c>
      <c r="L6626" s="14" t="s">
        <v>607</v>
      </c>
      <c r="M6626" s="14" t="s">
        <v>692</v>
      </c>
      <c r="N6626" s="14" t="s">
        <v>693</v>
      </c>
      <c r="O6626" s="14">
        <v>0.0</v>
      </c>
      <c r="P6626" s="23">
        <v>0.0</v>
      </c>
      <c r="Q6626" s="22" t="str">
        <f t="shared" ref="Q6626:R6626" si="3963">"+0.00%"</f>
        <v>+0.00%</v>
      </c>
      <c r="R6626" s="18" t="str">
        <f t="shared" si="3963"/>
        <v>+0.00%</v>
      </c>
      <c r="S6626" s="14" t="s">
        <v>285</v>
      </c>
    </row>
    <row r="6627">
      <c r="A6627" s="13">
        <v>45901.0</v>
      </c>
      <c r="B6627" s="14" t="s">
        <v>47</v>
      </c>
      <c r="C6627" s="14" t="s">
        <v>48</v>
      </c>
      <c r="D6627" s="14" t="s">
        <v>121</v>
      </c>
      <c r="E6627" s="14" t="s">
        <v>122</v>
      </c>
      <c r="F6627" s="15" t="s">
        <v>51</v>
      </c>
      <c r="G6627" s="14" t="s">
        <v>123</v>
      </c>
      <c r="H6627" s="14" t="s">
        <v>124</v>
      </c>
      <c r="I6627" s="14" t="s">
        <v>59</v>
      </c>
      <c r="J6627" s="14" t="s">
        <v>200</v>
      </c>
      <c r="K6627" s="14" t="s">
        <v>232</v>
      </c>
      <c r="L6627" s="14" t="s">
        <v>487</v>
      </c>
      <c r="M6627" s="14" t="s">
        <v>1415</v>
      </c>
      <c r="N6627" s="14" t="s">
        <v>1416</v>
      </c>
      <c r="O6627" s="14">
        <v>100.0</v>
      </c>
      <c r="P6627" s="21">
        <v>1170.0</v>
      </c>
      <c r="Q6627" s="22" t="str">
        <f>"+3"</f>
        <v>+3</v>
      </c>
      <c r="R6627" s="18" t="str">
        <f>"+22"</f>
        <v>+22</v>
      </c>
      <c r="S6627" s="14" t="s">
        <v>260</v>
      </c>
    </row>
    <row r="6628">
      <c r="A6628" s="13">
        <v>45901.0</v>
      </c>
      <c r="B6628" s="14" t="s">
        <v>47</v>
      </c>
      <c r="C6628" s="14" t="s">
        <v>48</v>
      </c>
      <c r="D6628" s="14" t="s">
        <v>168</v>
      </c>
      <c r="E6628" s="14" t="s">
        <v>169</v>
      </c>
      <c r="F6628" s="15" t="s">
        <v>51</v>
      </c>
      <c r="G6628" s="14" t="s">
        <v>170</v>
      </c>
      <c r="H6628" s="14" t="s">
        <v>168</v>
      </c>
      <c r="I6628" s="14" t="s">
        <v>59</v>
      </c>
      <c r="J6628" s="14" t="s">
        <v>200</v>
      </c>
      <c r="K6628" s="14" t="s">
        <v>213</v>
      </c>
      <c r="L6628" s="14" t="s">
        <v>257</v>
      </c>
      <c r="M6628" s="14" t="s">
        <v>258</v>
      </c>
      <c r="N6628" s="14" t="s">
        <v>259</v>
      </c>
      <c r="O6628" s="14">
        <v>100.0</v>
      </c>
      <c r="P6628" s="21">
        <v>44.0</v>
      </c>
      <c r="Q6628" s="22" t="str">
        <f t="shared" ref="Q6628:R6628" si="3964">"+0"</f>
        <v>+0</v>
      </c>
      <c r="R6628" s="18" t="str">
        <f t="shared" si="3964"/>
        <v>+0</v>
      </c>
      <c r="S6628" s="14" t="s">
        <v>260</v>
      </c>
    </row>
    <row r="6629">
      <c r="A6629" s="13">
        <v>45901.0</v>
      </c>
      <c r="B6629" s="14" t="s">
        <v>47</v>
      </c>
      <c r="C6629" s="14" t="s">
        <v>48</v>
      </c>
      <c r="D6629" s="14" t="s">
        <v>82</v>
      </c>
      <c r="E6629" s="14" t="s">
        <v>83</v>
      </c>
      <c r="F6629" s="15" t="s">
        <v>51</v>
      </c>
      <c r="G6629" s="14" t="s">
        <v>84</v>
      </c>
      <c r="H6629" s="14" t="s">
        <v>82</v>
      </c>
      <c r="I6629" s="14" t="s">
        <v>59</v>
      </c>
      <c r="J6629" s="14" t="s">
        <v>200</v>
      </c>
      <c r="K6629" s="14" t="s">
        <v>214</v>
      </c>
      <c r="L6629" s="14" t="s">
        <v>253</v>
      </c>
      <c r="M6629" s="14" t="s">
        <v>389</v>
      </c>
      <c r="N6629" s="14" t="s">
        <v>390</v>
      </c>
      <c r="O6629" s="14">
        <v>53.0</v>
      </c>
      <c r="P6629" s="23">
        <v>0.5303</v>
      </c>
      <c r="Q6629" s="22" t="str">
        <f>"-4.84%"</f>
        <v>-4.84%</v>
      </c>
      <c r="R6629" s="18" t="str">
        <f>"+17.03%"</f>
        <v>+17.03%</v>
      </c>
      <c r="S6629" s="14" t="s">
        <v>2724</v>
      </c>
    </row>
    <row r="6630">
      <c r="A6630" s="13">
        <v>45901.0</v>
      </c>
      <c r="B6630" s="14" t="s">
        <v>47</v>
      </c>
      <c r="C6630" s="14" t="s">
        <v>48</v>
      </c>
      <c r="D6630" s="14" t="s">
        <v>93</v>
      </c>
      <c r="E6630" s="14" t="s">
        <v>94</v>
      </c>
      <c r="F6630" s="15" t="s">
        <v>51</v>
      </c>
      <c r="G6630" s="14" t="s">
        <v>191</v>
      </c>
      <c r="H6630" s="14" t="s">
        <v>95</v>
      </c>
      <c r="I6630" s="14" t="s">
        <v>59</v>
      </c>
      <c r="J6630" s="14" t="s">
        <v>200</v>
      </c>
      <c r="K6630" s="14" t="s">
        <v>202</v>
      </c>
      <c r="L6630" s="14" t="s">
        <v>253</v>
      </c>
      <c r="M6630" s="14" t="s">
        <v>347</v>
      </c>
      <c r="N6630" s="14" t="s">
        <v>348</v>
      </c>
      <c r="O6630" s="14">
        <v>0.0</v>
      </c>
      <c r="P6630" s="23">
        <v>0.0</v>
      </c>
      <c r="Q6630" s="22" t="str">
        <f t="shared" ref="Q6630:R6630" si="3965">"+0.00%"</f>
        <v>+0.00%</v>
      </c>
      <c r="R6630" s="18" t="str">
        <f t="shared" si="3965"/>
        <v>+0.00%</v>
      </c>
      <c r="S6630" s="14" t="s">
        <v>2725</v>
      </c>
    </row>
    <row r="6631">
      <c r="A6631" s="13">
        <v>45901.0</v>
      </c>
      <c r="B6631" s="14" t="s">
        <v>47</v>
      </c>
      <c r="C6631" s="14" t="s">
        <v>48</v>
      </c>
      <c r="D6631" s="14" t="s">
        <v>192</v>
      </c>
      <c r="E6631" s="14" t="s">
        <v>193</v>
      </c>
      <c r="F6631" s="15" t="s">
        <v>51</v>
      </c>
      <c r="G6631" s="14" t="s">
        <v>194</v>
      </c>
      <c r="H6631" s="14" t="s">
        <v>192</v>
      </c>
      <c r="I6631" s="14" t="s">
        <v>54</v>
      </c>
      <c r="J6631" s="14" t="s">
        <v>200</v>
      </c>
      <c r="K6631" s="14" t="s">
        <v>223</v>
      </c>
      <c r="L6631" s="14" t="s">
        <v>607</v>
      </c>
      <c r="M6631" s="14" t="s">
        <v>932</v>
      </c>
      <c r="N6631" s="14" t="s">
        <v>933</v>
      </c>
      <c r="O6631" s="14">
        <v>0.0</v>
      </c>
      <c r="P6631" s="23">
        <v>0.0</v>
      </c>
      <c r="Q6631" s="22" t="str">
        <f t="shared" ref="Q6631:R6631" si="3966">"+0.00%"</f>
        <v>+0.00%</v>
      </c>
      <c r="R6631" s="18" t="str">
        <f t="shared" si="3966"/>
        <v>+0.00%</v>
      </c>
      <c r="S6631" s="14" t="s">
        <v>285</v>
      </c>
    </row>
    <row r="6632">
      <c r="A6632" s="13">
        <v>45901.0</v>
      </c>
      <c r="B6632" s="14" t="s">
        <v>47</v>
      </c>
      <c r="C6632" s="14" t="s">
        <v>48</v>
      </c>
      <c r="D6632" s="14" t="s">
        <v>93</v>
      </c>
      <c r="E6632" s="14" t="s">
        <v>94</v>
      </c>
      <c r="F6632" s="14" t="s">
        <v>71</v>
      </c>
      <c r="G6632" s="14">
        <v>5.36001438E8</v>
      </c>
      <c r="H6632" s="14" t="s">
        <v>95</v>
      </c>
      <c r="I6632" s="14" t="s">
        <v>59</v>
      </c>
      <c r="J6632" s="14" t="s">
        <v>200</v>
      </c>
      <c r="K6632" s="14" t="s">
        <v>218</v>
      </c>
      <c r="L6632" s="14" t="s">
        <v>253</v>
      </c>
      <c r="M6632" s="14" t="s">
        <v>1628</v>
      </c>
      <c r="N6632" s="14" t="s">
        <v>1629</v>
      </c>
      <c r="O6632" s="14">
        <v>100.0</v>
      </c>
      <c r="P6632" s="23">
        <v>1.0</v>
      </c>
      <c r="Q6632" s="22" t="str">
        <f t="shared" ref="Q6632:R6632" si="3967">"+0.00%"</f>
        <v>+0.00%</v>
      </c>
      <c r="R6632" s="18" t="str">
        <f t="shared" si="3967"/>
        <v>+0.00%</v>
      </c>
      <c r="S6632" s="14" t="s">
        <v>2726</v>
      </c>
    </row>
    <row r="6633">
      <c r="A6633" s="13">
        <v>45901.0</v>
      </c>
      <c r="B6633" s="14" t="s">
        <v>47</v>
      </c>
      <c r="C6633" s="14" t="s">
        <v>48</v>
      </c>
      <c r="D6633" s="14" t="s">
        <v>184</v>
      </c>
      <c r="E6633" s="14" t="s">
        <v>185</v>
      </c>
      <c r="F6633" s="15" t="s">
        <v>51</v>
      </c>
      <c r="G6633" s="14" t="s">
        <v>186</v>
      </c>
      <c r="H6633" s="14" t="s">
        <v>187</v>
      </c>
      <c r="I6633" s="14" t="s">
        <v>59</v>
      </c>
      <c r="J6633" s="14" t="s">
        <v>200</v>
      </c>
      <c r="K6633" s="14" t="s">
        <v>224</v>
      </c>
      <c r="L6633" s="14" t="s">
        <v>392</v>
      </c>
      <c r="M6633" s="14" t="s">
        <v>393</v>
      </c>
      <c r="N6633" s="14" t="s">
        <v>394</v>
      </c>
      <c r="O6633" s="14">
        <v>0.0</v>
      </c>
      <c r="P6633" s="17"/>
      <c r="Q6633" s="22"/>
      <c r="S6633" s="14" t="s">
        <v>2727</v>
      </c>
    </row>
    <row r="6634">
      <c r="A6634" s="13">
        <v>45901.0</v>
      </c>
      <c r="B6634" s="14" t="s">
        <v>47</v>
      </c>
      <c r="C6634" s="14" t="s">
        <v>48</v>
      </c>
      <c r="D6634" s="14" t="s">
        <v>192</v>
      </c>
      <c r="E6634" s="14" t="s">
        <v>193</v>
      </c>
      <c r="F6634" s="15" t="s">
        <v>51</v>
      </c>
      <c r="G6634" s="14" t="s">
        <v>194</v>
      </c>
      <c r="H6634" s="14" t="s">
        <v>192</v>
      </c>
      <c r="I6634" s="14" t="s">
        <v>54</v>
      </c>
      <c r="J6634" s="14" t="s">
        <v>200</v>
      </c>
      <c r="K6634" s="14" t="s">
        <v>223</v>
      </c>
      <c r="L6634" s="14" t="s">
        <v>487</v>
      </c>
      <c r="M6634" s="14" t="s">
        <v>1415</v>
      </c>
      <c r="N6634" s="14" t="s">
        <v>1416</v>
      </c>
      <c r="O6634" s="14">
        <v>100.0</v>
      </c>
      <c r="P6634" s="21">
        <v>8.0</v>
      </c>
      <c r="Q6634" s="22" t="str">
        <f t="shared" ref="Q6634:R6634" si="3968">"+0"</f>
        <v>+0</v>
      </c>
      <c r="R6634" s="18" t="str">
        <f t="shared" si="3968"/>
        <v>+0</v>
      </c>
      <c r="S6634" s="14" t="s">
        <v>260</v>
      </c>
    </row>
    <row r="6635">
      <c r="A6635" s="13">
        <v>45901.0</v>
      </c>
      <c r="B6635" s="14" t="s">
        <v>47</v>
      </c>
      <c r="C6635" s="14" t="s">
        <v>48</v>
      </c>
      <c r="D6635" s="14" t="s">
        <v>66</v>
      </c>
      <c r="E6635" s="14" t="s">
        <v>67</v>
      </c>
      <c r="F6635" s="15" t="s">
        <v>51</v>
      </c>
      <c r="G6635" s="14" t="s">
        <v>68</v>
      </c>
      <c r="H6635" s="14" t="s">
        <v>66</v>
      </c>
      <c r="I6635" s="14" t="s">
        <v>59</v>
      </c>
      <c r="J6635" s="14" t="s">
        <v>200</v>
      </c>
      <c r="K6635" s="14" t="s">
        <v>223</v>
      </c>
      <c r="L6635" s="14" t="s">
        <v>261</v>
      </c>
      <c r="M6635" s="14" t="s">
        <v>262</v>
      </c>
      <c r="N6635" s="14" t="s">
        <v>263</v>
      </c>
      <c r="O6635" s="14">
        <v>0.0</v>
      </c>
      <c r="P6635" s="21">
        <v>0.0</v>
      </c>
      <c r="Q6635" s="22" t="str">
        <f t="shared" ref="Q6635:R6635" si="3969">"+0"</f>
        <v>+0</v>
      </c>
      <c r="R6635" s="18" t="str">
        <f t="shared" si="3969"/>
        <v>+0</v>
      </c>
      <c r="S6635" s="14" t="s">
        <v>260</v>
      </c>
    </row>
    <row r="6636">
      <c r="A6636" s="13">
        <v>45901.0</v>
      </c>
      <c r="B6636" s="14" t="s">
        <v>47</v>
      </c>
      <c r="C6636" s="14" t="s">
        <v>48</v>
      </c>
      <c r="D6636" s="14" t="s">
        <v>82</v>
      </c>
      <c r="E6636" s="14" t="s">
        <v>83</v>
      </c>
      <c r="F6636" s="15" t="s">
        <v>51</v>
      </c>
      <c r="G6636" s="14" t="s">
        <v>84</v>
      </c>
      <c r="H6636" s="14" t="s">
        <v>82</v>
      </c>
      <c r="I6636" s="14" t="s">
        <v>59</v>
      </c>
      <c r="J6636" s="14" t="s">
        <v>199</v>
      </c>
      <c r="K6636" s="14" t="s">
        <v>206</v>
      </c>
      <c r="L6636" s="14" t="s">
        <v>295</v>
      </c>
      <c r="M6636" s="14" t="s">
        <v>461</v>
      </c>
      <c r="N6636" s="14" t="s">
        <v>462</v>
      </c>
      <c r="O6636" s="14">
        <v>0.0</v>
      </c>
      <c r="P6636" s="21">
        <v>0.0</v>
      </c>
      <c r="Q6636" s="22" t="str">
        <f t="shared" ref="Q6636:R6636" si="3970">"+0"</f>
        <v>+0</v>
      </c>
      <c r="R6636" s="18" t="str">
        <f t="shared" si="3970"/>
        <v>+0</v>
      </c>
      <c r="S6636" s="14" t="s">
        <v>260</v>
      </c>
    </row>
    <row r="6637">
      <c r="A6637" s="13">
        <v>45901.0</v>
      </c>
      <c r="B6637" s="14" t="s">
        <v>47</v>
      </c>
      <c r="C6637" s="14" t="s">
        <v>48</v>
      </c>
      <c r="D6637" s="14" t="s">
        <v>132</v>
      </c>
      <c r="E6637" s="14" t="s">
        <v>133</v>
      </c>
      <c r="F6637" s="15" t="s">
        <v>51</v>
      </c>
      <c r="G6637" s="14" t="s">
        <v>134</v>
      </c>
      <c r="H6637" s="14" t="s">
        <v>135</v>
      </c>
      <c r="I6637" s="14" t="s">
        <v>59</v>
      </c>
      <c r="J6637" s="14" t="s">
        <v>199</v>
      </c>
      <c r="K6637" s="14" t="s">
        <v>208</v>
      </c>
      <c r="L6637" s="14" t="s">
        <v>352</v>
      </c>
      <c r="M6637" s="14" t="s">
        <v>352</v>
      </c>
      <c r="N6637" s="14" t="s">
        <v>353</v>
      </c>
      <c r="O6637" s="14">
        <v>75.0</v>
      </c>
      <c r="P6637" s="21">
        <v>1.0</v>
      </c>
      <c r="Q6637" s="22" t="str">
        <f t="shared" ref="Q6637:R6637" si="3971">"+0"</f>
        <v>+0</v>
      </c>
      <c r="R6637" s="18" t="str">
        <f t="shared" si="3971"/>
        <v>+0</v>
      </c>
      <c r="S6637" s="14" t="s">
        <v>260</v>
      </c>
    </row>
    <row r="6638">
      <c r="A6638" s="13">
        <v>45901.0</v>
      </c>
      <c r="B6638" s="14" t="s">
        <v>47</v>
      </c>
      <c r="C6638" s="14" t="s">
        <v>48</v>
      </c>
      <c r="D6638" s="14" t="s">
        <v>143</v>
      </c>
      <c r="E6638" s="14" t="s">
        <v>144</v>
      </c>
      <c r="F6638" s="15" t="s">
        <v>51</v>
      </c>
      <c r="G6638" s="14" t="s">
        <v>145</v>
      </c>
      <c r="H6638" s="14" t="s">
        <v>143</v>
      </c>
      <c r="I6638" s="14" t="s">
        <v>59</v>
      </c>
      <c r="J6638" s="14" t="s">
        <v>200</v>
      </c>
      <c r="K6638" s="14" t="s">
        <v>224</v>
      </c>
      <c r="L6638" s="14" t="s">
        <v>392</v>
      </c>
      <c r="M6638" s="14" t="s">
        <v>393</v>
      </c>
      <c r="N6638" s="14" t="s">
        <v>394</v>
      </c>
      <c r="O6638" s="14">
        <v>0.0</v>
      </c>
      <c r="P6638" s="23">
        <v>0.0</v>
      </c>
      <c r="Q6638" s="22" t="str">
        <f t="shared" ref="Q6638:Q6639" si="3972">"+0.00%"</f>
        <v>+0.00%</v>
      </c>
      <c r="S6638" s="14" t="s">
        <v>2728</v>
      </c>
    </row>
    <row r="6639">
      <c r="A6639" s="13">
        <v>45901.0</v>
      </c>
      <c r="B6639" s="14" t="s">
        <v>47</v>
      </c>
      <c r="C6639" s="14" t="s">
        <v>48</v>
      </c>
      <c r="D6639" s="14" t="s">
        <v>87</v>
      </c>
      <c r="E6639" s="14" t="s">
        <v>88</v>
      </c>
      <c r="F6639" s="15" t="s">
        <v>51</v>
      </c>
      <c r="G6639" s="14" t="s">
        <v>89</v>
      </c>
      <c r="H6639" s="14" t="s">
        <v>90</v>
      </c>
      <c r="I6639" s="14" t="s">
        <v>59</v>
      </c>
      <c r="J6639" s="14" t="s">
        <v>200</v>
      </c>
      <c r="K6639" s="14" t="s">
        <v>223</v>
      </c>
      <c r="L6639" s="14" t="s">
        <v>307</v>
      </c>
      <c r="M6639" s="14" t="s">
        <v>1176</v>
      </c>
      <c r="N6639" s="14" t="s">
        <v>1177</v>
      </c>
      <c r="O6639" s="14">
        <v>0.0</v>
      </c>
      <c r="P6639" s="23">
        <v>0.0</v>
      </c>
      <c r="Q6639" s="22" t="str">
        <f t="shared" si="3972"/>
        <v>+0.00%</v>
      </c>
      <c r="R6639" s="18" t="str">
        <f>"+0.00%"</f>
        <v>+0.00%</v>
      </c>
      <c r="S6639" s="14" t="s">
        <v>285</v>
      </c>
    </row>
    <row r="6640">
      <c r="A6640" s="13">
        <v>45901.0</v>
      </c>
      <c r="B6640" s="14" t="s">
        <v>47</v>
      </c>
      <c r="C6640" s="14" t="s">
        <v>48</v>
      </c>
      <c r="D6640" s="14" t="s">
        <v>171</v>
      </c>
      <c r="E6640" s="14" t="s">
        <v>172</v>
      </c>
      <c r="F6640" s="15" t="s">
        <v>51</v>
      </c>
      <c r="G6640" s="14" t="s">
        <v>173</v>
      </c>
      <c r="H6640" s="14" t="s">
        <v>171</v>
      </c>
      <c r="I6640" s="14" t="s">
        <v>59</v>
      </c>
      <c r="J6640" s="14" t="s">
        <v>198</v>
      </c>
      <c r="K6640" s="14" t="s">
        <v>210</v>
      </c>
      <c r="L6640" s="14" t="s">
        <v>505</v>
      </c>
      <c r="M6640" s="14" t="s">
        <v>506</v>
      </c>
      <c r="N6640" s="14" t="s">
        <v>507</v>
      </c>
      <c r="O6640" s="14">
        <v>100.0</v>
      </c>
      <c r="P6640" s="21">
        <v>0.0</v>
      </c>
      <c r="Q6640" s="22" t="str">
        <f t="shared" ref="Q6640:R6640" si="3973">"+0"</f>
        <v>+0</v>
      </c>
      <c r="R6640" s="18" t="str">
        <f t="shared" si="3973"/>
        <v>+0</v>
      </c>
      <c r="S6640" s="14" t="s">
        <v>281</v>
      </c>
    </row>
    <row r="6641">
      <c r="A6641" s="13">
        <v>45901.0</v>
      </c>
      <c r="B6641" s="14" t="s">
        <v>47</v>
      </c>
      <c r="C6641" s="14" t="s">
        <v>48</v>
      </c>
      <c r="D6641" s="14" t="s">
        <v>129</v>
      </c>
      <c r="E6641" s="14" t="s">
        <v>130</v>
      </c>
      <c r="F6641" s="15" t="s">
        <v>51</v>
      </c>
      <c r="G6641" s="14" t="s">
        <v>131</v>
      </c>
      <c r="H6641" s="14" t="s">
        <v>129</v>
      </c>
      <c r="I6641" s="14" t="s">
        <v>59</v>
      </c>
      <c r="J6641" s="14" t="s">
        <v>200</v>
      </c>
      <c r="K6641" s="14" t="s">
        <v>231</v>
      </c>
      <c r="L6641" s="14" t="s">
        <v>512</v>
      </c>
      <c r="M6641" s="14" t="s">
        <v>1897</v>
      </c>
      <c r="N6641" s="14" t="s">
        <v>1898</v>
      </c>
      <c r="O6641" s="14">
        <v>55.0</v>
      </c>
      <c r="P6641" s="23">
        <v>0.1118</v>
      </c>
      <c r="Q6641" s="22" t="str">
        <f>"+9.85%"</f>
        <v>+9.85%</v>
      </c>
      <c r="R6641" s="18" t="str">
        <f>"-20.80%"</f>
        <v>-20.80%</v>
      </c>
      <c r="S6641" s="14" t="s">
        <v>2729</v>
      </c>
    </row>
    <row r="6642">
      <c r="A6642" s="13">
        <v>45901.0</v>
      </c>
      <c r="B6642" s="14" t="s">
        <v>47</v>
      </c>
      <c r="C6642" s="14" t="s">
        <v>48</v>
      </c>
      <c r="D6642" s="14" t="s">
        <v>136</v>
      </c>
      <c r="E6642" s="14" t="s">
        <v>137</v>
      </c>
      <c r="F6642" s="15" t="s">
        <v>51</v>
      </c>
      <c r="G6642" s="14" t="s">
        <v>138</v>
      </c>
      <c r="H6642" s="14" t="s">
        <v>139</v>
      </c>
      <c r="I6642" s="14" t="s">
        <v>59</v>
      </c>
      <c r="J6642" s="14" t="s">
        <v>198</v>
      </c>
      <c r="K6642" s="14" t="s">
        <v>210</v>
      </c>
      <c r="L6642" s="14" t="s">
        <v>505</v>
      </c>
      <c r="M6642" s="14" t="s">
        <v>506</v>
      </c>
      <c r="N6642" s="14" t="s">
        <v>507</v>
      </c>
      <c r="O6642" s="14">
        <v>100.0</v>
      </c>
      <c r="P6642" s="21">
        <v>0.0</v>
      </c>
      <c r="Q6642" s="22" t="str">
        <f t="shared" ref="Q6642:R6642" si="3974">"+0"</f>
        <v>+0</v>
      </c>
      <c r="R6642" s="18" t="str">
        <f t="shared" si="3974"/>
        <v>+0</v>
      </c>
      <c r="S6642" s="14" t="s">
        <v>281</v>
      </c>
    </row>
    <row r="6643">
      <c r="A6643" s="13">
        <v>45901.0</v>
      </c>
      <c r="B6643" s="14" t="s">
        <v>47</v>
      </c>
      <c r="C6643" s="14" t="s">
        <v>48</v>
      </c>
      <c r="D6643" s="14" t="s">
        <v>69</v>
      </c>
      <c r="E6643" s="14" t="s">
        <v>70</v>
      </c>
      <c r="F6643" s="14" t="s">
        <v>71</v>
      </c>
      <c r="G6643" s="14">
        <v>1.00002092E8</v>
      </c>
      <c r="H6643" s="14" t="s">
        <v>72</v>
      </c>
      <c r="I6643" s="14" t="s">
        <v>54</v>
      </c>
      <c r="J6643" s="14" t="s">
        <v>199</v>
      </c>
      <c r="K6643" s="14" t="s">
        <v>206</v>
      </c>
      <c r="L6643" s="14" t="s">
        <v>295</v>
      </c>
      <c r="M6643" s="14" t="s">
        <v>651</v>
      </c>
      <c r="N6643" s="14" t="s">
        <v>652</v>
      </c>
      <c r="O6643" s="14">
        <v>0.0</v>
      </c>
      <c r="P6643" s="21">
        <v>0.0</v>
      </c>
      <c r="Q6643" s="22" t="str">
        <f t="shared" ref="Q6643:R6643" si="3975">"+0"</f>
        <v>+0</v>
      </c>
      <c r="R6643" s="18" t="str">
        <f t="shared" si="3975"/>
        <v>+0</v>
      </c>
      <c r="S6643" s="14" t="s">
        <v>260</v>
      </c>
    </row>
    <row r="6644">
      <c r="A6644" s="13">
        <v>45901.0</v>
      </c>
      <c r="B6644" s="14" t="s">
        <v>47</v>
      </c>
      <c r="C6644" s="14" t="s">
        <v>48</v>
      </c>
      <c r="D6644" s="14" t="s">
        <v>96</v>
      </c>
      <c r="E6644" s="14" t="s">
        <v>97</v>
      </c>
      <c r="F6644" s="15" t="s">
        <v>51</v>
      </c>
      <c r="G6644" s="14" t="s">
        <v>98</v>
      </c>
      <c r="H6644" s="14" t="s">
        <v>96</v>
      </c>
      <c r="I6644" s="14" t="s">
        <v>59</v>
      </c>
      <c r="J6644" s="14" t="s">
        <v>200</v>
      </c>
      <c r="K6644" s="14" t="s">
        <v>223</v>
      </c>
      <c r="L6644" s="14" t="s">
        <v>676</v>
      </c>
      <c r="M6644" s="14" t="s">
        <v>858</v>
      </c>
      <c r="N6644" s="14" t="s">
        <v>859</v>
      </c>
      <c r="O6644" s="14">
        <v>0.0</v>
      </c>
      <c r="P6644" s="23">
        <v>-1.0</v>
      </c>
      <c r="Q6644" s="22" t="str">
        <f t="shared" ref="Q6644:R6644" si="3976">"+0.00%"</f>
        <v>+0.00%</v>
      </c>
      <c r="R6644" s="18" t="str">
        <f t="shared" si="3976"/>
        <v>+0.00%</v>
      </c>
      <c r="S6644" s="14" t="s">
        <v>1443</v>
      </c>
    </row>
    <row r="6645">
      <c r="A6645" s="13">
        <v>45901.0</v>
      </c>
      <c r="B6645" s="14" t="s">
        <v>47</v>
      </c>
      <c r="C6645" s="14" t="s">
        <v>48</v>
      </c>
      <c r="D6645" s="14" t="s">
        <v>116</v>
      </c>
      <c r="E6645" s="14" t="s">
        <v>117</v>
      </c>
      <c r="F6645" s="15" t="s">
        <v>51</v>
      </c>
      <c r="G6645" s="14" t="s">
        <v>161</v>
      </c>
      <c r="H6645" s="14" t="s">
        <v>116</v>
      </c>
      <c r="I6645" s="14" t="s">
        <v>54</v>
      </c>
      <c r="J6645" s="14" t="s">
        <v>198</v>
      </c>
      <c r="K6645" s="14" t="s">
        <v>210</v>
      </c>
      <c r="L6645" s="14" t="s">
        <v>278</v>
      </c>
      <c r="M6645" s="14" t="s">
        <v>947</v>
      </c>
      <c r="N6645" s="14" t="s">
        <v>948</v>
      </c>
      <c r="O6645" s="14">
        <v>0.0</v>
      </c>
      <c r="P6645" s="21">
        <v>0.0</v>
      </c>
      <c r="Q6645" s="22" t="str">
        <f t="shared" ref="Q6645:R6645" si="3977">"+0"</f>
        <v>+0</v>
      </c>
      <c r="R6645" s="18" t="str">
        <f t="shared" si="3977"/>
        <v>+0</v>
      </c>
      <c r="S6645" s="14" t="s">
        <v>277</v>
      </c>
    </row>
    <row r="6646">
      <c r="A6646" s="13">
        <v>45901.0</v>
      </c>
      <c r="B6646" s="14" t="s">
        <v>47</v>
      </c>
      <c r="C6646" s="14" t="s">
        <v>48</v>
      </c>
      <c r="D6646" s="14" t="s">
        <v>158</v>
      </c>
      <c r="E6646" s="14" t="s">
        <v>159</v>
      </c>
      <c r="F6646" s="15" t="s">
        <v>51</v>
      </c>
      <c r="G6646" s="14" t="s">
        <v>160</v>
      </c>
      <c r="H6646" s="14" t="s">
        <v>158</v>
      </c>
      <c r="I6646" s="14" t="s">
        <v>54</v>
      </c>
      <c r="J6646" s="14" t="s">
        <v>199</v>
      </c>
      <c r="K6646" s="14" t="s">
        <v>206</v>
      </c>
      <c r="L6646" s="14" t="s">
        <v>295</v>
      </c>
      <c r="M6646" s="14" t="s">
        <v>986</v>
      </c>
      <c r="N6646" s="14" t="s">
        <v>987</v>
      </c>
      <c r="O6646" s="14">
        <v>0.0</v>
      </c>
      <c r="P6646" s="21">
        <v>0.0</v>
      </c>
      <c r="Q6646" s="22" t="str">
        <f t="shared" ref="Q6646:R6646" si="3978">"+0"</f>
        <v>+0</v>
      </c>
      <c r="R6646" s="18" t="str">
        <f t="shared" si="3978"/>
        <v>+0</v>
      </c>
      <c r="S6646" s="14" t="s">
        <v>260</v>
      </c>
    </row>
    <row r="6647">
      <c r="A6647" s="13">
        <v>45901.0</v>
      </c>
      <c r="B6647" s="14" t="s">
        <v>47</v>
      </c>
      <c r="C6647" s="14" t="s">
        <v>48</v>
      </c>
      <c r="D6647" s="14" t="s">
        <v>116</v>
      </c>
      <c r="E6647" s="14" t="s">
        <v>117</v>
      </c>
      <c r="F6647" s="15" t="s">
        <v>51</v>
      </c>
      <c r="G6647" s="14" t="s">
        <v>161</v>
      </c>
      <c r="H6647" s="14" t="s">
        <v>116</v>
      </c>
      <c r="I6647" s="14" t="s">
        <v>54</v>
      </c>
      <c r="J6647" s="14" t="s">
        <v>198</v>
      </c>
      <c r="K6647" s="14" t="s">
        <v>205</v>
      </c>
      <c r="L6647" s="14" t="s">
        <v>274</v>
      </c>
      <c r="M6647" s="14" t="s">
        <v>738</v>
      </c>
      <c r="N6647" s="14" t="s">
        <v>739</v>
      </c>
      <c r="O6647" s="14">
        <v>0.0</v>
      </c>
      <c r="P6647" s="21">
        <v>0.0</v>
      </c>
      <c r="Q6647" s="22" t="str">
        <f t="shared" ref="Q6647:Q6649" si="3979">"+0"</f>
        <v>+0</v>
      </c>
      <c r="S6647" s="14" t="s">
        <v>281</v>
      </c>
    </row>
    <row r="6648">
      <c r="A6648" s="13">
        <v>45901.0</v>
      </c>
      <c r="B6648" s="14" t="s">
        <v>47</v>
      </c>
      <c r="C6648" s="14" t="s">
        <v>48</v>
      </c>
      <c r="D6648" s="14" t="s">
        <v>116</v>
      </c>
      <c r="E6648" s="14" t="s">
        <v>117</v>
      </c>
      <c r="F6648" s="15" t="s">
        <v>51</v>
      </c>
      <c r="G6648" s="14" t="s">
        <v>161</v>
      </c>
      <c r="H6648" s="14" t="s">
        <v>116</v>
      </c>
      <c r="I6648" s="14" t="s">
        <v>54</v>
      </c>
      <c r="J6648" s="14" t="s">
        <v>199</v>
      </c>
      <c r="K6648" s="14" t="s">
        <v>203</v>
      </c>
      <c r="L6648" s="14" t="s">
        <v>679</v>
      </c>
      <c r="M6648" s="14" t="s">
        <v>679</v>
      </c>
      <c r="N6648" s="14" t="s">
        <v>680</v>
      </c>
      <c r="O6648" s="14">
        <v>0.0</v>
      </c>
      <c r="P6648" s="21">
        <v>0.0</v>
      </c>
      <c r="Q6648" s="22" t="str">
        <f t="shared" si="3979"/>
        <v>+0</v>
      </c>
      <c r="R6648" s="18" t="str">
        <f t="shared" ref="R6648:R6649" si="3980">"+0"</f>
        <v>+0</v>
      </c>
      <c r="S6648" s="14" t="s">
        <v>260</v>
      </c>
    </row>
    <row r="6649">
      <c r="A6649" s="13">
        <v>45901.0</v>
      </c>
      <c r="B6649" s="14" t="s">
        <v>47</v>
      </c>
      <c r="C6649" s="14" t="s">
        <v>48</v>
      </c>
      <c r="D6649" s="14" t="s">
        <v>174</v>
      </c>
      <c r="E6649" s="14" t="s">
        <v>175</v>
      </c>
      <c r="F6649" s="15" t="s">
        <v>51</v>
      </c>
      <c r="G6649" s="14" t="s">
        <v>176</v>
      </c>
      <c r="H6649" s="14" t="s">
        <v>174</v>
      </c>
      <c r="I6649" s="14" t="s">
        <v>59</v>
      </c>
      <c r="J6649" s="14" t="s">
        <v>198</v>
      </c>
      <c r="K6649" s="14" t="s">
        <v>210</v>
      </c>
      <c r="L6649" s="14" t="s">
        <v>264</v>
      </c>
      <c r="M6649" s="14" t="s">
        <v>357</v>
      </c>
      <c r="N6649" s="14" t="s">
        <v>358</v>
      </c>
      <c r="O6649" s="14">
        <v>100.0</v>
      </c>
      <c r="P6649" s="21">
        <v>0.0</v>
      </c>
      <c r="Q6649" s="22" t="str">
        <f t="shared" si="3979"/>
        <v>+0</v>
      </c>
      <c r="R6649" s="18" t="str">
        <f t="shared" si="3980"/>
        <v>+0</v>
      </c>
      <c r="S6649" s="14" t="s">
        <v>281</v>
      </c>
    </row>
    <row r="6650">
      <c r="A6650" s="13">
        <v>45901.0</v>
      </c>
      <c r="B6650" s="14" t="s">
        <v>47</v>
      </c>
      <c r="C6650" s="14" t="s">
        <v>48</v>
      </c>
      <c r="D6650" s="14" t="s">
        <v>181</v>
      </c>
      <c r="E6650" s="14" t="s">
        <v>182</v>
      </c>
      <c r="F6650" s="15" t="s">
        <v>51</v>
      </c>
      <c r="G6650" s="14" t="s">
        <v>183</v>
      </c>
      <c r="H6650" s="14" t="s">
        <v>181</v>
      </c>
      <c r="I6650" s="14" t="s">
        <v>59</v>
      </c>
      <c r="J6650" s="14" t="s">
        <v>200</v>
      </c>
      <c r="K6650" s="14" t="s">
        <v>232</v>
      </c>
      <c r="L6650" s="14" t="s">
        <v>487</v>
      </c>
      <c r="M6650" s="14" t="s">
        <v>788</v>
      </c>
      <c r="N6650" s="14" t="s">
        <v>789</v>
      </c>
      <c r="O6650" s="14">
        <v>0.0</v>
      </c>
      <c r="P6650" s="23">
        <v>0.0</v>
      </c>
      <c r="Q6650" s="22" t="str">
        <f t="shared" ref="Q6650:R6650" si="3981">"+0.00%"</f>
        <v>+0.00%</v>
      </c>
      <c r="R6650" s="18" t="str">
        <f t="shared" si="3981"/>
        <v>+0.00%</v>
      </c>
      <c r="S6650" s="14" t="s">
        <v>285</v>
      </c>
    </row>
    <row r="6651">
      <c r="A6651" s="13">
        <v>45901.0</v>
      </c>
      <c r="B6651" s="14" t="s">
        <v>47</v>
      </c>
      <c r="C6651" s="14" t="s">
        <v>48</v>
      </c>
      <c r="D6651" s="14" t="s">
        <v>56</v>
      </c>
      <c r="E6651" s="14" t="s">
        <v>57</v>
      </c>
      <c r="F6651" s="14" t="s">
        <v>71</v>
      </c>
      <c r="G6651" s="14">
        <v>5.36003976E8</v>
      </c>
      <c r="H6651" s="14" t="s">
        <v>56</v>
      </c>
      <c r="I6651" s="14" t="s">
        <v>59</v>
      </c>
      <c r="J6651" s="14" t="s">
        <v>199</v>
      </c>
      <c r="K6651" s="14" t="s">
        <v>206</v>
      </c>
      <c r="L6651" s="14" t="s">
        <v>295</v>
      </c>
      <c r="M6651" s="14" t="s">
        <v>461</v>
      </c>
      <c r="N6651" s="14" t="s">
        <v>462</v>
      </c>
      <c r="O6651" s="14">
        <v>0.0</v>
      </c>
      <c r="P6651" s="21">
        <v>0.0</v>
      </c>
      <c r="Q6651" s="22" t="str">
        <f t="shared" ref="Q6651:R6651" si="3982">"+0"</f>
        <v>+0</v>
      </c>
      <c r="R6651" s="18" t="str">
        <f t="shared" si="3982"/>
        <v>+0</v>
      </c>
      <c r="S6651" s="14" t="s">
        <v>260</v>
      </c>
    </row>
    <row r="6652">
      <c r="A6652" s="13">
        <v>45901.0</v>
      </c>
      <c r="B6652" s="14" t="s">
        <v>47</v>
      </c>
      <c r="C6652" s="14" t="s">
        <v>48</v>
      </c>
      <c r="D6652" s="14" t="s">
        <v>181</v>
      </c>
      <c r="E6652" s="14" t="s">
        <v>182</v>
      </c>
      <c r="F6652" s="15" t="s">
        <v>51</v>
      </c>
      <c r="G6652" s="14" t="s">
        <v>183</v>
      </c>
      <c r="H6652" s="14" t="s">
        <v>181</v>
      </c>
      <c r="I6652" s="14" t="s">
        <v>59</v>
      </c>
      <c r="J6652" s="14" t="s">
        <v>198</v>
      </c>
      <c r="K6652" s="14" t="s">
        <v>205</v>
      </c>
      <c r="L6652" s="14" t="s">
        <v>274</v>
      </c>
      <c r="M6652" s="14" t="s">
        <v>696</v>
      </c>
      <c r="N6652" s="14" t="s">
        <v>697</v>
      </c>
      <c r="O6652" s="14">
        <v>100.0</v>
      </c>
      <c r="P6652" s="21">
        <v>1.0</v>
      </c>
      <c r="Q6652" s="22" t="str">
        <f t="shared" ref="Q6652:Q6653" si="3983">"+0"</f>
        <v>+0</v>
      </c>
      <c r="S6652" s="14" t="s">
        <v>281</v>
      </c>
    </row>
    <row r="6653">
      <c r="A6653" s="13">
        <v>45901.0</v>
      </c>
      <c r="B6653" s="14" t="s">
        <v>47</v>
      </c>
      <c r="C6653" s="14" t="s">
        <v>48</v>
      </c>
      <c r="D6653" s="14" t="s">
        <v>140</v>
      </c>
      <c r="E6653" s="14" t="s">
        <v>141</v>
      </c>
      <c r="F6653" s="15" t="s">
        <v>51</v>
      </c>
      <c r="G6653" s="14" t="s">
        <v>142</v>
      </c>
      <c r="H6653" s="14" t="s">
        <v>140</v>
      </c>
      <c r="I6653" s="14" t="s">
        <v>59</v>
      </c>
      <c r="J6653" s="14" t="s">
        <v>198</v>
      </c>
      <c r="K6653" s="14" t="s">
        <v>210</v>
      </c>
      <c r="L6653" s="14" t="s">
        <v>264</v>
      </c>
      <c r="M6653" s="14" t="s">
        <v>357</v>
      </c>
      <c r="N6653" s="14" t="s">
        <v>358</v>
      </c>
      <c r="O6653" s="14">
        <v>100.0</v>
      </c>
      <c r="P6653" s="21">
        <v>0.0</v>
      </c>
      <c r="Q6653" s="22" t="str">
        <f t="shared" si="3983"/>
        <v>+0</v>
      </c>
      <c r="R6653" s="18" t="str">
        <f>"+0"</f>
        <v>+0</v>
      </c>
      <c r="S6653" s="14" t="s">
        <v>281</v>
      </c>
    </row>
    <row r="6654">
      <c r="A6654" s="13">
        <v>45901.0</v>
      </c>
      <c r="B6654" s="14" t="s">
        <v>47</v>
      </c>
      <c r="C6654" s="14" t="s">
        <v>48</v>
      </c>
      <c r="D6654" s="14" t="s">
        <v>56</v>
      </c>
      <c r="E6654" s="14" t="s">
        <v>57</v>
      </c>
      <c r="F6654" s="15" t="s">
        <v>51</v>
      </c>
      <c r="G6654" s="14" t="s">
        <v>58</v>
      </c>
      <c r="H6654" s="14" t="s">
        <v>56</v>
      </c>
      <c r="I6654" s="14" t="s">
        <v>59</v>
      </c>
      <c r="J6654" s="14" t="s">
        <v>200</v>
      </c>
      <c r="K6654" s="14" t="s">
        <v>223</v>
      </c>
      <c r="L6654" s="14" t="s">
        <v>261</v>
      </c>
      <c r="M6654" s="14" t="s">
        <v>1338</v>
      </c>
      <c r="N6654" s="14" t="s">
        <v>1339</v>
      </c>
      <c r="O6654" s="14">
        <v>0.0</v>
      </c>
      <c r="P6654" s="23">
        <v>0.0</v>
      </c>
      <c r="Q6654" s="22" t="str">
        <f t="shared" ref="Q6654:R6654" si="3984">"+0.00%"</f>
        <v>+0.00%</v>
      </c>
      <c r="R6654" s="18" t="str">
        <f t="shared" si="3984"/>
        <v>+0.00%</v>
      </c>
      <c r="S6654" s="14" t="s">
        <v>285</v>
      </c>
    </row>
    <row r="6655">
      <c r="A6655" s="13">
        <v>45901.0</v>
      </c>
      <c r="B6655" s="14" t="s">
        <v>47</v>
      </c>
      <c r="C6655" s="14" t="s">
        <v>48</v>
      </c>
      <c r="D6655" s="14" t="s">
        <v>168</v>
      </c>
      <c r="E6655" s="14" t="s">
        <v>169</v>
      </c>
      <c r="F6655" s="15" t="s">
        <v>51</v>
      </c>
      <c r="G6655" s="14" t="s">
        <v>170</v>
      </c>
      <c r="H6655" s="14" t="s">
        <v>168</v>
      </c>
      <c r="I6655" s="14" t="s">
        <v>59</v>
      </c>
      <c r="J6655" s="14" t="s">
        <v>200</v>
      </c>
      <c r="K6655" s="14" t="s">
        <v>213</v>
      </c>
      <c r="L6655" s="14" t="s">
        <v>257</v>
      </c>
      <c r="M6655" s="14" t="s">
        <v>493</v>
      </c>
      <c r="N6655" s="14" t="s">
        <v>494</v>
      </c>
      <c r="O6655" s="14">
        <v>10.0</v>
      </c>
      <c r="P6655" s="23">
        <v>-0.7909</v>
      </c>
      <c r="Q6655" s="22" t="str">
        <f>"+0.98%"</f>
        <v>+0.98%</v>
      </c>
      <c r="R6655" s="18" t="str">
        <f>"-6.76%"</f>
        <v>-6.76%</v>
      </c>
      <c r="S6655" s="14" t="s">
        <v>2370</v>
      </c>
    </row>
    <row r="6656">
      <c r="A6656" s="13">
        <v>45901.0</v>
      </c>
      <c r="B6656" s="14" t="s">
        <v>47</v>
      </c>
      <c r="C6656" s="14" t="s">
        <v>48</v>
      </c>
      <c r="D6656" s="14" t="s">
        <v>181</v>
      </c>
      <c r="E6656" s="14" t="s">
        <v>182</v>
      </c>
      <c r="F6656" s="15" t="s">
        <v>51</v>
      </c>
      <c r="G6656" s="14" t="s">
        <v>183</v>
      </c>
      <c r="H6656" s="14" t="s">
        <v>181</v>
      </c>
      <c r="I6656" s="14" t="s">
        <v>59</v>
      </c>
      <c r="J6656" s="14" t="s">
        <v>198</v>
      </c>
      <c r="K6656" s="14" t="s">
        <v>210</v>
      </c>
      <c r="L6656" s="14" t="s">
        <v>264</v>
      </c>
      <c r="M6656" s="14" t="s">
        <v>357</v>
      </c>
      <c r="N6656" s="14" t="s">
        <v>358</v>
      </c>
      <c r="O6656" s="14">
        <v>100.0</v>
      </c>
      <c r="P6656" s="21">
        <v>0.0</v>
      </c>
      <c r="Q6656" s="22" t="str">
        <f t="shared" ref="Q6656:R6656" si="3985">"+0"</f>
        <v>+0</v>
      </c>
      <c r="R6656" s="18" t="str">
        <f t="shared" si="3985"/>
        <v>+0</v>
      </c>
      <c r="S6656" s="14" t="s">
        <v>281</v>
      </c>
    </row>
    <row r="6657">
      <c r="A6657" s="13">
        <v>45901.0</v>
      </c>
      <c r="B6657" s="14" t="s">
        <v>47</v>
      </c>
      <c r="C6657" s="14" t="s">
        <v>48</v>
      </c>
      <c r="D6657" s="14" t="s">
        <v>165</v>
      </c>
      <c r="E6657" s="14" t="s">
        <v>166</v>
      </c>
      <c r="F6657" s="15" t="s">
        <v>51</v>
      </c>
      <c r="G6657" s="14" t="s">
        <v>167</v>
      </c>
      <c r="H6657" s="14" t="s">
        <v>165</v>
      </c>
      <c r="I6657" s="14" t="s">
        <v>54</v>
      </c>
      <c r="J6657" s="14" t="s">
        <v>200</v>
      </c>
      <c r="K6657" s="14" t="s">
        <v>201</v>
      </c>
      <c r="L6657" s="14" t="s">
        <v>253</v>
      </c>
      <c r="M6657" s="14" t="s">
        <v>585</v>
      </c>
      <c r="N6657" s="14" t="s">
        <v>586</v>
      </c>
      <c r="O6657" s="14">
        <v>7.0</v>
      </c>
      <c r="P6657" s="23">
        <v>0.0766</v>
      </c>
      <c r="Q6657" s="22" t="str">
        <f>"-0.03%"</f>
        <v>-0.03%</v>
      </c>
      <c r="R6657" s="18" t="str">
        <f>"-1.03%"</f>
        <v>-1.03%</v>
      </c>
      <c r="S6657" s="14" t="s">
        <v>1454</v>
      </c>
    </row>
    <row r="6658">
      <c r="A6658" s="13">
        <v>45901.0</v>
      </c>
      <c r="B6658" s="14" t="s">
        <v>47</v>
      </c>
      <c r="C6658" s="14" t="s">
        <v>48</v>
      </c>
      <c r="D6658" s="14" t="s">
        <v>91</v>
      </c>
      <c r="E6658" s="14" t="s">
        <v>92</v>
      </c>
      <c r="F6658" s="15" t="s">
        <v>51</v>
      </c>
      <c r="G6658" s="14" t="s">
        <v>163</v>
      </c>
      <c r="H6658" s="14" t="s">
        <v>91</v>
      </c>
      <c r="I6658" s="14" t="s">
        <v>59</v>
      </c>
      <c r="J6658" s="14" t="s">
        <v>200</v>
      </c>
      <c r="K6658" s="14" t="s">
        <v>223</v>
      </c>
      <c r="L6658" s="14" t="s">
        <v>607</v>
      </c>
      <c r="M6658" s="14" t="s">
        <v>886</v>
      </c>
      <c r="N6658" s="14" t="s">
        <v>887</v>
      </c>
      <c r="O6658" s="14">
        <v>0.0</v>
      </c>
      <c r="P6658" s="23">
        <v>0.0</v>
      </c>
      <c r="Q6658" s="22" t="str">
        <f t="shared" ref="Q6658:R6658" si="3986">"+0.00%"</f>
        <v>+0.00%</v>
      </c>
      <c r="R6658" s="18" t="str">
        <f t="shared" si="3986"/>
        <v>+0.00%</v>
      </c>
      <c r="S6658" s="14" t="s">
        <v>371</v>
      </c>
    </row>
    <row r="6659">
      <c r="A6659" s="13">
        <v>45901.0</v>
      </c>
      <c r="B6659" s="14" t="s">
        <v>47</v>
      </c>
      <c r="C6659" s="14" t="s">
        <v>48</v>
      </c>
      <c r="D6659" s="14" t="s">
        <v>91</v>
      </c>
      <c r="E6659" s="14" t="s">
        <v>92</v>
      </c>
      <c r="F6659" s="15" t="s">
        <v>51</v>
      </c>
      <c r="G6659" s="14" t="s">
        <v>163</v>
      </c>
      <c r="H6659" s="14" t="s">
        <v>91</v>
      </c>
      <c r="I6659" s="14" t="s">
        <v>59</v>
      </c>
      <c r="J6659" s="14" t="s">
        <v>200</v>
      </c>
      <c r="K6659" s="14" t="s">
        <v>223</v>
      </c>
      <c r="L6659" s="14" t="s">
        <v>286</v>
      </c>
      <c r="M6659" s="14" t="s">
        <v>656</v>
      </c>
      <c r="N6659" s="14" t="s">
        <v>657</v>
      </c>
      <c r="O6659" s="14">
        <v>0.0</v>
      </c>
      <c r="P6659" s="23">
        <v>0.0</v>
      </c>
      <c r="Q6659" s="22" t="str">
        <f t="shared" ref="Q6659:R6659" si="3987">"+0.00%"</f>
        <v>+0.00%</v>
      </c>
      <c r="R6659" s="18" t="str">
        <f t="shared" si="3987"/>
        <v>+0.00%</v>
      </c>
      <c r="S6659" s="14" t="s">
        <v>285</v>
      </c>
    </row>
    <row r="6660">
      <c r="A6660" s="13">
        <v>45901.0</v>
      </c>
      <c r="B6660" s="14" t="s">
        <v>47</v>
      </c>
      <c r="C6660" s="14" t="s">
        <v>48</v>
      </c>
      <c r="D6660" s="14" t="s">
        <v>91</v>
      </c>
      <c r="E6660" s="14" t="s">
        <v>92</v>
      </c>
      <c r="F6660" s="15" t="s">
        <v>51</v>
      </c>
      <c r="G6660" s="14" t="s">
        <v>163</v>
      </c>
      <c r="H6660" s="14" t="s">
        <v>91</v>
      </c>
      <c r="I6660" s="14" t="s">
        <v>59</v>
      </c>
      <c r="J6660" s="14" t="s">
        <v>198</v>
      </c>
      <c r="K6660" s="14" t="s">
        <v>205</v>
      </c>
      <c r="L6660" s="14" t="s">
        <v>274</v>
      </c>
      <c r="M6660" s="14" t="s">
        <v>275</v>
      </c>
      <c r="N6660" s="14" t="s">
        <v>276</v>
      </c>
      <c r="O6660" s="14">
        <v>0.0</v>
      </c>
      <c r="P6660" s="21">
        <v>1.0</v>
      </c>
      <c r="Q6660" s="22" t="str">
        <f t="shared" ref="Q6660:Q6662" si="3988">"+0"</f>
        <v>+0</v>
      </c>
      <c r="S6660" s="14" t="s">
        <v>277</v>
      </c>
    </row>
    <row r="6661">
      <c r="A6661" s="13">
        <v>45901.0</v>
      </c>
      <c r="B6661" s="14" t="s">
        <v>47</v>
      </c>
      <c r="C6661" s="14" t="s">
        <v>48</v>
      </c>
      <c r="D6661" s="14" t="s">
        <v>63</v>
      </c>
      <c r="E6661" s="14" t="s">
        <v>64</v>
      </c>
      <c r="F6661" s="15" t="s">
        <v>51</v>
      </c>
      <c r="G6661" s="14" t="s">
        <v>65</v>
      </c>
      <c r="H6661" s="14" t="s">
        <v>63</v>
      </c>
      <c r="I6661" s="14" t="s">
        <v>54</v>
      </c>
      <c r="J6661" s="14" t="s">
        <v>199</v>
      </c>
      <c r="K6661" s="14" t="s">
        <v>208</v>
      </c>
      <c r="L6661" s="14" t="s">
        <v>412</v>
      </c>
      <c r="M6661" s="14" t="s">
        <v>412</v>
      </c>
      <c r="N6661" s="14" t="s">
        <v>413</v>
      </c>
      <c r="O6661" s="14">
        <v>100.0</v>
      </c>
      <c r="P6661" s="21">
        <v>16.0</v>
      </c>
      <c r="Q6661" s="22" t="str">
        <f t="shared" si="3988"/>
        <v>+0</v>
      </c>
      <c r="R6661" s="18" t="str">
        <f>"+2"</f>
        <v>+2</v>
      </c>
      <c r="S6661" s="14" t="s">
        <v>260</v>
      </c>
    </row>
    <row r="6662">
      <c r="A6662" s="13">
        <v>45901.0</v>
      </c>
      <c r="B6662" s="14" t="s">
        <v>47</v>
      </c>
      <c r="C6662" s="14" t="s">
        <v>48</v>
      </c>
      <c r="D6662" s="14" t="s">
        <v>91</v>
      </c>
      <c r="E6662" s="14" t="s">
        <v>92</v>
      </c>
      <c r="F6662" s="14" t="s">
        <v>71</v>
      </c>
      <c r="G6662" s="14">
        <v>5.00008613E8</v>
      </c>
      <c r="H6662" s="14" t="s">
        <v>91</v>
      </c>
      <c r="I6662" s="14" t="s">
        <v>59</v>
      </c>
      <c r="J6662" s="14" t="s">
        <v>199</v>
      </c>
      <c r="K6662" s="14" t="s">
        <v>203</v>
      </c>
      <c r="L6662" s="14" t="s">
        <v>342</v>
      </c>
      <c r="M6662" s="14" t="s">
        <v>342</v>
      </c>
      <c r="N6662" s="14" t="s">
        <v>343</v>
      </c>
      <c r="O6662" s="14">
        <v>100.0</v>
      </c>
      <c r="P6662" s="21">
        <v>163.0</v>
      </c>
      <c r="Q6662" s="22" t="str">
        <f t="shared" si="3988"/>
        <v>+0</v>
      </c>
      <c r="R6662" s="18" t="str">
        <f>"+0"</f>
        <v>+0</v>
      </c>
      <c r="S6662" s="14" t="s">
        <v>260</v>
      </c>
    </row>
    <row r="6663">
      <c r="A6663" s="13">
        <v>45901.0</v>
      </c>
      <c r="B6663" s="14" t="s">
        <v>47</v>
      </c>
      <c r="C6663" s="14" t="s">
        <v>48</v>
      </c>
      <c r="D6663" s="14" t="s">
        <v>91</v>
      </c>
      <c r="E6663" s="14" t="s">
        <v>92</v>
      </c>
      <c r="F6663" s="14" t="s">
        <v>146</v>
      </c>
      <c r="G6663" s="14" t="s">
        <v>147</v>
      </c>
      <c r="H6663" s="14" t="s">
        <v>91</v>
      </c>
      <c r="I6663" s="14" t="s">
        <v>107</v>
      </c>
      <c r="J6663" s="14" t="s">
        <v>200</v>
      </c>
      <c r="K6663" s="14" t="s">
        <v>226</v>
      </c>
      <c r="L6663" s="14" t="s">
        <v>253</v>
      </c>
      <c r="M6663" s="14" t="s">
        <v>2730</v>
      </c>
      <c r="N6663" s="14" t="s">
        <v>2731</v>
      </c>
      <c r="O6663" s="14">
        <v>4.0</v>
      </c>
      <c r="P6663" s="23">
        <v>0.1111</v>
      </c>
      <c r="Q6663" s="22" t="str">
        <f>"-7.07%"</f>
        <v>-7.07%</v>
      </c>
      <c r="R6663" s="18" t="str">
        <f>"-2.53%"</f>
        <v>-2.53%</v>
      </c>
      <c r="S6663" s="14" t="s">
        <v>2732</v>
      </c>
    </row>
    <row r="6664">
      <c r="A6664" s="13">
        <v>45901.0</v>
      </c>
      <c r="B6664" s="14" t="s">
        <v>47</v>
      </c>
      <c r="C6664" s="14" t="s">
        <v>48</v>
      </c>
      <c r="D6664" s="14" t="s">
        <v>63</v>
      </c>
      <c r="E6664" s="14" t="s">
        <v>64</v>
      </c>
      <c r="F6664" s="15" t="s">
        <v>51</v>
      </c>
      <c r="G6664" s="14" t="s">
        <v>65</v>
      </c>
      <c r="H6664" s="14" t="s">
        <v>63</v>
      </c>
      <c r="I6664" s="14" t="s">
        <v>54</v>
      </c>
      <c r="J6664" s="14" t="s">
        <v>198</v>
      </c>
      <c r="K6664" s="14" t="s">
        <v>212</v>
      </c>
      <c r="L6664" s="14" t="s">
        <v>249</v>
      </c>
      <c r="M6664" s="14" t="s">
        <v>250</v>
      </c>
      <c r="N6664" s="14" t="s">
        <v>251</v>
      </c>
      <c r="O6664" s="14">
        <v>0.0</v>
      </c>
      <c r="P6664" s="21">
        <v>4.1236102E7</v>
      </c>
      <c r="Q6664" s="22" t="str">
        <f>"+8,654,607"</f>
        <v>+8,654,607</v>
      </c>
      <c r="R6664" s="18" t="str">
        <f>"-675,409,804"</f>
        <v>-675,409,804</v>
      </c>
      <c r="S6664" s="14" t="s">
        <v>2733</v>
      </c>
    </row>
    <row r="6665">
      <c r="A6665" s="13">
        <v>45901.0</v>
      </c>
      <c r="B6665" s="14" t="s">
        <v>47</v>
      </c>
      <c r="C6665" s="14" t="s">
        <v>48</v>
      </c>
      <c r="D6665" s="14" t="s">
        <v>91</v>
      </c>
      <c r="E6665" s="14" t="s">
        <v>92</v>
      </c>
      <c r="F6665" s="14" t="s">
        <v>71</v>
      </c>
      <c r="G6665" s="14">
        <v>5.10000484E8</v>
      </c>
      <c r="H6665" s="14" t="s">
        <v>91</v>
      </c>
      <c r="I6665" s="14" t="s">
        <v>54</v>
      </c>
      <c r="J6665" s="14" t="s">
        <v>200</v>
      </c>
      <c r="K6665" s="14" t="s">
        <v>218</v>
      </c>
      <c r="L6665" s="14" t="s">
        <v>253</v>
      </c>
      <c r="M6665" s="14" t="s">
        <v>1628</v>
      </c>
      <c r="N6665" s="14" t="s">
        <v>1629</v>
      </c>
      <c r="O6665" s="14">
        <v>98.0</v>
      </c>
      <c r="P6665" s="23">
        <v>0.9805</v>
      </c>
      <c r="Q6665" s="22" t="str">
        <f>"-1.95%"</f>
        <v>-1.95%</v>
      </c>
      <c r="R6665" s="18" t="str">
        <f>"-1.59%"</f>
        <v>-1.59%</v>
      </c>
      <c r="S6665" s="14" t="s">
        <v>2734</v>
      </c>
    </row>
    <row r="6666">
      <c r="A6666" s="13">
        <v>45901.0</v>
      </c>
      <c r="B6666" s="14" t="s">
        <v>47</v>
      </c>
      <c r="C6666" s="14" t="s">
        <v>48</v>
      </c>
      <c r="D6666" s="14" t="s">
        <v>91</v>
      </c>
      <c r="E6666" s="14" t="s">
        <v>92</v>
      </c>
      <c r="F6666" s="14" t="s">
        <v>71</v>
      </c>
      <c r="G6666" s="14">
        <v>5.00008343E8</v>
      </c>
      <c r="H6666" s="14" t="s">
        <v>91</v>
      </c>
      <c r="I6666" s="14" t="s">
        <v>59</v>
      </c>
      <c r="J6666" s="14" t="s">
        <v>199</v>
      </c>
      <c r="K6666" s="14" t="s">
        <v>206</v>
      </c>
      <c r="L6666" s="14" t="s">
        <v>381</v>
      </c>
      <c r="M6666" s="14" t="s">
        <v>381</v>
      </c>
      <c r="N6666" s="14" t="s">
        <v>382</v>
      </c>
      <c r="O6666" s="14">
        <v>0.0</v>
      </c>
      <c r="P6666" s="21">
        <v>0.0</v>
      </c>
      <c r="Q6666" s="22" t="str">
        <f t="shared" ref="Q6666:R6666" si="3989">"+0"</f>
        <v>+0</v>
      </c>
      <c r="R6666" s="18" t="str">
        <f t="shared" si="3989"/>
        <v>+0</v>
      </c>
      <c r="S6666" s="14" t="s">
        <v>383</v>
      </c>
    </row>
    <row r="6667">
      <c r="A6667" s="13">
        <v>45901.0</v>
      </c>
      <c r="B6667" s="14" t="s">
        <v>47</v>
      </c>
      <c r="C6667" s="14" t="s">
        <v>48</v>
      </c>
      <c r="D6667" s="14" t="s">
        <v>66</v>
      </c>
      <c r="E6667" s="14" t="s">
        <v>67</v>
      </c>
      <c r="F6667" s="15" t="s">
        <v>51</v>
      </c>
      <c r="G6667" s="14" t="s">
        <v>68</v>
      </c>
      <c r="H6667" s="14" t="s">
        <v>66</v>
      </c>
      <c r="I6667" s="14" t="s">
        <v>59</v>
      </c>
      <c r="J6667" s="14" t="s">
        <v>200</v>
      </c>
      <c r="K6667" s="14" t="s">
        <v>223</v>
      </c>
      <c r="L6667" s="14" t="s">
        <v>363</v>
      </c>
      <c r="M6667" s="14" t="s">
        <v>379</v>
      </c>
      <c r="N6667" s="14" t="s">
        <v>380</v>
      </c>
      <c r="O6667" s="14">
        <v>0.0</v>
      </c>
      <c r="P6667" s="21">
        <v>0.0</v>
      </c>
      <c r="Q6667" s="22" t="str">
        <f t="shared" ref="Q6667:R6667" si="3990">"+0"</f>
        <v>+0</v>
      </c>
      <c r="R6667" s="18" t="str">
        <f t="shared" si="3990"/>
        <v>+0</v>
      </c>
      <c r="S6667" s="14" t="s">
        <v>260</v>
      </c>
    </row>
    <row r="6668">
      <c r="A6668" s="13">
        <v>45901.0</v>
      </c>
      <c r="B6668" s="14" t="s">
        <v>47</v>
      </c>
      <c r="C6668" s="14" t="s">
        <v>48</v>
      </c>
      <c r="D6668" s="14" t="s">
        <v>93</v>
      </c>
      <c r="E6668" s="14" t="s">
        <v>94</v>
      </c>
      <c r="F6668" s="15" t="s">
        <v>51</v>
      </c>
      <c r="G6668" s="14" t="s">
        <v>191</v>
      </c>
      <c r="H6668" s="14" t="s">
        <v>95</v>
      </c>
      <c r="I6668" s="14" t="s">
        <v>59</v>
      </c>
      <c r="J6668" s="14" t="s">
        <v>199</v>
      </c>
      <c r="K6668" s="14" t="s">
        <v>203</v>
      </c>
      <c r="L6668" s="14" t="s">
        <v>725</v>
      </c>
      <c r="M6668" s="14" t="s">
        <v>725</v>
      </c>
      <c r="N6668" s="14" t="s">
        <v>726</v>
      </c>
      <c r="O6668" s="14">
        <v>0.0</v>
      </c>
      <c r="P6668" s="21">
        <v>0.0</v>
      </c>
      <c r="Q6668" s="22" t="str">
        <f t="shared" ref="Q6668:R6668" si="3991">"+0"</f>
        <v>+0</v>
      </c>
      <c r="R6668" s="18" t="str">
        <f t="shared" si="3991"/>
        <v>+0</v>
      </c>
      <c r="S6668" s="14" t="s">
        <v>260</v>
      </c>
    </row>
    <row r="6669">
      <c r="A6669" s="13">
        <v>45901.0</v>
      </c>
      <c r="B6669" s="14" t="s">
        <v>47</v>
      </c>
      <c r="C6669" s="14" t="s">
        <v>48</v>
      </c>
      <c r="D6669" s="14" t="s">
        <v>143</v>
      </c>
      <c r="E6669" s="14" t="s">
        <v>144</v>
      </c>
      <c r="F6669" s="15" t="s">
        <v>51</v>
      </c>
      <c r="G6669" s="14" t="s">
        <v>145</v>
      </c>
      <c r="H6669" s="14" t="s">
        <v>143</v>
      </c>
      <c r="I6669" s="14" t="s">
        <v>59</v>
      </c>
      <c r="J6669" s="14" t="s">
        <v>200</v>
      </c>
      <c r="K6669" s="14" t="s">
        <v>232</v>
      </c>
      <c r="L6669" s="14" t="s">
        <v>422</v>
      </c>
      <c r="M6669" s="14" t="s">
        <v>1197</v>
      </c>
      <c r="N6669" s="14" t="s">
        <v>1198</v>
      </c>
      <c r="O6669" s="14">
        <v>100.0</v>
      </c>
      <c r="P6669" s="23">
        <v>0.2308</v>
      </c>
      <c r="Q6669" s="22" t="str">
        <f>"+14.38%"</f>
        <v>+14.38%</v>
      </c>
      <c r="R6669" s="18" t="str">
        <f>"-2.73%"</f>
        <v>-2.73%</v>
      </c>
      <c r="S6669" s="14" t="s">
        <v>285</v>
      </c>
    </row>
    <row r="6670">
      <c r="A6670" s="13">
        <v>45901.0</v>
      </c>
      <c r="B6670" s="14" t="s">
        <v>47</v>
      </c>
      <c r="C6670" s="14" t="s">
        <v>48</v>
      </c>
      <c r="D6670" s="14" t="s">
        <v>149</v>
      </c>
      <c r="E6670" s="14" t="s">
        <v>150</v>
      </c>
      <c r="F6670" s="15" t="s">
        <v>51</v>
      </c>
      <c r="G6670" s="14" t="s">
        <v>151</v>
      </c>
      <c r="H6670" s="14" t="s">
        <v>152</v>
      </c>
      <c r="I6670" s="14" t="s">
        <v>54</v>
      </c>
      <c r="J6670" s="14" t="s">
        <v>200</v>
      </c>
      <c r="K6670" s="14" t="s">
        <v>223</v>
      </c>
      <c r="L6670" s="14" t="s">
        <v>571</v>
      </c>
      <c r="M6670" s="14" t="s">
        <v>578</v>
      </c>
      <c r="N6670" s="14" t="s">
        <v>579</v>
      </c>
      <c r="O6670" s="14">
        <v>100.0</v>
      </c>
      <c r="P6670" s="23">
        <v>1.0E-4</v>
      </c>
      <c r="Q6670" s="22" t="str">
        <f>"-0.00%"</f>
        <v>-0.00%</v>
      </c>
      <c r="R6670" s="18" t="str">
        <f>"-0.01%"</f>
        <v>-0.01%</v>
      </c>
      <c r="S6670" s="14" t="s">
        <v>285</v>
      </c>
    </row>
    <row r="6671">
      <c r="A6671" s="13">
        <v>45901.0</v>
      </c>
      <c r="B6671" s="14" t="s">
        <v>47</v>
      </c>
      <c r="C6671" s="14" t="s">
        <v>48</v>
      </c>
      <c r="D6671" s="14" t="s">
        <v>69</v>
      </c>
      <c r="E6671" s="14" t="s">
        <v>70</v>
      </c>
      <c r="F6671" s="15" t="s">
        <v>51</v>
      </c>
      <c r="G6671" s="14" t="s">
        <v>115</v>
      </c>
      <c r="H6671" s="14" t="s">
        <v>72</v>
      </c>
      <c r="I6671" s="14" t="s">
        <v>54</v>
      </c>
      <c r="J6671" s="14" t="s">
        <v>198</v>
      </c>
      <c r="K6671" s="14" t="s">
        <v>210</v>
      </c>
      <c r="L6671" s="14" t="s">
        <v>458</v>
      </c>
      <c r="M6671" s="14" t="s">
        <v>1489</v>
      </c>
      <c r="N6671" s="14" t="s">
        <v>1490</v>
      </c>
      <c r="O6671" s="14">
        <v>0.0</v>
      </c>
      <c r="P6671" s="21">
        <v>0.0</v>
      </c>
      <c r="Q6671" s="22" t="str">
        <f t="shared" ref="Q6671:R6671" si="3992">"+0"</f>
        <v>+0</v>
      </c>
      <c r="R6671" s="18" t="str">
        <f t="shared" si="3992"/>
        <v>+0</v>
      </c>
      <c r="S6671" s="14" t="s">
        <v>277</v>
      </c>
    </row>
    <row r="6672">
      <c r="A6672" s="13">
        <v>45901.0</v>
      </c>
      <c r="B6672" s="14" t="s">
        <v>47</v>
      </c>
      <c r="C6672" s="14" t="s">
        <v>48</v>
      </c>
      <c r="D6672" s="14" t="s">
        <v>69</v>
      </c>
      <c r="E6672" s="14" t="s">
        <v>70</v>
      </c>
      <c r="F6672" s="14" t="s">
        <v>71</v>
      </c>
      <c r="G6672" s="14">
        <v>1.00002092E8</v>
      </c>
      <c r="H6672" s="14" t="s">
        <v>72</v>
      </c>
      <c r="I6672" s="14" t="s">
        <v>54</v>
      </c>
      <c r="J6672" s="14" t="s">
        <v>199</v>
      </c>
      <c r="K6672" s="14" t="s">
        <v>206</v>
      </c>
      <c r="L6672" s="14" t="s">
        <v>295</v>
      </c>
      <c r="M6672" s="14" t="s">
        <v>296</v>
      </c>
      <c r="N6672" s="14" t="s">
        <v>297</v>
      </c>
      <c r="O6672" s="14">
        <v>0.0</v>
      </c>
      <c r="P6672" s="21">
        <v>0.0</v>
      </c>
      <c r="Q6672" s="22" t="str">
        <f t="shared" ref="Q6672:R6672" si="3993">"+0"</f>
        <v>+0</v>
      </c>
      <c r="R6672" s="18" t="str">
        <f t="shared" si="3993"/>
        <v>+0</v>
      </c>
      <c r="S6672" s="14" t="s">
        <v>260</v>
      </c>
    </row>
    <row r="6673">
      <c r="A6673" s="13">
        <v>45901.0</v>
      </c>
      <c r="B6673" s="14" t="s">
        <v>47</v>
      </c>
      <c r="C6673" s="14" t="s">
        <v>48</v>
      </c>
      <c r="D6673" s="14" t="s">
        <v>85</v>
      </c>
      <c r="E6673" s="14" t="s">
        <v>86</v>
      </c>
      <c r="F6673" s="15" t="s">
        <v>51</v>
      </c>
      <c r="G6673" s="14" t="s">
        <v>148</v>
      </c>
      <c r="H6673" s="14" t="s">
        <v>85</v>
      </c>
      <c r="I6673" s="14" t="s">
        <v>59</v>
      </c>
      <c r="J6673" s="14" t="s">
        <v>198</v>
      </c>
      <c r="K6673" s="14" t="s">
        <v>205</v>
      </c>
      <c r="L6673" s="14" t="s">
        <v>274</v>
      </c>
      <c r="M6673" s="14" t="s">
        <v>482</v>
      </c>
      <c r="N6673" s="14" t="s">
        <v>483</v>
      </c>
      <c r="O6673" s="14">
        <v>100.0</v>
      </c>
      <c r="P6673" s="21">
        <v>8.0</v>
      </c>
      <c r="Q6673" s="22" t="str">
        <f>"+0"</f>
        <v>+0</v>
      </c>
      <c r="S6673" s="14" t="s">
        <v>484</v>
      </c>
    </row>
    <row r="6674">
      <c r="A6674" s="13">
        <v>45901.0</v>
      </c>
      <c r="B6674" s="14" t="s">
        <v>47</v>
      </c>
      <c r="C6674" s="14" t="s">
        <v>48</v>
      </c>
      <c r="D6674" s="14" t="s">
        <v>116</v>
      </c>
      <c r="E6674" s="14" t="s">
        <v>117</v>
      </c>
      <c r="F6674" s="15" t="s">
        <v>51</v>
      </c>
      <c r="G6674" s="14" t="s">
        <v>161</v>
      </c>
      <c r="H6674" s="14" t="s">
        <v>116</v>
      </c>
      <c r="I6674" s="14" t="s">
        <v>54</v>
      </c>
      <c r="J6674" s="14" t="s">
        <v>200</v>
      </c>
      <c r="K6674" s="14" t="s">
        <v>204</v>
      </c>
      <c r="L6674" s="14" t="s">
        <v>253</v>
      </c>
      <c r="M6674" s="14" t="s">
        <v>793</v>
      </c>
      <c r="N6674" s="14" t="s">
        <v>794</v>
      </c>
      <c r="O6674" s="14">
        <v>1.0</v>
      </c>
      <c r="P6674" s="23">
        <v>0.0038</v>
      </c>
      <c r="Q6674" s="22" t="str">
        <f>"+0.00%"</f>
        <v>+0.00%</v>
      </c>
      <c r="R6674" s="18" t="str">
        <f>"-0.26%"</f>
        <v>-0.26%</v>
      </c>
      <c r="S6674" s="14" t="s">
        <v>1232</v>
      </c>
    </row>
    <row r="6675">
      <c r="A6675" s="13">
        <v>45901.0</v>
      </c>
      <c r="B6675" s="14" t="s">
        <v>47</v>
      </c>
      <c r="C6675" s="14" t="s">
        <v>48</v>
      </c>
      <c r="D6675" s="14" t="s">
        <v>174</v>
      </c>
      <c r="E6675" s="14" t="s">
        <v>175</v>
      </c>
      <c r="F6675" s="15" t="s">
        <v>51</v>
      </c>
      <c r="G6675" s="14" t="s">
        <v>176</v>
      </c>
      <c r="H6675" s="14" t="s">
        <v>174</v>
      </c>
      <c r="I6675" s="14" t="s">
        <v>59</v>
      </c>
      <c r="J6675" s="14" t="s">
        <v>198</v>
      </c>
      <c r="K6675" s="14" t="s">
        <v>210</v>
      </c>
      <c r="L6675" s="14" t="s">
        <v>264</v>
      </c>
      <c r="M6675" s="14" t="s">
        <v>265</v>
      </c>
      <c r="N6675" s="14" t="s">
        <v>266</v>
      </c>
      <c r="O6675" s="14">
        <v>53.0</v>
      </c>
      <c r="P6675" s="21">
        <v>133.0</v>
      </c>
      <c r="Q6675" s="22" t="str">
        <f>"-9"</f>
        <v>-9</v>
      </c>
      <c r="R6675" s="18" t="str">
        <f>"-341"</f>
        <v>-341</v>
      </c>
      <c r="S6675" s="14" t="s">
        <v>2735</v>
      </c>
    </row>
    <row r="6676">
      <c r="A6676" s="13">
        <v>45901.0</v>
      </c>
      <c r="B6676" s="14" t="s">
        <v>47</v>
      </c>
      <c r="C6676" s="14" t="s">
        <v>48</v>
      </c>
      <c r="D6676" s="14" t="s">
        <v>116</v>
      </c>
      <c r="E6676" s="14" t="s">
        <v>117</v>
      </c>
      <c r="F6676" s="15" t="s">
        <v>51</v>
      </c>
      <c r="G6676" s="14" t="s">
        <v>161</v>
      </c>
      <c r="H6676" s="14" t="s">
        <v>116</v>
      </c>
      <c r="I6676" s="14" t="s">
        <v>54</v>
      </c>
      <c r="J6676" s="14" t="s">
        <v>198</v>
      </c>
      <c r="K6676" s="14" t="s">
        <v>205</v>
      </c>
      <c r="L6676" s="14" t="s">
        <v>274</v>
      </c>
      <c r="M6676" s="14" t="s">
        <v>451</v>
      </c>
      <c r="N6676" s="14" t="s">
        <v>452</v>
      </c>
      <c r="O6676" s="14">
        <v>0.0</v>
      </c>
      <c r="P6676" s="21">
        <v>0.0</v>
      </c>
      <c r="Q6676" s="22" t="str">
        <f>"+0"</f>
        <v>+0</v>
      </c>
      <c r="S6676" s="14" t="s">
        <v>281</v>
      </c>
    </row>
    <row r="6677">
      <c r="A6677" s="13">
        <v>45901.0</v>
      </c>
      <c r="B6677" s="14" t="s">
        <v>47</v>
      </c>
      <c r="C6677" s="14" t="s">
        <v>48</v>
      </c>
      <c r="D6677" s="14" t="s">
        <v>155</v>
      </c>
      <c r="E6677" s="14" t="s">
        <v>156</v>
      </c>
      <c r="F6677" s="15" t="s">
        <v>51</v>
      </c>
      <c r="G6677" s="14" t="s">
        <v>157</v>
      </c>
      <c r="H6677" s="14" t="s">
        <v>155</v>
      </c>
      <c r="I6677" s="14" t="s">
        <v>59</v>
      </c>
      <c r="J6677" s="14" t="s">
        <v>200</v>
      </c>
      <c r="K6677" s="14" t="s">
        <v>223</v>
      </c>
      <c r="L6677" s="14" t="s">
        <v>422</v>
      </c>
      <c r="M6677" s="14" t="s">
        <v>1197</v>
      </c>
      <c r="N6677" s="14" t="s">
        <v>1198</v>
      </c>
      <c r="O6677" s="14">
        <v>0.0</v>
      </c>
      <c r="P6677" s="17"/>
      <c r="Q6677" s="22"/>
      <c r="S6677" s="14" t="s">
        <v>285</v>
      </c>
    </row>
    <row r="6678">
      <c r="A6678" s="13">
        <v>45901.0</v>
      </c>
      <c r="B6678" s="14" t="s">
        <v>47</v>
      </c>
      <c r="C6678" s="14" t="s">
        <v>48</v>
      </c>
      <c r="D6678" s="14" t="s">
        <v>121</v>
      </c>
      <c r="E6678" s="14" t="s">
        <v>122</v>
      </c>
      <c r="F6678" s="15" t="s">
        <v>51</v>
      </c>
      <c r="G6678" s="14" t="s">
        <v>123</v>
      </c>
      <c r="H6678" s="14" t="s">
        <v>124</v>
      </c>
      <c r="I6678" s="14" t="s">
        <v>59</v>
      </c>
      <c r="J6678" s="14" t="s">
        <v>200</v>
      </c>
      <c r="K6678" s="14" t="s">
        <v>201</v>
      </c>
      <c r="L6678" s="14" t="s">
        <v>253</v>
      </c>
      <c r="M6678" s="14" t="s">
        <v>585</v>
      </c>
      <c r="N6678" s="14" t="s">
        <v>586</v>
      </c>
      <c r="O6678" s="14">
        <v>9.0</v>
      </c>
      <c r="P6678" s="23">
        <v>0.0999</v>
      </c>
      <c r="Q6678" s="22" t="str">
        <f>"-0.09%"</f>
        <v>-0.09%</v>
      </c>
      <c r="R6678" s="18" t="str">
        <f>"-0.12%"</f>
        <v>-0.12%</v>
      </c>
      <c r="S6678" s="14" t="s">
        <v>1071</v>
      </c>
    </row>
    <row r="6679">
      <c r="A6679" s="13">
        <v>45901.0</v>
      </c>
      <c r="B6679" s="14" t="s">
        <v>47</v>
      </c>
      <c r="C6679" s="14" t="s">
        <v>48</v>
      </c>
      <c r="D6679" s="14" t="s">
        <v>60</v>
      </c>
      <c r="E6679" s="14" t="s">
        <v>61</v>
      </c>
      <c r="F6679" s="15" t="s">
        <v>51</v>
      </c>
      <c r="G6679" s="14" t="s">
        <v>62</v>
      </c>
      <c r="H6679" s="14" t="s">
        <v>60</v>
      </c>
      <c r="I6679" s="14" t="s">
        <v>59</v>
      </c>
      <c r="J6679" s="14" t="s">
        <v>200</v>
      </c>
      <c r="K6679" s="14" t="s">
        <v>223</v>
      </c>
      <c r="L6679" s="14" t="s">
        <v>257</v>
      </c>
      <c r="M6679" s="14" t="s">
        <v>493</v>
      </c>
      <c r="N6679" s="14" t="s">
        <v>494</v>
      </c>
      <c r="O6679" s="14">
        <v>0.0</v>
      </c>
      <c r="P6679" s="23">
        <v>-1.0</v>
      </c>
      <c r="Q6679" s="22" t="str">
        <f t="shared" ref="Q6679:R6679" si="3994">"+0.00%"</f>
        <v>+0.00%</v>
      </c>
      <c r="R6679" s="18" t="str">
        <f t="shared" si="3994"/>
        <v>+0.00%</v>
      </c>
      <c r="S6679" s="14" t="s">
        <v>2736</v>
      </c>
    </row>
    <row r="6680">
      <c r="A6680" s="13">
        <v>45901.0</v>
      </c>
      <c r="B6680" s="14" t="s">
        <v>47</v>
      </c>
      <c r="C6680" s="14" t="s">
        <v>48</v>
      </c>
      <c r="D6680" s="14" t="s">
        <v>168</v>
      </c>
      <c r="E6680" s="14" t="s">
        <v>169</v>
      </c>
      <c r="F6680" s="15" t="s">
        <v>51</v>
      </c>
      <c r="G6680" s="14" t="s">
        <v>170</v>
      </c>
      <c r="H6680" s="14" t="s">
        <v>168</v>
      </c>
      <c r="I6680" s="14" t="s">
        <v>59</v>
      </c>
      <c r="J6680" s="14" t="s">
        <v>200</v>
      </c>
      <c r="K6680" s="14" t="s">
        <v>227</v>
      </c>
      <c r="L6680" s="14" t="s">
        <v>253</v>
      </c>
      <c r="M6680" s="14" t="s">
        <v>254</v>
      </c>
      <c r="N6680" s="14" t="s">
        <v>255</v>
      </c>
      <c r="O6680" s="14">
        <v>2.0</v>
      </c>
      <c r="P6680" s="23">
        <v>0.02</v>
      </c>
      <c r="Q6680" s="22" t="str">
        <f t="shared" ref="Q6680:R6680" si="3995">"-1.00%"</f>
        <v>-1.00%</v>
      </c>
      <c r="R6680" s="18" t="str">
        <f t="shared" si="3995"/>
        <v>-1.00%</v>
      </c>
      <c r="S6680" s="14" t="s">
        <v>256</v>
      </c>
    </row>
    <row r="6681">
      <c r="A6681" s="13">
        <v>45901.0</v>
      </c>
      <c r="B6681" s="14" t="s">
        <v>47</v>
      </c>
      <c r="C6681" s="14" t="s">
        <v>48</v>
      </c>
      <c r="D6681" s="14" t="s">
        <v>91</v>
      </c>
      <c r="E6681" s="14" t="s">
        <v>92</v>
      </c>
      <c r="F6681" s="15" t="s">
        <v>51</v>
      </c>
      <c r="G6681" s="14" t="s">
        <v>163</v>
      </c>
      <c r="H6681" s="14" t="s">
        <v>91</v>
      </c>
      <c r="I6681" s="14" t="s">
        <v>59</v>
      </c>
      <c r="J6681" s="14" t="s">
        <v>200</v>
      </c>
      <c r="K6681" s="14" t="s">
        <v>222</v>
      </c>
      <c r="L6681" s="14" t="s">
        <v>337</v>
      </c>
      <c r="M6681" s="14" t="s">
        <v>734</v>
      </c>
      <c r="N6681" s="14" t="s">
        <v>735</v>
      </c>
      <c r="O6681" s="14">
        <v>0.0</v>
      </c>
      <c r="P6681" s="21">
        <v>0.0</v>
      </c>
      <c r="Q6681" s="22" t="str">
        <f t="shared" ref="Q6681:R6681" si="3996">"+0"</f>
        <v>+0</v>
      </c>
      <c r="R6681" s="18" t="str">
        <f t="shared" si="3996"/>
        <v>+0</v>
      </c>
      <c r="S6681" s="14" t="s">
        <v>260</v>
      </c>
    </row>
    <row r="6682">
      <c r="A6682" s="13">
        <v>45901.0</v>
      </c>
      <c r="B6682" s="14" t="s">
        <v>47</v>
      </c>
      <c r="C6682" s="14" t="s">
        <v>48</v>
      </c>
      <c r="D6682" s="14" t="s">
        <v>118</v>
      </c>
      <c r="E6682" s="14" t="s">
        <v>119</v>
      </c>
      <c r="F6682" s="15" t="s">
        <v>51</v>
      </c>
      <c r="G6682" s="14" t="s">
        <v>120</v>
      </c>
      <c r="H6682" s="14" t="s">
        <v>118</v>
      </c>
      <c r="I6682" s="14" t="s">
        <v>59</v>
      </c>
      <c r="J6682" s="14" t="s">
        <v>198</v>
      </c>
      <c r="K6682" s="14" t="s">
        <v>207</v>
      </c>
      <c r="L6682" s="14" t="s">
        <v>318</v>
      </c>
      <c r="M6682" s="14" t="s">
        <v>319</v>
      </c>
      <c r="N6682" s="14" t="s">
        <v>320</v>
      </c>
      <c r="O6682" s="14">
        <v>0.0</v>
      </c>
      <c r="P6682" s="21">
        <v>0.0</v>
      </c>
      <c r="Q6682" s="22" t="str">
        <f t="shared" ref="Q6682:Q6685" si="3997">"+0"</f>
        <v>+0</v>
      </c>
      <c r="S6682" s="14" t="s">
        <v>281</v>
      </c>
    </row>
    <row r="6683">
      <c r="A6683" s="13">
        <v>45901.0</v>
      </c>
      <c r="B6683" s="14" t="s">
        <v>47</v>
      </c>
      <c r="C6683" s="14" t="s">
        <v>48</v>
      </c>
      <c r="D6683" s="14" t="s">
        <v>184</v>
      </c>
      <c r="E6683" s="14" t="s">
        <v>185</v>
      </c>
      <c r="F6683" s="15" t="s">
        <v>51</v>
      </c>
      <c r="G6683" s="14" t="s">
        <v>186</v>
      </c>
      <c r="H6683" s="14" t="s">
        <v>187</v>
      </c>
      <c r="I6683" s="14" t="s">
        <v>59</v>
      </c>
      <c r="J6683" s="14" t="s">
        <v>199</v>
      </c>
      <c r="K6683" s="14" t="s">
        <v>203</v>
      </c>
      <c r="L6683" s="14" t="s">
        <v>340</v>
      </c>
      <c r="M6683" s="14" t="s">
        <v>340</v>
      </c>
      <c r="N6683" s="14" t="s">
        <v>341</v>
      </c>
      <c r="O6683" s="14">
        <v>0.0</v>
      </c>
      <c r="P6683" s="21">
        <v>0.0</v>
      </c>
      <c r="Q6683" s="22" t="str">
        <f t="shared" si="3997"/>
        <v>+0</v>
      </c>
      <c r="R6683" s="18" t="str">
        <f t="shared" ref="R6683:R6684" si="3998">"+0"</f>
        <v>+0</v>
      </c>
      <c r="S6683" s="14" t="s">
        <v>260</v>
      </c>
    </row>
    <row r="6684">
      <c r="A6684" s="13">
        <v>45901.0</v>
      </c>
      <c r="B6684" s="14" t="s">
        <v>47</v>
      </c>
      <c r="C6684" s="14" t="s">
        <v>48</v>
      </c>
      <c r="D6684" s="14" t="s">
        <v>66</v>
      </c>
      <c r="E6684" s="14" t="s">
        <v>67</v>
      </c>
      <c r="F6684" s="15" t="s">
        <v>51</v>
      </c>
      <c r="G6684" s="14" t="s">
        <v>68</v>
      </c>
      <c r="H6684" s="14" t="s">
        <v>66</v>
      </c>
      <c r="I6684" s="14" t="s">
        <v>59</v>
      </c>
      <c r="J6684" s="14" t="s">
        <v>200</v>
      </c>
      <c r="K6684" s="14" t="s">
        <v>231</v>
      </c>
      <c r="L6684" s="14" t="s">
        <v>512</v>
      </c>
      <c r="M6684" s="14" t="s">
        <v>714</v>
      </c>
      <c r="N6684" s="14" t="s">
        <v>715</v>
      </c>
      <c r="O6684" s="14">
        <v>0.0</v>
      </c>
      <c r="P6684" s="21">
        <v>0.0</v>
      </c>
      <c r="Q6684" s="22" t="str">
        <f t="shared" si="3997"/>
        <v>+0</v>
      </c>
      <c r="R6684" s="18" t="str">
        <f t="shared" si="3998"/>
        <v>+0</v>
      </c>
      <c r="S6684" s="14" t="s">
        <v>260</v>
      </c>
    </row>
    <row r="6685">
      <c r="A6685" s="13">
        <v>45901.0</v>
      </c>
      <c r="B6685" s="14" t="s">
        <v>47</v>
      </c>
      <c r="C6685" s="14" t="s">
        <v>48</v>
      </c>
      <c r="D6685" s="14" t="s">
        <v>192</v>
      </c>
      <c r="E6685" s="14" t="s">
        <v>193</v>
      </c>
      <c r="F6685" s="15" t="s">
        <v>51</v>
      </c>
      <c r="G6685" s="14" t="s">
        <v>194</v>
      </c>
      <c r="H6685" s="14" t="s">
        <v>192</v>
      </c>
      <c r="I6685" s="14" t="s">
        <v>54</v>
      </c>
      <c r="J6685" s="14" t="s">
        <v>198</v>
      </c>
      <c r="K6685" s="14" t="s">
        <v>205</v>
      </c>
      <c r="L6685" s="14" t="s">
        <v>274</v>
      </c>
      <c r="M6685" s="14" t="s">
        <v>425</v>
      </c>
      <c r="N6685" s="14" t="s">
        <v>426</v>
      </c>
      <c r="O6685" s="14">
        <v>0.0</v>
      </c>
      <c r="P6685" s="21">
        <v>0.0</v>
      </c>
      <c r="Q6685" s="22" t="str">
        <f t="shared" si="3997"/>
        <v>+0</v>
      </c>
      <c r="S6685" s="14" t="s">
        <v>281</v>
      </c>
    </row>
    <row r="6686">
      <c r="A6686" s="13">
        <v>45901.0</v>
      </c>
      <c r="B6686" s="14" t="s">
        <v>47</v>
      </c>
      <c r="C6686" s="14" t="s">
        <v>48</v>
      </c>
      <c r="D6686" s="14" t="s">
        <v>66</v>
      </c>
      <c r="E6686" s="14" t="s">
        <v>67</v>
      </c>
      <c r="F6686" s="15" t="s">
        <v>51</v>
      </c>
      <c r="G6686" s="14" t="s">
        <v>68</v>
      </c>
      <c r="H6686" s="14" t="s">
        <v>66</v>
      </c>
      <c r="I6686" s="14" t="s">
        <v>59</v>
      </c>
      <c r="J6686" s="14" t="s">
        <v>200</v>
      </c>
      <c r="K6686" s="14" t="s">
        <v>231</v>
      </c>
      <c r="L6686" s="14" t="s">
        <v>512</v>
      </c>
      <c r="M6686" s="14" t="s">
        <v>1511</v>
      </c>
      <c r="N6686" s="14" t="s">
        <v>1512</v>
      </c>
      <c r="O6686" s="14">
        <v>0.0</v>
      </c>
      <c r="P6686" s="23">
        <v>-1.0</v>
      </c>
      <c r="Q6686" s="22" t="str">
        <f t="shared" ref="Q6686:R6686" si="3999">"+0.00%"</f>
        <v>+0.00%</v>
      </c>
      <c r="R6686" s="18" t="str">
        <f t="shared" si="3999"/>
        <v>+0.00%</v>
      </c>
      <c r="S6686" s="14" t="s">
        <v>2737</v>
      </c>
    </row>
    <row r="6687">
      <c r="A6687" s="13">
        <v>45901.0</v>
      </c>
      <c r="B6687" s="14" t="s">
        <v>47</v>
      </c>
      <c r="C6687" s="14" t="s">
        <v>48</v>
      </c>
      <c r="D6687" s="14" t="s">
        <v>103</v>
      </c>
      <c r="E6687" s="14" t="s">
        <v>104</v>
      </c>
      <c r="F6687" s="15" t="s">
        <v>51</v>
      </c>
      <c r="G6687" s="14" t="s">
        <v>105</v>
      </c>
      <c r="H6687" s="14" t="s">
        <v>106</v>
      </c>
      <c r="I6687" s="14" t="s">
        <v>59</v>
      </c>
      <c r="J6687" s="14" t="s">
        <v>199</v>
      </c>
      <c r="K6687" s="14" t="s">
        <v>206</v>
      </c>
      <c r="L6687" s="14" t="s">
        <v>295</v>
      </c>
      <c r="M6687" s="14" t="s">
        <v>296</v>
      </c>
      <c r="N6687" s="14" t="s">
        <v>297</v>
      </c>
      <c r="O6687" s="14">
        <v>0.0</v>
      </c>
      <c r="P6687" s="21">
        <v>0.0</v>
      </c>
      <c r="Q6687" s="22" t="str">
        <f t="shared" ref="Q6687:R6687" si="4000">"+0"</f>
        <v>+0</v>
      </c>
      <c r="R6687" s="18" t="str">
        <f t="shared" si="4000"/>
        <v>+0</v>
      </c>
      <c r="S6687" s="14" t="s">
        <v>260</v>
      </c>
    </row>
    <row r="6688">
      <c r="A6688" s="13">
        <v>45901.0</v>
      </c>
      <c r="B6688" s="14" t="s">
        <v>47</v>
      </c>
      <c r="C6688" s="14" t="s">
        <v>48</v>
      </c>
      <c r="D6688" s="14" t="s">
        <v>143</v>
      </c>
      <c r="E6688" s="14" t="s">
        <v>144</v>
      </c>
      <c r="F6688" s="15" t="s">
        <v>51</v>
      </c>
      <c r="G6688" s="14" t="s">
        <v>145</v>
      </c>
      <c r="H6688" s="14" t="s">
        <v>143</v>
      </c>
      <c r="I6688" s="14" t="s">
        <v>59</v>
      </c>
      <c r="J6688" s="14" t="s">
        <v>200</v>
      </c>
      <c r="K6688" s="14" t="s">
        <v>232</v>
      </c>
      <c r="L6688" s="14" t="s">
        <v>487</v>
      </c>
      <c r="M6688" s="14" t="s">
        <v>488</v>
      </c>
      <c r="N6688" s="14" t="s">
        <v>489</v>
      </c>
      <c r="O6688" s="14">
        <v>0.0</v>
      </c>
      <c r="P6688" s="21">
        <v>0.0</v>
      </c>
      <c r="Q6688" s="22" t="str">
        <f t="shared" ref="Q6688:R6688" si="4001">"+0"</f>
        <v>+0</v>
      </c>
      <c r="R6688" s="18" t="str">
        <f t="shared" si="4001"/>
        <v>+0</v>
      </c>
      <c r="S6688" s="14" t="s">
        <v>260</v>
      </c>
    </row>
    <row r="6689">
      <c r="A6689" s="13">
        <v>45901.0</v>
      </c>
      <c r="B6689" s="14" t="s">
        <v>47</v>
      </c>
      <c r="C6689" s="14" t="s">
        <v>48</v>
      </c>
      <c r="D6689" s="14" t="s">
        <v>87</v>
      </c>
      <c r="E6689" s="14" t="s">
        <v>88</v>
      </c>
      <c r="F6689" s="15" t="s">
        <v>51</v>
      </c>
      <c r="G6689" s="14" t="s">
        <v>89</v>
      </c>
      <c r="H6689" s="14" t="s">
        <v>90</v>
      </c>
      <c r="I6689" s="14" t="s">
        <v>59</v>
      </c>
      <c r="J6689" s="14" t="s">
        <v>200</v>
      </c>
      <c r="K6689" s="14" t="s">
        <v>223</v>
      </c>
      <c r="L6689" s="14" t="s">
        <v>286</v>
      </c>
      <c r="M6689" s="14" t="s">
        <v>656</v>
      </c>
      <c r="N6689" s="14" t="s">
        <v>657</v>
      </c>
      <c r="O6689" s="14">
        <v>100.0</v>
      </c>
      <c r="P6689" s="23">
        <v>0.0055</v>
      </c>
      <c r="Q6689" s="22" t="str">
        <f t="shared" ref="Q6689:R6689" si="4002">"+0.55%"</f>
        <v>+0.55%</v>
      </c>
      <c r="R6689" s="18" t="str">
        <f t="shared" si="4002"/>
        <v>+0.55%</v>
      </c>
      <c r="S6689" s="14" t="s">
        <v>285</v>
      </c>
    </row>
    <row r="6690">
      <c r="A6690" s="13">
        <v>45901.0</v>
      </c>
      <c r="B6690" s="14" t="s">
        <v>47</v>
      </c>
      <c r="C6690" s="14" t="s">
        <v>48</v>
      </c>
      <c r="D6690" s="14" t="s">
        <v>129</v>
      </c>
      <c r="E6690" s="14" t="s">
        <v>130</v>
      </c>
      <c r="F6690" s="15" t="s">
        <v>51</v>
      </c>
      <c r="G6690" s="14" t="s">
        <v>131</v>
      </c>
      <c r="H6690" s="14" t="s">
        <v>129</v>
      </c>
      <c r="I6690" s="14" t="s">
        <v>59</v>
      </c>
      <c r="J6690" s="14" t="s">
        <v>200</v>
      </c>
      <c r="K6690" s="14" t="s">
        <v>202</v>
      </c>
      <c r="L6690" s="14" t="s">
        <v>253</v>
      </c>
      <c r="M6690" s="14" t="s">
        <v>347</v>
      </c>
      <c r="N6690" s="14" t="s">
        <v>348</v>
      </c>
      <c r="O6690" s="14">
        <v>43.0</v>
      </c>
      <c r="P6690" s="23">
        <v>0.4286</v>
      </c>
      <c r="Q6690" s="22" t="str">
        <f t="shared" ref="Q6690:R6690" si="4003">"+0.00%"</f>
        <v>+0.00%</v>
      </c>
      <c r="R6690" s="18" t="str">
        <f t="shared" si="4003"/>
        <v>+0.00%</v>
      </c>
      <c r="S6690" s="14" t="s">
        <v>1717</v>
      </c>
    </row>
    <row r="6691">
      <c r="A6691" s="13">
        <v>45901.0</v>
      </c>
      <c r="B6691" s="14" t="s">
        <v>47</v>
      </c>
      <c r="C6691" s="14" t="s">
        <v>48</v>
      </c>
      <c r="D6691" s="14" t="s">
        <v>136</v>
      </c>
      <c r="E6691" s="14" t="s">
        <v>137</v>
      </c>
      <c r="F6691" s="15" t="s">
        <v>51</v>
      </c>
      <c r="G6691" s="14" t="s">
        <v>138</v>
      </c>
      <c r="H6691" s="14" t="s">
        <v>139</v>
      </c>
      <c r="I6691" s="14" t="s">
        <v>59</v>
      </c>
      <c r="J6691" s="14" t="s">
        <v>200</v>
      </c>
      <c r="K6691" s="14" t="s">
        <v>213</v>
      </c>
      <c r="L6691" s="14" t="s">
        <v>253</v>
      </c>
      <c r="M6691" s="14" t="s">
        <v>389</v>
      </c>
      <c r="N6691" s="14" t="s">
        <v>390</v>
      </c>
      <c r="O6691" s="14">
        <v>83.0</v>
      </c>
      <c r="P6691" s="23">
        <v>0.8347</v>
      </c>
      <c r="Q6691" s="22" t="str">
        <f>"+1.69%"</f>
        <v>+1.69%</v>
      </c>
      <c r="R6691" s="18" t="str">
        <f>"-3.87%"</f>
        <v>-3.87%</v>
      </c>
      <c r="S6691" s="14" t="s">
        <v>2738</v>
      </c>
    </row>
    <row r="6692">
      <c r="A6692" s="13">
        <v>45901.0</v>
      </c>
      <c r="B6692" s="14" t="s">
        <v>47</v>
      </c>
      <c r="C6692" s="14" t="s">
        <v>48</v>
      </c>
      <c r="D6692" s="14" t="s">
        <v>69</v>
      </c>
      <c r="E6692" s="14" t="s">
        <v>70</v>
      </c>
      <c r="F6692" s="15" t="s">
        <v>51</v>
      </c>
      <c r="G6692" s="14" t="s">
        <v>115</v>
      </c>
      <c r="H6692" s="14" t="s">
        <v>72</v>
      </c>
      <c r="I6692" s="14" t="s">
        <v>54</v>
      </c>
      <c r="J6692" s="14" t="s">
        <v>198</v>
      </c>
      <c r="K6692" s="14" t="s">
        <v>210</v>
      </c>
      <c r="L6692" s="14" t="s">
        <v>505</v>
      </c>
      <c r="M6692" s="14" t="s">
        <v>1393</v>
      </c>
      <c r="N6692" s="14" t="s">
        <v>1394</v>
      </c>
      <c r="O6692" s="14">
        <v>0.0</v>
      </c>
      <c r="P6692" s="21">
        <v>0.0</v>
      </c>
      <c r="Q6692" s="22" t="str">
        <f t="shared" ref="Q6692:R6692" si="4004">"+0"</f>
        <v>+0</v>
      </c>
      <c r="R6692" s="18" t="str">
        <f t="shared" si="4004"/>
        <v>+0</v>
      </c>
      <c r="S6692" s="14" t="s">
        <v>277</v>
      </c>
    </row>
    <row r="6693">
      <c r="A6693" s="13">
        <v>45901.0</v>
      </c>
      <c r="B6693" s="14" t="s">
        <v>47</v>
      </c>
      <c r="C6693" s="14" t="s">
        <v>48</v>
      </c>
      <c r="D6693" s="14" t="s">
        <v>69</v>
      </c>
      <c r="E6693" s="14" t="s">
        <v>70</v>
      </c>
      <c r="F6693" s="15" t="s">
        <v>51</v>
      </c>
      <c r="G6693" s="14" t="s">
        <v>115</v>
      </c>
      <c r="H6693" s="14" t="s">
        <v>72</v>
      </c>
      <c r="I6693" s="14" t="s">
        <v>54</v>
      </c>
      <c r="J6693" s="14" t="s">
        <v>199</v>
      </c>
      <c r="K6693" s="14" t="s">
        <v>203</v>
      </c>
      <c r="L6693" s="14" t="s">
        <v>536</v>
      </c>
      <c r="M6693" s="14" t="s">
        <v>536</v>
      </c>
      <c r="N6693" s="14" t="s">
        <v>537</v>
      </c>
      <c r="O6693" s="14">
        <v>100.0</v>
      </c>
      <c r="P6693" s="21">
        <v>2.0</v>
      </c>
      <c r="Q6693" s="22" t="str">
        <f t="shared" ref="Q6693:R6693" si="4005">"+0"</f>
        <v>+0</v>
      </c>
      <c r="R6693" s="18" t="str">
        <f t="shared" si="4005"/>
        <v>+0</v>
      </c>
      <c r="S6693" s="14" t="s">
        <v>260</v>
      </c>
    </row>
    <row r="6694">
      <c r="A6694" s="13">
        <v>45901.0</v>
      </c>
      <c r="B6694" s="14" t="s">
        <v>47</v>
      </c>
      <c r="C6694" s="14" t="s">
        <v>48</v>
      </c>
      <c r="D6694" s="14" t="s">
        <v>125</v>
      </c>
      <c r="E6694" s="14" t="s">
        <v>126</v>
      </c>
      <c r="F6694" s="15" t="s">
        <v>51</v>
      </c>
      <c r="G6694" s="14" t="s">
        <v>127</v>
      </c>
      <c r="H6694" s="14" t="s">
        <v>125</v>
      </c>
      <c r="I6694" s="14" t="s">
        <v>59</v>
      </c>
      <c r="J6694" s="14" t="s">
        <v>200</v>
      </c>
      <c r="K6694" s="14" t="s">
        <v>232</v>
      </c>
      <c r="L6694" s="14" t="s">
        <v>363</v>
      </c>
      <c r="M6694" s="14" t="s">
        <v>1634</v>
      </c>
      <c r="N6694" s="14" t="s">
        <v>1635</v>
      </c>
      <c r="O6694" s="14">
        <v>0.0</v>
      </c>
      <c r="P6694" s="23">
        <v>0.0</v>
      </c>
      <c r="Q6694" s="22" t="str">
        <f t="shared" ref="Q6694:R6694" si="4006">"+0.00%"</f>
        <v>+0.00%</v>
      </c>
      <c r="R6694" s="18" t="str">
        <f t="shared" si="4006"/>
        <v>+0.00%</v>
      </c>
      <c r="S6694" s="14" t="s">
        <v>285</v>
      </c>
    </row>
    <row r="6695">
      <c r="A6695" s="13">
        <v>45901.0</v>
      </c>
      <c r="B6695" s="14" t="s">
        <v>47</v>
      </c>
      <c r="C6695" s="14" t="s">
        <v>48</v>
      </c>
      <c r="D6695" s="14" t="s">
        <v>112</v>
      </c>
      <c r="E6695" s="14" t="s">
        <v>113</v>
      </c>
      <c r="F6695" s="15" t="s">
        <v>51</v>
      </c>
      <c r="G6695" s="14" t="s">
        <v>114</v>
      </c>
      <c r="H6695" s="14" t="s">
        <v>112</v>
      </c>
      <c r="I6695" s="14" t="s">
        <v>59</v>
      </c>
      <c r="J6695" s="14" t="s">
        <v>198</v>
      </c>
      <c r="K6695" s="14" t="s">
        <v>205</v>
      </c>
      <c r="L6695" s="14" t="s">
        <v>274</v>
      </c>
      <c r="M6695" s="14" t="s">
        <v>482</v>
      </c>
      <c r="N6695" s="14" t="s">
        <v>483</v>
      </c>
      <c r="O6695" s="14">
        <v>100.0</v>
      </c>
      <c r="P6695" s="21">
        <v>8.0</v>
      </c>
      <c r="Q6695" s="22" t="str">
        <f t="shared" ref="Q6695:Q6697" si="4007">"+0"</f>
        <v>+0</v>
      </c>
      <c r="S6695" s="14" t="s">
        <v>484</v>
      </c>
    </row>
    <row r="6696">
      <c r="A6696" s="13">
        <v>45901.0</v>
      </c>
      <c r="B6696" s="14" t="s">
        <v>47</v>
      </c>
      <c r="C6696" s="14" t="s">
        <v>48</v>
      </c>
      <c r="D6696" s="14" t="s">
        <v>77</v>
      </c>
      <c r="E6696" s="14" t="s">
        <v>78</v>
      </c>
      <c r="F6696" s="14" t="s">
        <v>71</v>
      </c>
      <c r="G6696" s="14">
        <v>5.36009043E8</v>
      </c>
      <c r="H6696" s="14" t="s">
        <v>81</v>
      </c>
      <c r="J6696" s="14" t="s">
        <v>199</v>
      </c>
      <c r="K6696" s="14" t="s">
        <v>208</v>
      </c>
      <c r="L6696" s="14" t="s">
        <v>352</v>
      </c>
      <c r="M6696" s="14" t="s">
        <v>352</v>
      </c>
      <c r="N6696" s="14" t="s">
        <v>353</v>
      </c>
      <c r="O6696" s="14">
        <v>75.0</v>
      </c>
      <c r="P6696" s="21">
        <v>1.0</v>
      </c>
      <c r="Q6696" s="22" t="str">
        <f t="shared" si="4007"/>
        <v>+0</v>
      </c>
      <c r="S6696" s="14" t="s">
        <v>260</v>
      </c>
    </row>
    <row r="6697">
      <c r="A6697" s="13">
        <v>45901.0</v>
      </c>
      <c r="B6697" s="14" t="s">
        <v>47</v>
      </c>
      <c r="C6697" s="14" t="s">
        <v>48</v>
      </c>
      <c r="D6697" s="14" t="s">
        <v>77</v>
      </c>
      <c r="E6697" s="14" t="s">
        <v>78</v>
      </c>
      <c r="F6697" s="14" t="s">
        <v>79</v>
      </c>
      <c r="G6697" s="14" t="s">
        <v>80</v>
      </c>
      <c r="H6697" s="14" t="s">
        <v>81</v>
      </c>
      <c r="J6697" s="14" t="s">
        <v>199</v>
      </c>
      <c r="K6697" s="14" t="s">
        <v>206</v>
      </c>
      <c r="L6697" s="14" t="s">
        <v>295</v>
      </c>
      <c r="M6697" s="14" t="s">
        <v>461</v>
      </c>
      <c r="N6697" s="14" t="s">
        <v>462</v>
      </c>
      <c r="O6697" s="14">
        <v>0.0</v>
      </c>
      <c r="P6697" s="21">
        <v>0.0</v>
      </c>
      <c r="Q6697" s="22" t="str">
        <f t="shared" si="4007"/>
        <v>+0</v>
      </c>
      <c r="R6697" s="18" t="str">
        <f>"+0"</f>
        <v>+0</v>
      </c>
      <c r="S6697" s="14" t="s">
        <v>260</v>
      </c>
    </row>
    <row r="6698">
      <c r="A6698" s="13">
        <v>45901.0</v>
      </c>
      <c r="B6698" s="14" t="s">
        <v>47</v>
      </c>
      <c r="C6698" s="14" t="s">
        <v>48</v>
      </c>
      <c r="D6698" s="14" t="s">
        <v>174</v>
      </c>
      <c r="E6698" s="14" t="s">
        <v>175</v>
      </c>
      <c r="F6698" s="15" t="s">
        <v>51</v>
      </c>
      <c r="G6698" s="14" t="s">
        <v>176</v>
      </c>
      <c r="H6698" s="14" t="s">
        <v>174</v>
      </c>
      <c r="I6698" s="14" t="s">
        <v>59</v>
      </c>
      <c r="J6698" s="14" t="s">
        <v>200</v>
      </c>
      <c r="K6698" s="14" t="s">
        <v>213</v>
      </c>
      <c r="L6698" s="14" t="s">
        <v>253</v>
      </c>
      <c r="M6698" s="14" t="s">
        <v>389</v>
      </c>
      <c r="N6698" s="14" t="s">
        <v>390</v>
      </c>
      <c r="O6698" s="14">
        <v>100.0</v>
      </c>
      <c r="P6698" s="23">
        <v>1.0</v>
      </c>
      <c r="Q6698" s="22" t="str">
        <f>"+0.15%"</f>
        <v>+0.15%</v>
      </c>
      <c r="R6698" s="18" t="str">
        <f>"+2.90%"</f>
        <v>+2.90%</v>
      </c>
      <c r="S6698" s="14" t="s">
        <v>2739</v>
      </c>
    </row>
    <row r="6699">
      <c r="A6699" s="13">
        <v>45901.0</v>
      </c>
      <c r="B6699" s="14" t="s">
        <v>47</v>
      </c>
      <c r="C6699" s="14" t="s">
        <v>48</v>
      </c>
      <c r="D6699" s="14" t="s">
        <v>112</v>
      </c>
      <c r="E6699" s="14" t="s">
        <v>113</v>
      </c>
      <c r="F6699" s="15" t="s">
        <v>51</v>
      </c>
      <c r="G6699" s="14" t="s">
        <v>114</v>
      </c>
      <c r="H6699" s="14" t="s">
        <v>112</v>
      </c>
      <c r="I6699" s="14" t="s">
        <v>59</v>
      </c>
      <c r="J6699" s="14" t="s">
        <v>200</v>
      </c>
      <c r="K6699" s="14" t="s">
        <v>213</v>
      </c>
      <c r="L6699" s="14" t="s">
        <v>257</v>
      </c>
      <c r="M6699" s="14" t="s">
        <v>499</v>
      </c>
      <c r="N6699" s="14" t="s">
        <v>500</v>
      </c>
      <c r="O6699" s="14">
        <v>0.0</v>
      </c>
      <c r="P6699" s="23">
        <v>0.0</v>
      </c>
      <c r="Q6699" s="22" t="str">
        <f t="shared" ref="Q6699:R6699" si="4008">"+0.00%"</f>
        <v>+0.00%</v>
      </c>
      <c r="R6699" s="18" t="str">
        <f t="shared" si="4008"/>
        <v>+0.00%</v>
      </c>
      <c r="S6699" s="14" t="s">
        <v>2740</v>
      </c>
    </row>
    <row r="6700">
      <c r="A6700" s="13">
        <v>45901.0</v>
      </c>
      <c r="B6700" s="14" t="s">
        <v>47</v>
      </c>
      <c r="C6700" s="14" t="s">
        <v>48</v>
      </c>
      <c r="D6700" s="14" t="s">
        <v>155</v>
      </c>
      <c r="E6700" s="14" t="s">
        <v>156</v>
      </c>
      <c r="F6700" s="15" t="s">
        <v>51</v>
      </c>
      <c r="G6700" s="14" t="s">
        <v>157</v>
      </c>
      <c r="H6700" s="14" t="s">
        <v>155</v>
      </c>
      <c r="I6700" s="14" t="s">
        <v>59</v>
      </c>
      <c r="J6700" s="14" t="s">
        <v>198</v>
      </c>
      <c r="K6700" s="14" t="s">
        <v>205</v>
      </c>
      <c r="L6700" s="14" t="s">
        <v>274</v>
      </c>
      <c r="M6700" s="14" t="s">
        <v>482</v>
      </c>
      <c r="N6700" s="14" t="s">
        <v>483</v>
      </c>
      <c r="O6700" s="14">
        <v>100.0</v>
      </c>
      <c r="P6700" s="21">
        <v>8.0</v>
      </c>
      <c r="Q6700" s="22" t="str">
        <f t="shared" ref="Q6700:Q6701" si="4009">"+0"</f>
        <v>+0</v>
      </c>
      <c r="S6700" s="14" t="s">
        <v>484</v>
      </c>
    </row>
    <row r="6701">
      <c r="A6701" s="13">
        <v>45901.0</v>
      </c>
      <c r="B6701" s="14" t="s">
        <v>47</v>
      </c>
      <c r="C6701" s="14" t="s">
        <v>48</v>
      </c>
      <c r="D6701" s="14" t="s">
        <v>60</v>
      </c>
      <c r="E6701" s="14" t="s">
        <v>61</v>
      </c>
      <c r="F6701" s="15" t="s">
        <v>51</v>
      </c>
      <c r="G6701" s="14" t="s">
        <v>62</v>
      </c>
      <c r="H6701" s="14" t="s">
        <v>60</v>
      </c>
      <c r="I6701" s="14" t="s">
        <v>59</v>
      </c>
      <c r="J6701" s="14" t="s">
        <v>198</v>
      </c>
      <c r="K6701" s="14" t="s">
        <v>205</v>
      </c>
      <c r="L6701" s="14" t="s">
        <v>274</v>
      </c>
      <c r="M6701" s="14" t="s">
        <v>354</v>
      </c>
      <c r="N6701" s="14" t="s">
        <v>355</v>
      </c>
      <c r="O6701" s="14">
        <v>100.0</v>
      </c>
      <c r="P6701" s="21">
        <v>3.0</v>
      </c>
      <c r="Q6701" s="22" t="str">
        <f t="shared" si="4009"/>
        <v>+0</v>
      </c>
      <c r="S6701" s="14" t="s">
        <v>356</v>
      </c>
    </row>
    <row r="6702">
      <c r="A6702" s="13">
        <v>45901.0</v>
      </c>
      <c r="B6702" s="14" t="s">
        <v>47</v>
      </c>
      <c r="C6702" s="14" t="s">
        <v>48</v>
      </c>
      <c r="D6702" s="14" t="s">
        <v>56</v>
      </c>
      <c r="E6702" s="14" t="s">
        <v>57</v>
      </c>
      <c r="F6702" s="15" t="s">
        <v>51</v>
      </c>
      <c r="G6702" s="14" t="s">
        <v>58</v>
      </c>
      <c r="H6702" s="14" t="s">
        <v>56</v>
      </c>
      <c r="I6702" s="14" t="s">
        <v>59</v>
      </c>
      <c r="J6702" s="14" t="s">
        <v>198</v>
      </c>
      <c r="K6702" s="14" t="s">
        <v>210</v>
      </c>
      <c r="L6702" s="14" t="s">
        <v>278</v>
      </c>
      <c r="M6702" s="14" t="s">
        <v>443</v>
      </c>
      <c r="N6702" s="14" t="s">
        <v>444</v>
      </c>
      <c r="O6702" s="14">
        <v>54.0</v>
      </c>
      <c r="P6702" s="21">
        <v>100.0</v>
      </c>
      <c r="Q6702" s="22" t="str">
        <f>"-0"</f>
        <v>-0</v>
      </c>
      <c r="R6702" s="18" t="str">
        <f>"-3"</f>
        <v>-3</v>
      </c>
      <c r="S6702" s="14" t="s">
        <v>267</v>
      </c>
    </row>
    <row r="6703">
      <c r="A6703" s="13">
        <v>45901.0</v>
      </c>
      <c r="B6703" s="14" t="s">
        <v>47</v>
      </c>
      <c r="C6703" s="14" t="s">
        <v>48</v>
      </c>
      <c r="D6703" s="14" t="s">
        <v>63</v>
      </c>
      <c r="E6703" s="14" t="s">
        <v>64</v>
      </c>
      <c r="F6703" s="14" t="s">
        <v>111</v>
      </c>
      <c r="G6703" s="14">
        <v>4916210.0</v>
      </c>
      <c r="H6703" s="14" t="s">
        <v>63</v>
      </c>
      <c r="I6703" s="14" t="s">
        <v>59</v>
      </c>
      <c r="J6703" s="14" t="s">
        <v>199</v>
      </c>
      <c r="K6703" s="14" t="s">
        <v>206</v>
      </c>
      <c r="L6703" s="14" t="s">
        <v>515</v>
      </c>
      <c r="M6703" s="14" t="s">
        <v>515</v>
      </c>
      <c r="N6703" s="14" t="s">
        <v>516</v>
      </c>
      <c r="O6703" s="14">
        <v>0.0</v>
      </c>
      <c r="P6703" s="21">
        <v>0.0</v>
      </c>
      <c r="Q6703" s="22" t="str">
        <f t="shared" ref="Q6703:R6703" si="4010">"+0"</f>
        <v>+0</v>
      </c>
      <c r="R6703" s="18" t="str">
        <f t="shared" si="4010"/>
        <v>+0</v>
      </c>
      <c r="S6703" s="14" t="s">
        <v>383</v>
      </c>
    </row>
    <row r="6704">
      <c r="A6704" s="13">
        <v>45901.0</v>
      </c>
      <c r="B6704" s="14" t="s">
        <v>47</v>
      </c>
      <c r="C6704" s="14" t="s">
        <v>48</v>
      </c>
      <c r="D6704" s="14" t="s">
        <v>118</v>
      </c>
      <c r="E6704" s="14" t="s">
        <v>119</v>
      </c>
      <c r="F6704" s="15" t="s">
        <v>51</v>
      </c>
      <c r="G6704" s="14" t="s">
        <v>120</v>
      </c>
      <c r="H6704" s="14" t="s">
        <v>118</v>
      </c>
      <c r="I6704" s="14" t="s">
        <v>59</v>
      </c>
      <c r="J6704" s="14" t="s">
        <v>200</v>
      </c>
      <c r="K6704" s="14" t="s">
        <v>213</v>
      </c>
      <c r="L6704" s="14" t="s">
        <v>289</v>
      </c>
      <c r="M6704" s="14" t="s">
        <v>684</v>
      </c>
      <c r="N6704" s="14" t="s">
        <v>685</v>
      </c>
      <c r="O6704" s="14">
        <v>0.0</v>
      </c>
      <c r="P6704" s="23">
        <v>0.0</v>
      </c>
      <c r="Q6704" s="22" t="str">
        <f t="shared" ref="Q6704:R6704" si="4011">"+0.00%"</f>
        <v>+0.00%</v>
      </c>
      <c r="R6704" s="18" t="str">
        <f t="shared" si="4011"/>
        <v>+0.00%</v>
      </c>
      <c r="S6704" s="14" t="s">
        <v>285</v>
      </c>
    </row>
    <row r="6705">
      <c r="A6705" s="13">
        <v>45901.0</v>
      </c>
      <c r="B6705" s="14" t="s">
        <v>47</v>
      </c>
      <c r="C6705" s="14" t="s">
        <v>48</v>
      </c>
      <c r="D6705" s="14" t="s">
        <v>63</v>
      </c>
      <c r="E6705" s="14" t="s">
        <v>64</v>
      </c>
      <c r="F6705" s="15" t="s">
        <v>51</v>
      </c>
      <c r="G6705" s="14" t="s">
        <v>65</v>
      </c>
      <c r="H6705" s="14" t="s">
        <v>63</v>
      </c>
      <c r="I6705" s="14" t="s">
        <v>54</v>
      </c>
      <c r="J6705" s="14" t="s">
        <v>200</v>
      </c>
      <c r="K6705" s="14" t="s">
        <v>228</v>
      </c>
      <c r="L6705" s="14" t="s">
        <v>253</v>
      </c>
      <c r="M6705" s="14" t="s">
        <v>1165</v>
      </c>
      <c r="N6705" s="14" t="s">
        <v>1166</v>
      </c>
      <c r="O6705" s="14">
        <v>71.0</v>
      </c>
      <c r="P6705" s="23">
        <v>0.7158</v>
      </c>
      <c r="Q6705" s="22" t="str">
        <f>"-3.10%"</f>
        <v>-3.10%</v>
      </c>
      <c r="R6705" s="18" t="str">
        <f>"-8.88%"</f>
        <v>-8.88%</v>
      </c>
      <c r="S6705" s="14" t="s">
        <v>2741</v>
      </c>
    </row>
    <row r="6706">
      <c r="A6706" s="13">
        <v>45901.0</v>
      </c>
      <c r="B6706" s="14" t="s">
        <v>47</v>
      </c>
      <c r="C6706" s="14" t="s">
        <v>48</v>
      </c>
      <c r="D6706" s="14" t="s">
        <v>63</v>
      </c>
      <c r="E6706" s="14" t="s">
        <v>64</v>
      </c>
      <c r="F6706" s="15" t="s">
        <v>51</v>
      </c>
      <c r="G6706" s="14" t="s">
        <v>65</v>
      </c>
      <c r="H6706" s="14" t="s">
        <v>63</v>
      </c>
      <c r="I6706" s="14" t="s">
        <v>54</v>
      </c>
      <c r="J6706" s="14" t="s">
        <v>200</v>
      </c>
      <c r="K6706" s="14" t="s">
        <v>224</v>
      </c>
      <c r="L6706" s="14" t="s">
        <v>453</v>
      </c>
      <c r="M6706" s="14" t="s">
        <v>454</v>
      </c>
      <c r="N6706" s="14" t="s">
        <v>455</v>
      </c>
      <c r="O6706" s="14">
        <v>100.0</v>
      </c>
      <c r="P6706" s="23">
        <v>1.0</v>
      </c>
      <c r="Q6706" s="22" t="str">
        <f t="shared" ref="Q6706:R6706" si="4012">"+0.00%"</f>
        <v>+0.00%</v>
      </c>
      <c r="R6706" s="18" t="str">
        <f t="shared" si="4012"/>
        <v>+0.00%</v>
      </c>
      <c r="S6706" s="14" t="s">
        <v>371</v>
      </c>
    </row>
    <row r="6707">
      <c r="A6707" s="13">
        <v>45901.0</v>
      </c>
      <c r="B6707" s="14" t="s">
        <v>47</v>
      </c>
      <c r="C6707" s="14" t="s">
        <v>48</v>
      </c>
      <c r="D6707" s="14" t="s">
        <v>184</v>
      </c>
      <c r="E6707" s="14" t="s">
        <v>185</v>
      </c>
      <c r="F6707" s="15" t="s">
        <v>51</v>
      </c>
      <c r="G6707" s="14" t="s">
        <v>186</v>
      </c>
      <c r="H6707" s="14" t="s">
        <v>187</v>
      </c>
      <c r="I6707" s="14" t="s">
        <v>59</v>
      </c>
      <c r="J6707" s="14" t="s">
        <v>199</v>
      </c>
      <c r="K6707" s="14" t="s">
        <v>206</v>
      </c>
      <c r="L6707" s="14" t="s">
        <v>295</v>
      </c>
      <c r="M6707" s="14" t="s">
        <v>651</v>
      </c>
      <c r="N6707" s="14" t="s">
        <v>652</v>
      </c>
      <c r="O6707" s="14">
        <v>0.0</v>
      </c>
      <c r="P6707" s="21">
        <v>0.0</v>
      </c>
      <c r="Q6707" s="22" t="str">
        <f t="shared" ref="Q6707:R6707" si="4013">"+0"</f>
        <v>+0</v>
      </c>
      <c r="R6707" s="18" t="str">
        <f t="shared" si="4013"/>
        <v>+0</v>
      </c>
      <c r="S6707" s="14" t="s">
        <v>260</v>
      </c>
    </row>
    <row r="6708">
      <c r="A6708" s="13">
        <v>45901.0</v>
      </c>
      <c r="B6708" s="14" t="s">
        <v>47</v>
      </c>
      <c r="C6708" s="14" t="s">
        <v>48</v>
      </c>
      <c r="D6708" s="14" t="s">
        <v>66</v>
      </c>
      <c r="E6708" s="14" t="s">
        <v>67</v>
      </c>
      <c r="F6708" s="15" t="s">
        <v>51</v>
      </c>
      <c r="G6708" s="14" t="s">
        <v>68</v>
      </c>
      <c r="H6708" s="14" t="s">
        <v>66</v>
      </c>
      <c r="I6708" s="14" t="s">
        <v>59</v>
      </c>
      <c r="J6708" s="14" t="s">
        <v>200</v>
      </c>
      <c r="K6708" s="14" t="s">
        <v>223</v>
      </c>
      <c r="L6708" s="14" t="s">
        <v>304</v>
      </c>
      <c r="M6708" s="14" t="s">
        <v>702</v>
      </c>
      <c r="N6708" s="14" t="s">
        <v>703</v>
      </c>
      <c r="O6708" s="14">
        <v>0.0</v>
      </c>
      <c r="P6708" s="23">
        <v>0.0</v>
      </c>
      <c r="Q6708" s="22" t="str">
        <f t="shared" ref="Q6708:R6708" si="4014">"+0.00%"</f>
        <v>+0.00%</v>
      </c>
      <c r="R6708" s="18" t="str">
        <f t="shared" si="4014"/>
        <v>+0.00%</v>
      </c>
      <c r="S6708" s="14" t="s">
        <v>285</v>
      </c>
    </row>
    <row r="6709">
      <c r="A6709" s="13">
        <v>45901.0</v>
      </c>
      <c r="B6709" s="14" t="s">
        <v>47</v>
      </c>
      <c r="C6709" s="14" t="s">
        <v>48</v>
      </c>
      <c r="D6709" s="14" t="s">
        <v>93</v>
      </c>
      <c r="E6709" s="14" t="s">
        <v>94</v>
      </c>
      <c r="F6709" s="15" t="s">
        <v>51</v>
      </c>
      <c r="G6709" s="14" t="s">
        <v>191</v>
      </c>
      <c r="H6709" s="14" t="s">
        <v>95</v>
      </c>
      <c r="I6709" s="14" t="s">
        <v>59</v>
      </c>
      <c r="J6709" s="14" t="s">
        <v>199</v>
      </c>
      <c r="K6709" s="14" t="s">
        <v>203</v>
      </c>
      <c r="L6709" s="14" t="s">
        <v>601</v>
      </c>
      <c r="M6709" s="14" t="s">
        <v>601</v>
      </c>
      <c r="N6709" s="14" t="s">
        <v>602</v>
      </c>
      <c r="O6709" s="14">
        <v>0.0</v>
      </c>
      <c r="P6709" s="21">
        <v>0.0</v>
      </c>
      <c r="Q6709" s="22" t="str">
        <f t="shared" ref="Q6709:R6709" si="4015">"+0"</f>
        <v>+0</v>
      </c>
      <c r="R6709" s="18" t="str">
        <f t="shared" si="4015"/>
        <v>+0</v>
      </c>
      <c r="S6709" s="14" t="s">
        <v>260</v>
      </c>
    </row>
    <row r="6710">
      <c r="A6710" s="13">
        <v>45901.0</v>
      </c>
      <c r="B6710" s="14" t="s">
        <v>47</v>
      </c>
      <c r="C6710" s="14" t="s">
        <v>48</v>
      </c>
      <c r="D6710" s="14" t="s">
        <v>192</v>
      </c>
      <c r="E6710" s="14" t="s">
        <v>193</v>
      </c>
      <c r="F6710" s="15" t="s">
        <v>51</v>
      </c>
      <c r="G6710" s="14" t="s">
        <v>194</v>
      </c>
      <c r="H6710" s="14" t="s">
        <v>192</v>
      </c>
      <c r="I6710" s="14" t="s">
        <v>54</v>
      </c>
      <c r="J6710" s="14" t="s">
        <v>200</v>
      </c>
      <c r="K6710" s="14" t="s">
        <v>227</v>
      </c>
      <c r="L6710" s="14" t="s">
        <v>721</v>
      </c>
      <c r="M6710" s="14" t="s">
        <v>748</v>
      </c>
      <c r="N6710" s="14" t="s">
        <v>749</v>
      </c>
      <c r="O6710" s="14">
        <v>36.0</v>
      </c>
      <c r="P6710" s="23">
        <v>-0.2727</v>
      </c>
      <c r="Q6710" s="22" t="str">
        <f>"+72.73%"</f>
        <v>+72.73%</v>
      </c>
      <c r="R6710" s="18" t="str">
        <f>"+39.39%"</f>
        <v>+39.39%</v>
      </c>
      <c r="S6710" s="14" t="s">
        <v>750</v>
      </c>
    </row>
    <row r="6711">
      <c r="A6711" s="13">
        <v>45901.0</v>
      </c>
      <c r="B6711" s="14" t="s">
        <v>47</v>
      </c>
      <c r="C6711" s="14" t="s">
        <v>48</v>
      </c>
      <c r="D6711" s="14" t="s">
        <v>143</v>
      </c>
      <c r="E6711" s="14" t="s">
        <v>144</v>
      </c>
      <c r="F6711" s="15" t="s">
        <v>51</v>
      </c>
      <c r="G6711" s="14" t="s">
        <v>145</v>
      </c>
      <c r="H6711" s="14" t="s">
        <v>143</v>
      </c>
      <c r="I6711" s="14" t="s">
        <v>59</v>
      </c>
      <c r="J6711" s="14" t="s">
        <v>200</v>
      </c>
      <c r="K6711" s="14" t="s">
        <v>224</v>
      </c>
      <c r="L6711" s="14" t="s">
        <v>427</v>
      </c>
      <c r="M6711" s="14" t="s">
        <v>921</v>
      </c>
      <c r="N6711" s="14" t="s">
        <v>922</v>
      </c>
      <c r="O6711" s="14">
        <v>0.0</v>
      </c>
      <c r="P6711" s="23">
        <v>0.0</v>
      </c>
      <c r="Q6711" s="22" t="str">
        <f>"+0.00%"</f>
        <v>+0.00%</v>
      </c>
      <c r="S6711" s="14" t="s">
        <v>923</v>
      </c>
    </row>
    <row r="6712">
      <c r="A6712" s="13">
        <v>45901.0</v>
      </c>
      <c r="B6712" s="14" t="s">
        <v>47</v>
      </c>
      <c r="C6712" s="14" t="s">
        <v>48</v>
      </c>
      <c r="D6712" s="14" t="s">
        <v>103</v>
      </c>
      <c r="E6712" s="14" t="s">
        <v>104</v>
      </c>
      <c r="F6712" s="15" t="s">
        <v>51</v>
      </c>
      <c r="G6712" s="14" t="s">
        <v>105</v>
      </c>
      <c r="H6712" s="14" t="s">
        <v>106</v>
      </c>
      <c r="I6712" s="14" t="s">
        <v>59</v>
      </c>
      <c r="J6712" s="14" t="s">
        <v>200</v>
      </c>
      <c r="K6712" s="14" t="s">
        <v>232</v>
      </c>
      <c r="L6712" s="14" t="s">
        <v>363</v>
      </c>
      <c r="M6712" s="14" t="s">
        <v>1043</v>
      </c>
      <c r="N6712" s="14" t="s">
        <v>1044</v>
      </c>
      <c r="O6712" s="14">
        <v>100.0</v>
      </c>
      <c r="P6712" s="23">
        <v>0.0909</v>
      </c>
      <c r="Q6712" s="22" t="str">
        <f>"+9.09%"</f>
        <v>+9.09%</v>
      </c>
      <c r="R6712" s="18" t="str">
        <f>"-3.41%"</f>
        <v>-3.41%</v>
      </c>
      <c r="S6712" s="14" t="s">
        <v>285</v>
      </c>
    </row>
    <row r="6713">
      <c r="A6713" s="13">
        <v>45901.0</v>
      </c>
      <c r="B6713" s="14" t="s">
        <v>47</v>
      </c>
      <c r="C6713" s="14" t="s">
        <v>48</v>
      </c>
      <c r="D6713" s="14" t="s">
        <v>149</v>
      </c>
      <c r="E6713" s="14" t="s">
        <v>150</v>
      </c>
      <c r="F6713" s="15" t="s">
        <v>51</v>
      </c>
      <c r="G6713" s="14" t="s">
        <v>151</v>
      </c>
      <c r="H6713" s="14" t="s">
        <v>152</v>
      </c>
      <c r="I6713" s="14" t="s">
        <v>54</v>
      </c>
      <c r="J6713" s="14" t="s">
        <v>200</v>
      </c>
      <c r="K6713" s="14" t="s">
        <v>223</v>
      </c>
      <c r="L6713" s="14" t="s">
        <v>257</v>
      </c>
      <c r="M6713" s="14" t="s">
        <v>499</v>
      </c>
      <c r="N6713" s="14" t="s">
        <v>500</v>
      </c>
      <c r="O6713" s="14">
        <v>0.0</v>
      </c>
      <c r="P6713" s="23">
        <v>0.0</v>
      </c>
      <c r="Q6713" s="22" t="str">
        <f t="shared" ref="Q6713:R6713" si="4016">"+0.00%"</f>
        <v>+0.00%</v>
      </c>
      <c r="R6713" s="18" t="str">
        <f t="shared" si="4016"/>
        <v>+0.00%</v>
      </c>
      <c r="S6713" s="14" t="s">
        <v>2361</v>
      </c>
    </row>
    <row r="6714">
      <c r="A6714" s="13">
        <v>45901.0</v>
      </c>
      <c r="B6714" s="14" t="s">
        <v>47</v>
      </c>
      <c r="C6714" s="14" t="s">
        <v>48</v>
      </c>
      <c r="D6714" s="14" t="s">
        <v>96</v>
      </c>
      <c r="E6714" s="14" t="s">
        <v>97</v>
      </c>
      <c r="F6714" s="15" t="s">
        <v>51</v>
      </c>
      <c r="G6714" s="14" t="s">
        <v>98</v>
      </c>
      <c r="H6714" s="14" t="s">
        <v>96</v>
      </c>
      <c r="I6714" s="14" t="s">
        <v>59</v>
      </c>
      <c r="J6714" s="14" t="s">
        <v>200</v>
      </c>
      <c r="K6714" s="14" t="s">
        <v>223</v>
      </c>
      <c r="L6714" s="14" t="s">
        <v>261</v>
      </c>
      <c r="M6714" s="14" t="s">
        <v>906</v>
      </c>
      <c r="N6714" s="14" t="s">
        <v>907</v>
      </c>
      <c r="O6714" s="14">
        <v>0.0</v>
      </c>
      <c r="P6714" s="23">
        <v>0.0</v>
      </c>
      <c r="Q6714" s="22" t="str">
        <f t="shared" ref="Q6714:R6714" si="4017">"+0.00%"</f>
        <v>+0.00%</v>
      </c>
      <c r="R6714" s="18" t="str">
        <f t="shared" si="4017"/>
        <v>+0.00%</v>
      </c>
      <c r="S6714" s="14" t="s">
        <v>2742</v>
      </c>
    </row>
    <row r="6715">
      <c r="A6715" s="13">
        <v>45901.0</v>
      </c>
      <c r="B6715" s="14" t="s">
        <v>47</v>
      </c>
      <c r="C6715" s="14" t="s">
        <v>48</v>
      </c>
      <c r="D6715" s="14" t="s">
        <v>69</v>
      </c>
      <c r="E6715" s="14" t="s">
        <v>70</v>
      </c>
      <c r="F6715" s="15" t="s">
        <v>51</v>
      </c>
      <c r="G6715" s="14" t="s">
        <v>115</v>
      </c>
      <c r="H6715" s="14" t="s">
        <v>72</v>
      </c>
      <c r="I6715" s="14" t="s">
        <v>54</v>
      </c>
      <c r="J6715" s="14" t="s">
        <v>198</v>
      </c>
      <c r="K6715" s="14" t="s">
        <v>210</v>
      </c>
      <c r="L6715" s="14" t="s">
        <v>264</v>
      </c>
      <c r="M6715" s="14" t="s">
        <v>638</v>
      </c>
      <c r="N6715" s="14" t="s">
        <v>639</v>
      </c>
      <c r="O6715" s="14">
        <v>0.0</v>
      </c>
      <c r="P6715" s="21">
        <v>0.0</v>
      </c>
      <c r="Q6715" s="22" t="str">
        <f t="shared" ref="Q6715:R6715" si="4018">"+0"</f>
        <v>+0</v>
      </c>
      <c r="R6715" s="18" t="str">
        <f t="shared" si="4018"/>
        <v>+0</v>
      </c>
      <c r="S6715" s="14" t="s">
        <v>277</v>
      </c>
    </row>
    <row r="6716">
      <c r="A6716" s="13">
        <v>45901.0</v>
      </c>
      <c r="B6716" s="14" t="s">
        <v>47</v>
      </c>
      <c r="C6716" s="14" t="s">
        <v>48</v>
      </c>
      <c r="D6716" s="14" t="s">
        <v>96</v>
      </c>
      <c r="E6716" s="14" t="s">
        <v>97</v>
      </c>
      <c r="F6716" s="15" t="s">
        <v>51</v>
      </c>
      <c r="G6716" s="14" t="s">
        <v>98</v>
      </c>
      <c r="H6716" s="14" t="s">
        <v>96</v>
      </c>
      <c r="I6716" s="14" t="s">
        <v>59</v>
      </c>
      <c r="J6716" s="14" t="s">
        <v>200</v>
      </c>
      <c r="K6716" s="14" t="s">
        <v>223</v>
      </c>
      <c r="L6716" s="14" t="s">
        <v>286</v>
      </c>
      <c r="M6716" s="14" t="s">
        <v>588</v>
      </c>
      <c r="N6716" s="14" t="s">
        <v>589</v>
      </c>
      <c r="O6716" s="14">
        <v>0.0</v>
      </c>
      <c r="P6716" s="23">
        <v>0.0</v>
      </c>
      <c r="Q6716" s="22" t="str">
        <f t="shared" ref="Q6716:R6716" si="4019">"+0.00%"</f>
        <v>+0.00%</v>
      </c>
      <c r="R6716" s="18" t="str">
        <f t="shared" si="4019"/>
        <v>+0.00%</v>
      </c>
      <c r="S6716" s="14" t="s">
        <v>285</v>
      </c>
    </row>
    <row r="6717">
      <c r="A6717" s="13">
        <v>45901.0</v>
      </c>
      <c r="B6717" s="14" t="s">
        <v>47</v>
      </c>
      <c r="C6717" s="14" t="s">
        <v>48</v>
      </c>
      <c r="D6717" s="14" t="s">
        <v>69</v>
      </c>
      <c r="E6717" s="14" t="s">
        <v>70</v>
      </c>
      <c r="F6717" s="15" t="s">
        <v>51</v>
      </c>
      <c r="G6717" s="14" t="s">
        <v>115</v>
      </c>
      <c r="H6717" s="14" t="s">
        <v>72</v>
      </c>
      <c r="I6717" s="14" t="s">
        <v>54</v>
      </c>
      <c r="J6717" s="14" t="s">
        <v>200</v>
      </c>
      <c r="K6717" s="14" t="s">
        <v>219</v>
      </c>
      <c r="L6717" s="14" t="s">
        <v>253</v>
      </c>
      <c r="M6717" s="14" t="s">
        <v>2238</v>
      </c>
      <c r="N6717" s="14" t="s">
        <v>2239</v>
      </c>
      <c r="O6717" s="14">
        <v>0.0</v>
      </c>
      <c r="P6717" s="23">
        <v>0.0</v>
      </c>
      <c r="Q6717" s="22" t="str">
        <f t="shared" ref="Q6717:R6717" si="4020">"+0.00%"</f>
        <v>+0.00%</v>
      </c>
      <c r="R6717" s="18" t="str">
        <f t="shared" si="4020"/>
        <v>+0.00%</v>
      </c>
      <c r="S6717" s="14" t="s">
        <v>285</v>
      </c>
    </row>
    <row r="6718">
      <c r="A6718" s="13">
        <v>45901.0</v>
      </c>
      <c r="B6718" s="14" t="s">
        <v>47</v>
      </c>
      <c r="C6718" s="14" t="s">
        <v>48</v>
      </c>
      <c r="D6718" s="14" t="s">
        <v>158</v>
      </c>
      <c r="E6718" s="14" t="s">
        <v>159</v>
      </c>
      <c r="F6718" s="15" t="s">
        <v>51</v>
      </c>
      <c r="G6718" s="14" t="s">
        <v>160</v>
      </c>
      <c r="H6718" s="14" t="s">
        <v>158</v>
      </c>
      <c r="I6718" s="14" t="s">
        <v>54</v>
      </c>
      <c r="J6718" s="14" t="s">
        <v>198</v>
      </c>
      <c r="K6718" s="14" t="s">
        <v>210</v>
      </c>
      <c r="L6718" s="14" t="s">
        <v>458</v>
      </c>
      <c r="M6718" s="14" t="s">
        <v>459</v>
      </c>
      <c r="N6718" s="14" t="s">
        <v>460</v>
      </c>
      <c r="O6718" s="14">
        <v>100.0</v>
      </c>
      <c r="P6718" s="21">
        <v>0.0</v>
      </c>
      <c r="Q6718" s="22" t="str">
        <f t="shared" ref="Q6718:R6718" si="4021">"+0"</f>
        <v>+0</v>
      </c>
      <c r="R6718" s="18" t="str">
        <f t="shared" si="4021"/>
        <v>+0</v>
      </c>
      <c r="S6718" s="14" t="s">
        <v>281</v>
      </c>
    </row>
    <row r="6719">
      <c r="A6719" s="13">
        <v>45901.0</v>
      </c>
      <c r="B6719" s="14" t="s">
        <v>47</v>
      </c>
      <c r="C6719" s="14" t="s">
        <v>48</v>
      </c>
      <c r="D6719" s="14" t="s">
        <v>158</v>
      </c>
      <c r="E6719" s="14" t="s">
        <v>159</v>
      </c>
      <c r="F6719" s="15" t="s">
        <v>51</v>
      </c>
      <c r="G6719" s="14" t="s">
        <v>160</v>
      </c>
      <c r="H6719" s="14" t="s">
        <v>158</v>
      </c>
      <c r="I6719" s="14" t="s">
        <v>54</v>
      </c>
      <c r="J6719" s="14" t="s">
        <v>198</v>
      </c>
      <c r="K6719" s="14" t="s">
        <v>210</v>
      </c>
      <c r="L6719" s="14" t="s">
        <v>458</v>
      </c>
      <c r="M6719" s="14" t="s">
        <v>1401</v>
      </c>
      <c r="N6719" s="14" t="s">
        <v>1402</v>
      </c>
      <c r="O6719" s="14">
        <v>0.0</v>
      </c>
      <c r="P6719" s="21">
        <v>0.0</v>
      </c>
      <c r="Q6719" s="22" t="str">
        <f t="shared" ref="Q6719:R6719" si="4022">"+0"</f>
        <v>+0</v>
      </c>
      <c r="R6719" s="18" t="str">
        <f t="shared" si="4022"/>
        <v>+0</v>
      </c>
      <c r="S6719" s="14" t="s">
        <v>277</v>
      </c>
    </row>
    <row r="6720">
      <c r="A6720" s="13">
        <v>45901.0</v>
      </c>
      <c r="B6720" s="14" t="s">
        <v>47</v>
      </c>
      <c r="C6720" s="14" t="s">
        <v>48</v>
      </c>
      <c r="D6720" s="14" t="s">
        <v>174</v>
      </c>
      <c r="E6720" s="14" t="s">
        <v>175</v>
      </c>
      <c r="F6720" s="15" t="s">
        <v>51</v>
      </c>
      <c r="G6720" s="14" t="s">
        <v>176</v>
      </c>
      <c r="H6720" s="14" t="s">
        <v>174</v>
      </c>
      <c r="I6720" s="14" t="s">
        <v>59</v>
      </c>
      <c r="J6720" s="14" t="s">
        <v>200</v>
      </c>
      <c r="K6720" s="14" t="s">
        <v>213</v>
      </c>
      <c r="L6720" s="14" t="s">
        <v>289</v>
      </c>
      <c r="M6720" s="14" t="s">
        <v>684</v>
      </c>
      <c r="N6720" s="14" t="s">
        <v>685</v>
      </c>
      <c r="O6720" s="14">
        <v>0.0</v>
      </c>
      <c r="P6720" s="23">
        <v>0.0</v>
      </c>
      <c r="Q6720" s="22" t="str">
        <f t="shared" ref="Q6720:R6720" si="4023">"+0.00%"</f>
        <v>+0.00%</v>
      </c>
      <c r="R6720" s="18" t="str">
        <f t="shared" si="4023"/>
        <v>+0.00%</v>
      </c>
      <c r="S6720" s="14" t="s">
        <v>285</v>
      </c>
    </row>
    <row r="6721">
      <c r="A6721" s="13">
        <v>45901.0</v>
      </c>
      <c r="B6721" s="14" t="s">
        <v>47</v>
      </c>
      <c r="C6721" s="14" t="s">
        <v>48</v>
      </c>
      <c r="D6721" s="14" t="s">
        <v>108</v>
      </c>
      <c r="E6721" s="14" t="s">
        <v>109</v>
      </c>
      <c r="F6721" s="15" t="s">
        <v>51</v>
      </c>
      <c r="G6721" s="14" t="s">
        <v>110</v>
      </c>
      <c r="H6721" s="14" t="s">
        <v>108</v>
      </c>
      <c r="I6721" s="14" t="s">
        <v>59</v>
      </c>
      <c r="J6721" s="14" t="s">
        <v>200</v>
      </c>
      <c r="K6721" s="14" t="s">
        <v>213</v>
      </c>
      <c r="L6721" s="14" t="s">
        <v>307</v>
      </c>
      <c r="M6721" s="14" t="s">
        <v>502</v>
      </c>
      <c r="N6721" s="14" t="s">
        <v>503</v>
      </c>
      <c r="O6721" s="14">
        <v>16.0</v>
      </c>
      <c r="P6721" s="23">
        <v>0.1667</v>
      </c>
      <c r="Q6721" s="22" t="str">
        <f>"-3.34%"</f>
        <v>-3.34%</v>
      </c>
      <c r="S6721" s="14" t="s">
        <v>2743</v>
      </c>
    </row>
    <row r="6722">
      <c r="A6722" s="13">
        <v>45901.0</v>
      </c>
      <c r="B6722" s="14" t="s">
        <v>47</v>
      </c>
      <c r="C6722" s="14" t="s">
        <v>48</v>
      </c>
      <c r="D6722" s="14" t="s">
        <v>108</v>
      </c>
      <c r="E6722" s="14" t="s">
        <v>109</v>
      </c>
      <c r="F6722" s="14" t="s">
        <v>146</v>
      </c>
      <c r="G6722" s="14" t="s">
        <v>180</v>
      </c>
      <c r="H6722" s="14" t="s">
        <v>108</v>
      </c>
      <c r="I6722" s="14" t="s">
        <v>59</v>
      </c>
      <c r="J6722" s="14" t="s">
        <v>200</v>
      </c>
      <c r="K6722" s="14" t="s">
        <v>226</v>
      </c>
      <c r="L6722" s="14" t="s">
        <v>253</v>
      </c>
      <c r="M6722" s="14" t="s">
        <v>2730</v>
      </c>
      <c r="N6722" s="14" t="s">
        <v>2731</v>
      </c>
      <c r="O6722" s="14">
        <v>100.0</v>
      </c>
      <c r="P6722" s="23">
        <v>1.0</v>
      </c>
      <c r="Q6722" s="22" t="str">
        <f>"+100.00%"</f>
        <v>+100.00%</v>
      </c>
      <c r="S6722" s="14" t="s">
        <v>2744</v>
      </c>
    </row>
    <row r="6723">
      <c r="A6723" s="13">
        <v>45901.0</v>
      </c>
      <c r="B6723" s="14" t="s">
        <v>47</v>
      </c>
      <c r="C6723" s="14" t="s">
        <v>48</v>
      </c>
      <c r="D6723" s="14" t="s">
        <v>56</v>
      </c>
      <c r="E6723" s="14" t="s">
        <v>57</v>
      </c>
      <c r="F6723" s="15" t="s">
        <v>51</v>
      </c>
      <c r="G6723" s="14" t="s">
        <v>58</v>
      </c>
      <c r="H6723" s="14" t="s">
        <v>56</v>
      </c>
      <c r="I6723" s="14" t="s">
        <v>59</v>
      </c>
      <c r="J6723" s="14" t="s">
        <v>200</v>
      </c>
      <c r="K6723" s="14" t="s">
        <v>223</v>
      </c>
      <c r="L6723" s="14" t="s">
        <v>607</v>
      </c>
      <c r="M6723" s="14" t="s">
        <v>1027</v>
      </c>
      <c r="N6723" s="14" t="s">
        <v>1028</v>
      </c>
      <c r="O6723" s="14">
        <v>0.0</v>
      </c>
      <c r="P6723" s="23">
        <v>-1.0</v>
      </c>
      <c r="Q6723" s="22" t="str">
        <f t="shared" ref="Q6723:R6723" si="4024">"+0.00%"</f>
        <v>+0.00%</v>
      </c>
      <c r="R6723" s="18" t="str">
        <f t="shared" si="4024"/>
        <v>+0.00%</v>
      </c>
      <c r="S6723" s="14" t="s">
        <v>2745</v>
      </c>
    </row>
    <row r="6724">
      <c r="A6724" s="13">
        <v>45901.0</v>
      </c>
      <c r="B6724" s="14" t="s">
        <v>47</v>
      </c>
      <c r="C6724" s="14" t="s">
        <v>48</v>
      </c>
      <c r="D6724" s="14" t="s">
        <v>140</v>
      </c>
      <c r="E6724" s="14" t="s">
        <v>141</v>
      </c>
      <c r="F6724" s="15" t="s">
        <v>51</v>
      </c>
      <c r="G6724" s="14" t="s">
        <v>142</v>
      </c>
      <c r="H6724" s="14" t="s">
        <v>140</v>
      </c>
      <c r="I6724" s="14" t="s">
        <v>59</v>
      </c>
      <c r="J6724" s="14" t="s">
        <v>200</v>
      </c>
      <c r="K6724" s="14" t="s">
        <v>213</v>
      </c>
      <c r="L6724" s="14" t="s">
        <v>253</v>
      </c>
      <c r="M6724" s="14" t="s">
        <v>552</v>
      </c>
      <c r="N6724" s="14" t="s">
        <v>553</v>
      </c>
      <c r="O6724" s="14">
        <v>11.0</v>
      </c>
      <c r="P6724" s="23">
        <v>0.115</v>
      </c>
      <c r="Q6724" s="22" t="str">
        <f>"+1.16%"</f>
        <v>+1.16%</v>
      </c>
      <c r="R6724" s="18" t="str">
        <f>"-3.55%"</f>
        <v>-3.55%</v>
      </c>
      <c r="S6724" s="14" t="s">
        <v>2746</v>
      </c>
    </row>
    <row r="6725">
      <c r="A6725" s="13">
        <v>45901.0</v>
      </c>
      <c r="B6725" s="14" t="s">
        <v>47</v>
      </c>
      <c r="C6725" s="14" t="s">
        <v>48</v>
      </c>
      <c r="D6725" s="14" t="s">
        <v>165</v>
      </c>
      <c r="E6725" s="14" t="s">
        <v>166</v>
      </c>
      <c r="F6725" s="15" t="s">
        <v>51</v>
      </c>
      <c r="G6725" s="14" t="s">
        <v>167</v>
      </c>
      <c r="H6725" s="14" t="s">
        <v>165</v>
      </c>
      <c r="I6725" s="14" t="s">
        <v>54</v>
      </c>
      <c r="J6725" s="14" t="s">
        <v>199</v>
      </c>
      <c r="K6725" s="14" t="s">
        <v>206</v>
      </c>
      <c r="L6725" s="14" t="s">
        <v>381</v>
      </c>
      <c r="M6725" s="14" t="s">
        <v>381</v>
      </c>
      <c r="N6725" s="14" t="s">
        <v>382</v>
      </c>
      <c r="O6725" s="14">
        <v>75.0</v>
      </c>
      <c r="P6725" s="21">
        <v>1.0</v>
      </c>
      <c r="Q6725" s="22" t="str">
        <f t="shared" ref="Q6725:R6725" si="4025">"+0"</f>
        <v>+0</v>
      </c>
      <c r="R6725" s="18" t="str">
        <f t="shared" si="4025"/>
        <v>+0</v>
      </c>
      <c r="S6725" s="14" t="s">
        <v>383</v>
      </c>
    </row>
    <row r="6726">
      <c r="A6726" s="13">
        <v>45901.0</v>
      </c>
      <c r="B6726" s="14" t="s">
        <v>47</v>
      </c>
      <c r="C6726" s="14" t="s">
        <v>48</v>
      </c>
      <c r="D6726" s="14" t="s">
        <v>165</v>
      </c>
      <c r="E6726" s="14" t="s">
        <v>166</v>
      </c>
      <c r="F6726" s="15" t="s">
        <v>51</v>
      </c>
      <c r="G6726" s="14" t="s">
        <v>167</v>
      </c>
      <c r="H6726" s="14" t="s">
        <v>165</v>
      </c>
      <c r="I6726" s="14" t="s">
        <v>54</v>
      </c>
      <c r="J6726" s="14" t="s">
        <v>198</v>
      </c>
      <c r="K6726" s="14" t="s">
        <v>210</v>
      </c>
      <c r="L6726" s="14" t="s">
        <v>278</v>
      </c>
      <c r="M6726" s="14" t="s">
        <v>279</v>
      </c>
      <c r="N6726" s="14" t="s">
        <v>280</v>
      </c>
      <c r="O6726" s="14">
        <v>100.0</v>
      </c>
      <c r="P6726" s="21">
        <v>0.0</v>
      </c>
      <c r="Q6726" s="22" t="str">
        <f t="shared" ref="Q6726:R6726" si="4026">"+0"</f>
        <v>+0</v>
      </c>
      <c r="R6726" s="18" t="str">
        <f t="shared" si="4026"/>
        <v>+0</v>
      </c>
      <c r="S6726" s="14" t="s">
        <v>281</v>
      </c>
    </row>
    <row r="6727">
      <c r="A6727" s="13">
        <v>45901.0</v>
      </c>
      <c r="B6727" s="14" t="s">
        <v>47</v>
      </c>
      <c r="C6727" s="14" t="s">
        <v>48</v>
      </c>
      <c r="D6727" s="14" t="s">
        <v>165</v>
      </c>
      <c r="E6727" s="14" t="s">
        <v>166</v>
      </c>
      <c r="F6727" s="15" t="s">
        <v>51</v>
      </c>
      <c r="G6727" s="14" t="s">
        <v>167</v>
      </c>
      <c r="H6727" s="14" t="s">
        <v>165</v>
      </c>
      <c r="I6727" s="14" t="s">
        <v>54</v>
      </c>
      <c r="J6727" s="14" t="s">
        <v>200</v>
      </c>
      <c r="K6727" s="14" t="s">
        <v>222</v>
      </c>
      <c r="L6727" s="14" t="s">
        <v>337</v>
      </c>
      <c r="M6727" s="14" t="s">
        <v>1000</v>
      </c>
      <c r="N6727" s="14" t="s">
        <v>1001</v>
      </c>
      <c r="O6727" s="14">
        <v>0.0</v>
      </c>
      <c r="P6727" s="21">
        <v>0.0</v>
      </c>
      <c r="Q6727" s="22" t="str">
        <f t="shared" ref="Q6727:R6727" si="4027">"+0"</f>
        <v>+0</v>
      </c>
      <c r="R6727" s="18" t="str">
        <f t="shared" si="4027"/>
        <v>+0</v>
      </c>
      <c r="S6727" s="14" t="s">
        <v>260</v>
      </c>
    </row>
    <row r="6728">
      <c r="A6728" s="13">
        <v>45901.0</v>
      </c>
      <c r="B6728" s="14" t="s">
        <v>47</v>
      </c>
      <c r="C6728" s="14" t="s">
        <v>48</v>
      </c>
      <c r="D6728" s="14" t="s">
        <v>118</v>
      </c>
      <c r="E6728" s="14" t="s">
        <v>119</v>
      </c>
      <c r="F6728" s="15" t="s">
        <v>51</v>
      </c>
      <c r="G6728" s="14" t="s">
        <v>120</v>
      </c>
      <c r="H6728" s="14" t="s">
        <v>118</v>
      </c>
      <c r="I6728" s="14" t="s">
        <v>59</v>
      </c>
      <c r="J6728" s="14" t="s">
        <v>200</v>
      </c>
      <c r="K6728" s="14" t="s">
        <v>213</v>
      </c>
      <c r="L6728" s="14" t="s">
        <v>359</v>
      </c>
      <c r="M6728" s="14" t="s">
        <v>628</v>
      </c>
      <c r="N6728" s="14" t="s">
        <v>629</v>
      </c>
      <c r="O6728" s="14">
        <v>100.0</v>
      </c>
      <c r="P6728" s="21">
        <v>5.0</v>
      </c>
      <c r="Q6728" s="22" t="str">
        <f t="shared" ref="Q6728:R6728" si="4028">"+0"</f>
        <v>+0</v>
      </c>
      <c r="R6728" s="18" t="str">
        <f t="shared" si="4028"/>
        <v>+0</v>
      </c>
      <c r="S6728" s="14" t="s">
        <v>260</v>
      </c>
    </row>
    <row r="6729">
      <c r="A6729" s="13">
        <v>45901.0</v>
      </c>
      <c r="B6729" s="14" t="s">
        <v>47</v>
      </c>
      <c r="C6729" s="14" t="s">
        <v>48</v>
      </c>
      <c r="D6729" s="14" t="s">
        <v>63</v>
      </c>
      <c r="E6729" s="14" t="s">
        <v>64</v>
      </c>
      <c r="F6729" s="15" t="s">
        <v>51</v>
      </c>
      <c r="G6729" s="14" t="s">
        <v>65</v>
      </c>
      <c r="H6729" s="14" t="s">
        <v>63</v>
      </c>
      <c r="I6729" s="14" t="s">
        <v>54</v>
      </c>
      <c r="J6729" s="14" t="s">
        <v>199</v>
      </c>
      <c r="K6729" s="14" t="s">
        <v>203</v>
      </c>
      <c r="L6729" s="14" t="s">
        <v>1088</v>
      </c>
      <c r="M6729" s="14" t="s">
        <v>1089</v>
      </c>
      <c r="N6729" s="14" t="s">
        <v>1090</v>
      </c>
      <c r="O6729" s="14">
        <v>100.0</v>
      </c>
      <c r="P6729" s="21">
        <v>1.0</v>
      </c>
      <c r="Q6729" s="22" t="str">
        <f t="shared" ref="Q6729:R6729" si="4029">"-1"</f>
        <v>-1</v>
      </c>
      <c r="R6729" s="18" t="str">
        <f t="shared" si="4029"/>
        <v>-1</v>
      </c>
      <c r="S6729" s="14" t="s">
        <v>260</v>
      </c>
    </row>
    <row r="6730">
      <c r="A6730" s="13">
        <v>45901.0</v>
      </c>
      <c r="B6730" s="14" t="s">
        <v>47</v>
      </c>
      <c r="C6730" s="14" t="s">
        <v>48</v>
      </c>
      <c r="D6730" s="14" t="s">
        <v>63</v>
      </c>
      <c r="E6730" s="14" t="s">
        <v>64</v>
      </c>
      <c r="F6730" s="15" t="s">
        <v>51</v>
      </c>
      <c r="G6730" s="14" t="s">
        <v>65</v>
      </c>
      <c r="H6730" s="14" t="s">
        <v>63</v>
      </c>
      <c r="I6730" s="14" t="s">
        <v>54</v>
      </c>
      <c r="J6730" s="14" t="s">
        <v>198</v>
      </c>
      <c r="K6730" s="14" t="s">
        <v>205</v>
      </c>
      <c r="L6730" s="14" t="s">
        <v>274</v>
      </c>
      <c r="M6730" s="14" t="s">
        <v>387</v>
      </c>
      <c r="N6730" s="14" t="s">
        <v>388</v>
      </c>
      <c r="O6730" s="14">
        <v>100.0</v>
      </c>
      <c r="P6730" s="21">
        <v>1.0</v>
      </c>
      <c r="Q6730" s="22" t="str">
        <f>"+0"</f>
        <v>+0</v>
      </c>
      <c r="S6730" s="14" t="s">
        <v>281</v>
      </c>
    </row>
    <row r="6731">
      <c r="A6731" s="13">
        <v>45901.0</v>
      </c>
      <c r="B6731" s="14" t="s">
        <v>47</v>
      </c>
      <c r="C6731" s="14" t="s">
        <v>48</v>
      </c>
      <c r="D6731" s="14" t="s">
        <v>91</v>
      </c>
      <c r="E6731" s="14" t="s">
        <v>92</v>
      </c>
      <c r="F6731" s="15" t="s">
        <v>51</v>
      </c>
      <c r="G6731" s="14" t="s">
        <v>163</v>
      </c>
      <c r="H6731" s="14" t="s">
        <v>91</v>
      </c>
      <c r="I6731" s="14" t="s">
        <v>59</v>
      </c>
      <c r="J6731" s="14" t="s">
        <v>200</v>
      </c>
      <c r="K6731" s="14" t="s">
        <v>223</v>
      </c>
      <c r="L6731" s="14" t="s">
        <v>591</v>
      </c>
      <c r="M6731" s="14" t="s">
        <v>592</v>
      </c>
      <c r="N6731" s="14" t="s">
        <v>593</v>
      </c>
      <c r="O6731" s="14">
        <v>0.0</v>
      </c>
      <c r="P6731" s="23">
        <v>0.0</v>
      </c>
      <c r="Q6731" s="22" t="str">
        <f t="shared" ref="Q6731:R6731" si="4030">"+0.00%"</f>
        <v>+0.00%</v>
      </c>
      <c r="R6731" s="18" t="str">
        <f t="shared" si="4030"/>
        <v>+0.00%</v>
      </c>
      <c r="S6731" s="14" t="s">
        <v>285</v>
      </c>
    </row>
    <row r="6732">
      <c r="A6732" s="13">
        <v>45901.0</v>
      </c>
      <c r="B6732" s="14" t="s">
        <v>47</v>
      </c>
      <c r="C6732" s="14" t="s">
        <v>48</v>
      </c>
      <c r="D6732" s="14" t="s">
        <v>63</v>
      </c>
      <c r="E6732" s="14" t="s">
        <v>64</v>
      </c>
      <c r="F6732" s="15" t="s">
        <v>51</v>
      </c>
      <c r="G6732" s="14" t="s">
        <v>65</v>
      </c>
      <c r="H6732" s="14" t="s">
        <v>63</v>
      </c>
      <c r="I6732" s="14" t="s">
        <v>54</v>
      </c>
      <c r="J6732" s="14" t="s">
        <v>200</v>
      </c>
      <c r="K6732" s="14" t="s">
        <v>213</v>
      </c>
      <c r="L6732" s="14" t="s">
        <v>571</v>
      </c>
      <c r="M6732" s="14" t="s">
        <v>572</v>
      </c>
      <c r="N6732" s="14" t="s">
        <v>573</v>
      </c>
      <c r="O6732" s="14">
        <v>0.0</v>
      </c>
      <c r="P6732" s="23">
        <v>0.0</v>
      </c>
      <c r="Q6732" s="22" t="str">
        <f t="shared" ref="Q6732:R6732" si="4031">"+0.00%"</f>
        <v>+0.00%</v>
      </c>
      <c r="R6732" s="18" t="str">
        <f t="shared" si="4031"/>
        <v>+0.00%</v>
      </c>
      <c r="S6732" s="14" t="s">
        <v>285</v>
      </c>
    </row>
    <row r="6733">
      <c r="A6733" s="13">
        <v>45901.0</v>
      </c>
      <c r="B6733" s="14" t="s">
        <v>47</v>
      </c>
      <c r="C6733" s="14" t="s">
        <v>48</v>
      </c>
      <c r="D6733" s="14" t="s">
        <v>91</v>
      </c>
      <c r="E6733" s="14" t="s">
        <v>92</v>
      </c>
      <c r="F6733" s="14" t="s">
        <v>71</v>
      </c>
      <c r="G6733" s="14">
        <v>5.10000484E8</v>
      </c>
      <c r="H6733" s="14" t="s">
        <v>91</v>
      </c>
      <c r="I6733" s="14" t="s">
        <v>54</v>
      </c>
      <c r="J6733" s="14" t="s">
        <v>199</v>
      </c>
      <c r="K6733" s="14" t="s">
        <v>206</v>
      </c>
      <c r="L6733" s="14" t="s">
        <v>515</v>
      </c>
      <c r="M6733" s="14" t="s">
        <v>515</v>
      </c>
      <c r="N6733" s="14" t="s">
        <v>516</v>
      </c>
      <c r="O6733" s="14">
        <v>25.0</v>
      </c>
      <c r="P6733" s="21">
        <v>1.0</v>
      </c>
      <c r="Q6733" s="22" t="str">
        <f t="shared" ref="Q6733:R6733" si="4032">"+0"</f>
        <v>+0</v>
      </c>
      <c r="R6733" s="18" t="str">
        <f t="shared" si="4032"/>
        <v>+0</v>
      </c>
      <c r="S6733" s="14" t="s">
        <v>383</v>
      </c>
    </row>
    <row r="6734">
      <c r="A6734" s="13">
        <v>45901.0</v>
      </c>
      <c r="B6734" s="14" t="s">
        <v>47</v>
      </c>
      <c r="C6734" s="14" t="s">
        <v>48</v>
      </c>
      <c r="D6734" s="14" t="s">
        <v>63</v>
      </c>
      <c r="E6734" s="14" t="s">
        <v>64</v>
      </c>
      <c r="F6734" s="15" t="s">
        <v>51</v>
      </c>
      <c r="G6734" s="14" t="s">
        <v>65</v>
      </c>
      <c r="H6734" s="14" t="s">
        <v>63</v>
      </c>
      <c r="I6734" s="14" t="s">
        <v>54</v>
      </c>
      <c r="J6734" s="14" t="s">
        <v>200</v>
      </c>
      <c r="K6734" s="14" t="s">
        <v>209</v>
      </c>
      <c r="L6734" s="14" t="s">
        <v>253</v>
      </c>
      <c r="M6734" s="14" t="s">
        <v>402</v>
      </c>
      <c r="N6734" s="14" t="s">
        <v>403</v>
      </c>
      <c r="O6734" s="14">
        <v>92.0</v>
      </c>
      <c r="P6734" s="23">
        <v>0.9219</v>
      </c>
      <c r="Q6734" s="22" t="str">
        <f>"-4.32%"</f>
        <v>-4.32%</v>
      </c>
      <c r="R6734" s="18" t="str">
        <f>"-2.65%"</f>
        <v>-2.65%</v>
      </c>
      <c r="S6734" s="14" t="s">
        <v>1679</v>
      </c>
    </row>
    <row r="6735">
      <c r="A6735" s="13">
        <v>45901.0</v>
      </c>
      <c r="B6735" s="14" t="s">
        <v>47</v>
      </c>
      <c r="C6735" s="14" t="s">
        <v>48</v>
      </c>
      <c r="D6735" s="14" t="s">
        <v>93</v>
      </c>
      <c r="E6735" s="14" t="s">
        <v>94</v>
      </c>
      <c r="F6735" s="15" t="s">
        <v>51</v>
      </c>
      <c r="G6735" s="14" t="s">
        <v>191</v>
      </c>
      <c r="H6735" s="14" t="s">
        <v>95</v>
      </c>
      <c r="I6735" s="14" t="s">
        <v>59</v>
      </c>
      <c r="J6735" s="14" t="s">
        <v>200</v>
      </c>
      <c r="K6735" s="14" t="s">
        <v>215</v>
      </c>
      <c r="L6735" s="14" t="s">
        <v>1361</v>
      </c>
      <c r="M6735" s="14" t="s">
        <v>1830</v>
      </c>
      <c r="N6735" s="14" t="s">
        <v>1831</v>
      </c>
      <c r="O6735" s="14">
        <v>57.0</v>
      </c>
      <c r="P6735" s="23">
        <v>0.1537</v>
      </c>
      <c r="Q6735" s="22" t="str">
        <f>"+73.49%"</f>
        <v>+73.49%</v>
      </c>
      <c r="R6735" s="18" t="str">
        <f>"+92.91%"</f>
        <v>+92.91%</v>
      </c>
      <c r="S6735" s="14" t="s">
        <v>1310</v>
      </c>
    </row>
    <row r="6736">
      <c r="A6736" s="13">
        <v>45901.0</v>
      </c>
      <c r="B6736" s="14" t="s">
        <v>47</v>
      </c>
      <c r="C6736" s="14" t="s">
        <v>48</v>
      </c>
      <c r="D6736" s="14" t="s">
        <v>66</v>
      </c>
      <c r="E6736" s="14" t="s">
        <v>67</v>
      </c>
      <c r="F6736" s="15" t="s">
        <v>51</v>
      </c>
      <c r="G6736" s="14" t="s">
        <v>68</v>
      </c>
      <c r="H6736" s="14" t="s">
        <v>66</v>
      </c>
      <c r="I6736" s="14" t="s">
        <v>59</v>
      </c>
      <c r="J6736" s="14" t="s">
        <v>200</v>
      </c>
      <c r="K6736" s="14" t="s">
        <v>223</v>
      </c>
      <c r="L6736" s="14" t="s">
        <v>304</v>
      </c>
      <c r="M6736" s="14" t="s">
        <v>662</v>
      </c>
      <c r="N6736" s="14" t="s">
        <v>663</v>
      </c>
      <c r="O6736" s="14">
        <v>0.0</v>
      </c>
      <c r="P6736" s="23">
        <v>-1.0</v>
      </c>
      <c r="Q6736" s="22" t="str">
        <f t="shared" ref="Q6736:R6736" si="4033">"+0.00%"</f>
        <v>+0.00%</v>
      </c>
      <c r="R6736" s="18" t="str">
        <f t="shared" si="4033"/>
        <v>+0.00%</v>
      </c>
      <c r="S6736" s="14" t="s">
        <v>2747</v>
      </c>
    </row>
    <row r="6737">
      <c r="A6737" s="13">
        <v>45901.0</v>
      </c>
      <c r="B6737" s="14" t="s">
        <v>47</v>
      </c>
      <c r="C6737" s="14" t="s">
        <v>48</v>
      </c>
      <c r="D6737" s="14" t="s">
        <v>184</v>
      </c>
      <c r="E6737" s="14" t="s">
        <v>185</v>
      </c>
      <c r="F6737" s="15" t="s">
        <v>51</v>
      </c>
      <c r="G6737" s="14" t="s">
        <v>186</v>
      </c>
      <c r="H6737" s="14" t="s">
        <v>187</v>
      </c>
      <c r="I6737" s="14" t="s">
        <v>59</v>
      </c>
      <c r="J6737" s="14" t="s">
        <v>200</v>
      </c>
      <c r="K6737" s="14" t="s">
        <v>224</v>
      </c>
      <c r="L6737" s="14" t="s">
        <v>392</v>
      </c>
      <c r="M6737" s="14" t="s">
        <v>1424</v>
      </c>
      <c r="N6737" s="14" t="s">
        <v>1425</v>
      </c>
      <c r="O6737" s="14">
        <v>0.0</v>
      </c>
      <c r="P6737" s="17"/>
      <c r="Q6737" s="22"/>
      <c r="S6737" s="14" t="s">
        <v>2748</v>
      </c>
    </row>
    <row r="6738">
      <c r="A6738" s="13">
        <v>45901.0</v>
      </c>
      <c r="B6738" s="14" t="s">
        <v>47</v>
      </c>
      <c r="C6738" s="14" t="s">
        <v>48</v>
      </c>
      <c r="D6738" s="14" t="s">
        <v>93</v>
      </c>
      <c r="E6738" s="14" t="s">
        <v>94</v>
      </c>
      <c r="F6738" s="15" t="s">
        <v>51</v>
      </c>
      <c r="G6738" s="14" t="s">
        <v>191</v>
      </c>
      <c r="H6738" s="14" t="s">
        <v>95</v>
      </c>
      <c r="I6738" s="14" t="s">
        <v>59</v>
      </c>
      <c r="J6738" s="14" t="s">
        <v>199</v>
      </c>
      <c r="K6738" s="14" t="s">
        <v>203</v>
      </c>
      <c r="L6738" s="14" t="s">
        <v>340</v>
      </c>
      <c r="M6738" s="14" t="s">
        <v>340</v>
      </c>
      <c r="N6738" s="14" t="s">
        <v>341</v>
      </c>
      <c r="O6738" s="14">
        <v>0.0</v>
      </c>
      <c r="P6738" s="21">
        <v>0.0</v>
      </c>
      <c r="Q6738" s="22" t="str">
        <f t="shared" ref="Q6738:R6738" si="4034">"+0"</f>
        <v>+0</v>
      </c>
      <c r="R6738" s="18" t="str">
        <f t="shared" si="4034"/>
        <v>+0</v>
      </c>
      <c r="S6738" s="14" t="s">
        <v>260</v>
      </c>
    </row>
    <row r="6739">
      <c r="A6739" s="13">
        <v>45901.0</v>
      </c>
      <c r="B6739" s="14" t="s">
        <v>47</v>
      </c>
      <c r="C6739" s="14" t="s">
        <v>48</v>
      </c>
      <c r="D6739" s="14" t="s">
        <v>66</v>
      </c>
      <c r="E6739" s="14" t="s">
        <v>67</v>
      </c>
      <c r="F6739" s="15" t="s">
        <v>51</v>
      </c>
      <c r="G6739" s="14" t="s">
        <v>68</v>
      </c>
      <c r="H6739" s="14" t="s">
        <v>66</v>
      </c>
      <c r="I6739" s="14" t="s">
        <v>59</v>
      </c>
      <c r="J6739" s="14" t="s">
        <v>200</v>
      </c>
      <c r="K6739" s="14" t="s">
        <v>204</v>
      </c>
      <c r="L6739" s="14" t="s">
        <v>253</v>
      </c>
      <c r="M6739" s="14" t="s">
        <v>490</v>
      </c>
      <c r="N6739" s="14" t="s">
        <v>491</v>
      </c>
      <c r="O6739" s="14">
        <v>0.0</v>
      </c>
      <c r="P6739" s="23">
        <v>0.0</v>
      </c>
      <c r="Q6739" s="22" t="str">
        <f t="shared" ref="Q6739:R6739" si="4035">"+0.00%"</f>
        <v>+0.00%</v>
      </c>
      <c r="R6739" s="18" t="str">
        <f t="shared" si="4035"/>
        <v>+0.00%</v>
      </c>
      <c r="S6739" s="14" t="s">
        <v>492</v>
      </c>
    </row>
    <row r="6740">
      <c r="A6740" s="13">
        <v>45901.0</v>
      </c>
      <c r="B6740" s="14" t="s">
        <v>47</v>
      </c>
      <c r="C6740" s="14" t="s">
        <v>48</v>
      </c>
      <c r="D6740" s="14" t="s">
        <v>184</v>
      </c>
      <c r="E6740" s="14" t="s">
        <v>185</v>
      </c>
      <c r="F6740" s="15" t="s">
        <v>51</v>
      </c>
      <c r="G6740" s="14" t="s">
        <v>186</v>
      </c>
      <c r="H6740" s="14" t="s">
        <v>187</v>
      </c>
      <c r="I6740" s="14" t="s">
        <v>59</v>
      </c>
      <c r="J6740" s="14" t="s">
        <v>198</v>
      </c>
      <c r="K6740" s="14" t="s">
        <v>210</v>
      </c>
      <c r="L6740" s="14" t="s">
        <v>278</v>
      </c>
      <c r="M6740" s="14" t="s">
        <v>443</v>
      </c>
      <c r="N6740" s="14" t="s">
        <v>444</v>
      </c>
      <c r="O6740" s="14">
        <v>43.0</v>
      </c>
      <c r="P6740" s="21">
        <v>130.0</v>
      </c>
      <c r="Q6740" s="22" t="str">
        <f>"+33"</f>
        <v>+33</v>
      </c>
      <c r="R6740" s="18" t="str">
        <f>"-78"</f>
        <v>-78</v>
      </c>
      <c r="S6740" s="14" t="s">
        <v>1867</v>
      </c>
    </row>
    <row r="6741">
      <c r="A6741" s="13">
        <v>45901.0</v>
      </c>
      <c r="B6741" s="14" t="s">
        <v>47</v>
      </c>
      <c r="C6741" s="14" t="s">
        <v>48</v>
      </c>
      <c r="D6741" s="14" t="s">
        <v>103</v>
      </c>
      <c r="E6741" s="14" t="s">
        <v>104</v>
      </c>
      <c r="F6741" s="15" t="s">
        <v>51</v>
      </c>
      <c r="G6741" s="14" t="s">
        <v>105</v>
      </c>
      <c r="H6741" s="14" t="s">
        <v>106</v>
      </c>
      <c r="I6741" s="14" t="s">
        <v>59</v>
      </c>
      <c r="J6741" s="14" t="s">
        <v>198</v>
      </c>
      <c r="K6741" s="14" t="s">
        <v>212</v>
      </c>
      <c r="L6741" s="14" t="s">
        <v>249</v>
      </c>
      <c r="M6741" s="14" t="s">
        <v>598</v>
      </c>
      <c r="N6741" s="14" t="s">
        <v>599</v>
      </c>
      <c r="O6741" s="14">
        <v>52.0</v>
      </c>
      <c r="P6741" s="21">
        <v>180.0</v>
      </c>
      <c r="Q6741" s="22" t="str">
        <f>"-6"</f>
        <v>-6</v>
      </c>
      <c r="R6741" s="18" t="str">
        <f>"+0"</f>
        <v>+0</v>
      </c>
      <c r="S6741" s="14" t="s">
        <v>2749</v>
      </c>
    </row>
    <row r="6742">
      <c r="A6742" s="13">
        <v>45901.0</v>
      </c>
      <c r="B6742" s="14" t="s">
        <v>47</v>
      </c>
      <c r="C6742" s="14" t="s">
        <v>48</v>
      </c>
      <c r="D6742" s="14" t="s">
        <v>149</v>
      </c>
      <c r="E6742" s="14" t="s">
        <v>150</v>
      </c>
      <c r="F6742" s="15" t="s">
        <v>51</v>
      </c>
      <c r="G6742" s="14" t="s">
        <v>151</v>
      </c>
      <c r="H6742" s="14" t="s">
        <v>152</v>
      </c>
      <c r="I6742" s="14" t="s">
        <v>54</v>
      </c>
      <c r="J6742" s="14" t="s">
        <v>200</v>
      </c>
      <c r="K6742" s="14" t="s">
        <v>223</v>
      </c>
      <c r="L6742" s="14" t="s">
        <v>363</v>
      </c>
      <c r="M6742" s="14" t="s">
        <v>842</v>
      </c>
      <c r="N6742" s="14" t="s">
        <v>843</v>
      </c>
      <c r="O6742" s="14">
        <v>100.0</v>
      </c>
      <c r="P6742" s="21">
        <v>1561.0</v>
      </c>
      <c r="Q6742" s="22" t="str">
        <f>"+32"</f>
        <v>+32</v>
      </c>
      <c r="R6742" s="18" t="str">
        <f>"+64"</f>
        <v>+64</v>
      </c>
      <c r="S6742" s="14" t="s">
        <v>260</v>
      </c>
    </row>
    <row r="6743">
      <c r="A6743" s="13">
        <v>45901.0</v>
      </c>
      <c r="B6743" s="14" t="s">
        <v>47</v>
      </c>
      <c r="C6743" s="14" t="s">
        <v>48</v>
      </c>
      <c r="D6743" s="14" t="s">
        <v>87</v>
      </c>
      <c r="E6743" s="14" t="s">
        <v>88</v>
      </c>
      <c r="F6743" s="15" t="s">
        <v>51</v>
      </c>
      <c r="G6743" s="14" t="s">
        <v>89</v>
      </c>
      <c r="H6743" s="14" t="s">
        <v>90</v>
      </c>
      <c r="I6743" s="14" t="s">
        <v>59</v>
      </c>
      <c r="J6743" s="14" t="s">
        <v>200</v>
      </c>
      <c r="K6743" s="14" t="s">
        <v>223</v>
      </c>
      <c r="L6743" s="14" t="s">
        <v>363</v>
      </c>
      <c r="M6743" s="14" t="s">
        <v>708</v>
      </c>
      <c r="N6743" s="14" t="s">
        <v>709</v>
      </c>
      <c r="O6743" s="14">
        <v>0.0</v>
      </c>
      <c r="P6743" s="23">
        <v>0.0</v>
      </c>
      <c r="Q6743" s="22" t="str">
        <f t="shared" ref="Q6743:R6743" si="4036">"+0.00%"</f>
        <v>+0.00%</v>
      </c>
      <c r="R6743" s="18" t="str">
        <f t="shared" si="4036"/>
        <v>+0.00%</v>
      </c>
      <c r="S6743" s="14" t="s">
        <v>285</v>
      </c>
    </row>
    <row r="6744">
      <c r="A6744" s="13">
        <v>45901.0</v>
      </c>
      <c r="B6744" s="14" t="s">
        <v>47</v>
      </c>
      <c r="C6744" s="14" t="s">
        <v>48</v>
      </c>
      <c r="D6744" s="14" t="s">
        <v>136</v>
      </c>
      <c r="E6744" s="14" t="s">
        <v>137</v>
      </c>
      <c r="F6744" s="15" t="s">
        <v>51</v>
      </c>
      <c r="G6744" s="14" t="s">
        <v>138</v>
      </c>
      <c r="H6744" s="14" t="s">
        <v>139</v>
      </c>
      <c r="I6744" s="14" t="s">
        <v>59</v>
      </c>
      <c r="J6744" s="14" t="s">
        <v>200</v>
      </c>
      <c r="K6744" s="14" t="s">
        <v>213</v>
      </c>
      <c r="L6744" s="14" t="s">
        <v>676</v>
      </c>
      <c r="M6744" s="14" t="s">
        <v>677</v>
      </c>
      <c r="N6744" s="14" t="s">
        <v>678</v>
      </c>
      <c r="O6744" s="14">
        <v>0.0</v>
      </c>
      <c r="P6744" s="23">
        <v>0.0</v>
      </c>
      <c r="Q6744" s="22" t="str">
        <f t="shared" ref="Q6744:R6744" si="4037">"+0.00%"</f>
        <v>+0.00%</v>
      </c>
      <c r="R6744" s="18" t="str">
        <f t="shared" si="4037"/>
        <v>+0.00%</v>
      </c>
      <c r="S6744" s="14" t="s">
        <v>285</v>
      </c>
    </row>
    <row r="6745">
      <c r="A6745" s="13">
        <v>45901.0</v>
      </c>
      <c r="B6745" s="14" t="s">
        <v>47</v>
      </c>
      <c r="C6745" s="14" t="s">
        <v>48</v>
      </c>
      <c r="D6745" s="14" t="s">
        <v>87</v>
      </c>
      <c r="E6745" s="14" t="s">
        <v>88</v>
      </c>
      <c r="F6745" s="14" t="s">
        <v>71</v>
      </c>
      <c r="G6745" s="14">
        <v>5.46000941E8</v>
      </c>
      <c r="H6745" s="14" t="s">
        <v>90</v>
      </c>
      <c r="I6745" s="14" t="s">
        <v>107</v>
      </c>
      <c r="J6745" s="14" t="s">
        <v>199</v>
      </c>
      <c r="K6745" s="14" t="s">
        <v>206</v>
      </c>
      <c r="L6745" s="14" t="s">
        <v>295</v>
      </c>
      <c r="M6745" s="14" t="s">
        <v>986</v>
      </c>
      <c r="N6745" s="14" t="s">
        <v>987</v>
      </c>
      <c r="O6745" s="14">
        <v>0.0</v>
      </c>
      <c r="P6745" s="21">
        <v>0.0</v>
      </c>
      <c r="Q6745" s="22" t="str">
        <f t="shared" ref="Q6745:R6745" si="4038">"-2"</f>
        <v>-2</v>
      </c>
      <c r="R6745" s="18" t="str">
        <f t="shared" si="4038"/>
        <v>-2</v>
      </c>
      <c r="S6745" s="14" t="s">
        <v>260</v>
      </c>
    </row>
    <row r="6746">
      <c r="A6746" s="13">
        <v>45901.0</v>
      </c>
      <c r="B6746" s="14" t="s">
        <v>47</v>
      </c>
      <c r="C6746" s="14" t="s">
        <v>48</v>
      </c>
      <c r="D6746" s="14" t="s">
        <v>69</v>
      </c>
      <c r="E6746" s="14" t="s">
        <v>70</v>
      </c>
      <c r="F6746" s="15" t="s">
        <v>51</v>
      </c>
      <c r="G6746" s="14" t="s">
        <v>115</v>
      </c>
      <c r="H6746" s="14" t="s">
        <v>72</v>
      </c>
      <c r="I6746" s="14" t="s">
        <v>54</v>
      </c>
      <c r="J6746" s="14" t="s">
        <v>198</v>
      </c>
      <c r="K6746" s="14" t="s">
        <v>210</v>
      </c>
      <c r="L6746" s="14" t="s">
        <v>278</v>
      </c>
      <c r="M6746" s="14" t="s">
        <v>279</v>
      </c>
      <c r="N6746" s="14" t="s">
        <v>280</v>
      </c>
      <c r="O6746" s="14">
        <v>100.0</v>
      </c>
      <c r="P6746" s="21">
        <v>0.0</v>
      </c>
      <c r="Q6746" s="22" t="str">
        <f t="shared" ref="Q6746:R6746" si="4039">"+0"</f>
        <v>+0</v>
      </c>
      <c r="R6746" s="18" t="str">
        <f t="shared" si="4039"/>
        <v>+0</v>
      </c>
      <c r="S6746" s="14" t="s">
        <v>281</v>
      </c>
    </row>
    <row r="6747">
      <c r="A6747" s="13">
        <v>45901.0</v>
      </c>
      <c r="B6747" s="14" t="s">
        <v>47</v>
      </c>
      <c r="C6747" s="14" t="s">
        <v>48</v>
      </c>
      <c r="D6747" s="14" t="s">
        <v>125</v>
      </c>
      <c r="E6747" s="14" t="s">
        <v>126</v>
      </c>
      <c r="F6747" s="15" t="s">
        <v>51</v>
      </c>
      <c r="G6747" s="14" t="s">
        <v>127</v>
      </c>
      <c r="H6747" s="14" t="s">
        <v>125</v>
      </c>
      <c r="I6747" s="14" t="s">
        <v>59</v>
      </c>
      <c r="J6747" s="14" t="s">
        <v>198</v>
      </c>
      <c r="K6747" s="14" t="s">
        <v>207</v>
      </c>
      <c r="L6747" s="14" t="s">
        <v>318</v>
      </c>
      <c r="M6747" s="14" t="s">
        <v>319</v>
      </c>
      <c r="N6747" s="14" t="s">
        <v>320</v>
      </c>
      <c r="O6747" s="14">
        <v>0.0</v>
      </c>
      <c r="P6747" s="21">
        <v>0.0</v>
      </c>
      <c r="Q6747" s="22" t="str">
        <f>"+0"</f>
        <v>+0</v>
      </c>
      <c r="S6747" s="14" t="s">
        <v>281</v>
      </c>
    </row>
    <row r="6748">
      <c r="A6748" s="13">
        <v>45901.0</v>
      </c>
      <c r="B6748" s="14" t="s">
        <v>47</v>
      </c>
      <c r="C6748" s="14" t="s">
        <v>48</v>
      </c>
      <c r="D6748" s="14" t="s">
        <v>108</v>
      </c>
      <c r="E6748" s="14" t="s">
        <v>109</v>
      </c>
      <c r="F6748" s="14" t="s">
        <v>79</v>
      </c>
      <c r="G6748" s="14" t="s">
        <v>153</v>
      </c>
      <c r="H6748" s="14" t="s">
        <v>108</v>
      </c>
      <c r="I6748" s="14" t="s">
        <v>154</v>
      </c>
      <c r="J6748" s="14" t="s">
        <v>200</v>
      </c>
      <c r="K6748" s="14" t="s">
        <v>237</v>
      </c>
      <c r="L6748" s="14" t="s">
        <v>333</v>
      </c>
      <c r="M6748" s="14" t="s">
        <v>2351</v>
      </c>
      <c r="N6748" s="14" t="s">
        <v>2352</v>
      </c>
      <c r="O6748" s="14">
        <v>50.0</v>
      </c>
      <c r="P6748" s="23">
        <v>0.0</v>
      </c>
      <c r="Q6748" s="22" t="str">
        <f>"+0.00%"</f>
        <v>+0.00%</v>
      </c>
      <c r="S6748" s="14" t="s">
        <v>336</v>
      </c>
    </row>
    <row r="6749">
      <c r="A6749" s="13">
        <v>45901.0</v>
      </c>
      <c r="B6749" s="14" t="s">
        <v>47</v>
      </c>
      <c r="C6749" s="14" t="s">
        <v>48</v>
      </c>
      <c r="D6749" s="14" t="s">
        <v>158</v>
      </c>
      <c r="E6749" s="14" t="s">
        <v>159</v>
      </c>
      <c r="F6749" s="15" t="s">
        <v>51</v>
      </c>
      <c r="G6749" s="14" t="s">
        <v>160</v>
      </c>
      <c r="H6749" s="14" t="s">
        <v>158</v>
      </c>
      <c r="I6749" s="14" t="s">
        <v>54</v>
      </c>
      <c r="J6749" s="14" t="s">
        <v>198</v>
      </c>
      <c r="K6749" s="14" t="s">
        <v>205</v>
      </c>
      <c r="L6749" s="14" t="s">
        <v>274</v>
      </c>
      <c r="M6749" s="14" t="s">
        <v>473</v>
      </c>
      <c r="N6749" s="14" t="s">
        <v>474</v>
      </c>
      <c r="O6749" s="14">
        <v>50.0</v>
      </c>
      <c r="P6749" s="21">
        <v>15.0</v>
      </c>
      <c r="Q6749" s="22" t="str">
        <f>"+0"</f>
        <v>+0</v>
      </c>
      <c r="S6749" s="14" t="s">
        <v>475</v>
      </c>
    </row>
    <row r="6750">
      <c r="A6750" s="13">
        <v>45901.0</v>
      </c>
      <c r="B6750" s="14" t="s">
        <v>47</v>
      </c>
      <c r="C6750" s="14" t="s">
        <v>48</v>
      </c>
      <c r="D6750" s="14" t="s">
        <v>77</v>
      </c>
      <c r="E6750" s="14" t="s">
        <v>78</v>
      </c>
      <c r="F6750" s="15" t="s">
        <v>51</v>
      </c>
      <c r="G6750" s="14" t="s">
        <v>128</v>
      </c>
      <c r="H6750" s="14" t="s">
        <v>81</v>
      </c>
      <c r="I6750" s="14" t="s">
        <v>59</v>
      </c>
      <c r="J6750" s="14" t="s">
        <v>200</v>
      </c>
      <c r="K6750" s="14" t="s">
        <v>223</v>
      </c>
      <c r="L6750" s="14" t="s">
        <v>261</v>
      </c>
      <c r="M6750" s="14" t="s">
        <v>864</v>
      </c>
      <c r="N6750" s="14" t="s">
        <v>865</v>
      </c>
      <c r="O6750" s="14">
        <v>0.0</v>
      </c>
      <c r="P6750" s="23">
        <v>0.0</v>
      </c>
      <c r="Q6750" s="22" t="str">
        <f t="shared" ref="Q6750:R6750" si="4040">"+0.00%"</f>
        <v>+0.00%</v>
      </c>
      <c r="R6750" s="18" t="str">
        <f t="shared" si="4040"/>
        <v>+0.00%</v>
      </c>
      <c r="S6750" s="14" t="s">
        <v>285</v>
      </c>
    </row>
    <row r="6751">
      <c r="A6751" s="13">
        <v>45901.0</v>
      </c>
      <c r="B6751" s="14" t="s">
        <v>47</v>
      </c>
      <c r="C6751" s="14" t="s">
        <v>48</v>
      </c>
      <c r="D6751" s="14" t="s">
        <v>77</v>
      </c>
      <c r="E6751" s="14" t="s">
        <v>78</v>
      </c>
      <c r="F6751" s="14" t="s">
        <v>79</v>
      </c>
      <c r="G6751" s="14" t="s">
        <v>80</v>
      </c>
      <c r="H6751" s="14" t="s">
        <v>81</v>
      </c>
      <c r="J6751" s="14" t="s">
        <v>199</v>
      </c>
      <c r="K6751" s="14" t="s">
        <v>206</v>
      </c>
      <c r="L6751" s="14" t="s">
        <v>381</v>
      </c>
      <c r="M6751" s="14" t="s">
        <v>381</v>
      </c>
      <c r="N6751" s="14" t="s">
        <v>382</v>
      </c>
      <c r="O6751" s="14">
        <v>0.0</v>
      </c>
      <c r="P6751" s="21">
        <v>0.0</v>
      </c>
      <c r="Q6751" s="22" t="str">
        <f t="shared" ref="Q6751:R6751" si="4041">"+0"</f>
        <v>+0</v>
      </c>
      <c r="R6751" s="18" t="str">
        <f t="shared" si="4041"/>
        <v>+0</v>
      </c>
      <c r="S6751" s="14" t="s">
        <v>383</v>
      </c>
    </row>
    <row r="6752">
      <c r="A6752" s="13">
        <v>45901.0</v>
      </c>
      <c r="B6752" s="14" t="s">
        <v>47</v>
      </c>
      <c r="C6752" s="14" t="s">
        <v>48</v>
      </c>
      <c r="D6752" s="14" t="s">
        <v>116</v>
      </c>
      <c r="E6752" s="14" t="s">
        <v>117</v>
      </c>
      <c r="F6752" s="15" t="s">
        <v>51</v>
      </c>
      <c r="G6752" s="14" t="s">
        <v>161</v>
      </c>
      <c r="H6752" s="14" t="s">
        <v>116</v>
      </c>
      <c r="I6752" s="14" t="s">
        <v>54</v>
      </c>
      <c r="J6752" s="14" t="s">
        <v>199</v>
      </c>
      <c r="K6752" s="14" t="s">
        <v>206</v>
      </c>
      <c r="L6752" s="14" t="s">
        <v>295</v>
      </c>
      <c r="M6752" s="14" t="s">
        <v>461</v>
      </c>
      <c r="N6752" s="14" t="s">
        <v>462</v>
      </c>
      <c r="O6752" s="14">
        <v>0.0</v>
      </c>
      <c r="P6752" s="21">
        <v>0.0</v>
      </c>
      <c r="Q6752" s="22" t="str">
        <f t="shared" ref="Q6752:R6752" si="4042">"+0"</f>
        <v>+0</v>
      </c>
      <c r="R6752" s="18" t="str">
        <f t="shared" si="4042"/>
        <v>+0</v>
      </c>
      <c r="S6752" s="14" t="s">
        <v>260</v>
      </c>
    </row>
    <row r="6753">
      <c r="A6753" s="13">
        <v>45901.0</v>
      </c>
      <c r="B6753" s="14" t="s">
        <v>47</v>
      </c>
      <c r="C6753" s="14" t="s">
        <v>48</v>
      </c>
      <c r="D6753" s="14" t="s">
        <v>112</v>
      </c>
      <c r="E6753" s="14" t="s">
        <v>113</v>
      </c>
      <c r="F6753" s="15" t="s">
        <v>51</v>
      </c>
      <c r="G6753" s="14" t="s">
        <v>114</v>
      </c>
      <c r="H6753" s="14" t="s">
        <v>112</v>
      </c>
      <c r="I6753" s="14" t="s">
        <v>59</v>
      </c>
      <c r="J6753" s="14" t="s">
        <v>200</v>
      </c>
      <c r="K6753" s="14" t="s">
        <v>227</v>
      </c>
      <c r="L6753" s="14" t="s">
        <v>270</v>
      </c>
      <c r="M6753" s="14" t="s">
        <v>400</v>
      </c>
      <c r="N6753" s="14" t="s">
        <v>401</v>
      </c>
      <c r="O6753" s="14">
        <v>0.0</v>
      </c>
      <c r="P6753" s="21">
        <v>0.0</v>
      </c>
      <c r="Q6753" s="22" t="str">
        <f t="shared" ref="Q6753:R6753" si="4043">"+0"</f>
        <v>+0</v>
      </c>
      <c r="R6753" s="18" t="str">
        <f t="shared" si="4043"/>
        <v>+0</v>
      </c>
      <c r="S6753" s="14" t="s">
        <v>260</v>
      </c>
    </row>
    <row r="6754">
      <c r="A6754" s="13">
        <v>45901.0</v>
      </c>
      <c r="B6754" s="14" t="s">
        <v>47</v>
      </c>
      <c r="C6754" s="14" t="s">
        <v>48</v>
      </c>
      <c r="D6754" s="14" t="s">
        <v>116</v>
      </c>
      <c r="E6754" s="14" t="s">
        <v>117</v>
      </c>
      <c r="F6754" s="15" t="s">
        <v>51</v>
      </c>
      <c r="G6754" s="14" t="s">
        <v>161</v>
      </c>
      <c r="H6754" s="14" t="s">
        <v>116</v>
      </c>
      <c r="I6754" s="14" t="s">
        <v>54</v>
      </c>
      <c r="J6754" s="14" t="s">
        <v>198</v>
      </c>
      <c r="K6754" s="14" t="s">
        <v>210</v>
      </c>
      <c r="L6754" s="14" t="s">
        <v>458</v>
      </c>
      <c r="M6754" s="14" t="s">
        <v>1489</v>
      </c>
      <c r="N6754" s="14" t="s">
        <v>1490</v>
      </c>
      <c r="O6754" s="14">
        <v>0.0</v>
      </c>
      <c r="P6754" s="21">
        <v>0.0</v>
      </c>
      <c r="Q6754" s="22" t="str">
        <f t="shared" ref="Q6754:R6754" si="4044">"+0"</f>
        <v>+0</v>
      </c>
      <c r="R6754" s="18" t="str">
        <f t="shared" si="4044"/>
        <v>+0</v>
      </c>
      <c r="S6754" s="14" t="s">
        <v>277</v>
      </c>
    </row>
    <row r="6755">
      <c r="A6755" s="13">
        <v>45901.0</v>
      </c>
      <c r="B6755" s="14" t="s">
        <v>47</v>
      </c>
      <c r="C6755" s="14" t="s">
        <v>48</v>
      </c>
      <c r="D6755" s="14" t="s">
        <v>155</v>
      </c>
      <c r="E6755" s="14" t="s">
        <v>156</v>
      </c>
      <c r="F6755" s="15" t="s">
        <v>51</v>
      </c>
      <c r="G6755" s="14" t="s">
        <v>157</v>
      </c>
      <c r="H6755" s="14" t="s">
        <v>155</v>
      </c>
      <c r="I6755" s="14" t="s">
        <v>59</v>
      </c>
      <c r="J6755" s="14" t="s">
        <v>200</v>
      </c>
      <c r="K6755" s="14" t="s">
        <v>223</v>
      </c>
      <c r="L6755" s="14" t="s">
        <v>304</v>
      </c>
      <c r="M6755" s="14" t="s">
        <v>702</v>
      </c>
      <c r="N6755" s="14" t="s">
        <v>703</v>
      </c>
      <c r="O6755" s="14">
        <v>0.0</v>
      </c>
      <c r="P6755" s="17"/>
      <c r="Q6755" s="22"/>
      <c r="S6755" s="14" t="s">
        <v>285</v>
      </c>
    </row>
    <row r="6756">
      <c r="A6756" s="13">
        <v>45901.0</v>
      </c>
      <c r="B6756" s="14" t="s">
        <v>47</v>
      </c>
      <c r="C6756" s="14" t="s">
        <v>48</v>
      </c>
      <c r="D6756" s="14" t="s">
        <v>56</v>
      </c>
      <c r="E6756" s="14" t="s">
        <v>57</v>
      </c>
      <c r="F6756" s="15" t="s">
        <v>51</v>
      </c>
      <c r="G6756" s="14" t="s">
        <v>58</v>
      </c>
      <c r="H6756" s="14" t="s">
        <v>56</v>
      </c>
      <c r="I6756" s="14" t="s">
        <v>59</v>
      </c>
      <c r="J6756" s="14" t="s">
        <v>200</v>
      </c>
      <c r="K6756" s="14" t="s">
        <v>223</v>
      </c>
      <c r="L6756" s="14" t="s">
        <v>289</v>
      </c>
      <c r="M6756" s="14" t="s">
        <v>684</v>
      </c>
      <c r="N6756" s="14" t="s">
        <v>685</v>
      </c>
      <c r="O6756" s="14">
        <v>0.0</v>
      </c>
      <c r="P6756" s="23">
        <v>0.0</v>
      </c>
      <c r="Q6756" s="22" t="str">
        <f t="shared" ref="Q6756:R6756" si="4045">"+0.00%"</f>
        <v>+0.00%</v>
      </c>
      <c r="R6756" s="18" t="str">
        <f t="shared" si="4045"/>
        <v>+0.00%</v>
      </c>
      <c r="S6756" s="14" t="s">
        <v>285</v>
      </c>
    </row>
    <row r="6757">
      <c r="A6757" s="13">
        <v>45901.0</v>
      </c>
      <c r="B6757" s="14" t="s">
        <v>47</v>
      </c>
      <c r="C6757" s="14" t="s">
        <v>48</v>
      </c>
      <c r="D6757" s="14" t="s">
        <v>140</v>
      </c>
      <c r="E6757" s="14" t="s">
        <v>141</v>
      </c>
      <c r="F6757" s="15" t="s">
        <v>51</v>
      </c>
      <c r="G6757" s="14" t="s">
        <v>142</v>
      </c>
      <c r="H6757" s="14" t="s">
        <v>140</v>
      </c>
      <c r="I6757" s="14" t="s">
        <v>59</v>
      </c>
      <c r="J6757" s="14" t="s">
        <v>199</v>
      </c>
      <c r="K6757" s="14" t="s">
        <v>203</v>
      </c>
      <c r="L6757" s="14" t="s">
        <v>431</v>
      </c>
      <c r="M6757" s="14" t="s">
        <v>431</v>
      </c>
      <c r="N6757" s="14" t="s">
        <v>432</v>
      </c>
      <c r="O6757" s="14">
        <v>0.0</v>
      </c>
      <c r="P6757" s="21">
        <v>0.0</v>
      </c>
      <c r="Q6757" s="22" t="str">
        <f t="shared" ref="Q6757:R6757" si="4046">"+0"</f>
        <v>+0</v>
      </c>
      <c r="R6757" s="18" t="str">
        <f t="shared" si="4046"/>
        <v>+0</v>
      </c>
      <c r="S6757" s="14" t="s">
        <v>260</v>
      </c>
    </row>
    <row r="6758">
      <c r="A6758" s="13">
        <v>45901.0</v>
      </c>
      <c r="B6758" s="14" t="s">
        <v>47</v>
      </c>
      <c r="C6758" s="14" t="s">
        <v>48</v>
      </c>
      <c r="D6758" s="14" t="s">
        <v>56</v>
      </c>
      <c r="E6758" s="14" t="s">
        <v>57</v>
      </c>
      <c r="F6758" s="15" t="s">
        <v>51</v>
      </c>
      <c r="G6758" s="14" t="s">
        <v>58</v>
      </c>
      <c r="H6758" s="14" t="s">
        <v>56</v>
      </c>
      <c r="I6758" s="14" t="s">
        <v>59</v>
      </c>
      <c r="J6758" s="14" t="s">
        <v>200</v>
      </c>
      <c r="K6758" s="14" t="s">
        <v>223</v>
      </c>
      <c r="L6758" s="14" t="s">
        <v>253</v>
      </c>
      <c r="M6758" s="14" t="s">
        <v>389</v>
      </c>
      <c r="N6758" s="14" t="s">
        <v>390</v>
      </c>
      <c r="O6758" s="14">
        <v>78.0</v>
      </c>
      <c r="P6758" s="23">
        <v>0.7813</v>
      </c>
      <c r="Q6758" s="22" t="str">
        <f>"+25.49%"</f>
        <v>+25.49%</v>
      </c>
      <c r="R6758" s="18" t="str">
        <f>"+11.46%"</f>
        <v>+11.46%</v>
      </c>
      <c r="S6758" s="14" t="s">
        <v>2750</v>
      </c>
    </row>
    <row r="6759">
      <c r="A6759" s="13">
        <v>45901.0</v>
      </c>
      <c r="B6759" s="14" t="s">
        <v>47</v>
      </c>
      <c r="C6759" s="14" t="s">
        <v>48</v>
      </c>
      <c r="D6759" s="14" t="s">
        <v>56</v>
      </c>
      <c r="E6759" s="14" t="s">
        <v>57</v>
      </c>
      <c r="F6759" s="15" t="s">
        <v>51</v>
      </c>
      <c r="G6759" s="14" t="s">
        <v>58</v>
      </c>
      <c r="H6759" s="14" t="s">
        <v>56</v>
      </c>
      <c r="I6759" s="14" t="s">
        <v>59</v>
      </c>
      <c r="J6759" s="14" t="s">
        <v>198</v>
      </c>
      <c r="K6759" s="14" t="s">
        <v>205</v>
      </c>
      <c r="L6759" s="14" t="s">
        <v>274</v>
      </c>
      <c r="M6759" s="14" t="s">
        <v>767</v>
      </c>
      <c r="N6759" s="14" t="s">
        <v>768</v>
      </c>
      <c r="O6759" s="14">
        <v>100.0</v>
      </c>
      <c r="P6759" s="21">
        <v>1.0</v>
      </c>
      <c r="Q6759" s="22" t="str">
        <f t="shared" ref="Q6759:Q6762" si="4047">"+0"</f>
        <v>+0</v>
      </c>
      <c r="S6759" s="14" t="s">
        <v>281</v>
      </c>
    </row>
    <row r="6760">
      <c r="A6760" s="13">
        <v>45901.0</v>
      </c>
      <c r="B6760" s="14" t="s">
        <v>47</v>
      </c>
      <c r="C6760" s="14" t="s">
        <v>48</v>
      </c>
      <c r="D6760" s="14" t="s">
        <v>56</v>
      </c>
      <c r="E6760" s="14" t="s">
        <v>57</v>
      </c>
      <c r="F6760" s="15" t="s">
        <v>51</v>
      </c>
      <c r="G6760" s="14" t="s">
        <v>58</v>
      </c>
      <c r="H6760" s="14" t="s">
        <v>56</v>
      </c>
      <c r="I6760" s="14" t="s">
        <v>59</v>
      </c>
      <c r="J6760" s="14" t="s">
        <v>198</v>
      </c>
      <c r="K6760" s="14" t="s">
        <v>205</v>
      </c>
      <c r="L6760" s="14" t="s">
        <v>274</v>
      </c>
      <c r="M6760" s="14" t="s">
        <v>466</v>
      </c>
      <c r="N6760" s="14" t="s">
        <v>467</v>
      </c>
      <c r="O6760" s="14">
        <v>100.0</v>
      </c>
      <c r="P6760" s="21">
        <v>1.0</v>
      </c>
      <c r="Q6760" s="22" t="str">
        <f t="shared" si="4047"/>
        <v>+0</v>
      </c>
      <c r="S6760" s="14" t="s">
        <v>281</v>
      </c>
    </row>
    <row r="6761">
      <c r="A6761" s="13">
        <v>45901.0</v>
      </c>
      <c r="B6761" s="14" t="s">
        <v>47</v>
      </c>
      <c r="C6761" s="14" t="s">
        <v>48</v>
      </c>
      <c r="D6761" s="14" t="s">
        <v>155</v>
      </c>
      <c r="E6761" s="14" t="s">
        <v>156</v>
      </c>
      <c r="F6761" s="15" t="s">
        <v>51</v>
      </c>
      <c r="G6761" s="14" t="s">
        <v>157</v>
      </c>
      <c r="H6761" s="14" t="s">
        <v>155</v>
      </c>
      <c r="I6761" s="14" t="s">
        <v>59</v>
      </c>
      <c r="J6761" s="14" t="s">
        <v>198</v>
      </c>
      <c r="K6761" s="14" t="s">
        <v>210</v>
      </c>
      <c r="L6761" s="14" t="s">
        <v>264</v>
      </c>
      <c r="M6761" s="14" t="s">
        <v>357</v>
      </c>
      <c r="N6761" s="14" t="s">
        <v>358</v>
      </c>
      <c r="O6761" s="14">
        <v>100.0</v>
      </c>
      <c r="P6761" s="21">
        <v>0.0</v>
      </c>
      <c r="Q6761" s="22" t="str">
        <f t="shared" si="4047"/>
        <v>+0</v>
      </c>
      <c r="R6761" s="18" t="str">
        <f t="shared" ref="R6761:R6762" si="4048">"+0"</f>
        <v>+0</v>
      </c>
      <c r="S6761" s="14" t="s">
        <v>281</v>
      </c>
    </row>
    <row r="6762">
      <c r="A6762" s="13">
        <v>45901.0</v>
      </c>
      <c r="B6762" s="14" t="s">
        <v>47</v>
      </c>
      <c r="C6762" s="14" t="s">
        <v>48</v>
      </c>
      <c r="D6762" s="14" t="s">
        <v>121</v>
      </c>
      <c r="E6762" s="14" t="s">
        <v>122</v>
      </c>
      <c r="F6762" s="15" t="s">
        <v>51</v>
      </c>
      <c r="G6762" s="14" t="s">
        <v>123</v>
      </c>
      <c r="H6762" s="14" t="s">
        <v>124</v>
      </c>
      <c r="I6762" s="14" t="s">
        <v>59</v>
      </c>
      <c r="J6762" s="14" t="s">
        <v>199</v>
      </c>
      <c r="K6762" s="14" t="s">
        <v>206</v>
      </c>
      <c r="L6762" s="14" t="s">
        <v>531</v>
      </c>
      <c r="M6762" s="14" t="s">
        <v>531</v>
      </c>
      <c r="N6762" s="14" t="s">
        <v>532</v>
      </c>
      <c r="O6762" s="14">
        <v>0.0</v>
      </c>
      <c r="P6762" s="21">
        <v>0.0</v>
      </c>
      <c r="Q6762" s="22" t="str">
        <f t="shared" si="4047"/>
        <v>+0</v>
      </c>
      <c r="R6762" s="18" t="str">
        <f t="shared" si="4048"/>
        <v>+0</v>
      </c>
      <c r="S6762" s="14" t="s">
        <v>260</v>
      </c>
    </row>
    <row r="6763">
      <c r="A6763" s="13">
        <v>45901.0</v>
      </c>
      <c r="B6763" s="14" t="s">
        <v>47</v>
      </c>
      <c r="C6763" s="14" t="s">
        <v>48</v>
      </c>
      <c r="D6763" s="14" t="s">
        <v>181</v>
      </c>
      <c r="E6763" s="14" t="s">
        <v>182</v>
      </c>
      <c r="F6763" s="15" t="s">
        <v>51</v>
      </c>
      <c r="G6763" s="14" t="s">
        <v>183</v>
      </c>
      <c r="H6763" s="14" t="s">
        <v>181</v>
      </c>
      <c r="I6763" s="14" t="s">
        <v>59</v>
      </c>
      <c r="J6763" s="14" t="s">
        <v>200</v>
      </c>
      <c r="K6763" s="14" t="s">
        <v>227</v>
      </c>
      <c r="L6763" s="14" t="s">
        <v>253</v>
      </c>
      <c r="M6763" s="14" t="s">
        <v>396</v>
      </c>
      <c r="N6763" s="14" t="s">
        <v>397</v>
      </c>
      <c r="O6763" s="14">
        <v>0.0</v>
      </c>
      <c r="P6763" s="23">
        <v>0.0</v>
      </c>
      <c r="Q6763" s="22" t="str">
        <f t="shared" ref="Q6763:R6763" si="4049">"+0.00%"</f>
        <v>+0.00%</v>
      </c>
      <c r="R6763" s="18" t="str">
        <f t="shared" si="4049"/>
        <v>+0.00%</v>
      </c>
      <c r="S6763" s="14" t="s">
        <v>740</v>
      </c>
    </row>
    <row r="6764">
      <c r="A6764" s="13">
        <v>45901.0</v>
      </c>
      <c r="B6764" s="14" t="s">
        <v>47</v>
      </c>
      <c r="C6764" s="14" t="s">
        <v>48</v>
      </c>
      <c r="D6764" s="14" t="s">
        <v>49</v>
      </c>
      <c r="E6764" s="14" t="s">
        <v>50</v>
      </c>
      <c r="F6764" s="15" t="s">
        <v>51</v>
      </c>
      <c r="G6764" s="14" t="s">
        <v>52</v>
      </c>
      <c r="H6764" s="14" t="s">
        <v>53</v>
      </c>
      <c r="I6764" s="14" t="s">
        <v>54</v>
      </c>
      <c r="J6764" s="14" t="s">
        <v>198</v>
      </c>
      <c r="K6764" s="14" t="s">
        <v>210</v>
      </c>
      <c r="L6764" s="14" t="s">
        <v>505</v>
      </c>
      <c r="M6764" s="14" t="s">
        <v>880</v>
      </c>
      <c r="N6764" s="14" t="s">
        <v>881</v>
      </c>
      <c r="O6764" s="14">
        <v>0.0</v>
      </c>
      <c r="P6764" s="21">
        <v>0.0</v>
      </c>
      <c r="Q6764" s="22" t="str">
        <f t="shared" ref="Q6764:R6764" si="4050">"+0"</f>
        <v>+0</v>
      </c>
      <c r="R6764" s="18" t="str">
        <f t="shared" si="4050"/>
        <v>+0</v>
      </c>
      <c r="S6764" s="14" t="s">
        <v>277</v>
      </c>
    </row>
    <row r="6765">
      <c r="A6765" s="13">
        <v>45901.0</v>
      </c>
      <c r="B6765" s="14" t="s">
        <v>47</v>
      </c>
      <c r="C6765" s="14" t="s">
        <v>48</v>
      </c>
      <c r="D6765" s="14" t="s">
        <v>49</v>
      </c>
      <c r="E6765" s="14" t="s">
        <v>50</v>
      </c>
      <c r="F6765" s="15" t="s">
        <v>51</v>
      </c>
      <c r="G6765" s="14" t="s">
        <v>52</v>
      </c>
      <c r="H6765" s="14" t="s">
        <v>53</v>
      </c>
      <c r="I6765" s="14" t="s">
        <v>54</v>
      </c>
      <c r="J6765" s="14" t="s">
        <v>198</v>
      </c>
      <c r="K6765" s="14" t="s">
        <v>210</v>
      </c>
      <c r="L6765" s="14" t="s">
        <v>458</v>
      </c>
      <c r="M6765" s="14" t="s">
        <v>1439</v>
      </c>
      <c r="N6765" s="14" t="s">
        <v>1440</v>
      </c>
      <c r="O6765" s="14">
        <v>0.0</v>
      </c>
      <c r="P6765" s="21">
        <v>0.0</v>
      </c>
      <c r="Q6765" s="22" t="str">
        <f t="shared" ref="Q6765:R6765" si="4051">"+0"</f>
        <v>+0</v>
      </c>
      <c r="R6765" s="18" t="str">
        <f t="shared" si="4051"/>
        <v>+0</v>
      </c>
      <c r="S6765" s="14" t="s">
        <v>277</v>
      </c>
    </row>
    <row r="6766">
      <c r="A6766" s="13">
        <v>45901.0</v>
      </c>
      <c r="B6766" s="14" t="s">
        <v>47</v>
      </c>
      <c r="C6766" s="14" t="s">
        <v>48</v>
      </c>
      <c r="D6766" s="14" t="s">
        <v>49</v>
      </c>
      <c r="E6766" s="14" t="s">
        <v>50</v>
      </c>
      <c r="F6766" s="15" t="s">
        <v>51</v>
      </c>
      <c r="G6766" s="14" t="s">
        <v>52</v>
      </c>
      <c r="H6766" s="14" t="s">
        <v>53</v>
      </c>
      <c r="I6766" s="14" t="s">
        <v>54</v>
      </c>
      <c r="J6766" s="14" t="s">
        <v>200</v>
      </c>
      <c r="K6766" s="14" t="s">
        <v>224</v>
      </c>
      <c r="L6766" s="14" t="s">
        <v>594</v>
      </c>
      <c r="M6766" s="14" t="s">
        <v>1795</v>
      </c>
      <c r="N6766" s="14" t="s">
        <v>1796</v>
      </c>
      <c r="O6766" s="14">
        <v>0.0</v>
      </c>
      <c r="P6766" s="23">
        <v>0.0</v>
      </c>
      <c r="Q6766" s="22" t="str">
        <f t="shared" ref="Q6766:R6766" si="4052">"+0.00%"</f>
        <v>+0.00%</v>
      </c>
      <c r="R6766" s="18" t="str">
        <f t="shared" si="4052"/>
        <v>+0.00%</v>
      </c>
      <c r="S6766" s="14" t="s">
        <v>2751</v>
      </c>
    </row>
    <row r="6767">
      <c r="A6767" s="13">
        <v>45901.0</v>
      </c>
      <c r="B6767" s="14" t="s">
        <v>47</v>
      </c>
      <c r="C6767" s="14" t="s">
        <v>48</v>
      </c>
      <c r="D6767" s="14" t="s">
        <v>49</v>
      </c>
      <c r="E6767" s="14" t="s">
        <v>50</v>
      </c>
      <c r="F6767" s="15" t="s">
        <v>51</v>
      </c>
      <c r="G6767" s="14" t="s">
        <v>52</v>
      </c>
      <c r="H6767" s="14" t="s">
        <v>53</v>
      </c>
      <c r="I6767" s="14" t="s">
        <v>54</v>
      </c>
      <c r="J6767" s="14" t="s">
        <v>198</v>
      </c>
      <c r="K6767" s="14" t="s">
        <v>212</v>
      </c>
      <c r="L6767" s="14" t="s">
        <v>249</v>
      </c>
      <c r="M6767" s="14" t="s">
        <v>1346</v>
      </c>
      <c r="N6767" s="14" t="s">
        <v>1347</v>
      </c>
      <c r="O6767" s="14">
        <v>0.0</v>
      </c>
      <c r="P6767" s="21">
        <v>0.0</v>
      </c>
      <c r="Q6767" s="22" t="str">
        <f t="shared" ref="Q6767:R6767" si="4053">"+0"</f>
        <v>+0</v>
      </c>
      <c r="R6767" s="18" t="str">
        <f t="shared" si="4053"/>
        <v>+0</v>
      </c>
      <c r="S6767" s="14" t="s">
        <v>277</v>
      </c>
    </row>
    <row r="6768">
      <c r="A6768" s="13">
        <v>45901.0</v>
      </c>
      <c r="B6768" s="14" t="s">
        <v>47</v>
      </c>
      <c r="C6768" s="14" t="s">
        <v>48</v>
      </c>
      <c r="D6768" s="14" t="s">
        <v>91</v>
      </c>
      <c r="E6768" s="14" t="s">
        <v>92</v>
      </c>
      <c r="F6768" s="15" t="s">
        <v>51</v>
      </c>
      <c r="G6768" s="14" t="s">
        <v>163</v>
      </c>
      <c r="H6768" s="14" t="s">
        <v>91</v>
      </c>
      <c r="I6768" s="14" t="s">
        <v>59</v>
      </c>
      <c r="J6768" s="14" t="s">
        <v>200</v>
      </c>
      <c r="K6768" s="14" t="s">
        <v>223</v>
      </c>
      <c r="L6768" s="14" t="s">
        <v>286</v>
      </c>
      <c r="M6768" s="14" t="s">
        <v>644</v>
      </c>
      <c r="N6768" s="14" t="s">
        <v>645</v>
      </c>
      <c r="O6768" s="14">
        <v>67.0</v>
      </c>
      <c r="P6768" s="23">
        <v>0.3585</v>
      </c>
      <c r="Q6768" s="22" t="str">
        <f>"+67.92%"</f>
        <v>+67.92%</v>
      </c>
      <c r="R6768" s="18" t="str">
        <f>"-64.15%"</f>
        <v>-64.15%</v>
      </c>
      <c r="S6768" s="14" t="s">
        <v>2752</v>
      </c>
    </row>
    <row r="6769">
      <c r="A6769" s="13">
        <v>45901.0</v>
      </c>
      <c r="B6769" s="14" t="s">
        <v>47</v>
      </c>
      <c r="C6769" s="14" t="s">
        <v>48</v>
      </c>
      <c r="D6769" s="14" t="s">
        <v>63</v>
      </c>
      <c r="E6769" s="14" t="s">
        <v>64</v>
      </c>
      <c r="F6769" s="15" t="s">
        <v>51</v>
      </c>
      <c r="G6769" s="14" t="s">
        <v>65</v>
      </c>
      <c r="H6769" s="14" t="s">
        <v>63</v>
      </c>
      <c r="I6769" s="14" t="s">
        <v>54</v>
      </c>
      <c r="J6769" s="14" t="s">
        <v>200</v>
      </c>
      <c r="K6769" s="14" t="s">
        <v>222</v>
      </c>
      <c r="L6769" s="14" t="s">
        <v>1161</v>
      </c>
      <c r="M6769" s="14" t="s">
        <v>1162</v>
      </c>
      <c r="N6769" s="14" t="s">
        <v>1163</v>
      </c>
      <c r="O6769" s="14">
        <v>0.0</v>
      </c>
      <c r="P6769" s="21">
        <v>0.0</v>
      </c>
      <c r="Q6769" s="22" t="str">
        <f>"+0"</f>
        <v>+0</v>
      </c>
      <c r="R6769" s="18" t="str">
        <f>"-1"</f>
        <v>-1</v>
      </c>
      <c r="S6769" s="14" t="s">
        <v>260</v>
      </c>
    </row>
    <row r="6770">
      <c r="A6770" s="13">
        <v>45901.0</v>
      </c>
      <c r="B6770" s="14" t="s">
        <v>47</v>
      </c>
      <c r="C6770" s="14" t="s">
        <v>48</v>
      </c>
      <c r="D6770" s="14" t="s">
        <v>63</v>
      </c>
      <c r="E6770" s="14" t="s">
        <v>64</v>
      </c>
      <c r="F6770" s="15" t="s">
        <v>51</v>
      </c>
      <c r="G6770" s="14" t="s">
        <v>65</v>
      </c>
      <c r="H6770" s="14" t="s">
        <v>63</v>
      </c>
      <c r="I6770" s="14" t="s">
        <v>54</v>
      </c>
      <c r="J6770" s="14" t="s">
        <v>200</v>
      </c>
      <c r="K6770" s="14" t="s">
        <v>213</v>
      </c>
      <c r="L6770" s="14" t="s">
        <v>307</v>
      </c>
      <c r="M6770" s="14" t="s">
        <v>502</v>
      </c>
      <c r="N6770" s="14" t="s">
        <v>503</v>
      </c>
      <c r="O6770" s="14">
        <v>14.0</v>
      </c>
      <c r="P6770" s="23">
        <v>0.141</v>
      </c>
      <c r="Q6770" s="22" t="str">
        <f>"-15.24%"</f>
        <v>-15.24%</v>
      </c>
      <c r="R6770" s="18" t="str">
        <f>"-16.19%"</f>
        <v>-16.19%</v>
      </c>
      <c r="S6770" s="14" t="s">
        <v>2245</v>
      </c>
    </row>
    <row r="6771">
      <c r="A6771" s="13">
        <v>45901.0</v>
      </c>
      <c r="B6771" s="14" t="s">
        <v>47</v>
      </c>
      <c r="C6771" s="14" t="s">
        <v>48</v>
      </c>
      <c r="D6771" s="14" t="s">
        <v>82</v>
      </c>
      <c r="E6771" s="14" t="s">
        <v>83</v>
      </c>
      <c r="F6771" s="15" t="s">
        <v>51</v>
      </c>
      <c r="G6771" s="14" t="s">
        <v>84</v>
      </c>
      <c r="H6771" s="14" t="s">
        <v>82</v>
      </c>
      <c r="I6771" s="14" t="s">
        <v>59</v>
      </c>
      <c r="J6771" s="14" t="s">
        <v>198</v>
      </c>
      <c r="K6771" s="14" t="s">
        <v>210</v>
      </c>
      <c r="L6771" s="14" t="s">
        <v>264</v>
      </c>
      <c r="M6771" s="14" t="s">
        <v>524</v>
      </c>
      <c r="N6771" s="14" t="s">
        <v>525</v>
      </c>
      <c r="O6771" s="14">
        <v>85.0</v>
      </c>
      <c r="P6771" s="21">
        <v>1.0</v>
      </c>
      <c r="Q6771" s="22" t="str">
        <f>"-63"</f>
        <v>-63</v>
      </c>
      <c r="R6771" s="18" t="str">
        <f>"+1"</f>
        <v>+1</v>
      </c>
      <c r="S6771" s="14" t="s">
        <v>526</v>
      </c>
    </row>
    <row r="6772">
      <c r="A6772" s="13">
        <v>45901.0</v>
      </c>
      <c r="B6772" s="14" t="s">
        <v>47</v>
      </c>
      <c r="C6772" s="14" t="s">
        <v>48</v>
      </c>
      <c r="D6772" s="14" t="s">
        <v>66</v>
      </c>
      <c r="E6772" s="14" t="s">
        <v>67</v>
      </c>
      <c r="F6772" s="15" t="s">
        <v>51</v>
      </c>
      <c r="G6772" s="14" t="s">
        <v>68</v>
      </c>
      <c r="H6772" s="14" t="s">
        <v>66</v>
      </c>
      <c r="I6772" s="14" t="s">
        <v>59</v>
      </c>
      <c r="J6772" s="14" t="s">
        <v>200</v>
      </c>
      <c r="K6772" s="14" t="s">
        <v>227</v>
      </c>
      <c r="L6772" s="14" t="s">
        <v>721</v>
      </c>
      <c r="M6772" s="14" t="s">
        <v>722</v>
      </c>
      <c r="N6772" s="14" t="s">
        <v>723</v>
      </c>
      <c r="O6772" s="14">
        <v>5.0</v>
      </c>
      <c r="P6772" s="23">
        <v>-0.8983</v>
      </c>
      <c r="Q6772" s="22" t="str">
        <f>"-8.58%"</f>
        <v>-8.58%</v>
      </c>
      <c r="R6772" s="18" t="str">
        <f>"-82.14%"</f>
        <v>-82.14%</v>
      </c>
      <c r="S6772" s="14" t="s">
        <v>724</v>
      </c>
    </row>
    <row r="6773">
      <c r="A6773" s="13">
        <v>45901.0</v>
      </c>
      <c r="B6773" s="14" t="s">
        <v>47</v>
      </c>
      <c r="C6773" s="14" t="s">
        <v>48</v>
      </c>
      <c r="D6773" s="14" t="s">
        <v>192</v>
      </c>
      <c r="E6773" s="14" t="s">
        <v>193</v>
      </c>
      <c r="F6773" s="15" t="s">
        <v>51</v>
      </c>
      <c r="G6773" s="14" t="s">
        <v>194</v>
      </c>
      <c r="H6773" s="14" t="s">
        <v>192</v>
      </c>
      <c r="I6773" s="14" t="s">
        <v>54</v>
      </c>
      <c r="J6773" s="14" t="s">
        <v>198</v>
      </c>
      <c r="K6773" s="14" t="s">
        <v>212</v>
      </c>
      <c r="L6773" s="14" t="s">
        <v>344</v>
      </c>
      <c r="M6773" s="14" t="s">
        <v>580</v>
      </c>
      <c r="N6773" s="14" t="s">
        <v>581</v>
      </c>
      <c r="O6773" s="14">
        <v>100.0</v>
      </c>
      <c r="P6773" s="21">
        <v>1.0</v>
      </c>
      <c r="Q6773" s="22" t="str">
        <f>"+1"</f>
        <v>+1</v>
      </c>
      <c r="S6773" s="14" t="s">
        <v>281</v>
      </c>
    </row>
    <row r="6774">
      <c r="A6774" s="13">
        <v>45901.0</v>
      </c>
      <c r="B6774" s="14" t="s">
        <v>47</v>
      </c>
      <c r="C6774" s="14" t="s">
        <v>48</v>
      </c>
      <c r="D6774" s="14" t="s">
        <v>192</v>
      </c>
      <c r="E6774" s="14" t="s">
        <v>193</v>
      </c>
      <c r="F6774" s="15" t="s">
        <v>51</v>
      </c>
      <c r="G6774" s="14" t="s">
        <v>194</v>
      </c>
      <c r="H6774" s="14" t="s">
        <v>192</v>
      </c>
      <c r="I6774" s="14" t="s">
        <v>54</v>
      </c>
      <c r="J6774" s="14" t="s">
        <v>200</v>
      </c>
      <c r="K6774" s="14" t="s">
        <v>202</v>
      </c>
      <c r="L6774" s="14" t="s">
        <v>253</v>
      </c>
      <c r="M6774" s="14" t="s">
        <v>347</v>
      </c>
      <c r="N6774" s="14" t="s">
        <v>348</v>
      </c>
      <c r="O6774" s="14">
        <v>59.0</v>
      </c>
      <c r="P6774" s="23">
        <v>0.5758</v>
      </c>
      <c r="Q6774" s="22" t="str">
        <f t="shared" ref="Q6774:Q6776" si="4054">"+0.00%"</f>
        <v>+0.00%</v>
      </c>
      <c r="R6774" s="18" t="str">
        <f>"-3.03%"</f>
        <v>-3.03%</v>
      </c>
      <c r="S6774" s="14" t="s">
        <v>1991</v>
      </c>
    </row>
    <row r="6775">
      <c r="A6775" s="13">
        <v>45901.0</v>
      </c>
      <c r="B6775" s="14" t="s">
        <v>47</v>
      </c>
      <c r="C6775" s="14" t="s">
        <v>48</v>
      </c>
      <c r="D6775" s="14" t="s">
        <v>93</v>
      </c>
      <c r="E6775" s="14" t="s">
        <v>94</v>
      </c>
      <c r="F6775" s="15" t="s">
        <v>51</v>
      </c>
      <c r="G6775" s="14" t="s">
        <v>191</v>
      </c>
      <c r="H6775" s="14" t="s">
        <v>95</v>
      </c>
      <c r="I6775" s="14" t="s">
        <v>59</v>
      </c>
      <c r="J6775" s="14" t="s">
        <v>200</v>
      </c>
      <c r="K6775" s="14" t="s">
        <v>215</v>
      </c>
      <c r="L6775" s="14" t="s">
        <v>548</v>
      </c>
      <c r="M6775" s="14" t="s">
        <v>1091</v>
      </c>
      <c r="N6775" s="14" t="s">
        <v>1092</v>
      </c>
      <c r="O6775" s="14">
        <v>0.0</v>
      </c>
      <c r="P6775" s="23">
        <v>-1.0</v>
      </c>
      <c r="Q6775" s="22" t="str">
        <f t="shared" si="4054"/>
        <v>+0.00%</v>
      </c>
      <c r="R6775" s="18" t="str">
        <f t="shared" ref="R6775:R6776" si="4055">"+0.00%"</f>
        <v>+0.00%</v>
      </c>
      <c r="S6775" s="14" t="s">
        <v>2753</v>
      </c>
    </row>
    <row r="6776">
      <c r="A6776" s="13">
        <v>45901.0</v>
      </c>
      <c r="B6776" s="14" t="s">
        <v>47</v>
      </c>
      <c r="C6776" s="14" t="s">
        <v>48</v>
      </c>
      <c r="D6776" s="14" t="s">
        <v>66</v>
      </c>
      <c r="E6776" s="14" t="s">
        <v>67</v>
      </c>
      <c r="F6776" s="15" t="s">
        <v>51</v>
      </c>
      <c r="G6776" s="14" t="s">
        <v>68</v>
      </c>
      <c r="H6776" s="14" t="s">
        <v>66</v>
      </c>
      <c r="I6776" s="14" t="s">
        <v>59</v>
      </c>
      <c r="J6776" s="14" t="s">
        <v>200</v>
      </c>
      <c r="K6776" s="14" t="s">
        <v>223</v>
      </c>
      <c r="L6776" s="14" t="s">
        <v>363</v>
      </c>
      <c r="M6776" s="14" t="s">
        <v>708</v>
      </c>
      <c r="N6776" s="14" t="s">
        <v>709</v>
      </c>
      <c r="O6776" s="14">
        <v>0.0</v>
      </c>
      <c r="P6776" s="23">
        <v>0.0</v>
      </c>
      <c r="Q6776" s="22" t="str">
        <f t="shared" si="4054"/>
        <v>+0.00%</v>
      </c>
      <c r="R6776" s="18" t="str">
        <f t="shared" si="4055"/>
        <v>+0.00%</v>
      </c>
      <c r="S6776" s="14" t="s">
        <v>285</v>
      </c>
    </row>
    <row r="6777">
      <c r="A6777" s="13">
        <v>45901.0</v>
      </c>
      <c r="B6777" s="14" t="s">
        <v>47</v>
      </c>
      <c r="C6777" s="14" t="s">
        <v>48</v>
      </c>
      <c r="D6777" s="14" t="s">
        <v>87</v>
      </c>
      <c r="E6777" s="14" t="s">
        <v>88</v>
      </c>
      <c r="F6777" s="15" t="s">
        <v>51</v>
      </c>
      <c r="G6777" s="14" t="s">
        <v>89</v>
      </c>
      <c r="H6777" s="14" t="s">
        <v>90</v>
      </c>
      <c r="I6777" s="14" t="s">
        <v>59</v>
      </c>
      <c r="J6777" s="14" t="s">
        <v>200</v>
      </c>
      <c r="K6777" s="14" t="s">
        <v>223</v>
      </c>
      <c r="L6777" s="14" t="s">
        <v>261</v>
      </c>
      <c r="M6777" s="14" t="s">
        <v>566</v>
      </c>
      <c r="N6777" s="14" t="s">
        <v>567</v>
      </c>
      <c r="O6777" s="14">
        <v>15.0</v>
      </c>
      <c r="P6777" s="23">
        <v>0.1593</v>
      </c>
      <c r="Q6777" s="22" t="str">
        <f>"+0.26%"</f>
        <v>+0.26%</v>
      </c>
      <c r="R6777" s="18" t="str">
        <f>"-0.44%"</f>
        <v>-0.44%</v>
      </c>
      <c r="S6777" s="14" t="s">
        <v>2754</v>
      </c>
    </row>
    <row r="6778">
      <c r="A6778" s="13">
        <v>45901.0</v>
      </c>
      <c r="B6778" s="14" t="s">
        <v>47</v>
      </c>
      <c r="C6778" s="14" t="s">
        <v>48</v>
      </c>
      <c r="D6778" s="14" t="s">
        <v>149</v>
      </c>
      <c r="E6778" s="14" t="s">
        <v>150</v>
      </c>
      <c r="F6778" s="15" t="s">
        <v>51</v>
      </c>
      <c r="G6778" s="14" t="s">
        <v>151</v>
      </c>
      <c r="H6778" s="14" t="s">
        <v>152</v>
      </c>
      <c r="I6778" s="14" t="s">
        <v>54</v>
      </c>
      <c r="J6778" s="14" t="s">
        <v>200</v>
      </c>
      <c r="K6778" s="14" t="s">
        <v>223</v>
      </c>
      <c r="L6778" s="14" t="s">
        <v>487</v>
      </c>
      <c r="M6778" s="14" t="s">
        <v>962</v>
      </c>
      <c r="N6778" s="14" t="s">
        <v>963</v>
      </c>
      <c r="O6778" s="14">
        <v>0.0</v>
      </c>
      <c r="P6778" s="23">
        <v>0.0</v>
      </c>
      <c r="Q6778" s="22" t="str">
        <f t="shared" ref="Q6778:R6778" si="4056">"+0.00%"</f>
        <v>+0.00%</v>
      </c>
      <c r="R6778" s="18" t="str">
        <f t="shared" si="4056"/>
        <v>+0.00%</v>
      </c>
      <c r="S6778" s="14" t="s">
        <v>285</v>
      </c>
    </row>
    <row r="6779">
      <c r="A6779" s="13">
        <v>45901.0</v>
      </c>
      <c r="B6779" s="14" t="s">
        <v>47</v>
      </c>
      <c r="C6779" s="14" t="s">
        <v>48</v>
      </c>
      <c r="D6779" s="14" t="s">
        <v>129</v>
      </c>
      <c r="E6779" s="14" t="s">
        <v>130</v>
      </c>
      <c r="F6779" s="15" t="s">
        <v>51</v>
      </c>
      <c r="G6779" s="14" t="s">
        <v>131</v>
      </c>
      <c r="H6779" s="14" t="s">
        <v>129</v>
      </c>
      <c r="I6779" s="14" t="s">
        <v>59</v>
      </c>
      <c r="J6779" s="14" t="s">
        <v>198</v>
      </c>
      <c r="K6779" s="14" t="s">
        <v>205</v>
      </c>
      <c r="L6779" s="14" t="s">
        <v>274</v>
      </c>
      <c r="M6779" s="14" t="s">
        <v>387</v>
      </c>
      <c r="N6779" s="14" t="s">
        <v>388</v>
      </c>
      <c r="O6779" s="14">
        <v>0.0</v>
      </c>
      <c r="P6779" s="21">
        <v>0.0</v>
      </c>
      <c r="Q6779" s="22" t="str">
        <f t="shared" ref="Q6779:Q6782" si="4057">"+0"</f>
        <v>+0</v>
      </c>
      <c r="S6779" s="14" t="s">
        <v>281</v>
      </c>
    </row>
    <row r="6780">
      <c r="A6780" s="13">
        <v>45901.0</v>
      </c>
      <c r="B6780" s="14" t="s">
        <v>47</v>
      </c>
      <c r="C6780" s="14" t="s">
        <v>48</v>
      </c>
      <c r="D6780" s="14" t="s">
        <v>87</v>
      </c>
      <c r="E6780" s="14" t="s">
        <v>88</v>
      </c>
      <c r="F6780" s="15" t="s">
        <v>51</v>
      </c>
      <c r="G6780" s="14" t="s">
        <v>89</v>
      </c>
      <c r="H6780" s="14" t="s">
        <v>90</v>
      </c>
      <c r="I6780" s="14" t="s">
        <v>59</v>
      </c>
      <c r="J6780" s="14" t="s">
        <v>199</v>
      </c>
      <c r="K6780" s="14" t="s">
        <v>203</v>
      </c>
      <c r="L6780" s="14" t="s">
        <v>431</v>
      </c>
      <c r="M6780" s="14" t="s">
        <v>431</v>
      </c>
      <c r="N6780" s="14" t="s">
        <v>432</v>
      </c>
      <c r="O6780" s="14">
        <v>0.0</v>
      </c>
      <c r="P6780" s="21">
        <v>0.0</v>
      </c>
      <c r="Q6780" s="22" t="str">
        <f t="shared" si="4057"/>
        <v>+0</v>
      </c>
      <c r="R6780" s="18" t="str">
        <f t="shared" ref="R6780:R6781" si="4058">"+0"</f>
        <v>+0</v>
      </c>
      <c r="S6780" s="14" t="s">
        <v>260</v>
      </c>
    </row>
    <row r="6781">
      <c r="A6781" s="13">
        <v>45901.0</v>
      </c>
      <c r="B6781" s="14" t="s">
        <v>47</v>
      </c>
      <c r="C6781" s="14" t="s">
        <v>48</v>
      </c>
      <c r="D6781" s="14" t="s">
        <v>69</v>
      </c>
      <c r="E6781" s="14" t="s">
        <v>70</v>
      </c>
      <c r="F6781" s="15" t="s">
        <v>51</v>
      </c>
      <c r="G6781" s="14" t="s">
        <v>115</v>
      </c>
      <c r="H6781" s="14" t="s">
        <v>72</v>
      </c>
      <c r="I6781" s="14" t="s">
        <v>54</v>
      </c>
      <c r="J6781" s="14" t="s">
        <v>200</v>
      </c>
      <c r="K6781" s="14" t="s">
        <v>213</v>
      </c>
      <c r="L6781" s="14" t="s">
        <v>359</v>
      </c>
      <c r="M6781" s="14" t="s">
        <v>519</v>
      </c>
      <c r="N6781" s="14" t="s">
        <v>520</v>
      </c>
      <c r="O6781" s="14">
        <v>0.0</v>
      </c>
      <c r="P6781" s="21">
        <v>0.0</v>
      </c>
      <c r="Q6781" s="22" t="str">
        <f t="shared" si="4057"/>
        <v>+0</v>
      </c>
      <c r="R6781" s="18" t="str">
        <f t="shared" si="4058"/>
        <v>+0</v>
      </c>
      <c r="S6781" s="14" t="s">
        <v>260</v>
      </c>
    </row>
    <row r="6782">
      <c r="A6782" s="13">
        <v>45901.0</v>
      </c>
      <c r="B6782" s="14" t="s">
        <v>47</v>
      </c>
      <c r="C6782" s="14" t="s">
        <v>48</v>
      </c>
      <c r="D6782" s="14" t="s">
        <v>85</v>
      </c>
      <c r="E6782" s="14" t="s">
        <v>86</v>
      </c>
      <c r="F6782" s="15" t="s">
        <v>51</v>
      </c>
      <c r="G6782" s="14" t="s">
        <v>148</v>
      </c>
      <c r="H6782" s="14" t="s">
        <v>85</v>
      </c>
      <c r="I6782" s="14" t="s">
        <v>59</v>
      </c>
      <c r="J6782" s="14" t="s">
        <v>198</v>
      </c>
      <c r="K6782" s="14" t="s">
        <v>205</v>
      </c>
      <c r="L6782" s="14" t="s">
        <v>274</v>
      </c>
      <c r="M6782" s="14" t="s">
        <v>425</v>
      </c>
      <c r="N6782" s="14" t="s">
        <v>426</v>
      </c>
      <c r="O6782" s="14">
        <v>0.0</v>
      </c>
      <c r="P6782" s="21">
        <v>0.0</v>
      </c>
      <c r="Q6782" s="22" t="str">
        <f t="shared" si="4057"/>
        <v>+0</v>
      </c>
      <c r="S6782" s="14" t="s">
        <v>281</v>
      </c>
    </row>
    <row r="6783">
      <c r="A6783" s="13">
        <v>45901.0</v>
      </c>
      <c r="B6783" s="14" t="s">
        <v>47</v>
      </c>
      <c r="C6783" s="14" t="s">
        <v>48</v>
      </c>
      <c r="D6783" s="14" t="s">
        <v>96</v>
      </c>
      <c r="E6783" s="14" t="s">
        <v>97</v>
      </c>
      <c r="F6783" s="15" t="s">
        <v>51</v>
      </c>
      <c r="G6783" s="14" t="s">
        <v>98</v>
      </c>
      <c r="H6783" s="14" t="s">
        <v>96</v>
      </c>
      <c r="I6783" s="14" t="s">
        <v>59</v>
      </c>
      <c r="J6783" s="14" t="s">
        <v>200</v>
      </c>
      <c r="K6783" s="14" t="s">
        <v>223</v>
      </c>
      <c r="L6783" s="14" t="s">
        <v>261</v>
      </c>
      <c r="M6783" s="14" t="s">
        <v>1338</v>
      </c>
      <c r="N6783" s="14" t="s">
        <v>1339</v>
      </c>
      <c r="O6783" s="14">
        <v>0.0</v>
      </c>
      <c r="P6783" s="23">
        <v>0.0</v>
      </c>
      <c r="Q6783" s="22" t="str">
        <f t="shared" ref="Q6783:R6783" si="4059">"+0.00%"</f>
        <v>+0.00%</v>
      </c>
      <c r="R6783" s="18" t="str">
        <f t="shared" si="4059"/>
        <v>+0.00%</v>
      </c>
      <c r="S6783" s="14" t="s">
        <v>285</v>
      </c>
    </row>
    <row r="6784">
      <c r="A6784" s="13">
        <v>45901.0</v>
      </c>
      <c r="B6784" s="14" t="s">
        <v>47</v>
      </c>
      <c r="C6784" s="14" t="s">
        <v>48</v>
      </c>
      <c r="D6784" s="14" t="s">
        <v>96</v>
      </c>
      <c r="E6784" s="14" t="s">
        <v>97</v>
      </c>
      <c r="F6784" s="15" t="s">
        <v>51</v>
      </c>
      <c r="G6784" s="14" t="s">
        <v>98</v>
      </c>
      <c r="H6784" s="14" t="s">
        <v>96</v>
      </c>
      <c r="I6784" s="14" t="s">
        <v>59</v>
      </c>
      <c r="J6784" s="14" t="s">
        <v>200</v>
      </c>
      <c r="K6784" s="14" t="s">
        <v>222</v>
      </c>
      <c r="L6784" s="14" t="s">
        <v>253</v>
      </c>
      <c r="M6784" s="14" t="s">
        <v>732</v>
      </c>
      <c r="N6784" s="14" t="s">
        <v>733</v>
      </c>
      <c r="O6784" s="14">
        <v>50.0</v>
      </c>
      <c r="P6784" s="21">
        <v>1.0</v>
      </c>
      <c r="Q6784" s="22" t="str">
        <f t="shared" ref="Q6784:R6784" si="4060">"+0"</f>
        <v>+0</v>
      </c>
      <c r="R6784" s="18" t="str">
        <f t="shared" si="4060"/>
        <v>+0</v>
      </c>
      <c r="S6784" s="14" t="s">
        <v>450</v>
      </c>
    </row>
    <row r="6785">
      <c r="A6785" s="13">
        <v>45901.0</v>
      </c>
      <c r="B6785" s="14" t="s">
        <v>47</v>
      </c>
      <c r="C6785" s="14" t="s">
        <v>48</v>
      </c>
      <c r="D6785" s="14" t="s">
        <v>69</v>
      </c>
      <c r="E6785" s="14" t="s">
        <v>70</v>
      </c>
      <c r="F6785" s="15" t="s">
        <v>51</v>
      </c>
      <c r="G6785" s="14" t="s">
        <v>115</v>
      </c>
      <c r="H6785" s="14" t="s">
        <v>72</v>
      </c>
      <c r="I6785" s="14" t="s">
        <v>54</v>
      </c>
      <c r="J6785" s="14" t="s">
        <v>200</v>
      </c>
      <c r="K6785" s="14" t="s">
        <v>215</v>
      </c>
      <c r="L6785" s="14" t="s">
        <v>548</v>
      </c>
      <c r="M6785" s="14" t="s">
        <v>549</v>
      </c>
      <c r="N6785" s="14" t="s">
        <v>550</v>
      </c>
      <c r="O6785" s="14">
        <v>0.0</v>
      </c>
      <c r="P6785" s="23">
        <v>-1.0</v>
      </c>
      <c r="Q6785" s="22" t="str">
        <f t="shared" ref="Q6785:R6785" si="4061">"+0.00%"</f>
        <v>+0.00%</v>
      </c>
      <c r="R6785" s="18" t="str">
        <f t="shared" si="4061"/>
        <v>+0.00%</v>
      </c>
      <c r="S6785" s="14" t="s">
        <v>2755</v>
      </c>
    </row>
    <row r="6786">
      <c r="A6786" s="13">
        <v>45901.0</v>
      </c>
      <c r="B6786" s="14" t="s">
        <v>47</v>
      </c>
      <c r="C6786" s="14" t="s">
        <v>48</v>
      </c>
      <c r="D6786" s="14" t="s">
        <v>96</v>
      </c>
      <c r="E6786" s="14" t="s">
        <v>97</v>
      </c>
      <c r="F6786" s="15" t="s">
        <v>51</v>
      </c>
      <c r="G6786" s="14" t="s">
        <v>98</v>
      </c>
      <c r="H6786" s="14" t="s">
        <v>96</v>
      </c>
      <c r="I6786" s="14" t="s">
        <v>59</v>
      </c>
      <c r="J6786" s="14" t="s">
        <v>200</v>
      </c>
      <c r="K6786" s="14" t="s">
        <v>223</v>
      </c>
      <c r="L6786" s="14" t="s">
        <v>571</v>
      </c>
      <c r="M6786" s="14" t="s">
        <v>572</v>
      </c>
      <c r="N6786" s="14" t="s">
        <v>573</v>
      </c>
      <c r="O6786" s="14">
        <v>0.0</v>
      </c>
      <c r="P6786" s="23">
        <v>0.0</v>
      </c>
      <c r="Q6786" s="22" t="str">
        <f t="shared" ref="Q6786:R6786" si="4062">"+0.00%"</f>
        <v>+0.00%</v>
      </c>
      <c r="R6786" s="18" t="str">
        <f t="shared" si="4062"/>
        <v>+0.00%</v>
      </c>
      <c r="S6786" s="14" t="s">
        <v>285</v>
      </c>
    </row>
    <row r="6787">
      <c r="A6787" s="13">
        <v>45901.0</v>
      </c>
      <c r="B6787" s="14" t="s">
        <v>47</v>
      </c>
      <c r="C6787" s="14" t="s">
        <v>48</v>
      </c>
      <c r="D6787" s="14" t="s">
        <v>125</v>
      </c>
      <c r="E6787" s="14" t="s">
        <v>126</v>
      </c>
      <c r="F6787" s="15" t="s">
        <v>51</v>
      </c>
      <c r="G6787" s="14" t="s">
        <v>127</v>
      </c>
      <c r="H6787" s="14" t="s">
        <v>125</v>
      </c>
      <c r="I6787" s="14" t="s">
        <v>59</v>
      </c>
      <c r="J6787" s="14" t="s">
        <v>200</v>
      </c>
      <c r="K6787" s="14" t="s">
        <v>232</v>
      </c>
      <c r="L6787" s="14" t="s">
        <v>705</v>
      </c>
      <c r="M6787" s="14" t="s">
        <v>706</v>
      </c>
      <c r="N6787" s="14" t="s">
        <v>707</v>
      </c>
      <c r="O6787" s="14">
        <v>0.0</v>
      </c>
      <c r="P6787" s="21">
        <v>0.0</v>
      </c>
      <c r="Q6787" s="22" t="str">
        <f t="shared" ref="Q6787:R6787" si="4063">"+0"</f>
        <v>+0</v>
      </c>
      <c r="R6787" s="18" t="str">
        <f t="shared" si="4063"/>
        <v>+0</v>
      </c>
      <c r="S6787" s="14" t="s">
        <v>260</v>
      </c>
    </row>
    <row r="6788">
      <c r="A6788" s="13">
        <v>45901.0</v>
      </c>
      <c r="B6788" s="14" t="s">
        <v>47</v>
      </c>
      <c r="C6788" s="14" t="s">
        <v>48</v>
      </c>
      <c r="D6788" s="14" t="s">
        <v>174</v>
      </c>
      <c r="E6788" s="14" t="s">
        <v>175</v>
      </c>
      <c r="F6788" s="15" t="s">
        <v>51</v>
      </c>
      <c r="G6788" s="14" t="s">
        <v>176</v>
      </c>
      <c r="H6788" s="14" t="s">
        <v>174</v>
      </c>
      <c r="I6788" s="14" t="s">
        <v>59</v>
      </c>
      <c r="J6788" s="14" t="s">
        <v>200</v>
      </c>
      <c r="K6788" s="14" t="s">
        <v>222</v>
      </c>
      <c r="L6788" s="14" t="s">
        <v>337</v>
      </c>
      <c r="M6788" s="14" t="s">
        <v>1000</v>
      </c>
      <c r="N6788" s="14" t="s">
        <v>1001</v>
      </c>
      <c r="O6788" s="14">
        <v>0.0</v>
      </c>
      <c r="P6788" s="21">
        <v>0.0</v>
      </c>
      <c r="Q6788" s="22" t="str">
        <f t="shared" ref="Q6788:R6788" si="4064">"+0"</f>
        <v>+0</v>
      </c>
      <c r="R6788" s="18" t="str">
        <f t="shared" si="4064"/>
        <v>+0</v>
      </c>
      <c r="S6788" s="14" t="s">
        <v>260</v>
      </c>
    </row>
    <row r="6789">
      <c r="A6789" s="13">
        <v>45901.0</v>
      </c>
      <c r="B6789" s="14" t="s">
        <v>47</v>
      </c>
      <c r="C6789" s="14" t="s">
        <v>48</v>
      </c>
      <c r="D6789" s="14" t="s">
        <v>60</v>
      </c>
      <c r="E6789" s="14" t="s">
        <v>61</v>
      </c>
      <c r="F6789" s="15" t="s">
        <v>51</v>
      </c>
      <c r="G6789" s="14" t="s">
        <v>62</v>
      </c>
      <c r="H6789" s="14" t="s">
        <v>60</v>
      </c>
      <c r="I6789" s="14" t="s">
        <v>59</v>
      </c>
      <c r="J6789" s="14" t="s">
        <v>198</v>
      </c>
      <c r="K6789" s="14" t="s">
        <v>205</v>
      </c>
      <c r="L6789" s="14" t="s">
        <v>274</v>
      </c>
      <c r="M6789" s="14" t="s">
        <v>738</v>
      </c>
      <c r="N6789" s="14" t="s">
        <v>739</v>
      </c>
      <c r="O6789" s="14">
        <v>0.0</v>
      </c>
      <c r="P6789" s="21">
        <v>0.0</v>
      </c>
      <c r="Q6789" s="22" t="str">
        <f>"+0"</f>
        <v>+0</v>
      </c>
      <c r="S6789" s="14" t="s">
        <v>281</v>
      </c>
    </row>
    <row r="6790">
      <c r="A6790" s="13">
        <v>45901.0</v>
      </c>
      <c r="B6790" s="14" t="s">
        <v>47</v>
      </c>
      <c r="C6790" s="14" t="s">
        <v>48</v>
      </c>
      <c r="D6790" s="14" t="s">
        <v>56</v>
      </c>
      <c r="E6790" s="14" t="s">
        <v>57</v>
      </c>
      <c r="F6790" s="15" t="s">
        <v>51</v>
      </c>
      <c r="G6790" s="14" t="s">
        <v>58</v>
      </c>
      <c r="H6790" s="14" t="s">
        <v>56</v>
      </c>
      <c r="I6790" s="14" t="s">
        <v>59</v>
      </c>
      <c r="J6790" s="14" t="s">
        <v>200</v>
      </c>
      <c r="K6790" s="14" t="s">
        <v>223</v>
      </c>
      <c r="L6790" s="14" t="s">
        <v>257</v>
      </c>
      <c r="M6790" s="14" t="s">
        <v>315</v>
      </c>
      <c r="N6790" s="14" t="s">
        <v>316</v>
      </c>
      <c r="O6790" s="14">
        <v>40.0</v>
      </c>
      <c r="P6790" s="23">
        <v>0.4</v>
      </c>
      <c r="Q6790" s="22" t="str">
        <f>"+20.00%"</f>
        <v>+20.00%</v>
      </c>
      <c r="R6790" s="18" t="str">
        <f>"+15.00%"</f>
        <v>+15.00%</v>
      </c>
      <c r="S6790" s="14" t="s">
        <v>2756</v>
      </c>
    </row>
    <row r="6791">
      <c r="A6791" s="13">
        <v>45901.0</v>
      </c>
      <c r="B6791" s="14" t="s">
        <v>47</v>
      </c>
      <c r="C6791" s="14" t="s">
        <v>48</v>
      </c>
      <c r="D6791" s="14" t="s">
        <v>181</v>
      </c>
      <c r="E6791" s="14" t="s">
        <v>182</v>
      </c>
      <c r="F6791" s="15" t="s">
        <v>51</v>
      </c>
      <c r="G6791" s="14" t="s">
        <v>183</v>
      </c>
      <c r="H6791" s="14" t="s">
        <v>181</v>
      </c>
      <c r="I6791" s="14" t="s">
        <v>59</v>
      </c>
      <c r="J6791" s="14" t="s">
        <v>200</v>
      </c>
      <c r="K6791" s="14" t="s">
        <v>227</v>
      </c>
      <c r="L6791" s="14" t="s">
        <v>721</v>
      </c>
      <c r="M6791" s="14" t="s">
        <v>748</v>
      </c>
      <c r="N6791" s="14" t="s">
        <v>749</v>
      </c>
      <c r="O6791" s="14">
        <v>0.0</v>
      </c>
      <c r="P6791" s="23">
        <v>-1.0</v>
      </c>
      <c r="Q6791" s="22" t="str">
        <f t="shared" ref="Q6791:R6791" si="4065">"+0.00%"</f>
        <v>+0.00%</v>
      </c>
      <c r="R6791" s="18" t="str">
        <f t="shared" si="4065"/>
        <v>+0.00%</v>
      </c>
      <c r="S6791" s="14" t="s">
        <v>750</v>
      </c>
    </row>
    <row r="6792">
      <c r="A6792" s="13">
        <v>45901.0</v>
      </c>
      <c r="B6792" s="14" t="s">
        <v>47</v>
      </c>
      <c r="C6792" s="14" t="s">
        <v>48</v>
      </c>
      <c r="D6792" s="14" t="s">
        <v>165</v>
      </c>
      <c r="E6792" s="14" t="s">
        <v>166</v>
      </c>
      <c r="F6792" s="15" t="s">
        <v>51</v>
      </c>
      <c r="G6792" s="14" t="s">
        <v>167</v>
      </c>
      <c r="H6792" s="14" t="s">
        <v>165</v>
      </c>
      <c r="I6792" s="14" t="s">
        <v>54</v>
      </c>
      <c r="J6792" s="14" t="s">
        <v>200</v>
      </c>
      <c r="K6792" s="14" t="s">
        <v>213</v>
      </c>
      <c r="L6792" s="14" t="s">
        <v>440</v>
      </c>
      <c r="M6792" s="14" t="s">
        <v>441</v>
      </c>
      <c r="N6792" s="14" t="s">
        <v>442</v>
      </c>
      <c r="O6792" s="14">
        <v>0.0</v>
      </c>
      <c r="P6792" s="23">
        <v>0.0</v>
      </c>
      <c r="Q6792" s="22" t="str">
        <f t="shared" ref="Q6792:R6792" si="4066">"+0.00%"</f>
        <v>+0.00%</v>
      </c>
      <c r="R6792" s="18" t="str">
        <f t="shared" si="4066"/>
        <v>+0.00%</v>
      </c>
      <c r="S6792" s="14" t="s">
        <v>285</v>
      </c>
    </row>
    <row r="6793">
      <c r="A6793" s="13">
        <v>45901.0</v>
      </c>
      <c r="B6793" s="14" t="s">
        <v>47</v>
      </c>
      <c r="C6793" s="14" t="s">
        <v>48</v>
      </c>
      <c r="D6793" s="14" t="s">
        <v>165</v>
      </c>
      <c r="E6793" s="14" t="s">
        <v>166</v>
      </c>
      <c r="F6793" s="15" t="s">
        <v>51</v>
      </c>
      <c r="G6793" s="14" t="s">
        <v>167</v>
      </c>
      <c r="H6793" s="14" t="s">
        <v>165</v>
      </c>
      <c r="I6793" s="14" t="s">
        <v>54</v>
      </c>
      <c r="J6793" s="14" t="s">
        <v>200</v>
      </c>
      <c r="K6793" s="14" t="s">
        <v>213</v>
      </c>
      <c r="L6793" s="14" t="s">
        <v>359</v>
      </c>
      <c r="M6793" s="14" t="s">
        <v>628</v>
      </c>
      <c r="N6793" s="14" t="s">
        <v>629</v>
      </c>
      <c r="O6793" s="14">
        <v>100.0</v>
      </c>
      <c r="P6793" s="21">
        <v>82.0</v>
      </c>
      <c r="Q6793" s="22" t="str">
        <f t="shared" ref="Q6793:R6793" si="4067">"+0"</f>
        <v>+0</v>
      </c>
      <c r="R6793" s="18" t="str">
        <f t="shared" si="4067"/>
        <v>+0</v>
      </c>
      <c r="S6793" s="14" t="s">
        <v>260</v>
      </c>
    </row>
    <row r="6794">
      <c r="A6794" s="13">
        <v>45901.0</v>
      </c>
      <c r="B6794" s="14" t="s">
        <v>47</v>
      </c>
      <c r="C6794" s="14" t="s">
        <v>48</v>
      </c>
      <c r="D6794" s="14" t="s">
        <v>49</v>
      </c>
      <c r="E6794" s="14" t="s">
        <v>50</v>
      </c>
      <c r="F6794" s="15" t="s">
        <v>51</v>
      </c>
      <c r="G6794" s="14" t="s">
        <v>52</v>
      </c>
      <c r="H6794" s="14" t="s">
        <v>53</v>
      </c>
      <c r="I6794" s="14" t="s">
        <v>54</v>
      </c>
      <c r="J6794" s="14" t="s">
        <v>198</v>
      </c>
      <c r="K6794" s="14" t="s">
        <v>210</v>
      </c>
      <c r="L6794" s="14" t="s">
        <v>505</v>
      </c>
      <c r="M6794" s="14" t="s">
        <v>506</v>
      </c>
      <c r="N6794" s="14" t="s">
        <v>507</v>
      </c>
      <c r="O6794" s="14">
        <v>73.0</v>
      </c>
      <c r="P6794" s="21">
        <v>11.0</v>
      </c>
      <c r="Q6794" s="22" t="str">
        <f>"+5"</f>
        <v>+5</v>
      </c>
      <c r="R6794" s="18" t="str">
        <f>"+0"</f>
        <v>+0</v>
      </c>
      <c r="S6794" s="14" t="s">
        <v>2129</v>
      </c>
    </row>
    <row r="6795">
      <c r="A6795" s="13">
        <v>45901.0</v>
      </c>
      <c r="B6795" s="14" t="s">
        <v>47</v>
      </c>
      <c r="C6795" s="14" t="s">
        <v>48</v>
      </c>
      <c r="D6795" s="14" t="s">
        <v>165</v>
      </c>
      <c r="E6795" s="14" t="s">
        <v>166</v>
      </c>
      <c r="F6795" s="15" t="s">
        <v>51</v>
      </c>
      <c r="G6795" s="14" t="s">
        <v>167</v>
      </c>
      <c r="H6795" s="14" t="s">
        <v>165</v>
      </c>
      <c r="I6795" s="14" t="s">
        <v>54</v>
      </c>
      <c r="J6795" s="14" t="s">
        <v>200</v>
      </c>
      <c r="K6795" s="14" t="s">
        <v>224</v>
      </c>
      <c r="L6795" s="14" t="s">
        <v>453</v>
      </c>
      <c r="M6795" s="14" t="s">
        <v>454</v>
      </c>
      <c r="N6795" s="14" t="s">
        <v>455</v>
      </c>
      <c r="O6795" s="14">
        <v>100.0</v>
      </c>
      <c r="P6795" s="23">
        <v>1.0</v>
      </c>
      <c r="Q6795" s="22" t="str">
        <f t="shared" ref="Q6795:R6795" si="4068">"+0.00%"</f>
        <v>+0.00%</v>
      </c>
      <c r="R6795" s="18" t="str">
        <f t="shared" si="4068"/>
        <v>+0.00%</v>
      </c>
      <c r="S6795" s="14" t="s">
        <v>371</v>
      </c>
    </row>
    <row r="6796">
      <c r="A6796" s="13">
        <v>45901.0</v>
      </c>
      <c r="B6796" s="14" t="s">
        <v>47</v>
      </c>
      <c r="C6796" s="14" t="s">
        <v>48</v>
      </c>
      <c r="D6796" s="14" t="s">
        <v>63</v>
      </c>
      <c r="E6796" s="14" t="s">
        <v>64</v>
      </c>
      <c r="F6796" s="15" t="s">
        <v>51</v>
      </c>
      <c r="G6796" s="14" t="s">
        <v>65</v>
      </c>
      <c r="H6796" s="14" t="s">
        <v>63</v>
      </c>
      <c r="I6796" s="14" t="s">
        <v>54</v>
      </c>
      <c r="J6796" s="14" t="s">
        <v>198</v>
      </c>
      <c r="K6796" s="14" t="s">
        <v>210</v>
      </c>
      <c r="L6796" s="14" t="s">
        <v>458</v>
      </c>
      <c r="M6796" s="14" t="s">
        <v>796</v>
      </c>
      <c r="N6796" s="14" t="s">
        <v>797</v>
      </c>
      <c r="O6796" s="14">
        <v>0.0</v>
      </c>
      <c r="P6796" s="21">
        <v>0.0</v>
      </c>
      <c r="Q6796" s="22" t="str">
        <f t="shared" ref="Q6796:R6796" si="4069">"+0"</f>
        <v>+0</v>
      </c>
      <c r="R6796" s="18" t="str">
        <f t="shared" si="4069"/>
        <v>+0</v>
      </c>
      <c r="S6796" s="14" t="s">
        <v>277</v>
      </c>
    </row>
    <row r="6797">
      <c r="A6797" s="13">
        <v>45901.0</v>
      </c>
      <c r="B6797" s="14" t="s">
        <v>47</v>
      </c>
      <c r="C6797" s="14" t="s">
        <v>48</v>
      </c>
      <c r="D6797" s="14" t="s">
        <v>91</v>
      </c>
      <c r="E6797" s="14" t="s">
        <v>92</v>
      </c>
      <c r="F6797" s="14" t="s">
        <v>71</v>
      </c>
      <c r="G6797" s="14">
        <v>5.10000484E8</v>
      </c>
      <c r="H6797" s="14" t="s">
        <v>91</v>
      </c>
      <c r="I6797" s="14" t="s">
        <v>54</v>
      </c>
      <c r="J6797" s="14" t="s">
        <v>200</v>
      </c>
      <c r="K6797" s="14" t="s">
        <v>230</v>
      </c>
      <c r="L6797" s="14" t="s">
        <v>253</v>
      </c>
      <c r="M6797" s="14" t="s">
        <v>541</v>
      </c>
      <c r="N6797" s="14" t="s">
        <v>542</v>
      </c>
      <c r="O6797" s="14">
        <v>77.0</v>
      </c>
      <c r="P6797" s="23">
        <v>0.7793</v>
      </c>
      <c r="Q6797" s="22" t="str">
        <f>"+4.50%"</f>
        <v>+4.50%</v>
      </c>
      <c r="R6797" s="18" t="str">
        <f>"-22.07%"</f>
        <v>-22.07%</v>
      </c>
      <c r="S6797" s="14" t="s">
        <v>1776</v>
      </c>
    </row>
    <row r="6798">
      <c r="A6798" s="13">
        <v>45901.0</v>
      </c>
      <c r="B6798" s="14" t="s">
        <v>47</v>
      </c>
      <c r="C6798" s="14" t="s">
        <v>48</v>
      </c>
      <c r="D6798" s="14" t="s">
        <v>91</v>
      </c>
      <c r="E6798" s="14" t="s">
        <v>92</v>
      </c>
      <c r="F6798" s="14" t="s">
        <v>71</v>
      </c>
      <c r="G6798" s="14">
        <v>5.10011769E8</v>
      </c>
      <c r="H6798" s="14" t="s">
        <v>91</v>
      </c>
      <c r="I6798" s="14" t="s">
        <v>59</v>
      </c>
      <c r="J6798" s="14" t="s">
        <v>199</v>
      </c>
      <c r="K6798" s="14" t="s">
        <v>206</v>
      </c>
      <c r="L6798" s="14" t="s">
        <v>569</v>
      </c>
      <c r="M6798" s="14" t="s">
        <v>569</v>
      </c>
      <c r="N6798" s="14" t="s">
        <v>570</v>
      </c>
      <c r="O6798" s="14">
        <v>100.0</v>
      </c>
      <c r="P6798" s="21">
        <v>10.0</v>
      </c>
      <c r="Q6798" s="22" t="str">
        <f>"-2"</f>
        <v>-2</v>
      </c>
      <c r="R6798" s="18" t="str">
        <f>"+8"</f>
        <v>+8</v>
      </c>
      <c r="S6798" s="14" t="s">
        <v>383</v>
      </c>
    </row>
    <row r="6799">
      <c r="A6799" s="13">
        <v>45901.0</v>
      </c>
      <c r="B6799" s="14" t="s">
        <v>47</v>
      </c>
      <c r="C6799" s="14" t="s">
        <v>48</v>
      </c>
      <c r="D6799" s="14" t="s">
        <v>192</v>
      </c>
      <c r="E6799" s="14" t="s">
        <v>193</v>
      </c>
      <c r="F6799" s="15" t="s">
        <v>51</v>
      </c>
      <c r="G6799" s="14" t="s">
        <v>194</v>
      </c>
      <c r="H6799" s="14" t="s">
        <v>192</v>
      </c>
      <c r="I6799" s="14" t="s">
        <v>54</v>
      </c>
      <c r="J6799" s="14" t="s">
        <v>198</v>
      </c>
      <c r="K6799" s="14" t="s">
        <v>210</v>
      </c>
      <c r="L6799" s="14" t="s">
        <v>505</v>
      </c>
      <c r="M6799" s="14" t="s">
        <v>506</v>
      </c>
      <c r="N6799" s="14" t="s">
        <v>507</v>
      </c>
      <c r="O6799" s="14">
        <v>0.0</v>
      </c>
      <c r="P6799" s="21">
        <v>3385.0</v>
      </c>
      <c r="Q6799" s="22" t="str">
        <f>"+211"</f>
        <v>+211</v>
      </c>
      <c r="R6799" s="18" t="str">
        <f>"+1,586"</f>
        <v>+1,586</v>
      </c>
      <c r="S6799" s="14" t="s">
        <v>2757</v>
      </c>
    </row>
    <row r="6800">
      <c r="A6800" s="13">
        <v>45901.0</v>
      </c>
      <c r="B6800" s="14" t="s">
        <v>47</v>
      </c>
      <c r="C6800" s="14" t="s">
        <v>48</v>
      </c>
      <c r="D6800" s="14" t="s">
        <v>66</v>
      </c>
      <c r="E6800" s="14" t="s">
        <v>67</v>
      </c>
      <c r="F6800" s="15" t="s">
        <v>51</v>
      </c>
      <c r="G6800" s="14" t="s">
        <v>68</v>
      </c>
      <c r="H6800" s="14" t="s">
        <v>66</v>
      </c>
      <c r="I6800" s="14" t="s">
        <v>59</v>
      </c>
      <c r="J6800" s="14" t="s">
        <v>200</v>
      </c>
      <c r="K6800" s="14" t="s">
        <v>223</v>
      </c>
      <c r="L6800" s="14" t="s">
        <v>676</v>
      </c>
      <c r="M6800" s="14" t="s">
        <v>858</v>
      </c>
      <c r="N6800" s="14" t="s">
        <v>859</v>
      </c>
      <c r="O6800" s="14">
        <v>0.0</v>
      </c>
      <c r="P6800" s="23">
        <v>-1.0</v>
      </c>
      <c r="Q6800" s="22" t="str">
        <f t="shared" ref="Q6800:R6800" si="4070">"+0.00%"</f>
        <v>+0.00%</v>
      </c>
      <c r="R6800" s="18" t="str">
        <f t="shared" si="4070"/>
        <v>+0.00%</v>
      </c>
      <c r="S6800" s="14" t="s">
        <v>495</v>
      </c>
    </row>
    <row r="6801">
      <c r="A6801" s="13">
        <v>45901.0</v>
      </c>
      <c r="B6801" s="14" t="s">
        <v>47</v>
      </c>
      <c r="C6801" s="14" t="s">
        <v>48</v>
      </c>
      <c r="D6801" s="14" t="s">
        <v>82</v>
      </c>
      <c r="E6801" s="14" t="s">
        <v>83</v>
      </c>
      <c r="F6801" s="15" t="s">
        <v>51</v>
      </c>
      <c r="G6801" s="14" t="s">
        <v>84</v>
      </c>
      <c r="H6801" s="14" t="s">
        <v>82</v>
      </c>
      <c r="I6801" s="14" t="s">
        <v>59</v>
      </c>
      <c r="J6801" s="14" t="s">
        <v>200</v>
      </c>
      <c r="K6801" s="14" t="s">
        <v>213</v>
      </c>
      <c r="L6801" s="14" t="s">
        <v>307</v>
      </c>
      <c r="M6801" s="14" t="s">
        <v>533</v>
      </c>
      <c r="N6801" s="14" t="s">
        <v>534</v>
      </c>
      <c r="O6801" s="14">
        <v>0.0</v>
      </c>
      <c r="P6801" s="23">
        <v>0.0</v>
      </c>
      <c r="Q6801" s="22" t="str">
        <f>"+0.00%"</f>
        <v>+0.00%</v>
      </c>
      <c r="R6801" s="18" t="str">
        <f>"-2.44%"</f>
        <v>-2.44%</v>
      </c>
      <c r="S6801" s="14" t="s">
        <v>2758</v>
      </c>
    </row>
    <row r="6802">
      <c r="A6802" s="13">
        <v>45901.0</v>
      </c>
      <c r="B6802" s="14" t="s">
        <v>47</v>
      </c>
      <c r="C6802" s="14" t="s">
        <v>48</v>
      </c>
      <c r="D6802" s="14" t="s">
        <v>184</v>
      </c>
      <c r="E6802" s="14" t="s">
        <v>185</v>
      </c>
      <c r="F6802" s="15" t="s">
        <v>51</v>
      </c>
      <c r="G6802" s="14" t="s">
        <v>186</v>
      </c>
      <c r="H6802" s="14" t="s">
        <v>187</v>
      </c>
      <c r="I6802" s="14" t="s">
        <v>59</v>
      </c>
      <c r="J6802" s="14" t="s">
        <v>198</v>
      </c>
      <c r="K6802" s="14" t="s">
        <v>205</v>
      </c>
      <c r="L6802" s="14" t="s">
        <v>274</v>
      </c>
      <c r="M6802" s="14" t="s">
        <v>473</v>
      </c>
      <c r="N6802" s="14" t="s">
        <v>474</v>
      </c>
      <c r="O6802" s="14">
        <v>50.0</v>
      </c>
      <c r="P6802" s="21">
        <v>15.0</v>
      </c>
      <c r="Q6802" s="22" t="str">
        <f>"+0"</f>
        <v>+0</v>
      </c>
      <c r="S6802" s="14" t="s">
        <v>475</v>
      </c>
    </row>
    <row r="6803">
      <c r="A6803" s="13">
        <v>45901.0</v>
      </c>
      <c r="B6803" s="14" t="s">
        <v>47</v>
      </c>
      <c r="C6803" s="14" t="s">
        <v>48</v>
      </c>
      <c r="D6803" s="14" t="s">
        <v>184</v>
      </c>
      <c r="E6803" s="14" t="s">
        <v>185</v>
      </c>
      <c r="F6803" s="15" t="s">
        <v>51</v>
      </c>
      <c r="G6803" s="14" t="s">
        <v>186</v>
      </c>
      <c r="H6803" s="14" t="s">
        <v>187</v>
      </c>
      <c r="I6803" s="14" t="s">
        <v>59</v>
      </c>
      <c r="J6803" s="14" t="s">
        <v>198</v>
      </c>
      <c r="K6803" s="14" t="s">
        <v>210</v>
      </c>
      <c r="L6803" s="14" t="s">
        <v>264</v>
      </c>
      <c r="M6803" s="14" t="s">
        <v>524</v>
      </c>
      <c r="N6803" s="14" t="s">
        <v>525</v>
      </c>
      <c r="O6803" s="14">
        <v>85.0</v>
      </c>
      <c r="P6803" s="21">
        <v>1.0</v>
      </c>
      <c r="Q6803" s="22" t="str">
        <f>"-3"</f>
        <v>-3</v>
      </c>
      <c r="R6803" s="18" t="str">
        <f>"+1"</f>
        <v>+1</v>
      </c>
      <c r="S6803" s="14" t="s">
        <v>526</v>
      </c>
    </row>
    <row r="6804">
      <c r="A6804" s="13">
        <v>45901.0</v>
      </c>
      <c r="B6804" s="14" t="s">
        <v>47</v>
      </c>
      <c r="C6804" s="14" t="s">
        <v>48</v>
      </c>
      <c r="D6804" s="14" t="s">
        <v>192</v>
      </c>
      <c r="E6804" s="14" t="s">
        <v>193</v>
      </c>
      <c r="F6804" s="15" t="s">
        <v>51</v>
      </c>
      <c r="G6804" s="14" t="s">
        <v>194</v>
      </c>
      <c r="H6804" s="14" t="s">
        <v>192</v>
      </c>
      <c r="I6804" s="14" t="s">
        <v>54</v>
      </c>
      <c r="J6804" s="14" t="s">
        <v>200</v>
      </c>
      <c r="K6804" s="14" t="s">
        <v>211</v>
      </c>
      <c r="L6804" s="14" t="s">
        <v>889</v>
      </c>
      <c r="M6804" s="14" t="s">
        <v>890</v>
      </c>
      <c r="N6804" s="14" t="s">
        <v>891</v>
      </c>
      <c r="O6804" s="14">
        <v>0.0</v>
      </c>
      <c r="P6804" s="23">
        <v>-1.0</v>
      </c>
      <c r="Q6804" s="22" t="str">
        <f>"-100.00%"</f>
        <v>-100.00%</v>
      </c>
      <c r="R6804" s="18" t="str">
        <f>"+0.00%"</f>
        <v>+0.00%</v>
      </c>
      <c r="S6804" s="14" t="s">
        <v>2759</v>
      </c>
    </row>
    <row r="6805">
      <c r="A6805" s="13">
        <v>45901.0</v>
      </c>
      <c r="B6805" s="14" t="s">
        <v>47</v>
      </c>
      <c r="C6805" s="14" t="s">
        <v>48</v>
      </c>
      <c r="D6805" s="14" t="s">
        <v>66</v>
      </c>
      <c r="E6805" s="14" t="s">
        <v>67</v>
      </c>
      <c r="F6805" s="15" t="s">
        <v>51</v>
      </c>
      <c r="G6805" s="14" t="s">
        <v>68</v>
      </c>
      <c r="H6805" s="14" t="s">
        <v>66</v>
      </c>
      <c r="I6805" s="14" t="s">
        <v>59</v>
      </c>
      <c r="J6805" s="14" t="s">
        <v>200</v>
      </c>
      <c r="K6805" s="14" t="s">
        <v>231</v>
      </c>
      <c r="L6805" s="14" t="s">
        <v>512</v>
      </c>
      <c r="M6805" s="14" t="s">
        <v>1937</v>
      </c>
      <c r="N6805" s="14" t="s">
        <v>1938</v>
      </c>
      <c r="O6805" s="14">
        <v>0.0</v>
      </c>
      <c r="P6805" s="21">
        <v>0.0</v>
      </c>
      <c r="Q6805" s="22" t="str">
        <f t="shared" ref="Q6805:R6805" si="4071">"+0"</f>
        <v>+0</v>
      </c>
      <c r="R6805" s="18" t="str">
        <f t="shared" si="4071"/>
        <v>+0</v>
      </c>
      <c r="S6805" s="14" t="s">
        <v>260</v>
      </c>
    </row>
    <row r="6806">
      <c r="A6806" s="13">
        <v>45901.0</v>
      </c>
      <c r="B6806" s="14" t="s">
        <v>47</v>
      </c>
      <c r="C6806" s="14" t="s">
        <v>48</v>
      </c>
      <c r="D6806" s="14" t="s">
        <v>143</v>
      </c>
      <c r="E6806" s="14" t="s">
        <v>144</v>
      </c>
      <c r="F6806" s="15" t="s">
        <v>51</v>
      </c>
      <c r="G6806" s="14" t="s">
        <v>145</v>
      </c>
      <c r="H6806" s="14" t="s">
        <v>143</v>
      </c>
      <c r="I6806" s="14" t="s">
        <v>59</v>
      </c>
      <c r="J6806" s="14" t="s">
        <v>198</v>
      </c>
      <c r="K6806" s="14" t="s">
        <v>205</v>
      </c>
      <c r="L6806" s="14" t="s">
        <v>274</v>
      </c>
      <c r="M6806" s="14" t="s">
        <v>791</v>
      </c>
      <c r="N6806" s="14" t="s">
        <v>792</v>
      </c>
      <c r="O6806" s="14">
        <v>100.0</v>
      </c>
      <c r="P6806" s="21">
        <v>2.0</v>
      </c>
      <c r="Q6806" s="22" t="str">
        <f t="shared" ref="Q6806:Q6807" si="4072">"+0"</f>
        <v>+0</v>
      </c>
      <c r="S6806" s="14" t="s">
        <v>260</v>
      </c>
    </row>
    <row r="6807">
      <c r="A6807" s="13">
        <v>45901.0</v>
      </c>
      <c r="B6807" s="14" t="s">
        <v>47</v>
      </c>
      <c r="C6807" s="14" t="s">
        <v>48</v>
      </c>
      <c r="D6807" s="14" t="s">
        <v>149</v>
      </c>
      <c r="E6807" s="14" t="s">
        <v>150</v>
      </c>
      <c r="F6807" s="15" t="s">
        <v>51</v>
      </c>
      <c r="G6807" s="14" t="s">
        <v>151</v>
      </c>
      <c r="H6807" s="14" t="s">
        <v>152</v>
      </c>
      <c r="I6807" s="14" t="s">
        <v>54</v>
      </c>
      <c r="J6807" s="14" t="s">
        <v>198</v>
      </c>
      <c r="K6807" s="14" t="s">
        <v>210</v>
      </c>
      <c r="L6807" s="14" t="s">
        <v>264</v>
      </c>
      <c r="M6807" s="14" t="s">
        <v>1274</v>
      </c>
      <c r="N6807" s="14" t="s">
        <v>1275</v>
      </c>
      <c r="O6807" s="14">
        <v>0.0</v>
      </c>
      <c r="P6807" s="21">
        <v>0.0</v>
      </c>
      <c r="Q6807" s="22" t="str">
        <f t="shared" si="4072"/>
        <v>+0</v>
      </c>
      <c r="R6807" s="18" t="str">
        <f>"+0"</f>
        <v>+0</v>
      </c>
      <c r="S6807" s="14" t="s">
        <v>277</v>
      </c>
    </row>
    <row r="6808">
      <c r="A6808" s="13">
        <v>45901.0</v>
      </c>
      <c r="B6808" s="14" t="s">
        <v>47</v>
      </c>
      <c r="C6808" s="14" t="s">
        <v>48</v>
      </c>
      <c r="D6808" s="14" t="s">
        <v>69</v>
      </c>
      <c r="E6808" s="14" t="s">
        <v>70</v>
      </c>
      <c r="F6808" s="14" t="s">
        <v>71</v>
      </c>
      <c r="G6808" s="14">
        <v>1.00002092E8</v>
      </c>
      <c r="H6808" s="14" t="s">
        <v>72</v>
      </c>
      <c r="I6808" s="14" t="s">
        <v>54</v>
      </c>
      <c r="J6808" s="14" t="s">
        <v>200</v>
      </c>
      <c r="K6808" s="14" t="s">
        <v>220</v>
      </c>
      <c r="L6808" s="14" t="s">
        <v>253</v>
      </c>
      <c r="M6808" s="14" t="s">
        <v>1317</v>
      </c>
      <c r="N6808" s="14" t="s">
        <v>1318</v>
      </c>
      <c r="O6808" s="14">
        <v>100.0</v>
      </c>
      <c r="P6808" s="23">
        <v>1.0</v>
      </c>
      <c r="Q6808" s="22" t="str">
        <f>"+22.96%"</f>
        <v>+22.96%</v>
      </c>
      <c r="R6808" s="18" t="str">
        <f>"+8.41%"</f>
        <v>+8.41%</v>
      </c>
      <c r="S6808" s="14" t="s">
        <v>2760</v>
      </c>
    </row>
    <row r="6809">
      <c r="A6809" s="13">
        <v>45901.0</v>
      </c>
      <c r="B6809" s="14" t="s">
        <v>47</v>
      </c>
      <c r="C6809" s="14" t="s">
        <v>48</v>
      </c>
      <c r="D6809" s="14" t="s">
        <v>69</v>
      </c>
      <c r="E6809" s="14" t="s">
        <v>70</v>
      </c>
      <c r="F6809" s="15" t="s">
        <v>51</v>
      </c>
      <c r="G6809" s="14" t="s">
        <v>115</v>
      </c>
      <c r="H6809" s="14" t="s">
        <v>72</v>
      </c>
      <c r="I6809" s="14" t="s">
        <v>54</v>
      </c>
      <c r="J6809" s="14" t="s">
        <v>200</v>
      </c>
      <c r="K6809" s="14" t="s">
        <v>213</v>
      </c>
      <c r="L6809" s="14" t="s">
        <v>289</v>
      </c>
      <c r="M6809" s="14" t="s">
        <v>331</v>
      </c>
      <c r="N6809" s="14" t="s">
        <v>332</v>
      </c>
      <c r="O6809" s="14">
        <v>0.0</v>
      </c>
      <c r="P6809" s="23">
        <v>0.0</v>
      </c>
      <c r="Q6809" s="22" t="str">
        <f t="shared" ref="Q6809:R6809" si="4073">"+0.00%"</f>
        <v>+0.00%</v>
      </c>
      <c r="R6809" s="18" t="str">
        <f t="shared" si="4073"/>
        <v>+0.00%</v>
      </c>
      <c r="S6809" s="14" t="s">
        <v>285</v>
      </c>
    </row>
    <row r="6810">
      <c r="A6810" s="13">
        <v>45901.0</v>
      </c>
      <c r="B6810" s="14" t="s">
        <v>47</v>
      </c>
      <c r="C6810" s="14" t="s">
        <v>48</v>
      </c>
      <c r="D6810" s="14" t="s">
        <v>69</v>
      </c>
      <c r="E6810" s="14" t="s">
        <v>70</v>
      </c>
      <c r="F6810" s="15" t="s">
        <v>51</v>
      </c>
      <c r="G6810" s="14" t="s">
        <v>115</v>
      </c>
      <c r="H6810" s="14" t="s">
        <v>72</v>
      </c>
      <c r="I6810" s="14" t="s">
        <v>54</v>
      </c>
      <c r="J6810" s="14" t="s">
        <v>200</v>
      </c>
      <c r="K6810" s="14" t="s">
        <v>213</v>
      </c>
      <c r="L6810" s="14" t="s">
        <v>253</v>
      </c>
      <c r="M6810" s="14" t="s">
        <v>366</v>
      </c>
      <c r="N6810" s="14" t="s">
        <v>367</v>
      </c>
      <c r="O6810" s="14">
        <v>99.0</v>
      </c>
      <c r="P6810" s="23">
        <v>0.9901</v>
      </c>
      <c r="Q6810" s="22" t="str">
        <f>"+9.01%"</f>
        <v>+9.01%</v>
      </c>
      <c r="R6810" s="18" t="str">
        <f>"+4.76%"</f>
        <v>+4.76%</v>
      </c>
      <c r="S6810" s="14" t="s">
        <v>2761</v>
      </c>
    </row>
    <row r="6811">
      <c r="A6811" s="13">
        <v>45901.0</v>
      </c>
      <c r="B6811" s="14" t="s">
        <v>47</v>
      </c>
      <c r="C6811" s="14" t="s">
        <v>48</v>
      </c>
      <c r="D6811" s="14" t="s">
        <v>96</v>
      </c>
      <c r="E6811" s="14" t="s">
        <v>97</v>
      </c>
      <c r="F6811" s="15" t="s">
        <v>51</v>
      </c>
      <c r="G6811" s="14" t="s">
        <v>98</v>
      </c>
      <c r="H6811" s="14" t="s">
        <v>96</v>
      </c>
      <c r="I6811" s="14" t="s">
        <v>59</v>
      </c>
      <c r="J6811" s="14" t="s">
        <v>200</v>
      </c>
      <c r="K6811" s="14" t="s">
        <v>223</v>
      </c>
      <c r="L6811" s="14" t="s">
        <v>289</v>
      </c>
      <c r="M6811" s="14" t="s">
        <v>684</v>
      </c>
      <c r="N6811" s="14" t="s">
        <v>685</v>
      </c>
      <c r="O6811" s="14">
        <v>0.0</v>
      </c>
      <c r="P6811" s="23">
        <v>0.0</v>
      </c>
      <c r="Q6811" s="22" t="str">
        <f t="shared" ref="Q6811:R6811" si="4074">"+0.00%"</f>
        <v>+0.00%</v>
      </c>
      <c r="R6811" s="18" t="str">
        <f t="shared" si="4074"/>
        <v>+0.00%</v>
      </c>
      <c r="S6811" s="14" t="s">
        <v>285</v>
      </c>
    </row>
    <row r="6812">
      <c r="A6812" s="13">
        <v>45901.0</v>
      </c>
      <c r="B6812" s="14" t="s">
        <v>47</v>
      </c>
      <c r="C6812" s="14" t="s">
        <v>48</v>
      </c>
      <c r="D6812" s="14" t="s">
        <v>116</v>
      </c>
      <c r="E6812" s="14" t="s">
        <v>117</v>
      </c>
      <c r="F6812" s="15" t="s">
        <v>51</v>
      </c>
      <c r="G6812" s="14" t="s">
        <v>161</v>
      </c>
      <c r="H6812" s="14" t="s">
        <v>116</v>
      </c>
      <c r="I6812" s="14" t="s">
        <v>54</v>
      </c>
      <c r="J6812" s="14" t="s">
        <v>200</v>
      </c>
      <c r="K6812" s="14" t="s">
        <v>204</v>
      </c>
      <c r="L6812" s="14" t="s">
        <v>253</v>
      </c>
      <c r="M6812" s="14" t="s">
        <v>844</v>
      </c>
      <c r="N6812" s="14" t="s">
        <v>845</v>
      </c>
      <c r="O6812" s="14">
        <v>0.0</v>
      </c>
      <c r="P6812" s="17"/>
      <c r="Q6812" s="22"/>
      <c r="S6812" s="14" t="s">
        <v>846</v>
      </c>
    </row>
    <row r="6813">
      <c r="A6813" s="13">
        <v>45901.0</v>
      </c>
      <c r="B6813" s="14" t="s">
        <v>47</v>
      </c>
      <c r="C6813" s="14" t="s">
        <v>48</v>
      </c>
      <c r="D6813" s="14" t="s">
        <v>77</v>
      </c>
      <c r="E6813" s="14" t="s">
        <v>78</v>
      </c>
      <c r="F6813" s="15" t="s">
        <v>51</v>
      </c>
      <c r="G6813" s="14" t="s">
        <v>128</v>
      </c>
      <c r="H6813" s="14" t="s">
        <v>81</v>
      </c>
      <c r="I6813" s="14" t="s">
        <v>59</v>
      </c>
      <c r="J6813" s="14" t="s">
        <v>200</v>
      </c>
      <c r="K6813" s="14" t="s">
        <v>216</v>
      </c>
      <c r="L6813" s="14" t="s">
        <v>799</v>
      </c>
      <c r="M6813" s="14" t="s">
        <v>800</v>
      </c>
      <c r="N6813" s="14" t="s">
        <v>801</v>
      </c>
      <c r="O6813" s="14">
        <v>0.0</v>
      </c>
      <c r="P6813" s="21">
        <v>0.0</v>
      </c>
      <c r="Q6813" s="22" t="str">
        <f t="shared" ref="Q6813:R6813" si="4075">"+0"</f>
        <v>+0</v>
      </c>
      <c r="R6813" s="18" t="str">
        <f t="shared" si="4075"/>
        <v>+0</v>
      </c>
      <c r="S6813" s="14" t="s">
        <v>260</v>
      </c>
    </row>
    <row r="6814">
      <c r="A6814" s="13">
        <v>45901.0</v>
      </c>
      <c r="B6814" s="14" t="s">
        <v>47</v>
      </c>
      <c r="C6814" s="14" t="s">
        <v>48</v>
      </c>
      <c r="D6814" s="14" t="s">
        <v>112</v>
      </c>
      <c r="E6814" s="14" t="s">
        <v>113</v>
      </c>
      <c r="F6814" s="15" t="s">
        <v>51</v>
      </c>
      <c r="G6814" s="14" t="s">
        <v>114</v>
      </c>
      <c r="H6814" s="14" t="s">
        <v>112</v>
      </c>
      <c r="I6814" s="14" t="s">
        <v>59</v>
      </c>
      <c r="J6814" s="14" t="s">
        <v>200</v>
      </c>
      <c r="K6814" s="14" t="s">
        <v>201</v>
      </c>
      <c r="L6814" s="14" t="s">
        <v>253</v>
      </c>
      <c r="M6814" s="14" t="s">
        <v>585</v>
      </c>
      <c r="N6814" s="14" t="s">
        <v>586</v>
      </c>
      <c r="O6814" s="14">
        <v>1.0</v>
      </c>
      <c r="P6814" s="23">
        <v>0.0</v>
      </c>
      <c r="Q6814" s="22" t="str">
        <f>"-0.00%"</f>
        <v>-0.00%</v>
      </c>
      <c r="R6814" s="18" t="str">
        <f>"-0.03%"</f>
        <v>-0.03%</v>
      </c>
      <c r="S6814" s="14" t="s">
        <v>1071</v>
      </c>
    </row>
    <row r="6815">
      <c r="A6815" s="13">
        <v>45901.0</v>
      </c>
      <c r="B6815" s="14" t="s">
        <v>47</v>
      </c>
      <c r="C6815" s="14" t="s">
        <v>48</v>
      </c>
      <c r="D6815" s="14" t="s">
        <v>108</v>
      </c>
      <c r="E6815" s="14" t="s">
        <v>109</v>
      </c>
      <c r="F6815" s="14" t="s">
        <v>146</v>
      </c>
      <c r="G6815" s="14" t="s">
        <v>180</v>
      </c>
      <c r="H6815" s="14" t="s">
        <v>108</v>
      </c>
      <c r="I6815" s="14" t="s">
        <v>59</v>
      </c>
      <c r="J6815" s="14" t="s">
        <v>200</v>
      </c>
      <c r="K6815" s="14" t="s">
        <v>226</v>
      </c>
      <c r="L6815" s="14" t="s">
        <v>672</v>
      </c>
      <c r="M6815" s="14" t="s">
        <v>972</v>
      </c>
      <c r="N6815" s="14" t="s">
        <v>973</v>
      </c>
      <c r="O6815" s="14">
        <v>100.0</v>
      </c>
      <c r="P6815" s="23">
        <v>0.9091</v>
      </c>
      <c r="Q6815" s="22" t="str">
        <f>"+76.62%"</f>
        <v>+76.62%</v>
      </c>
      <c r="S6815" s="14" t="s">
        <v>2762</v>
      </c>
    </row>
    <row r="6816">
      <c r="A6816" s="13">
        <v>45901.0</v>
      </c>
      <c r="B6816" s="14" t="s">
        <v>47</v>
      </c>
      <c r="C6816" s="14" t="s">
        <v>48</v>
      </c>
      <c r="D6816" s="14" t="s">
        <v>112</v>
      </c>
      <c r="E6816" s="14" t="s">
        <v>113</v>
      </c>
      <c r="F6816" s="15" t="s">
        <v>51</v>
      </c>
      <c r="G6816" s="14" t="s">
        <v>114</v>
      </c>
      <c r="H6816" s="14" t="s">
        <v>112</v>
      </c>
      <c r="I6816" s="14" t="s">
        <v>59</v>
      </c>
      <c r="J6816" s="14" t="s">
        <v>198</v>
      </c>
      <c r="K6816" s="14" t="s">
        <v>210</v>
      </c>
      <c r="L6816" s="14" t="s">
        <v>458</v>
      </c>
      <c r="M6816" s="14" t="s">
        <v>459</v>
      </c>
      <c r="N6816" s="14" t="s">
        <v>460</v>
      </c>
      <c r="O6816" s="14">
        <v>100.0</v>
      </c>
      <c r="P6816" s="21">
        <v>0.0</v>
      </c>
      <c r="Q6816" s="22" t="str">
        <f t="shared" ref="Q6816:R6816" si="4076">"+0"</f>
        <v>+0</v>
      </c>
      <c r="R6816" s="18" t="str">
        <f t="shared" si="4076"/>
        <v>+0</v>
      </c>
      <c r="S6816" s="14" t="s">
        <v>281</v>
      </c>
    </row>
    <row r="6817">
      <c r="A6817" s="13">
        <v>45901.0</v>
      </c>
      <c r="B6817" s="14" t="s">
        <v>47</v>
      </c>
      <c r="C6817" s="14" t="s">
        <v>48</v>
      </c>
      <c r="D6817" s="14" t="s">
        <v>108</v>
      </c>
      <c r="E6817" s="14" t="s">
        <v>109</v>
      </c>
      <c r="F6817" s="14" t="s">
        <v>79</v>
      </c>
      <c r="G6817" s="14" t="s">
        <v>153</v>
      </c>
      <c r="H6817" s="14" t="s">
        <v>108</v>
      </c>
      <c r="I6817" s="14" t="s">
        <v>154</v>
      </c>
      <c r="J6817" s="14" t="s">
        <v>200</v>
      </c>
      <c r="K6817" s="14" t="s">
        <v>237</v>
      </c>
      <c r="L6817" s="14" t="s">
        <v>333</v>
      </c>
      <c r="M6817" s="14" t="s">
        <v>1190</v>
      </c>
      <c r="N6817" s="14" t="s">
        <v>1191</v>
      </c>
      <c r="O6817" s="14">
        <v>68.0</v>
      </c>
      <c r="P6817" s="23">
        <v>0.3617</v>
      </c>
      <c r="Q6817" s="22" t="str">
        <f>"-63.83%"</f>
        <v>-63.83%</v>
      </c>
      <c r="S6817" s="14" t="s">
        <v>336</v>
      </c>
    </row>
    <row r="6818">
      <c r="A6818" s="13">
        <v>45901.0</v>
      </c>
      <c r="B6818" s="14" t="s">
        <v>47</v>
      </c>
      <c r="C6818" s="14" t="s">
        <v>48</v>
      </c>
      <c r="D6818" s="14" t="s">
        <v>188</v>
      </c>
      <c r="E6818" s="14" t="s">
        <v>189</v>
      </c>
      <c r="F6818" s="15" t="s">
        <v>51</v>
      </c>
      <c r="G6818" s="14" t="s">
        <v>190</v>
      </c>
      <c r="H6818" s="14" t="s">
        <v>188</v>
      </c>
      <c r="J6818" s="14" t="s">
        <v>200</v>
      </c>
      <c r="K6818" s="14" t="s">
        <v>204</v>
      </c>
      <c r="L6818" s="14" t="s">
        <v>253</v>
      </c>
      <c r="M6818" s="14" t="s">
        <v>844</v>
      </c>
      <c r="N6818" s="14" t="s">
        <v>845</v>
      </c>
      <c r="O6818" s="14">
        <v>0.0</v>
      </c>
      <c r="P6818" s="17"/>
      <c r="Q6818" s="22"/>
      <c r="S6818" s="14" t="s">
        <v>846</v>
      </c>
    </row>
    <row r="6819">
      <c r="A6819" s="13">
        <v>45901.0</v>
      </c>
      <c r="B6819" s="14" t="s">
        <v>47</v>
      </c>
      <c r="C6819" s="14" t="s">
        <v>48</v>
      </c>
      <c r="D6819" s="14" t="s">
        <v>77</v>
      </c>
      <c r="E6819" s="14" t="s">
        <v>78</v>
      </c>
      <c r="F6819" s="14" t="s">
        <v>79</v>
      </c>
      <c r="G6819" s="14" t="s">
        <v>80</v>
      </c>
      <c r="H6819" s="14" t="s">
        <v>81</v>
      </c>
      <c r="J6819" s="14" t="s">
        <v>200</v>
      </c>
      <c r="K6819" s="14" t="s">
        <v>238</v>
      </c>
      <c r="L6819" s="14" t="s">
        <v>253</v>
      </c>
      <c r="M6819" s="14" t="s">
        <v>1550</v>
      </c>
      <c r="N6819" s="14" t="s">
        <v>1551</v>
      </c>
      <c r="O6819" s="14">
        <v>0.0</v>
      </c>
      <c r="P6819" s="23">
        <v>0.0</v>
      </c>
      <c r="Q6819" s="22" t="str">
        <f t="shared" ref="Q6819:R6819" si="4077">"+0.00%"</f>
        <v>+0.00%</v>
      </c>
      <c r="R6819" s="18" t="str">
        <f t="shared" si="4077"/>
        <v>+0.00%</v>
      </c>
      <c r="S6819" s="14" t="s">
        <v>1552</v>
      </c>
    </row>
    <row r="6820">
      <c r="A6820" s="13">
        <v>45901.0</v>
      </c>
      <c r="B6820" s="14" t="s">
        <v>47</v>
      </c>
      <c r="C6820" s="14" t="s">
        <v>48</v>
      </c>
      <c r="D6820" s="14" t="s">
        <v>56</v>
      </c>
      <c r="E6820" s="14" t="s">
        <v>57</v>
      </c>
      <c r="F6820" s="15" t="s">
        <v>51</v>
      </c>
      <c r="G6820" s="14" t="s">
        <v>58</v>
      </c>
      <c r="H6820" s="14" t="s">
        <v>56</v>
      </c>
      <c r="I6820" s="14" t="s">
        <v>59</v>
      </c>
      <c r="J6820" s="14" t="s">
        <v>200</v>
      </c>
      <c r="K6820" s="14" t="s">
        <v>223</v>
      </c>
      <c r="L6820" s="14" t="s">
        <v>286</v>
      </c>
      <c r="M6820" s="14" t="s">
        <v>644</v>
      </c>
      <c r="N6820" s="14" t="s">
        <v>645</v>
      </c>
      <c r="O6820" s="14">
        <v>32.0</v>
      </c>
      <c r="P6820" s="23">
        <v>-0.3423</v>
      </c>
      <c r="Q6820" s="22" t="str">
        <f>"+8.57%"</f>
        <v>+8.57%</v>
      </c>
      <c r="R6820" s="18" t="str">
        <f>"+0.54%"</f>
        <v>+0.54%</v>
      </c>
      <c r="S6820" s="14" t="s">
        <v>2763</v>
      </c>
    </row>
    <row r="6821">
      <c r="A6821" s="13">
        <v>45901.0</v>
      </c>
      <c r="B6821" s="14" t="s">
        <v>47</v>
      </c>
      <c r="C6821" s="14" t="s">
        <v>48</v>
      </c>
      <c r="D6821" s="14" t="s">
        <v>121</v>
      </c>
      <c r="E6821" s="14" t="s">
        <v>122</v>
      </c>
      <c r="F6821" s="15" t="s">
        <v>51</v>
      </c>
      <c r="G6821" s="14" t="s">
        <v>123</v>
      </c>
      <c r="H6821" s="14" t="s">
        <v>124</v>
      </c>
      <c r="I6821" s="14" t="s">
        <v>59</v>
      </c>
      <c r="J6821" s="14" t="s">
        <v>200</v>
      </c>
      <c r="K6821" s="14" t="s">
        <v>227</v>
      </c>
      <c r="L6821" s="14" t="s">
        <v>270</v>
      </c>
      <c r="M6821" s="14" t="s">
        <v>400</v>
      </c>
      <c r="N6821" s="14" t="s">
        <v>401</v>
      </c>
      <c r="O6821" s="14">
        <v>0.0</v>
      </c>
      <c r="P6821" s="21">
        <v>0.0</v>
      </c>
      <c r="Q6821" s="22" t="str">
        <f t="shared" ref="Q6821:R6821" si="4078">"+0"</f>
        <v>+0</v>
      </c>
      <c r="R6821" s="18" t="str">
        <f t="shared" si="4078"/>
        <v>+0</v>
      </c>
      <c r="S6821" s="14" t="s">
        <v>260</v>
      </c>
    </row>
    <row r="6822">
      <c r="A6822" s="13">
        <v>45901.0</v>
      </c>
      <c r="B6822" s="14" t="s">
        <v>47</v>
      </c>
      <c r="C6822" s="14" t="s">
        <v>48</v>
      </c>
      <c r="D6822" s="14" t="s">
        <v>56</v>
      </c>
      <c r="E6822" s="14" t="s">
        <v>57</v>
      </c>
      <c r="F6822" s="15" t="s">
        <v>51</v>
      </c>
      <c r="G6822" s="14" t="s">
        <v>58</v>
      </c>
      <c r="H6822" s="14" t="s">
        <v>56</v>
      </c>
      <c r="I6822" s="14" t="s">
        <v>59</v>
      </c>
      <c r="J6822" s="14" t="s">
        <v>198</v>
      </c>
      <c r="K6822" s="14" t="s">
        <v>210</v>
      </c>
      <c r="L6822" s="14" t="s">
        <v>264</v>
      </c>
      <c r="M6822" s="14" t="s">
        <v>524</v>
      </c>
      <c r="N6822" s="14" t="s">
        <v>525</v>
      </c>
      <c r="O6822" s="14">
        <v>100.0</v>
      </c>
      <c r="P6822" s="21">
        <v>0.0</v>
      </c>
      <c r="Q6822" s="22" t="str">
        <f t="shared" ref="Q6822:R6822" si="4079">"+0"</f>
        <v>+0</v>
      </c>
      <c r="R6822" s="18" t="str">
        <f t="shared" si="4079"/>
        <v>+0</v>
      </c>
      <c r="S6822" s="14" t="s">
        <v>281</v>
      </c>
    </row>
    <row r="6823">
      <c r="A6823" s="13">
        <v>45901.0</v>
      </c>
      <c r="B6823" s="14" t="s">
        <v>47</v>
      </c>
      <c r="C6823" s="14" t="s">
        <v>48</v>
      </c>
      <c r="D6823" s="14" t="s">
        <v>140</v>
      </c>
      <c r="E6823" s="14" t="s">
        <v>141</v>
      </c>
      <c r="F6823" s="15" t="s">
        <v>51</v>
      </c>
      <c r="G6823" s="14" t="s">
        <v>142</v>
      </c>
      <c r="H6823" s="14" t="s">
        <v>140</v>
      </c>
      <c r="I6823" s="14" t="s">
        <v>59</v>
      </c>
      <c r="J6823" s="14" t="s">
        <v>200</v>
      </c>
      <c r="K6823" s="14" t="s">
        <v>227</v>
      </c>
      <c r="L6823" s="14" t="s">
        <v>328</v>
      </c>
      <c r="M6823" s="14" t="s">
        <v>329</v>
      </c>
      <c r="N6823" s="14" t="s">
        <v>330</v>
      </c>
      <c r="O6823" s="14">
        <v>0.0</v>
      </c>
      <c r="P6823" s="21">
        <v>0.0</v>
      </c>
      <c r="Q6823" s="22" t="str">
        <f t="shared" ref="Q6823:R6823" si="4080">"+0"</f>
        <v>+0</v>
      </c>
      <c r="R6823" s="18" t="str">
        <f t="shared" si="4080"/>
        <v>+0</v>
      </c>
      <c r="S6823" s="14" t="s">
        <v>260</v>
      </c>
    </row>
    <row r="6824">
      <c r="A6824" s="13">
        <v>45901.0</v>
      </c>
      <c r="B6824" s="14" t="s">
        <v>47</v>
      </c>
      <c r="C6824" s="14" t="s">
        <v>48</v>
      </c>
      <c r="D6824" s="14" t="s">
        <v>121</v>
      </c>
      <c r="E6824" s="14" t="s">
        <v>122</v>
      </c>
      <c r="F6824" s="15" t="s">
        <v>51</v>
      </c>
      <c r="G6824" s="14" t="s">
        <v>123</v>
      </c>
      <c r="H6824" s="14" t="s">
        <v>124</v>
      </c>
      <c r="I6824" s="14" t="s">
        <v>59</v>
      </c>
      <c r="J6824" s="14" t="s">
        <v>200</v>
      </c>
      <c r="K6824" s="14" t="s">
        <v>227</v>
      </c>
      <c r="L6824" s="14" t="s">
        <v>270</v>
      </c>
      <c r="M6824" s="14" t="s">
        <v>321</v>
      </c>
      <c r="N6824" s="14" t="s">
        <v>322</v>
      </c>
      <c r="O6824" s="14">
        <v>69.0</v>
      </c>
      <c r="P6824" s="23">
        <v>0.3846</v>
      </c>
      <c r="Q6824" s="22" t="str">
        <f>"-53.54%"</f>
        <v>-53.54%</v>
      </c>
      <c r="R6824" s="18" t="str">
        <f>"-61.54%"</f>
        <v>-61.54%</v>
      </c>
      <c r="S6824" s="14" t="s">
        <v>323</v>
      </c>
    </row>
    <row r="6825">
      <c r="A6825" s="13">
        <v>45901.0</v>
      </c>
      <c r="B6825" s="14" t="s">
        <v>47</v>
      </c>
      <c r="C6825" s="14" t="s">
        <v>48</v>
      </c>
      <c r="D6825" s="14" t="s">
        <v>60</v>
      </c>
      <c r="E6825" s="14" t="s">
        <v>61</v>
      </c>
      <c r="F6825" s="15" t="s">
        <v>51</v>
      </c>
      <c r="G6825" s="14" t="s">
        <v>62</v>
      </c>
      <c r="H6825" s="14" t="s">
        <v>60</v>
      </c>
      <c r="I6825" s="14" t="s">
        <v>59</v>
      </c>
      <c r="J6825" s="14" t="s">
        <v>198</v>
      </c>
      <c r="K6825" s="14" t="s">
        <v>212</v>
      </c>
      <c r="L6825" s="14" t="s">
        <v>249</v>
      </c>
      <c r="M6825" s="14" t="s">
        <v>250</v>
      </c>
      <c r="N6825" s="14" t="s">
        <v>251</v>
      </c>
      <c r="O6825" s="14">
        <v>100.0</v>
      </c>
      <c r="P6825" s="21">
        <v>0.0</v>
      </c>
      <c r="Q6825" s="22" t="str">
        <f t="shared" ref="Q6825:R6825" si="4081">"+0"</f>
        <v>+0</v>
      </c>
      <c r="R6825" s="18" t="str">
        <f t="shared" si="4081"/>
        <v>+0</v>
      </c>
      <c r="S6825" s="14" t="s">
        <v>281</v>
      </c>
    </row>
    <row r="6826">
      <c r="A6826" s="13">
        <v>45901.0</v>
      </c>
      <c r="B6826" s="14" t="s">
        <v>47</v>
      </c>
      <c r="C6826" s="14" t="s">
        <v>48</v>
      </c>
      <c r="D6826" s="14" t="s">
        <v>49</v>
      </c>
      <c r="E6826" s="14" t="s">
        <v>50</v>
      </c>
      <c r="F6826" s="15" t="s">
        <v>51</v>
      </c>
      <c r="G6826" s="14" t="s">
        <v>52</v>
      </c>
      <c r="H6826" s="14" t="s">
        <v>53</v>
      </c>
      <c r="I6826" s="14" t="s">
        <v>54</v>
      </c>
      <c r="J6826" s="14" t="s">
        <v>198</v>
      </c>
      <c r="K6826" s="14" t="s">
        <v>210</v>
      </c>
      <c r="L6826" s="14" t="s">
        <v>505</v>
      </c>
      <c r="M6826" s="14" t="s">
        <v>975</v>
      </c>
      <c r="N6826" s="14" t="s">
        <v>976</v>
      </c>
      <c r="O6826" s="14">
        <v>0.0</v>
      </c>
      <c r="P6826" s="21">
        <v>0.0</v>
      </c>
      <c r="Q6826" s="22" t="str">
        <f t="shared" ref="Q6826:R6826" si="4082">"+0"</f>
        <v>+0</v>
      </c>
      <c r="R6826" s="18" t="str">
        <f t="shared" si="4082"/>
        <v>+0</v>
      </c>
      <c r="S6826" s="14" t="s">
        <v>277</v>
      </c>
    </row>
    <row r="6827">
      <c r="A6827" s="13">
        <v>45901.0</v>
      </c>
      <c r="B6827" s="14" t="s">
        <v>47</v>
      </c>
      <c r="C6827" s="14" t="s">
        <v>48</v>
      </c>
      <c r="D6827" s="14" t="s">
        <v>165</v>
      </c>
      <c r="E6827" s="14" t="s">
        <v>166</v>
      </c>
      <c r="F6827" s="15" t="s">
        <v>51</v>
      </c>
      <c r="G6827" s="14" t="s">
        <v>167</v>
      </c>
      <c r="H6827" s="14" t="s">
        <v>165</v>
      </c>
      <c r="I6827" s="14" t="s">
        <v>54</v>
      </c>
      <c r="J6827" s="14" t="s">
        <v>198</v>
      </c>
      <c r="K6827" s="14" t="s">
        <v>210</v>
      </c>
      <c r="L6827" s="14" t="s">
        <v>264</v>
      </c>
      <c r="M6827" s="14" t="s">
        <v>559</v>
      </c>
      <c r="N6827" s="14" t="s">
        <v>560</v>
      </c>
      <c r="O6827" s="14">
        <v>0.0</v>
      </c>
      <c r="P6827" s="21">
        <v>0.0</v>
      </c>
      <c r="Q6827" s="22" t="str">
        <f t="shared" ref="Q6827:R6827" si="4083">"+0"</f>
        <v>+0</v>
      </c>
      <c r="R6827" s="18" t="str">
        <f t="shared" si="4083"/>
        <v>+0</v>
      </c>
      <c r="S6827" s="14" t="s">
        <v>277</v>
      </c>
    </row>
    <row r="6828">
      <c r="A6828" s="13">
        <v>45901.0</v>
      </c>
      <c r="B6828" s="14" t="s">
        <v>47</v>
      </c>
      <c r="C6828" s="14" t="s">
        <v>48</v>
      </c>
      <c r="D6828" s="14" t="s">
        <v>165</v>
      </c>
      <c r="E6828" s="14" t="s">
        <v>166</v>
      </c>
      <c r="F6828" s="15" t="s">
        <v>51</v>
      </c>
      <c r="G6828" s="14" t="s">
        <v>167</v>
      </c>
      <c r="H6828" s="14" t="s">
        <v>165</v>
      </c>
      <c r="I6828" s="14" t="s">
        <v>54</v>
      </c>
      <c r="J6828" s="14" t="s">
        <v>199</v>
      </c>
      <c r="K6828" s="14" t="s">
        <v>203</v>
      </c>
      <c r="L6828" s="14" t="s">
        <v>1183</v>
      </c>
      <c r="M6828" s="14" t="s">
        <v>1184</v>
      </c>
      <c r="N6828" s="14" t="s">
        <v>1185</v>
      </c>
      <c r="O6828" s="14">
        <v>8.0</v>
      </c>
      <c r="P6828" s="23">
        <v>0.0833</v>
      </c>
      <c r="Q6828" s="22" t="str">
        <f>"+1.88%"</f>
        <v>+1.88%</v>
      </c>
      <c r="R6828" s="18" t="str">
        <f>"+2.27%"</f>
        <v>+2.27%</v>
      </c>
      <c r="S6828" s="14" t="s">
        <v>371</v>
      </c>
    </row>
    <row r="6829">
      <c r="A6829" s="13">
        <v>45901.0</v>
      </c>
      <c r="B6829" s="14" t="s">
        <v>47</v>
      </c>
      <c r="C6829" s="14" t="s">
        <v>48</v>
      </c>
      <c r="D6829" s="14" t="s">
        <v>99</v>
      </c>
      <c r="E6829" s="14" t="s">
        <v>100</v>
      </c>
      <c r="F6829" s="15" t="s">
        <v>51</v>
      </c>
      <c r="G6829" s="14" t="s">
        <v>101</v>
      </c>
      <c r="H6829" s="14" t="s">
        <v>102</v>
      </c>
      <c r="I6829" s="14" t="s">
        <v>54</v>
      </c>
      <c r="J6829" s="14" t="s">
        <v>200</v>
      </c>
      <c r="K6829" s="14" t="s">
        <v>213</v>
      </c>
      <c r="L6829" s="14" t="s">
        <v>571</v>
      </c>
      <c r="M6829" s="14" t="s">
        <v>572</v>
      </c>
      <c r="N6829" s="14" t="s">
        <v>573</v>
      </c>
      <c r="O6829" s="14">
        <v>0.0</v>
      </c>
      <c r="P6829" s="23">
        <v>0.0</v>
      </c>
      <c r="Q6829" s="22" t="str">
        <f t="shared" ref="Q6829:R6829" si="4084">"+0.00%"</f>
        <v>+0.00%</v>
      </c>
      <c r="R6829" s="18" t="str">
        <f t="shared" si="4084"/>
        <v>+0.00%</v>
      </c>
      <c r="S6829" s="14" t="s">
        <v>285</v>
      </c>
    </row>
    <row r="6830">
      <c r="A6830" s="13">
        <v>45901.0</v>
      </c>
      <c r="B6830" s="14" t="s">
        <v>47</v>
      </c>
      <c r="C6830" s="14" t="s">
        <v>48</v>
      </c>
      <c r="D6830" s="14" t="s">
        <v>63</v>
      </c>
      <c r="E6830" s="14" t="s">
        <v>64</v>
      </c>
      <c r="F6830" s="15" t="s">
        <v>51</v>
      </c>
      <c r="G6830" s="14" t="s">
        <v>65</v>
      </c>
      <c r="H6830" s="14" t="s">
        <v>63</v>
      </c>
      <c r="I6830" s="14" t="s">
        <v>54</v>
      </c>
      <c r="J6830" s="14" t="s">
        <v>200</v>
      </c>
      <c r="K6830" s="14" t="s">
        <v>201</v>
      </c>
      <c r="L6830" s="14" t="s">
        <v>253</v>
      </c>
      <c r="M6830" s="14" t="s">
        <v>409</v>
      </c>
      <c r="N6830" s="14" t="s">
        <v>410</v>
      </c>
      <c r="O6830" s="14">
        <v>1.0</v>
      </c>
      <c r="P6830" s="23">
        <v>0.0</v>
      </c>
      <c r="Q6830" s="22" t="str">
        <f t="shared" ref="Q6830:Q6831" si="4085">"+0.00%"</f>
        <v>+0.00%</v>
      </c>
      <c r="S6830" s="14" t="s">
        <v>898</v>
      </c>
    </row>
    <row r="6831">
      <c r="A6831" s="13">
        <v>45901.0</v>
      </c>
      <c r="B6831" s="14" t="s">
        <v>47</v>
      </c>
      <c r="C6831" s="14" t="s">
        <v>48</v>
      </c>
      <c r="D6831" s="14" t="s">
        <v>91</v>
      </c>
      <c r="E6831" s="14" t="s">
        <v>92</v>
      </c>
      <c r="F6831" s="15" t="s">
        <v>51</v>
      </c>
      <c r="G6831" s="14" t="s">
        <v>163</v>
      </c>
      <c r="H6831" s="14" t="s">
        <v>91</v>
      </c>
      <c r="I6831" s="14" t="s">
        <v>59</v>
      </c>
      <c r="J6831" s="14" t="s">
        <v>200</v>
      </c>
      <c r="K6831" s="14" t="s">
        <v>223</v>
      </c>
      <c r="L6831" s="14" t="s">
        <v>607</v>
      </c>
      <c r="M6831" s="14" t="s">
        <v>1027</v>
      </c>
      <c r="N6831" s="14" t="s">
        <v>1028</v>
      </c>
      <c r="O6831" s="14">
        <v>0.0</v>
      </c>
      <c r="P6831" s="23">
        <v>-1.0</v>
      </c>
      <c r="Q6831" s="22" t="str">
        <f t="shared" si="4085"/>
        <v>+0.00%</v>
      </c>
      <c r="R6831" s="18" t="str">
        <f>"+0.00%"</f>
        <v>+0.00%</v>
      </c>
      <c r="S6831" s="14" t="s">
        <v>2764</v>
      </c>
    </row>
    <row r="6832">
      <c r="A6832" s="13">
        <v>45901.0</v>
      </c>
      <c r="B6832" s="14" t="s">
        <v>47</v>
      </c>
      <c r="C6832" s="14" t="s">
        <v>48</v>
      </c>
      <c r="D6832" s="14" t="s">
        <v>63</v>
      </c>
      <c r="E6832" s="14" t="s">
        <v>64</v>
      </c>
      <c r="F6832" s="15" t="s">
        <v>51</v>
      </c>
      <c r="G6832" s="14" t="s">
        <v>65</v>
      </c>
      <c r="H6832" s="14" t="s">
        <v>63</v>
      </c>
      <c r="I6832" s="14" t="s">
        <v>54</v>
      </c>
      <c r="J6832" s="14" t="s">
        <v>200</v>
      </c>
      <c r="K6832" s="14" t="s">
        <v>222</v>
      </c>
      <c r="L6832" s="14" t="s">
        <v>337</v>
      </c>
      <c r="M6832" s="14" t="s">
        <v>1000</v>
      </c>
      <c r="N6832" s="14" t="s">
        <v>1001</v>
      </c>
      <c r="O6832" s="14">
        <v>0.0</v>
      </c>
      <c r="P6832" s="21">
        <v>0.0</v>
      </c>
      <c r="Q6832" s="22" t="str">
        <f t="shared" ref="Q6832:R6832" si="4086">"+0"</f>
        <v>+0</v>
      </c>
      <c r="R6832" s="18" t="str">
        <f t="shared" si="4086"/>
        <v>+0</v>
      </c>
      <c r="S6832" s="14" t="s">
        <v>260</v>
      </c>
    </row>
    <row r="6833">
      <c r="A6833" s="13">
        <v>45901.0</v>
      </c>
      <c r="B6833" s="14" t="s">
        <v>47</v>
      </c>
      <c r="C6833" s="14" t="s">
        <v>48</v>
      </c>
      <c r="D6833" s="14" t="s">
        <v>63</v>
      </c>
      <c r="E6833" s="14" t="s">
        <v>64</v>
      </c>
      <c r="F6833" s="15" t="s">
        <v>51</v>
      </c>
      <c r="G6833" s="14" t="s">
        <v>65</v>
      </c>
      <c r="H6833" s="14" t="s">
        <v>63</v>
      </c>
      <c r="I6833" s="14" t="s">
        <v>54</v>
      </c>
      <c r="J6833" s="14" t="s">
        <v>200</v>
      </c>
      <c r="K6833" s="14" t="s">
        <v>215</v>
      </c>
      <c r="L6833" s="14" t="s">
        <v>548</v>
      </c>
      <c r="M6833" s="14" t="s">
        <v>1568</v>
      </c>
      <c r="N6833" s="14" t="s">
        <v>1569</v>
      </c>
      <c r="O6833" s="14">
        <v>0.0</v>
      </c>
      <c r="P6833" s="23">
        <v>-1.0</v>
      </c>
      <c r="Q6833" s="22" t="str">
        <f t="shared" ref="Q6833:R6833" si="4087">"+0.00%"</f>
        <v>+0.00%</v>
      </c>
      <c r="R6833" s="18" t="str">
        <f t="shared" si="4087"/>
        <v>+0.00%</v>
      </c>
      <c r="S6833" s="14" t="s">
        <v>2765</v>
      </c>
    </row>
    <row r="6834">
      <c r="A6834" s="13">
        <v>45901.0</v>
      </c>
      <c r="B6834" s="14" t="s">
        <v>47</v>
      </c>
      <c r="C6834" s="14" t="s">
        <v>48</v>
      </c>
      <c r="D6834" s="14" t="s">
        <v>66</v>
      </c>
      <c r="E6834" s="14" t="s">
        <v>67</v>
      </c>
      <c r="F6834" s="15" t="s">
        <v>51</v>
      </c>
      <c r="G6834" s="14" t="s">
        <v>68</v>
      </c>
      <c r="H6834" s="14" t="s">
        <v>66</v>
      </c>
      <c r="I6834" s="14" t="s">
        <v>59</v>
      </c>
      <c r="J6834" s="14" t="s">
        <v>200</v>
      </c>
      <c r="K6834" s="14" t="s">
        <v>231</v>
      </c>
      <c r="L6834" s="14" t="s">
        <v>512</v>
      </c>
      <c r="M6834" s="14" t="s">
        <v>1651</v>
      </c>
      <c r="N6834" s="14" t="s">
        <v>1652</v>
      </c>
      <c r="O6834" s="14">
        <v>0.0</v>
      </c>
      <c r="P6834" s="21">
        <v>0.0</v>
      </c>
      <c r="Q6834" s="22" t="str">
        <f t="shared" ref="Q6834:R6834" si="4088">"+0"</f>
        <v>+0</v>
      </c>
      <c r="R6834" s="18" t="str">
        <f t="shared" si="4088"/>
        <v>+0</v>
      </c>
      <c r="S6834" s="14" t="s">
        <v>260</v>
      </c>
    </row>
    <row r="6835">
      <c r="A6835" s="13">
        <v>45901.0</v>
      </c>
      <c r="B6835" s="14" t="s">
        <v>47</v>
      </c>
      <c r="C6835" s="14" t="s">
        <v>48</v>
      </c>
      <c r="D6835" s="14" t="s">
        <v>192</v>
      </c>
      <c r="E6835" s="14" t="s">
        <v>193</v>
      </c>
      <c r="F6835" s="15" t="s">
        <v>51</v>
      </c>
      <c r="G6835" s="14" t="s">
        <v>194</v>
      </c>
      <c r="H6835" s="14" t="s">
        <v>192</v>
      </c>
      <c r="I6835" s="14" t="s">
        <v>54</v>
      </c>
      <c r="J6835" s="14" t="s">
        <v>200</v>
      </c>
      <c r="K6835" s="14" t="s">
        <v>231</v>
      </c>
      <c r="L6835" s="14" t="s">
        <v>512</v>
      </c>
      <c r="M6835" s="14" t="s">
        <v>1672</v>
      </c>
      <c r="N6835" s="14" t="s">
        <v>1673</v>
      </c>
      <c r="O6835" s="14">
        <v>100.0</v>
      </c>
      <c r="P6835" s="21">
        <v>2.0</v>
      </c>
      <c r="Q6835" s="22" t="str">
        <f t="shared" ref="Q6835:R6835" si="4089">"-4"</f>
        <v>-4</v>
      </c>
      <c r="R6835" s="18" t="str">
        <f t="shared" si="4089"/>
        <v>-4</v>
      </c>
      <c r="S6835" s="14" t="s">
        <v>260</v>
      </c>
    </row>
    <row r="6836">
      <c r="A6836" s="13">
        <v>45901.0</v>
      </c>
      <c r="B6836" s="14" t="s">
        <v>47</v>
      </c>
      <c r="C6836" s="14" t="s">
        <v>48</v>
      </c>
      <c r="D6836" s="14" t="s">
        <v>184</v>
      </c>
      <c r="E6836" s="14" t="s">
        <v>185</v>
      </c>
      <c r="F6836" s="15" t="s">
        <v>51</v>
      </c>
      <c r="G6836" s="14" t="s">
        <v>186</v>
      </c>
      <c r="H6836" s="14" t="s">
        <v>187</v>
      </c>
      <c r="I6836" s="14" t="s">
        <v>59</v>
      </c>
      <c r="J6836" s="14" t="s">
        <v>198</v>
      </c>
      <c r="K6836" s="14" t="s">
        <v>212</v>
      </c>
      <c r="L6836" s="14" t="s">
        <v>249</v>
      </c>
      <c r="M6836" s="14" t="s">
        <v>250</v>
      </c>
      <c r="N6836" s="14" t="s">
        <v>251</v>
      </c>
      <c r="O6836" s="14">
        <v>100.0</v>
      </c>
      <c r="P6836" s="21">
        <v>0.0</v>
      </c>
      <c r="Q6836" s="22" t="str">
        <f t="shared" ref="Q6836:R6836" si="4090">"+0"</f>
        <v>+0</v>
      </c>
      <c r="R6836" s="18" t="str">
        <f t="shared" si="4090"/>
        <v>+0</v>
      </c>
      <c r="S6836" s="14" t="s">
        <v>281</v>
      </c>
    </row>
    <row r="6837">
      <c r="A6837" s="13">
        <v>45901.0</v>
      </c>
      <c r="B6837" s="14" t="s">
        <v>47</v>
      </c>
      <c r="C6837" s="14" t="s">
        <v>48</v>
      </c>
      <c r="D6837" s="14" t="s">
        <v>66</v>
      </c>
      <c r="E6837" s="14" t="s">
        <v>67</v>
      </c>
      <c r="F6837" s="15" t="s">
        <v>51</v>
      </c>
      <c r="G6837" s="14" t="s">
        <v>68</v>
      </c>
      <c r="H6837" s="14" t="s">
        <v>66</v>
      </c>
      <c r="I6837" s="14" t="s">
        <v>59</v>
      </c>
      <c r="J6837" s="14" t="s">
        <v>200</v>
      </c>
      <c r="K6837" s="14" t="s">
        <v>223</v>
      </c>
      <c r="L6837" s="14" t="s">
        <v>359</v>
      </c>
      <c r="M6837" s="14" t="s">
        <v>360</v>
      </c>
      <c r="N6837" s="14" t="s">
        <v>361</v>
      </c>
      <c r="O6837" s="14">
        <v>0.0</v>
      </c>
      <c r="P6837" s="23">
        <v>0.0</v>
      </c>
      <c r="Q6837" s="22" t="str">
        <f t="shared" ref="Q6837:R6837" si="4091">"+0.00%"</f>
        <v>+0.00%</v>
      </c>
      <c r="R6837" s="18" t="str">
        <f t="shared" si="4091"/>
        <v>+0.00%</v>
      </c>
      <c r="S6837" s="14" t="s">
        <v>2766</v>
      </c>
    </row>
    <row r="6838">
      <c r="A6838" s="13">
        <v>45901.0</v>
      </c>
      <c r="B6838" s="14" t="s">
        <v>47</v>
      </c>
      <c r="C6838" s="14" t="s">
        <v>48</v>
      </c>
      <c r="D6838" s="14" t="s">
        <v>184</v>
      </c>
      <c r="E6838" s="14" t="s">
        <v>185</v>
      </c>
      <c r="F6838" s="15" t="s">
        <v>51</v>
      </c>
      <c r="G6838" s="14" t="s">
        <v>186</v>
      </c>
      <c r="H6838" s="14" t="s">
        <v>187</v>
      </c>
      <c r="I6838" s="14" t="s">
        <v>59</v>
      </c>
      <c r="J6838" s="14" t="s">
        <v>199</v>
      </c>
      <c r="K6838" s="14" t="s">
        <v>206</v>
      </c>
      <c r="L6838" s="14" t="s">
        <v>295</v>
      </c>
      <c r="M6838" s="14" t="s">
        <v>461</v>
      </c>
      <c r="N6838" s="14" t="s">
        <v>462</v>
      </c>
      <c r="O6838" s="14">
        <v>0.0</v>
      </c>
      <c r="P6838" s="21">
        <v>0.0</v>
      </c>
      <c r="Q6838" s="22" t="str">
        <f t="shared" ref="Q6838:R6838" si="4092">"+0"</f>
        <v>+0</v>
      </c>
      <c r="R6838" s="18" t="str">
        <f t="shared" si="4092"/>
        <v>+0</v>
      </c>
      <c r="S6838" s="14" t="s">
        <v>260</v>
      </c>
    </row>
    <row r="6839">
      <c r="A6839" s="13">
        <v>45901.0</v>
      </c>
      <c r="B6839" s="14" t="s">
        <v>47</v>
      </c>
      <c r="C6839" s="14" t="s">
        <v>48</v>
      </c>
      <c r="D6839" s="14" t="s">
        <v>143</v>
      </c>
      <c r="E6839" s="14" t="s">
        <v>144</v>
      </c>
      <c r="F6839" s="15" t="s">
        <v>51</v>
      </c>
      <c r="G6839" s="14" t="s">
        <v>145</v>
      </c>
      <c r="H6839" s="14" t="s">
        <v>143</v>
      </c>
      <c r="I6839" s="14" t="s">
        <v>59</v>
      </c>
      <c r="J6839" s="14" t="s">
        <v>200</v>
      </c>
      <c r="K6839" s="14" t="s">
        <v>204</v>
      </c>
      <c r="L6839" s="14" t="s">
        <v>253</v>
      </c>
      <c r="M6839" s="14" t="s">
        <v>490</v>
      </c>
      <c r="N6839" s="14" t="s">
        <v>491</v>
      </c>
      <c r="O6839" s="14">
        <v>0.0</v>
      </c>
      <c r="P6839" s="23">
        <v>0.0</v>
      </c>
      <c r="Q6839" s="22" t="str">
        <f t="shared" ref="Q6839:R6839" si="4093">"+0.00%"</f>
        <v>+0.00%</v>
      </c>
      <c r="R6839" s="18" t="str">
        <f t="shared" si="4093"/>
        <v>+0.00%</v>
      </c>
      <c r="S6839" s="14" t="s">
        <v>492</v>
      </c>
    </row>
    <row r="6840">
      <c r="A6840" s="13">
        <v>45901.0</v>
      </c>
      <c r="B6840" s="14" t="s">
        <v>47</v>
      </c>
      <c r="C6840" s="14" t="s">
        <v>48</v>
      </c>
      <c r="D6840" s="14" t="s">
        <v>149</v>
      </c>
      <c r="E6840" s="14" t="s">
        <v>150</v>
      </c>
      <c r="F6840" s="15" t="s">
        <v>51</v>
      </c>
      <c r="G6840" s="14" t="s">
        <v>151</v>
      </c>
      <c r="H6840" s="14" t="s">
        <v>152</v>
      </c>
      <c r="I6840" s="14" t="s">
        <v>54</v>
      </c>
      <c r="J6840" s="14" t="s">
        <v>200</v>
      </c>
      <c r="K6840" s="14" t="s">
        <v>227</v>
      </c>
      <c r="L6840" s="14" t="s">
        <v>721</v>
      </c>
      <c r="M6840" s="14" t="s">
        <v>748</v>
      </c>
      <c r="N6840" s="14" t="s">
        <v>749</v>
      </c>
      <c r="O6840" s="14">
        <v>41.0</v>
      </c>
      <c r="P6840" s="23">
        <v>-0.1724</v>
      </c>
      <c r="Q6840" s="22" t="str">
        <f>"+82.76%"</f>
        <v>+82.76%</v>
      </c>
      <c r="R6840" s="18" t="str">
        <f>"+44.05%"</f>
        <v>+44.05%</v>
      </c>
      <c r="S6840" s="14" t="s">
        <v>750</v>
      </c>
    </row>
    <row r="6841">
      <c r="A6841" s="13">
        <v>45901.0</v>
      </c>
      <c r="B6841" s="14" t="s">
        <v>47</v>
      </c>
      <c r="C6841" s="14" t="s">
        <v>48</v>
      </c>
      <c r="D6841" s="14" t="s">
        <v>171</v>
      </c>
      <c r="E6841" s="14" t="s">
        <v>172</v>
      </c>
      <c r="F6841" s="15" t="s">
        <v>51</v>
      </c>
      <c r="G6841" s="14" t="s">
        <v>173</v>
      </c>
      <c r="H6841" s="14" t="s">
        <v>171</v>
      </c>
      <c r="I6841" s="14" t="s">
        <v>59</v>
      </c>
      <c r="J6841" s="14" t="s">
        <v>200</v>
      </c>
      <c r="K6841" s="14" t="s">
        <v>222</v>
      </c>
      <c r="L6841" s="14" t="s">
        <v>337</v>
      </c>
      <c r="M6841" s="14" t="s">
        <v>734</v>
      </c>
      <c r="N6841" s="14" t="s">
        <v>735</v>
      </c>
      <c r="O6841" s="14">
        <v>0.0</v>
      </c>
      <c r="P6841" s="21">
        <v>0.0</v>
      </c>
      <c r="Q6841" s="22" t="str">
        <f t="shared" ref="Q6841:R6841" si="4094">"+0"</f>
        <v>+0</v>
      </c>
      <c r="R6841" s="18" t="str">
        <f t="shared" si="4094"/>
        <v>+0</v>
      </c>
      <c r="S6841" s="14" t="s">
        <v>260</v>
      </c>
    </row>
    <row r="6842">
      <c r="A6842" s="13">
        <v>45901.0</v>
      </c>
      <c r="B6842" s="14" t="s">
        <v>47</v>
      </c>
      <c r="C6842" s="14" t="s">
        <v>48</v>
      </c>
      <c r="D6842" s="14" t="s">
        <v>136</v>
      </c>
      <c r="E6842" s="14" t="s">
        <v>137</v>
      </c>
      <c r="F6842" s="15" t="s">
        <v>51</v>
      </c>
      <c r="G6842" s="14" t="s">
        <v>138</v>
      </c>
      <c r="H6842" s="14" t="s">
        <v>139</v>
      </c>
      <c r="I6842" s="14" t="s">
        <v>59</v>
      </c>
      <c r="J6842" s="14" t="s">
        <v>200</v>
      </c>
      <c r="K6842" s="14" t="s">
        <v>213</v>
      </c>
      <c r="L6842" s="14" t="s">
        <v>307</v>
      </c>
      <c r="M6842" s="14" t="s">
        <v>1176</v>
      </c>
      <c r="N6842" s="14" t="s">
        <v>1177</v>
      </c>
      <c r="O6842" s="14">
        <v>100.0</v>
      </c>
      <c r="P6842" s="23">
        <v>0.0073</v>
      </c>
      <c r="Q6842" s="22" t="str">
        <f t="shared" ref="Q6842:R6842" si="4095">"+0.73%"</f>
        <v>+0.73%</v>
      </c>
      <c r="R6842" s="18" t="str">
        <f t="shared" si="4095"/>
        <v>+0.73%</v>
      </c>
      <c r="S6842" s="14" t="s">
        <v>285</v>
      </c>
    </row>
    <row r="6843">
      <c r="A6843" s="13">
        <v>45901.0</v>
      </c>
      <c r="B6843" s="14" t="s">
        <v>47</v>
      </c>
      <c r="C6843" s="14" t="s">
        <v>48</v>
      </c>
      <c r="D6843" s="14" t="s">
        <v>96</v>
      </c>
      <c r="E6843" s="14" t="s">
        <v>97</v>
      </c>
      <c r="F6843" s="15" t="s">
        <v>51</v>
      </c>
      <c r="G6843" s="14" t="s">
        <v>98</v>
      </c>
      <c r="H6843" s="14" t="s">
        <v>96</v>
      </c>
      <c r="I6843" s="14" t="s">
        <v>59</v>
      </c>
      <c r="J6843" s="14" t="s">
        <v>200</v>
      </c>
      <c r="K6843" s="14" t="s">
        <v>223</v>
      </c>
      <c r="L6843" s="14" t="s">
        <v>359</v>
      </c>
      <c r="M6843" s="14" t="s">
        <v>628</v>
      </c>
      <c r="N6843" s="14" t="s">
        <v>629</v>
      </c>
      <c r="O6843" s="14">
        <v>100.0</v>
      </c>
      <c r="P6843" s="21">
        <v>13.0</v>
      </c>
      <c r="Q6843" s="22" t="str">
        <f t="shared" ref="Q6843:R6843" si="4096">"+0"</f>
        <v>+0</v>
      </c>
      <c r="R6843" s="18" t="str">
        <f t="shared" si="4096"/>
        <v>+0</v>
      </c>
      <c r="S6843" s="14" t="s">
        <v>260</v>
      </c>
    </row>
    <row r="6844">
      <c r="A6844" s="13">
        <v>45901.0</v>
      </c>
      <c r="B6844" s="14" t="s">
        <v>47</v>
      </c>
      <c r="C6844" s="14" t="s">
        <v>48</v>
      </c>
      <c r="D6844" s="14" t="s">
        <v>96</v>
      </c>
      <c r="E6844" s="14" t="s">
        <v>97</v>
      </c>
      <c r="F6844" s="15" t="s">
        <v>51</v>
      </c>
      <c r="G6844" s="14" t="s">
        <v>98</v>
      </c>
      <c r="H6844" s="14" t="s">
        <v>96</v>
      </c>
      <c r="I6844" s="14" t="s">
        <v>59</v>
      </c>
      <c r="J6844" s="14" t="s">
        <v>200</v>
      </c>
      <c r="K6844" s="14" t="s">
        <v>222</v>
      </c>
      <c r="L6844" s="14" t="s">
        <v>337</v>
      </c>
      <c r="M6844" s="14" t="s">
        <v>338</v>
      </c>
      <c r="N6844" s="14" t="s">
        <v>339</v>
      </c>
      <c r="O6844" s="14">
        <v>0.0</v>
      </c>
      <c r="P6844" s="21">
        <v>0.0</v>
      </c>
      <c r="Q6844" s="22" t="str">
        <f t="shared" ref="Q6844:R6844" si="4097">"+0"</f>
        <v>+0</v>
      </c>
      <c r="R6844" s="18" t="str">
        <f t="shared" si="4097"/>
        <v>+0</v>
      </c>
      <c r="S6844" s="14" t="s">
        <v>260</v>
      </c>
    </row>
    <row r="6845">
      <c r="A6845" s="13">
        <v>45901.0</v>
      </c>
      <c r="B6845" s="14" t="s">
        <v>47</v>
      </c>
      <c r="C6845" s="14" t="s">
        <v>48</v>
      </c>
      <c r="D6845" s="14" t="s">
        <v>125</v>
      </c>
      <c r="E6845" s="14" t="s">
        <v>126</v>
      </c>
      <c r="F6845" s="15" t="s">
        <v>51</v>
      </c>
      <c r="G6845" s="14" t="s">
        <v>127</v>
      </c>
      <c r="H6845" s="14" t="s">
        <v>125</v>
      </c>
      <c r="I6845" s="14" t="s">
        <v>59</v>
      </c>
      <c r="J6845" s="14" t="s">
        <v>200</v>
      </c>
      <c r="K6845" s="14" t="s">
        <v>232</v>
      </c>
      <c r="L6845" s="14" t="s">
        <v>375</v>
      </c>
      <c r="M6845" s="14" t="s">
        <v>902</v>
      </c>
      <c r="N6845" s="14" t="s">
        <v>903</v>
      </c>
      <c r="O6845" s="14">
        <v>0.0</v>
      </c>
      <c r="P6845" s="23">
        <v>0.0</v>
      </c>
      <c r="Q6845" s="22" t="str">
        <f t="shared" ref="Q6845:R6845" si="4098">"+0.00%"</f>
        <v>+0.00%</v>
      </c>
      <c r="R6845" s="18" t="str">
        <f t="shared" si="4098"/>
        <v>+0.00%</v>
      </c>
      <c r="S6845" s="14" t="s">
        <v>285</v>
      </c>
    </row>
    <row r="6846">
      <c r="A6846" s="13">
        <v>45901.0</v>
      </c>
      <c r="B6846" s="14" t="s">
        <v>47</v>
      </c>
      <c r="C6846" s="14" t="s">
        <v>48</v>
      </c>
      <c r="D6846" s="14" t="s">
        <v>69</v>
      </c>
      <c r="E6846" s="14" t="s">
        <v>70</v>
      </c>
      <c r="F6846" s="15" t="s">
        <v>51</v>
      </c>
      <c r="G6846" s="14" t="s">
        <v>115</v>
      </c>
      <c r="H6846" s="14" t="s">
        <v>72</v>
      </c>
      <c r="I6846" s="14" t="s">
        <v>54</v>
      </c>
      <c r="J6846" s="14" t="s">
        <v>200</v>
      </c>
      <c r="K6846" s="14" t="s">
        <v>209</v>
      </c>
      <c r="L6846" s="14" t="s">
        <v>253</v>
      </c>
      <c r="M6846" s="14" t="s">
        <v>817</v>
      </c>
      <c r="N6846" s="14" t="s">
        <v>818</v>
      </c>
      <c r="O6846" s="14">
        <v>95.0</v>
      </c>
      <c r="P6846" s="23">
        <v>0.9579</v>
      </c>
      <c r="Q6846" s="22" t="str">
        <f>"+1.43%"</f>
        <v>+1.43%</v>
      </c>
      <c r="R6846" s="18" t="str">
        <f>"-0.03%"</f>
        <v>-0.03%</v>
      </c>
      <c r="S6846" s="14" t="s">
        <v>2767</v>
      </c>
    </row>
    <row r="6847">
      <c r="A6847" s="13">
        <v>45901.0</v>
      </c>
      <c r="B6847" s="14" t="s">
        <v>47</v>
      </c>
      <c r="C6847" s="14" t="s">
        <v>48</v>
      </c>
      <c r="D6847" s="14" t="s">
        <v>112</v>
      </c>
      <c r="E6847" s="14" t="s">
        <v>113</v>
      </c>
      <c r="F6847" s="15" t="s">
        <v>51</v>
      </c>
      <c r="G6847" s="14" t="s">
        <v>114</v>
      </c>
      <c r="H6847" s="14" t="s">
        <v>112</v>
      </c>
      <c r="I6847" s="14" t="s">
        <v>59</v>
      </c>
      <c r="J6847" s="14" t="s">
        <v>199</v>
      </c>
      <c r="K6847" s="14" t="s">
        <v>203</v>
      </c>
      <c r="L6847" s="14" t="s">
        <v>601</v>
      </c>
      <c r="M6847" s="14" t="s">
        <v>601</v>
      </c>
      <c r="N6847" s="14" t="s">
        <v>602</v>
      </c>
      <c r="O6847" s="14">
        <v>0.0</v>
      </c>
      <c r="P6847" s="21">
        <v>0.0</v>
      </c>
      <c r="Q6847" s="22" t="str">
        <f t="shared" ref="Q6847:R6847" si="4099">"+0"</f>
        <v>+0</v>
      </c>
      <c r="R6847" s="18" t="str">
        <f t="shared" si="4099"/>
        <v>+0</v>
      </c>
      <c r="S6847" s="14" t="s">
        <v>260</v>
      </c>
    </row>
    <row r="6848">
      <c r="A6848" s="13">
        <v>45901.0</v>
      </c>
      <c r="B6848" s="14" t="s">
        <v>47</v>
      </c>
      <c r="C6848" s="14" t="s">
        <v>48</v>
      </c>
      <c r="D6848" s="14" t="s">
        <v>77</v>
      </c>
      <c r="E6848" s="14" t="s">
        <v>78</v>
      </c>
      <c r="F6848" s="15" t="s">
        <v>51</v>
      </c>
      <c r="G6848" s="14" t="s">
        <v>128</v>
      </c>
      <c r="H6848" s="14" t="s">
        <v>81</v>
      </c>
      <c r="I6848" s="14" t="s">
        <v>59</v>
      </c>
      <c r="J6848" s="14" t="s">
        <v>199</v>
      </c>
      <c r="K6848" s="14" t="s">
        <v>206</v>
      </c>
      <c r="L6848" s="14" t="s">
        <v>531</v>
      </c>
      <c r="M6848" s="14" t="s">
        <v>531</v>
      </c>
      <c r="N6848" s="14" t="s">
        <v>532</v>
      </c>
      <c r="O6848" s="14">
        <v>0.0</v>
      </c>
      <c r="P6848" s="21">
        <v>0.0</v>
      </c>
      <c r="Q6848" s="22" t="str">
        <f t="shared" ref="Q6848:R6848" si="4100">"+0"</f>
        <v>+0</v>
      </c>
      <c r="R6848" s="18" t="str">
        <f t="shared" si="4100"/>
        <v>+0</v>
      </c>
      <c r="S6848" s="14" t="s">
        <v>260</v>
      </c>
    </row>
    <row r="6849">
      <c r="A6849" s="13">
        <v>45901.0</v>
      </c>
      <c r="B6849" s="14" t="s">
        <v>47</v>
      </c>
      <c r="C6849" s="14" t="s">
        <v>48</v>
      </c>
      <c r="D6849" s="14" t="s">
        <v>77</v>
      </c>
      <c r="E6849" s="14" t="s">
        <v>78</v>
      </c>
      <c r="F6849" s="15" t="s">
        <v>51</v>
      </c>
      <c r="G6849" s="14" t="s">
        <v>128</v>
      </c>
      <c r="H6849" s="14" t="s">
        <v>81</v>
      </c>
      <c r="I6849" s="14" t="s">
        <v>59</v>
      </c>
      <c r="J6849" s="14" t="s">
        <v>200</v>
      </c>
      <c r="K6849" s="14" t="s">
        <v>211</v>
      </c>
      <c r="L6849" s="14" t="s">
        <v>253</v>
      </c>
      <c r="M6849" s="14" t="s">
        <v>1260</v>
      </c>
      <c r="N6849" s="14" t="s">
        <v>1261</v>
      </c>
      <c r="O6849" s="14">
        <v>0.0</v>
      </c>
      <c r="P6849" s="23">
        <v>0.0</v>
      </c>
      <c r="Q6849" s="22" t="str">
        <f t="shared" ref="Q6849:R6849" si="4101">"+0.00%"</f>
        <v>+0.00%</v>
      </c>
      <c r="R6849" s="18" t="str">
        <f t="shared" si="4101"/>
        <v>+0.00%</v>
      </c>
      <c r="S6849" s="14" t="s">
        <v>371</v>
      </c>
    </row>
    <row r="6850">
      <c r="A6850" s="13">
        <v>45901.0</v>
      </c>
      <c r="B6850" s="14" t="s">
        <v>47</v>
      </c>
      <c r="C6850" s="14" t="s">
        <v>48</v>
      </c>
      <c r="D6850" s="14" t="s">
        <v>121</v>
      </c>
      <c r="E6850" s="14" t="s">
        <v>122</v>
      </c>
      <c r="F6850" s="15" t="s">
        <v>51</v>
      </c>
      <c r="G6850" s="14" t="s">
        <v>123</v>
      </c>
      <c r="H6850" s="14" t="s">
        <v>124</v>
      </c>
      <c r="I6850" s="14" t="s">
        <v>59</v>
      </c>
      <c r="J6850" s="14" t="s">
        <v>200</v>
      </c>
      <c r="K6850" s="14" t="s">
        <v>201</v>
      </c>
      <c r="L6850" s="14" t="s">
        <v>253</v>
      </c>
      <c r="M6850" s="14" t="s">
        <v>538</v>
      </c>
      <c r="N6850" s="14" t="s">
        <v>539</v>
      </c>
      <c r="O6850" s="14">
        <v>9.0</v>
      </c>
      <c r="P6850" s="23">
        <v>0.0952</v>
      </c>
      <c r="Q6850" s="22" t="str">
        <f>"+0.17%"</f>
        <v>+0.17%</v>
      </c>
      <c r="R6850" s="18" t="str">
        <f>"+0.53%"</f>
        <v>+0.53%</v>
      </c>
      <c r="S6850" s="14" t="s">
        <v>1667</v>
      </c>
    </row>
    <row r="6851">
      <c r="A6851" s="13">
        <v>45901.0</v>
      </c>
      <c r="B6851" s="14" t="s">
        <v>47</v>
      </c>
      <c r="C6851" s="14" t="s">
        <v>48</v>
      </c>
      <c r="D6851" s="14" t="s">
        <v>155</v>
      </c>
      <c r="E6851" s="14" t="s">
        <v>156</v>
      </c>
      <c r="F6851" s="15" t="s">
        <v>51</v>
      </c>
      <c r="G6851" s="14" t="s">
        <v>157</v>
      </c>
      <c r="H6851" s="14" t="s">
        <v>155</v>
      </c>
      <c r="I6851" s="14" t="s">
        <v>59</v>
      </c>
      <c r="J6851" s="14" t="s">
        <v>200</v>
      </c>
      <c r="K6851" s="14" t="s">
        <v>223</v>
      </c>
      <c r="L6851" s="14" t="s">
        <v>261</v>
      </c>
      <c r="M6851" s="14" t="s">
        <v>1338</v>
      </c>
      <c r="N6851" s="14" t="s">
        <v>1339</v>
      </c>
      <c r="O6851" s="14">
        <v>0.0</v>
      </c>
      <c r="P6851" s="17"/>
      <c r="Q6851" s="22"/>
      <c r="S6851" s="14" t="s">
        <v>285</v>
      </c>
    </row>
    <row r="6852">
      <c r="A6852" s="13">
        <v>45901.0</v>
      </c>
      <c r="B6852" s="14" t="s">
        <v>47</v>
      </c>
      <c r="C6852" s="14" t="s">
        <v>48</v>
      </c>
      <c r="D6852" s="14" t="s">
        <v>140</v>
      </c>
      <c r="E6852" s="14" t="s">
        <v>141</v>
      </c>
      <c r="F6852" s="15" t="s">
        <v>51</v>
      </c>
      <c r="G6852" s="14" t="s">
        <v>142</v>
      </c>
      <c r="H6852" s="14" t="s">
        <v>140</v>
      </c>
      <c r="I6852" s="14" t="s">
        <v>59</v>
      </c>
      <c r="J6852" s="14" t="s">
        <v>200</v>
      </c>
      <c r="K6852" s="14" t="s">
        <v>213</v>
      </c>
      <c r="L6852" s="14" t="s">
        <v>257</v>
      </c>
      <c r="M6852" s="14" t="s">
        <v>298</v>
      </c>
      <c r="N6852" s="14" t="s">
        <v>299</v>
      </c>
      <c r="O6852" s="14">
        <v>0.0</v>
      </c>
      <c r="P6852" s="23">
        <v>0.0</v>
      </c>
      <c r="Q6852" s="22" t="str">
        <f t="shared" ref="Q6852:R6852" si="4102">"+0.00%"</f>
        <v>+0.00%</v>
      </c>
      <c r="R6852" s="18" t="str">
        <f t="shared" si="4102"/>
        <v>+0.00%</v>
      </c>
      <c r="S6852" s="14" t="s">
        <v>2768</v>
      </c>
    </row>
    <row r="6853">
      <c r="A6853" s="13">
        <v>45901.0</v>
      </c>
      <c r="B6853" s="14" t="s">
        <v>47</v>
      </c>
      <c r="C6853" s="14" t="s">
        <v>48</v>
      </c>
      <c r="D6853" s="14" t="s">
        <v>165</v>
      </c>
      <c r="E6853" s="14" t="s">
        <v>166</v>
      </c>
      <c r="F6853" s="15" t="s">
        <v>51</v>
      </c>
      <c r="G6853" s="14" t="s">
        <v>167</v>
      </c>
      <c r="H6853" s="14" t="s">
        <v>165</v>
      </c>
      <c r="I6853" s="14" t="s">
        <v>54</v>
      </c>
      <c r="J6853" s="14" t="s">
        <v>200</v>
      </c>
      <c r="K6853" s="14" t="s">
        <v>213</v>
      </c>
      <c r="L6853" s="14" t="s">
        <v>440</v>
      </c>
      <c r="M6853" s="14" t="s">
        <v>510</v>
      </c>
      <c r="N6853" s="14" t="s">
        <v>511</v>
      </c>
      <c r="O6853" s="14">
        <v>0.0</v>
      </c>
      <c r="P6853" s="23">
        <v>0.0</v>
      </c>
      <c r="Q6853" s="22" t="str">
        <f t="shared" ref="Q6853:R6853" si="4103">"+0.00%"</f>
        <v>+0.00%</v>
      </c>
      <c r="R6853" s="18" t="str">
        <f t="shared" si="4103"/>
        <v>+0.00%</v>
      </c>
      <c r="S6853" s="14" t="s">
        <v>285</v>
      </c>
    </row>
    <row r="6854">
      <c r="A6854" s="13">
        <v>45901.0</v>
      </c>
      <c r="B6854" s="14" t="s">
        <v>47</v>
      </c>
      <c r="C6854" s="14" t="s">
        <v>48</v>
      </c>
      <c r="D6854" s="14" t="s">
        <v>63</v>
      </c>
      <c r="E6854" s="14" t="s">
        <v>64</v>
      </c>
      <c r="F6854" s="15" t="s">
        <v>51</v>
      </c>
      <c r="G6854" s="14" t="s">
        <v>65</v>
      </c>
      <c r="H6854" s="14" t="s">
        <v>63</v>
      </c>
      <c r="I6854" s="14" t="s">
        <v>54</v>
      </c>
      <c r="J6854" s="14" t="s">
        <v>198</v>
      </c>
      <c r="K6854" s="14" t="s">
        <v>210</v>
      </c>
      <c r="L6854" s="14" t="s">
        <v>505</v>
      </c>
      <c r="M6854" s="14" t="s">
        <v>1222</v>
      </c>
      <c r="N6854" s="14" t="s">
        <v>1223</v>
      </c>
      <c r="O6854" s="14">
        <v>0.0</v>
      </c>
      <c r="P6854" s="21">
        <v>0.0</v>
      </c>
      <c r="Q6854" s="22" t="str">
        <f t="shared" ref="Q6854:R6854" si="4104">"+0"</f>
        <v>+0</v>
      </c>
      <c r="R6854" s="18" t="str">
        <f t="shared" si="4104"/>
        <v>+0</v>
      </c>
      <c r="S6854" s="14" t="s">
        <v>277</v>
      </c>
    </row>
    <row r="6855">
      <c r="A6855" s="13">
        <v>45901.0</v>
      </c>
      <c r="B6855" s="14" t="s">
        <v>47</v>
      </c>
      <c r="C6855" s="14" t="s">
        <v>48</v>
      </c>
      <c r="D6855" s="14" t="s">
        <v>91</v>
      </c>
      <c r="E6855" s="14" t="s">
        <v>92</v>
      </c>
      <c r="F6855" s="15" t="s">
        <v>51</v>
      </c>
      <c r="G6855" s="14" t="s">
        <v>163</v>
      </c>
      <c r="H6855" s="14" t="s">
        <v>91</v>
      </c>
      <c r="I6855" s="14" t="s">
        <v>59</v>
      </c>
      <c r="J6855" s="14" t="s">
        <v>200</v>
      </c>
      <c r="K6855" s="14" t="s">
        <v>223</v>
      </c>
      <c r="L6855" s="14" t="s">
        <v>607</v>
      </c>
      <c r="M6855" s="14" t="s">
        <v>869</v>
      </c>
      <c r="N6855" s="14" t="s">
        <v>870</v>
      </c>
      <c r="O6855" s="14">
        <v>0.0</v>
      </c>
      <c r="P6855" s="23">
        <v>-1.0</v>
      </c>
      <c r="Q6855" s="22" t="str">
        <f t="shared" ref="Q6855:R6855" si="4105">"+0.00%"</f>
        <v>+0.00%</v>
      </c>
      <c r="R6855" s="18" t="str">
        <f t="shared" si="4105"/>
        <v>+0.00%</v>
      </c>
      <c r="S6855" s="14" t="s">
        <v>2611</v>
      </c>
    </row>
    <row r="6856">
      <c r="A6856" s="13">
        <v>45901.0</v>
      </c>
      <c r="B6856" s="14" t="s">
        <v>47</v>
      </c>
      <c r="C6856" s="14" t="s">
        <v>48</v>
      </c>
      <c r="D6856" s="14" t="s">
        <v>99</v>
      </c>
      <c r="E6856" s="14" t="s">
        <v>100</v>
      </c>
      <c r="F6856" s="15" t="s">
        <v>51</v>
      </c>
      <c r="G6856" s="14" t="s">
        <v>101</v>
      </c>
      <c r="H6856" s="14" t="s">
        <v>102</v>
      </c>
      <c r="I6856" s="14" t="s">
        <v>54</v>
      </c>
      <c r="J6856" s="14" t="s">
        <v>198</v>
      </c>
      <c r="K6856" s="14" t="s">
        <v>210</v>
      </c>
      <c r="L6856" s="14" t="s">
        <v>458</v>
      </c>
      <c r="M6856" s="14" t="s">
        <v>1939</v>
      </c>
      <c r="N6856" s="14" t="s">
        <v>1940</v>
      </c>
      <c r="O6856" s="14">
        <v>0.0</v>
      </c>
      <c r="P6856" s="21">
        <v>0.0</v>
      </c>
      <c r="Q6856" s="22" t="str">
        <f t="shared" ref="Q6856:R6856" si="4106">"+0"</f>
        <v>+0</v>
      </c>
      <c r="R6856" s="18" t="str">
        <f t="shared" si="4106"/>
        <v>+0</v>
      </c>
      <c r="S6856" s="14" t="s">
        <v>277</v>
      </c>
    </row>
    <row r="6857">
      <c r="A6857" s="13">
        <v>45901.0</v>
      </c>
      <c r="B6857" s="14" t="s">
        <v>47</v>
      </c>
      <c r="C6857" s="14" t="s">
        <v>48</v>
      </c>
      <c r="D6857" s="14" t="s">
        <v>118</v>
      </c>
      <c r="E6857" s="14" t="s">
        <v>119</v>
      </c>
      <c r="F6857" s="15" t="s">
        <v>51</v>
      </c>
      <c r="G6857" s="14" t="s">
        <v>120</v>
      </c>
      <c r="H6857" s="14" t="s">
        <v>118</v>
      </c>
      <c r="I6857" s="14" t="s">
        <v>59</v>
      </c>
      <c r="J6857" s="14" t="s">
        <v>200</v>
      </c>
      <c r="K6857" s="14" t="s">
        <v>227</v>
      </c>
      <c r="L6857" s="14" t="s">
        <v>253</v>
      </c>
      <c r="M6857" s="14" t="s">
        <v>396</v>
      </c>
      <c r="N6857" s="14" t="s">
        <v>397</v>
      </c>
      <c r="O6857" s="14">
        <v>50.0</v>
      </c>
      <c r="P6857" s="23">
        <v>0.5</v>
      </c>
      <c r="Q6857" s="22" t="str">
        <f t="shared" ref="Q6857:R6857" si="4107">"+0.00%"</f>
        <v>+0.00%</v>
      </c>
      <c r="R6857" s="18" t="str">
        <f t="shared" si="4107"/>
        <v>+0.00%</v>
      </c>
      <c r="S6857" s="14" t="s">
        <v>916</v>
      </c>
    </row>
    <row r="6858">
      <c r="O6858" s="20"/>
      <c r="P6858" s="17"/>
      <c r="Q6858" s="22"/>
    </row>
    <row r="6859">
      <c r="O6859" s="20"/>
      <c r="P6859" s="17"/>
      <c r="Q6859" s="22"/>
    </row>
    <row r="6860">
      <c r="O6860" s="20"/>
      <c r="P6860" s="17"/>
      <c r="Q6860" s="22"/>
    </row>
    <row r="6861">
      <c r="O6861" s="20"/>
      <c r="P6861" s="17"/>
      <c r="Q6861" s="22"/>
    </row>
    <row r="6862">
      <c r="O6862" s="20"/>
      <c r="P6862" s="17"/>
      <c r="Q6862" s="22"/>
    </row>
    <row r="6863">
      <c r="O6863" s="20"/>
      <c r="P6863" s="17"/>
      <c r="Q6863" s="22"/>
    </row>
    <row r="6864">
      <c r="O6864" s="20"/>
      <c r="P6864" s="17"/>
      <c r="Q6864" s="22"/>
    </row>
    <row r="6865">
      <c r="O6865" s="20"/>
      <c r="P6865" s="17"/>
      <c r="Q6865" s="22"/>
    </row>
    <row r="6866">
      <c r="O6866" s="20"/>
      <c r="P6866" s="17"/>
      <c r="Q6866" s="22"/>
    </row>
    <row r="6867">
      <c r="O6867" s="20"/>
      <c r="P6867" s="17"/>
      <c r="Q6867" s="22"/>
    </row>
    <row r="6868">
      <c r="O6868" s="20"/>
      <c r="P6868" s="17"/>
      <c r="Q6868" s="22"/>
    </row>
    <row r="6869">
      <c r="O6869" s="20"/>
      <c r="P6869" s="17"/>
      <c r="Q6869" s="22"/>
    </row>
    <row r="6870">
      <c r="O6870" s="20"/>
      <c r="P6870" s="17"/>
      <c r="Q6870" s="22"/>
    </row>
    <row r="6871">
      <c r="O6871" s="20"/>
      <c r="P6871" s="17"/>
      <c r="Q6871" s="22"/>
    </row>
    <row r="6872">
      <c r="O6872" s="20"/>
      <c r="P6872" s="17"/>
      <c r="Q6872" s="22"/>
    </row>
    <row r="6873">
      <c r="O6873" s="20"/>
      <c r="P6873" s="17"/>
      <c r="Q6873" s="22"/>
    </row>
    <row r="6874">
      <c r="O6874" s="20"/>
      <c r="P6874" s="17"/>
      <c r="Q6874" s="22"/>
    </row>
    <row r="6875">
      <c r="O6875" s="20"/>
      <c r="P6875" s="17"/>
      <c r="Q6875" s="22"/>
    </row>
    <row r="6876">
      <c r="O6876" s="20"/>
      <c r="P6876" s="17"/>
      <c r="Q6876" s="22"/>
    </row>
    <row r="6877">
      <c r="O6877" s="20"/>
      <c r="P6877" s="17"/>
      <c r="Q6877" s="22"/>
    </row>
    <row r="6878">
      <c r="O6878" s="20"/>
      <c r="P6878" s="17"/>
      <c r="Q6878" s="22"/>
    </row>
    <row r="6879">
      <c r="O6879" s="20"/>
      <c r="P6879" s="17"/>
      <c r="Q6879" s="22"/>
    </row>
    <row r="6880">
      <c r="O6880" s="20"/>
      <c r="P6880" s="17"/>
      <c r="Q6880" s="22"/>
    </row>
    <row r="6881">
      <c r="O6881" s="20"/>
      <c r="P6881" s="17"/>
      <c r="Q6881" s="22"/>
    </row>
    <row r="6882">
      <c r="O6882" s="20"/>
      <c r="P6882" s="17"/>
      <c r="Q6882" s="22"/>
    </row>
    <row r="6883">
      <c r="O6883" s="20"/>
      <c r="P6883" s="17"/>
      <c r="Q6883" s="22"/>
    </row>
    <row r="6884">
      <c r="O6884" s="20"/>
      <c r="P6884" s="17"/>
      <c r="Q6884" s="22"/>
    </row>
    <row r="6885">
      <c r="O6885" s="20"/>
      <c r="P6885" s="17"/>
      <c r="Q6885" s="22"/>
    </row>
    <row r="6886">
      <c r="O6886" s="20"/>
      <c r="P6886" s="17"/>
      <c r="Q6886" s="22"/>
    </row>
    <row r="6887">
      <c r="O6887" s="20"/>
      <c r="P6887" s="17"/>
      <c r="Q6887" s="22"/>
    </row>
    <row r="6888">
      <c r="O6888" s="20"/>
      <c r="P6888" s="17"/>
      <c r="Q6888" s="22"/>
    </row>
    <row r="6889">
      <c r="O6889" s="20"/>
      <c r="P6889" s="17"/>
      <c r="Q6889" s="22"/>
    </row>
    <row r="6890">
      <c r="O6890" s="20"/>
      <c r="P6890" s="17"/>
      <c r="Q6890" s="22"/>
    </row>
    <row r="6891">
      <c r="O6891" s="20"/>
      <c r="P6891" s="17"/>
      <c r="Q6891" s="22"/>
    </row>
    <row r="6892">
      <c r="O6892" s="20"/>
      <c r="P6892" s="17"/>
      <c r="Q6892" s="22"/>
    </row>
    <row r="6893">
      <c r="O6893" s="20"/>
      <c r="P6893" s="17"/>
      <c r="Q6893" s="22"/>
    </row>
    <row r="6894">
      <c r="O6894" s="20"/>
      <c r="P6894" s="17"/>
      <c r="Q6894" s="22"/>
    </row>
    <row r="6895">
      <c r="O6895" s="20"/>
      <c r="P6895" s="17"/>
      <c r="Q6895" s="22"/>
    </row>
    <row r="6896">
      <c r="O6896" s="20"/>
      <c r="P6896" s="17"/>
      <c r="Q6896" s="22"/>
    </row>
    <row r="6897">
      <c r="O6897" s="20"/>
      <c r="P6897" s="17"/>
      <c r="Q6897" s="22"/>
    </row>
    <row r="6898">
      <c r="O6898" s="20"/>
      <c r="P6898" s="17"/>
      <c r="Q6898" s="22"/>
    </row>
    <row r="6899">
      <c r="O6899" s="20"/>
      <c r="P6899" s="17"/>
      <c r="Q6899" s="22"/>
    </row>
    <row r="6900">
      <c r="O6900" s="20"/>
      <c r="P6900" s="17"/>
      <c r="Q6900" s="22"/>
    </row>
    <row r="6901">
      <c r="O6901" s="20"/>
      <c r="P6901" s="17"/>
      <c r="Q6901" s="22"/>
    </row>
    <row r="6902">
      <c r="O6902" s="20"/>
      <c r="P6902" s="17"/>
      <c r="Q6902" s="22"/>
    </row>
    <row r="6903">
      <c r="O6903" s="20"/>
      <c r="P6903" s="17"/>
      <c r="Q6903" s="22"/>
    </row>
    <row r="6904">
      <c r="O6904" s="20"/>
      <c r="P6904" s="17"/>
      <c r="Q6904" s="22"/>
    </row>
    <row r="6905">
      <c r="O6905" s="20"/>
      <c r="P6905" s="17"/>
      <c r="Q6905" s="22"/>
    </row>
    <row r="6906">
      <c r="O6906" s="20"/>
      <c r="P6906" s="17"/>
      <c r="Q6906" s="22"/>
    </row>
    <row r="6907">
      <c r="O6907" s="20"/>
      <c r="P6907" s="17"/>
      <c r="Q6907" s="22"/>
    </row>
    <row r="6908">
      <c r="O6908" s="20"/>
      <c r="P6908" s="17"/>
      <c r="Q6908" s="22"/>
    </row>
    <row r="6909">
      <c r="O6909" s="20"/>
      <c r="P6909" s="17"/>
      <c r="Q6909" s="22"/>
    </row>
    <row r="6910">
      <c r="O6910" s="20"/>
      <c r="P6910" s="17"/>
      <c r="Q6910" s="22"/>
    </row>
    <row r="6911">
      <c r="O6911" s="20"/>
      <c r="P6911" s="17"/>
      <c r="Q6911" s="22"/>
    </row>
    <row r="6912">
      <c r="O6912" s="20"/>
      <c r="P6912" s="17"/>
      <c r="Q6912" s="22"/>
    </row>
    <row r="6913">
      <c r="O6913" s="20"/>
      <c r="P6913" s="17"/>
      <c r="Q6913" s="22"/>
    </row>
    <row r="6914">
      <c r="O6914" s="20"/>
      <c r="P6914" s="17"/>
      <c r="Q6914" s="22"/>
    </row>
    <row r="6915">
      <c r="O6915" s="20"/>
      <c r="P6915" s="17"/>
      <c r="Q6915" s="22"/>
    </row>
    <row r="6916">
      <c r="O6916" s="20"/>
      <c r="P6916" s="17"/>
      <c r="Q6916" s="22"/>
    </row>
    <row r="6917">
      <c r="O6917" s="20"/>
      <c r="P6917" s="17"/>
      <c r="Q6917" s="22"/>
    </row>
    <row r="6918">
      <c r="O6918" s="20"/>
      <c r="P6918" s="17"/>
      <c r="Q6918" s="22"/>
    </row>
    <row r="6919">
      <c r="O6919" s="20"/>
      <c r="P6919" s="17"/>
      <c r="Q6919" s="22"/>
    </row>
    <row r="6920">
      <c r="O6920" s="20"/>
      <c r="P6920" s="17"/>
      <c r="Q6920" s="22"/>
    </row>
    <row r="6921">
      <c r="O6921" s="20"/>
      <c r="P6921" s="17"/>
      <c r="Q6921" s="22"/>
    </row>
    <row r="6922">
      <c r="O6922" s="20"/>
      <c r="P6922" s="17"/>
      <c r="Q6922" s="22"/>
    </row>
    <row r="6923">
      <c r="O6923" s="20"/>
      <c r="P6923" s="17"/>
      <c r="Q6923" s="22"/>
    </row>
    <row r="6924">
      <c r="O6924" s="20"/>
      <c r="P6924" s="17"/>
      <c r="Q6924" s="22"/>
    </row>
    <row r="6925">
      <c r="O6925" s="20"/>
      <c r="P6925" s="17"/>
      <c r="Q6925" s="22"/>
    </row>
    <row r="6926">
      <c r="O6926" s="20"/>
      <c r="P6926" s="17"/>
      <c r="Q6926" s="22"/>
    </row>
    <row r="6927">
      <c r="O6927" s="20"/>
      <c r="P6927" s="17"/>
      <c r="Q6927" s="22"/>
    </row>
    <row r="6928">
      <c r="O6928" s="20"/>
      <c r="P6928" s="17"/>
      <c r="Q6928" s="22"/>
    </row>
    <row r="6929">
      <c r="O6929" s="20"/>
      <c r="P6929" s="17"/>
      <c r="Q6929" s="22"/>
    </row>
    <row r="6930">
      <c r="O6930" s="20"/>
      <c r="P6930" s="17"/>
      <c r="Q6930" s="22"/>
    </row>
    <row r="6931">
      <c r="O6931" s="20"/>
      <c r="P6931" s="17"/>
      <c r="Q6931" s="22"/>
    </row>
    <row r="6932">
      <c r="O6932" s="20"/>
      <c r="P6932" s="17"/>
      <c r="Q6932" s="22"/>
    </row>
    <row r="6933">
      <c r="O6933" s="20"/>
      <c r="P6933" s="17"/>
      <c r="Q6933" s="22"/>
    </row>
    <row r="6934">
      <c r="O6934" s="20"/>
      <c r="P6934" s="17"/>
      <c r="Q6934" s="22"/>
    </row>
    <row r="6935">
      <c r="O6935" s="20"/>
      <c r="P6935" s="17"/>
      <c r="Q6935" s="22"/>
    </row>
    <row r="6936">
      <c r="O6936" s="20"/>
      <c r="P6936" s="17"/>
      <c r="Q6936" s="22"/>
    </row>
    <row r="6937">
      <c r="O6937" s="20"/>
      <c r="P6937" s="17"/>
      <c r="Q6937" s="22"/>
    </row>
    <row r="6938">
      <c r="O6938" s="20"/>
      <c r="P6938" s="17"/>
      <c r="Q6938" s="22"/>
    </row>
    <row r="6939">
      <c r="O6939" s="20"/>
      <c r="P6939" s="17"/>
      <c r="Q6939" s="22"/>
    </row>
    <row r="6940">
      <c r="O6940" s="20"/>
      <c r="P6940" s="17"/>
      <c r="Q6940" s="22"/>
    </row>
    <row r="6941">
      <c r="O6941" s="20"/>
      <c r="P6941" s="17"/>
      <c r="Q6941" s="22"/>
    </row>
    <row r="6942">
      <c r="O6942" s="20"/>
      <c r="P6942" s="17"/>
      <c r="Q6942" s="22"/>
    </row>
    <row r="6943">
      <c r="O6943" s="20"/>
      <c r="P6943" s="17"/>
      <c r="Q6943" s="22"/>
    </row>
    <row r="6944">
      <c r="O6944" s="20"/>
      <c r="P6944" s="17"/>
      <c r="Q6944" s="22"/>
    </row>
    <row r="6945">
      <c r="O6945" s="20"/>
      <c r="P6945" s="17"/>
      <c r="Q6945" s="22"/>
    </row>
    <row r="6946">
      <c r="O6946" s="20"/>
      <c r="P6946" s="17"/>
      <c r="Q6946" s="22"/>
    </row>
    <row r="6947">
      <c r="O6947" s="20"/>
      <c r="P6947" s="17"/>
      <c r="Q6947" s="22"/>
    </row>
    <row r="6948">
      <c r="O6948" s="20"/>
      <c r="P6948" s="17"/>
      <c r="Q6948" s="22"/>
    </row>
    <row r="6949">
      <c r="O6949" s="20"/>
      <c r="P6949" s="17"/>
      <c r="Q6949" s="22"/>
    </row>
    <row r="6950">
      <c r="O6950" s="20"/>
      <c r="P6950" s="17"/>
      <c r="Q6950" s="22"/>
    </row>
    <row r="6951">
      <c r="O6951" s="20"/>
      <c r="P6951" s="17"/>
      <c r="Q6951" s="22"/>
    </row>
    <row r="6952">
      <c r="O6952" s="20"/>
      <c r="P6952" s="17"/>
      <c r="Q6952" s="22"/>
    </row>
    <row r="6953">
      <c r="O6953" s="20"/>
      <c r="P6953" s="17"/>
      <c r="Q6953" s="22"/>
    </row>
    <row r="6954">
      <c r="O6954" s="20"/>
      <c r="P6954" s="17"/>
      <c r="Q6954" s="22"/>
    </row>
    <row r="6955">
      <c r="O6955" s="20"/>
      <c r="P6955" s="17"/>
      <c r="Q6955" s="22"/>
    </row>
    <row r="6956">
      <c r="O6956" s="20"/>
      <c r="P6956" s="17"/>
      <c r="Q6956" s="22"/>
    </row>
    <row r="6957">
      <c r="O6957" s="20"/>
      <c r="P6957" s="17"/>
      <c r="Q6957" s="22"/>
    </row>
    <row r="6958">
      <c r="O6958" s="20"/>
      <c r="P6958" s="17"/>
      <c r="Q6958" s="22"/>
    </row>
    <row r="6959">
      <c r="O6959" s="20"/>
      <c r="P6959" s="17"/>
      <c r="Q6959" s="22"/>
    </row>
    <row r="6960">
      <c r="O6960" s="20"/>
      <c r="P6960" s="17"/>
      <c r="Q6960" s="22"/>
    </row>
    <row r="6961">
      <c r="O6961" s="20"/>
      <c r="P6961" s="17"/>
      <c r="Q6961" s="22"/>
    </row>
    <row r="6962">
      <c r="O6962" s="20"/>
      <c r="P6962" s="17"/>
      <c r="Q6962" s="22"/>
    </row>
    <row r="6963">
      <c r="O6963" s="20"/>
      <c r="P6963" s="17"/>
      <c r="Q6963" s="22"/>
    </row>
    <row r="6964">
      <c r="O6964" s="20"/>
      <c r="P6964" s="17"/>
      <c r="Q6964" s="22"/>
    </row>
    <row r="6965">
      <c r="O6965" s="20"/>
      <c r="P6965" s="17"/>
      <c r="Q6965" s="22"/>
    </row>
    <row r="6966">
      <c r="O6966" s="20"/>
      <c r="P6966" s="17"/>
      <c r="Q6966" s="22"/>
    </row>
    <row r="6967">
      <c r="O6967" s="20"/>
      <c r="P6967" s="17"/>
      <c r="Q6967" s="22"/>
    </row>
    <row r="6968">
      <c r="O6968" s="20"/>
      <c r="P6968" s="17"/>
      <c r="Q6968" s="22"/>
    </row>
    <row r="6969">
      <c r="O6969" s="20"/>
      <c r="P6969" s="17"/>
      <c r="Q6969" s="22"/>
    </row>
    <row r="6970">
      <c r="O6970" s="20"/>
      <c r="P6970" s="17"/>
      <c r="Q6970" s="22"/>
    </row>
    <row r="6971">
      <c r="O6971" s="20"/>
      <c r="P6971" s="17"/>
      <c r="Q6971" s="22"/>
    </row>
    <row r="6972">
      <c r="O6972" s="20"/>
      <c r="P6972" s="17"/>
      <c r="Q6972" s="22"/>
    </row>
    <row r="6973">
      <c r="O6973" s="20"/>
      <c r="P6973" s="17"/>
      <c r="Q6973" s="22"/>
    </row>
    <row r="6974">
      <c r="O6974" s="20"/>
      <c r="P6974" s="17"/>
      <c r="Q6974" s="22"/>
    </row>
    <row r="6975">
      <c r="O6975" s="20"/>
      <c r="P6975" s="17"/>
      <c r="Q6975" s="22"/>
    </row>
    <row r="6976">
      <c r="O6976" s="20"/>
      <c r="P6976" s="17"/>
      <c r="Q6976" s="22"/>
    </row>
    <row r="6977">
      <c r="O6977" s="20"/>
      <c r="P6977" s="17"/>
      <c r="Q6977" s="22"/>
    </row>
    <row r="6978">
      <c r="O6978" s="20"/>
      <c r="P6978" s="17"/>
      <c r="Q6978" s="22"/>
    </row>
    <row r="6979">
      <c r="O6979" s="20"/>
      <c r="P6979" s="17"/>
      <c r="Q6979" s="22"/>
    </row>
    <row r="6980">
      <c r="O6980" s="20"/>
      <c r="P6980" s="17"/>
      <c r="Q6980" s="22"/>
    </row>
    <row r="6981">
      <c r="O6981" s="20"/>
      <c r="P6981" s="17"/>
      <c r="Q6981" s="22"/>
    </row>
    <row r="6982">
      <c r="O6982" s="20"/>
      <c r="P6982" s="17"/>
      <c r="Q6982" s="22"/>
    </row>
    <row r="6983">
      <c r="O6983" s="20"/>
      <c r="P6983" s="17"/>
      <c r="Q6983" s="22"/>
    </row>
    <row r="6984">
      <c r="O6984" s="20"/>
      <c r="P6984" s="17"/>
      <c r="Q6984" s="22"/>
    </row>
    <row r="6985">
      <c r="O6985" s="20"/>
      <c r="P6985" s="17"/>
      <c r="Q6985" s="22"/>
    </row>
    <row r="6986">
      <c r="O6986" s="20"/>
      <c r="P6986" s="17"/>
      <c r="Q6986" s="22"/>
    </row>
    <row r="6987">
      <c r="O6987" s="20"/>
      <c r="P6987" s="17"/>
      <c r="Q6987" s="22"/>
    </row>
    <row r="6988">
      <c r="O6988" s="20"/>
      <c r="P6988" s="17"/>
      <c r="Q6988" s="22"/>
    </row>
    <row r="6989">
      <c r="O6989" s="20"/>
      <c r="P6989" s="17"/>
      <c r="Q6989" s="22"/>
    </row>
    <row r="6990">
      <c r="O6990" s="20"/>
      <c r="P6990" s="17"/>
      <c r="Q6990" s="22"/>
    </row>
    <row r="6991">
      <c r="O6991" s="20"/>
      <c r="P6991" s="17"/>
      <c r="Q6991" s="22"/>
    </row>
    <row r="6992">
      <c r="O6992" s="20"/>
      <c r="P6992" s="17"/>
      <c r="Q6992" s="22"/>
    </row>
    <row r="6993">
      <c r="O6993" s="20"/>
      <c r="P6993" s="17"/>
      <c r="Q6993" s="22"/>
    </row>
    <row r="6994">
      <c r="O6994" s="20"/>
      <c r="P6994" s="17"/>
      <c r="Q6994" s="22"/>
    </row>
    <row r="6995">
      <c r="O6995" s="20"/>
      <c r="P6995" s="17"/>
      <c r="Q6995" s="22"/>
    </row>
    <row r="6996">
      <c r="O6996" s="20"/>
      <c r="P6996" s="17"/>
      <c r="Q6996" s="22"/>
    </row>
    <row r="6997">
      <c r="O6997" s="20"/>
      <c r="P6997" s="17"/>
      <c r="Q6997" s="22"/>
    </row>
    <row r="6998">
      <c r="O6998" s="20"/>
      <c r="P6998" s="17"/>
      <c r="Q6998" s="22"/>
    </row>
    <row r="6999">
      <c r="O6999" s="20"/>
      <c r="P6999" s="17"/>
      <c r="Q6999" s="22"/>
    </row>
    <row r="7000">
      <c r="O7000" s="20"/>
      <c r="P7000" s="17"/>
      <c r="Q7000" s="22"/>
    </row>
    <row r="7001">
      <c r="O7001" s="20"/>
      <c r="P7001" s="17"/>
      <c r="Q7001" s="22"/>
    </row>
    <row r="7002">
      <c r="O7002" s="20"/>
      <c r="P7002" s="17"/>
      <c r="Q7002" s="22"/>
    </row>
    <row r="7003">
      <c r="O7003" s="20"/>
      <c r="P7003" s="17"/>
      <c r="Q7003" s="22"/>
    </row>
    <row r="7004">
      <c r="O7004" s="20"/>
      <c r="P7004" s="17"/>
      <c r="Q7004" s="22"/>
    </row>
    <row r="7005">
      <c r="O7005" s="20"/>
      <c r="P7005" s="17"/>
      <c r="Q7005" s="22"/>
    </row>
    <row r="7006">
      <c r="O7006" s="20"/>
      <c r="P7006" s="17"/>
      <c r="Q7006" s="22"/>
    </row>
    <row r="7007">
      <c r="O7007" s="20"/>
      <c r="P7007" s="17"/>
      <c r="Q7007" s="22"/>
    </row>
    <row r="7008">
      <c r="O7008" s="20"/>
      <c r="P7008" s="17"/>
      <c r="Q7008" s="22"/>
    </row>
    <row r="7009">
      <c r="O7009" s="20"/>
      <c r="P7009" s="17"/>
      <c r="Q7009" s="22"/>
    </row>
    <row r="7010">
      <c r="O7010" s="20"/>
      <c r="P7010" s="17"/>
      <c r="Q7010" s="22"/>
    </row>
    <row r="7011">
      <c r="O7011" s="20"/>
      <c r="P7011" s="17"/>
      <c r="Q7011" s="22"/>
    </row>
    <row r="7012">
      <c r="O7012" s="20"/>
      <c r="P7012" s="17"/>
      <c r="Q7012" s="22"/>
    </row>
    <row r="7013">
      <c r="O7013" s="20"/>
      <c r="P7013" s="17"/>
      <c r="Q7013" s="22"/>
    </row>
    <row r="7014">
      <c r="O7014" s="20"/>
      <c r="P7014" s="17"/>
      <c r="Q7014" s="22"/>
    </row>
    <row r="7015">
      <c r="O7015" s="20"/>
      <c r="P7015" s="17"/>
      <c r="Q7015" s="22"/>
    </row>
    <row r="7016">
      <c r="O7016" s="20"/>
      <c r="P7016" s="17"/>
      <c r="Q7016" s="22"/>
    </row>
    <row r="7017">
      <c r="O7017" s="20"/>
      <c r="P7017" s="17"/>
      <c r="Q7017" s="22"/>
    </row>
    <row r="7018">
      <c r="O7018" s="20"/>
      <c r="P7018" s="17"/>
      <c r="Q7018" s="22"/>
    </row>
    <row r="7019">
      <c r="O7019" s="20"/>
      <c r="P7019" s="17"/>
      <c r="Q7019" s="22"/>
    </row>
    <row r="7020">
      <c r="O7020" s="20"/>
      <c r="P7020" s="17"/>
      <c r="Q7020" s="22"/>
    </row>
    <row r="7021">
      <c r="O7021" s="20"/>
      <c r="P7021" s="17"/>
      <c r="Q7021" s="22"/>
    </row>
    <row r="7022">
      <c r="O7022" s="20"/>
      <c r="P7022" s="17"/>
      <c r="Q7022" s="22"/>
    </row>
    <row r="7023">
      <c r="O7023" s="20"/>
      <c r="P7023" s="17"/>
      <c r="Q7023" s="22"/>
    </row>
    <row r="7024">
      <c r="O7024" s="20"/>
      <c r="P7024" s="17"/>
      <c r="Q7024" s="22"/>
    </row>
    <row r="7025">
      <c r="O7025" s="20"/>
      <c r="P7025" s="17"/>
      <c r="Q7025" s="22"/>
    </row>
    <row r="7026">
      <c r="O7026" s="20"/>
      <c r="P7026" s="17"/>
      <c r="Q7026" s="22"/>
    </row>
    <row r="7027">
      <c r="O7027" s="20"/>
      <c r="P7027" s="17"/>
      <c r="Q7027" s="22"/>
    </row>
    <row r="7028">
      <c r="O7028" s="20"/>
      <c r="P7028" s="17"/>
      <c r="Q7028" s="22"/>
    </row>
    <row r="7029">
      <c r="O7029" s="20"/>
      <c r="P7029" s="17"/>
      <c r="Q7029" s="22"/>
    </row>
    <row r="7030">
      <c r="O7030" s="20"/>
      <c r="P7030" s="17"/>
      <c r="Q7030" s="22"/>
    </row>
    <row r="7031">
      <c r="O7031" s="20"/>
      <c r="P7031" s="17"/>
      <c r="Q7031" s="22"/>
    </row>
    <row r="7032">
      <c r="O7032" s="20"/>
      <c r="P7032" s="17"/>
      <c r="Q7032" s="22"/>
    </row>
    <row r="7033">
      <c r="O7033" s="20"/>
      <c r="P7033" s="17"/>
      <c r="Q7033" s="22"/>
    </row>
    <row r="7034">
      <c r="O7034" s="20"/>
      <c r="P7034" s="17"/>
      <c r="Q7034" s="22"/>
    </row>
    <row r="7035">
      <c r="O7035" s="20"/>
      <c r="P7035" s="17"/>
      <c r="Q7035" s="22"/>
    </row>
    <row r="7036">
      <c r="O7036" s="20"/>
      <c r="P7036" s="17"/>
      <c r="Q7036" s="22"/>
    </row>
    <row r="7037">
      <c r="O7037" s="20"/>
      <c r="P7037" s="17"/>
      <c r="Q7037" s="22"/>
    </row>
    <row r="7038">
      <c r="O7038" s="20"/>
      <c r="P7038" s="17"/>
      <c r="Q7038" s="22"/>
    </row>
    <row r="7039">
      <c r="O7039" s="20"/>
      <c r="P7039" s="17"/>
      <c r="Q7039" s="22"/>
    </row>
    <row r="7040">
      <c r="O7040" s="20"/>
      <c r="P7040" s="17"/>
      <c r="Q7040" s="22"/>
    </row>
    <row r="7041">
      <c r="O7041" s="20"/>
      <c r="P7041" s="17"/>
      <c r="Q7041" s="22"/>
    </row>
    <row r="7042">
      <c r="O7042" s="20"/>
      <c r="P7042" s="17"/>
      <c r="Q7042" s="22"/>
    </row>
    <row r="7043">
      <c r="O7043" s="20"/>
      <c r="P7043" s="17"/>
      <c r="Q7043" s="22"/>
    </row>
    <row r="7044">
      <c r="O7044" s="20"/>
      <c r="P7044" s="17"/>
      <c r="Q7044" s="22"/>
    </row>
    <row r="7045">
      <c r="O7045" s="20"/>
      <c r="P7045" s="17"/>
      <c r="Q7045" s="22"/>
    </row>
    <row r="7046">
      <c r="O7046" s="20"/>
      <c r="P7046" s="17"/>
      <c r="Q7046" s="22"/>
    </row>
    <row r="7047">
      <c r="O7047" s="20"/>
      <c r="P7047" s="17"/>
      <c r="Q7047" s="22"/>
    </row>
    <row r="7048">
      <c r="O7048" s="20"/>
      <c r="P7048" s="17"/>
      <c r="Q7048" s="22"/>
    </row>
    <row r="7049">
      <c r="O7049" s="20"/>
      <c r="P7049" s="17"/>
      <c r="Q7049" s="22"/>
    </row>
    <row r="7050">
      <c r="O7050" s="20"/>
      <c r="P7050" s="17"/>
      <c r="Q7050" s="22"/>
    </row>
    <row r="7051">
      <c r="O7051" s="20"/>
      <c r="P7051" s="17"/>
      <c r="Q7051" s="22"/>
    </row>
    <row r="7052">
      <c r="O7052" s="20"/>
      <c r="P7052" s="17"/>
      <c r="Q7052" s="22"/>
    </row>
    <row r="7053">
      <c r="O7053" s="20"/>
      <c r="P7053" s="17"/>
      <c r="Q7053" s="22"/>
    </row>
    <row r="7054">
      <c r="O7054" s="20"/>
      <c r="P7054" s="17"/>
      <c r="Q7054" s="22"/>
    </row>
    <row r="7055">
      <c r="O7055" s="20"/>
      <c r="P7055" s="17"/>
      <c r="Q7055" s="22"/>
    </row>
    <row r="7056">
      <c r="O7056" s="20"/>
      <c r="P7056" s="17"/>
      <c r="Q7056" s="22"/>
    </row>
    <row r="7057">
      <c r="O7057" s="20"/>
      <c r="P7057" s="17"/>
      <c r="Q7057" s="22"/>
    </row>
    <row r="7058">
      <c r="O7058" s="20"/>
      <c r="P7058" s="17"/>
      <c r="Q7058" s="22"/>
    </row>
    <row r="7059">
      <c r="O7059" s="20"/>
      <c r="P7059" s="17"/>
      <c r="Q7059" s="22"/>
    </row>
    <row r="7060">
      <c r="O7060" s="20"/>
      <c r="P7060" s="17"/>
      <c r="Q7060" s="22"/>
    </row>
    <row r="7061">
      <c r="O7061" s="20"/>
      <c r="P7061" s="17"/>
      <c r="Q7061" s="22"/>
    </row>
    <row r="7062">
      <c r="O7062" s="20"/>
      <c r="P7062" s="17"/>
      <c r="Q7062" s="22"/>
    </row>
    <row r="7063">
      <c r="O7063" s="20"/>
      <c r="P7063" s="17"/>
      <c r="Q7063" s="22"/>
    </row>
    <row r="7064">
      <c r="O7064" s="20"/>
      <c r="P7064" s="17"/>
      <c r="Q7064" s="22"/>
    </row>
    <row r="7065">
      <c r="O7065" s="20"/>
      <c r="P7065" s="17"/>
      <c r="Q7065" s="22"/>
    </row>
    <row r="7066">
      <c r="O7066" s="20"/>
      <c r="P7066" s="17"/>
      <c r="Q7066" s="22"/>
    </row>
    <row r="7067">
      <c r="O7067" s="20"/>
      <c r="P7067" s="17"/>
      <c r="Q7067" s="22"/>
    </row>
    <row r="7068">
      <c r="O7068" s="20"/>
      <c r="P7068" s="17"/>
      <c r="Q7068" s="22"/>
    </row>
    <row r="7069">
      <c r="O7069" s="20"/>
      <c r="P7069" s="17"/>
      <c r="Q7069" s="22"/>
    </row>
    <row r="7070">
      <c r="O7070" s="20"/>
      <c r="P7070" s="17"/>
      <c r="Q7070" s="22"/>
    </row>
    <row r="7071">
      <c r="O7071" s="20"/>
      <c r="P7071" s="17"/>
      <c r="Q7071" s="22"/>
    </row>
    <row r="7072">
      <c r="O7072" s="20"/>
      <c r="P7072" s="17"/>
      <c r="Q7072" s="22"/>
    </row>
    <row r="7073">
      <c r="O7073" s="20"/>
      <c r="P7073" s="17"/>
      <c r="Q7073" s="22"/>
    </row>
    <row r="7074">
      <c r="O7074" s="20"/>
      <c r="P7074" s="17"/>
      <c r="Q7074" s="22"/>
    </row>
    <row r="7075">
      <c r="O7075" s="20"/>
      <c r="P7075" s="17"/>
      <c r="Q7075" s="22"/>
    </row>
    <row r="7076">
      <c r="O7076" s="20"/>
      <c r="P7076" s="17"/>
      <c r="Q7076" s="22"/>
    </row>
    <row r="7077">
      <c r="O7077" s="20"/>
      <c r="P7077" s="17"/>
      <c r="Q7077" s="22"/>
    </row>
    <row r="7078">
      <c r="O7078" s="20"/>
      <c r="P7078" s="17"/>
      <c r="Q7078" s="22"/>
    </row>
    <row r="7079">
      <c r="O7079" s="20"/>
      <c r="P7079" s="17"/>
      <c r="Q7079" s="22"/>
    </row>
    <row r="7080">
      <c r="O7080" s="20"/>
      <c r="P7080" s="17"/>
      <c r="Q7080" s="22"/>
    </row>
    <row r="7081">
      <c r="O7081" s="20"/>
      <c r="P7081" s="17"/>
      <c r="Q7081" s="22"/>
    </row>
    <row r="7082">
      <c r="O7082" s="20"/>
      <c r="P7082" s="17"/>
      <c r="Q7082" s="22"/>
    </row>
    <row r="7083">
      <c r="O7083" s="20"/>
      <c r="P7083" s="17"/>
      <c r="Q7083" s="22"/>
    </row>
    <row r="7084">
      <c r="O7084" s="20"/>
      <c r="P7084" s="17"/>
      <c r="Q7084" s="22"/>
    </row>
    <row r="7085">
      <c r="O7085" s="20"/>
      <c r="P7085" s="17"/>
      <c r="Q7085" s="22"/>
    </row>
    <row r="7086">
      <c r="O7086" s="20"/>
      <c r="P7086" s="17"/>
      <c r="Q7086" s="22"/>
    </row>
    <row r="7087">
      <c r="O7087" s="20"/>
      <c r="P7087" s="17"/>
      <c r="Q7087" s="22"/>
    </row>
    <row r="7088">
      <c r="O7088" s="20"/>
      <c r="P7088" s="17"/>
      <c r="Q7088" s="22"/>
    </row>
    <row r="7089">
      <c r="O7089" s="20"/>
      <c r="P7089" s="17"/>
      <c r="Q7089" s="22"/>
    </row>
    <row r="7090">
      <c r="O7090" s="20"/>
      <c r="P7090" s="17"/>
      <c r="Q7090" s="22"/>
    </row>
    <row r="7091">
      <c r="O7091" s="20"/>
      <c r="P7091" s="17"/>
      <c r="Q7091" s="22"/>
    </row>
    <row r="7092">
      <c r="O7092" s="20"/>
      <c r="P7092" s="17"/>
      <c r="Q7092" s="22"/>
    </row>
    <row r="7093">
      <c r="O7093" s="20"/>
      <c r="P7093" s="17"/>
      <c r="Q7093" s="22"/>
    </row>
    <row r="7094">
      <c r="O7094" s="20"/>
      <c r="P7094" s="17"/>
      <c r="Q7094" s="22"/>
    </row>
    <row r="7095">
      <c r="O7095" s="20"/>
      <c r="P7095" s="17"/>
      <c r="Q7095" s="22"/>
    </row>
    <row r="7096">
      <c r="O7096" s="20"/>
      <c r="P7096" s="17"/>
      <c r="Q7096" s="22"/>
    </row>
    <row r="7097">
      <c r="O7097" s="20"/>
      <c r="P7097" s="17"/>
      <c r="Q7097" s="22"/>
    </row>
    <row r="7098">
      <c r="O7098" s="20"/>
      <c r="P7098" s="17"/>
      <c r="Q7098" s="22"/>
    </row>
    <row r="7099">
      <c r="O7099" s="20"/>
      <c r="P7099" s="17"/>
      <c r="Q7099" s="22"/>
    </row>
    <row r="7100">
      <c r="O7100" s="20"/>
      <c r="P7100" s="17"/>
      <c r="Q7100" s="22"/>
    </row>
    <row r="7101">
      <c r="O7101" s="20"/>
      <c r="P7101" s="17"/>
      <c r="Q7101" s="22"/>
    </row>
    <row r="7102">
      <c r="O7102" s="20"/>
      <c r="P7102" s="17"/>
      <c r="Q7102" s="22"/>
    </row>
    <row r="7103">
      <c r="O7103" s="20"/>
      <c r="P7103" s="17"/>
      <c r="Q7103" s="22"/>
    </row>
    <row r="7104">
      <c r="O7104" s="20"/>
      <c r="P7104" s="17"/>
      <c r="Q7104" s="22"/>
    </row>
    <row r="7105">
      <c r="O7105" s="20"/>
      <c r="P7105" s="17"/>
      <c r="Q7105" s="22"/>
    </row>
    <row r="7106">
      <c r="O7106" s="20"/>
      <c r="P7106" s="17"/>
      <c r="Q7106" s="22"/>
    </row>
    <row r="7107">
      <c r="O7107" s="20"/>
      <c r="P7107" s="17"/>
      <c r="Q7107" s="22"/>
    </row>
    <row r="7108">
      <c r="O7108" s="20"/>
      <c r="P7108" s="17"/>
      <c r="Q7108" s="22"/>
    </row>
    <row r="7109">
      <c r="O7109" s="20"/>
      <c r="P7109" s="17"/>
      <c r="Q7109" s="22"/>
    </row>
    <row r="7110">
      <c r="O7110" s="20"/>
      <c r="P7110" s="17"/>
      <c r="Q7110" s="22"/>
    </row>
    <row r="7111">
      <c r="O7111" s="20"/>
      <c r="P7111" s="17"/>
      <c r="Q7111" s="22"/>
    </row>
    <row r="7112">
      <c r="O7112" s="20"/>
      <c r="P7112" s="17"/>
      <c r="Q7112" s="22"/>
    </row>
    <row r="7113">
      <c r="O7113" s="20"/>
      <c r="P7113" s="17"/>
      <c r="Q7113" s="22"/>
    </row>
    <row r="7114">
      <c r="O7114" s="20"/>
      <c r="P7114" s="17"/>
      <c r="Q7114" s="22"/>
    </row>
    <row r="7115">
      <c r="O7115" s="20"/>
      <c r="P7115" s="17"/>
      <c r="Q7115" s="22"/>
    </row>
    <row r="7116">
      <c r="O7116" s="20"/>
      <c r="P7116" s="17"/>
      <c r="Q7116" s="22"/>
    </row>
    <row r="7117">
      <c r="O7117" s="20"/>
      <c r="P7117" s="17"/>
      <c r="Q7117" s="22"/>
    </row>
    <row r="7118">
      <c r="O7118" s="20"/>
      <c r="P7118" s="17"/>
      <c r="Q7118" s="22"/>
    </row>
    <row r="7119">
      <c r="O7119" s="20"/>
      <c r="P7119" s="17"/>
      <c r="Q7119" s="22"/>
    </row>
    <row r="7120">
      <c r="O7120" s="20"/>
      <c r="P7120" s="17"/>
      <c r="Q7120" s="22"/>
    </row>
    <row r="7121">
      <c r="O7121" s="20"/>
      <c r="P7121" s="17"/>
      <c r="Q7121" s="22"/>
    </row>
    <row r="7122">
      <c r="O7122" s="20"/>
      <c r="P7122" s="17"/>
      <c r="Q7122" s="22"/>
    </row>
    <row r="7123">
      <c r="O7123" s="20"/>
      <c r="P7123" s="17"/>
      <c r="Q7123" s="22"/>
    </row>
    <row r="7124">
      <c r="O7124" s="20"/>
      <c r="P7124" s="17"/>
      <c r="Q7124" s="22"/>
    </row>
    <row r="7125">
      <c r="O7125" s="20"/>
      <c r="P7125" s="17"/>
      <c r="Q7125" s="22"/>
    </row>
    <row r="7126">
      <c r="O7126" s="20"/>
      <c r="P7126" s="17"/>
      <c r="Q7126" s="22"/>
    </row>
    <row r="7127">
      <c r="O7127" s="20"/>
      <c r="P7127" s="17"/>
      <c r="Q7127" s="22"/>
    </row>
    <row r="7128">
      <c r="O7128" s="20"/>
      <c r="P7128" s="17"/>
      <c r="Q7128" s="22"/>
    </row>
    <row r="7129">
      <c r="O7129" s="20"/>
      <c r="P7129" s="17"/>
      <c r="Q7129" s="22"/>
    </row>
    <row r="7130">
      <c r="O7130" s="20"/>
      <c r="P7130" s="17"/>
      <c r="Q7130" s="22"/>
    </row>
    <row r="7131">
      <c r="O7131" s="20"/>
      <c r="P7131" s="17"/>
      <c r="Q7131" s="22"/>
    </row>
    <row r="7132">
      <c r="O7132" s="20"/>
      <c r="P7132" s="17"/>
      <c r="Q7132" s="22"/>
    </row>
    <row r="7133">
      <c r="O7133" s="20"/>
      <c r="P7133" s="17"/>
      <c r="Q7133" s="22"/>
    </row>
    <row r="7134">
      <c r="O7134" s="20"/>
      <c r="P7134" s="17"/>
      <c r="Q7134" s="22"/>
    </row>
    <row r="7135">
      <c r="O7135" s="20"/>
      <c r="P7135" s="17"/>
      <c r="Q7135" s="22"/>
    </row>
    <row r="7136">
      <c r="O7136" s="20"/>
      <c r="P7136" s="17"/>
      <c r="Q7136" s="22"/>
    </row>
    <row r="7137">
      <c r="O7137" s="20"/>
      <c r="P7137" s="17"/>
      <c r="Q7137" s="22"/>
    </row>
    <row r="7138">
      <c r="O7138" s="20"/>
      <c r="P7138" s="17"/>
      <c r="Q7138" s="22"/>
    </row>
    <row r="7139">
      <c r="O7139" s="20"/>
      <c r="P7139" s="17"/>
      <c r="Q7139" s="22"/>
    </row>
    <row r="7140">
      <c r="O7140" s="20"/>
      <c r="P7140" s="17"/>
      <c r="Q7140" s="22"/>
    </row>
    <row r="7141">
      <c r="O7141" s="20"/>
      <c r="P7141" s="17"/>
      <c r="Q7141" s="22"/>
    </row>
    <row r="7142">
      <c r="O7142" s="20"/>
      <c r="P7142" s="17"/>
      <c r="Q7142" s="22"/>
    </row>
    <row r="7143">
      <c r="O7143" s="20"/>
      <c r="P7143" s="17"/>
      <c r="Q7143" s="22"/>
    </row>
    <row r="7144">
      <c r="O7144" s="20"/>
      <c r="P7144" s="17"/>
      <c r="Q7144" s="22"/>
    </row>
    <row r="7145">
      <c r="O7145" s="20"/>
      <c r="P7145" s="17"/>
      <c r="Q7145" s="22"/>
    </row>
    <row r="7146">
      <c r="O7146" s="20"/>
      <c r="P7146" s="17"/>
      <c r="Q7146" s="22"/>
    </row>
    <row r="7147">
      <c r="O7147" s="20"/>
      <c r="P7147" s="17"/>
      <c r="Q7147" s="22"/>
    </row>
    <row r="7148">
      <c r="O7148" s="20"/>
      <c r="P7148" s="17"/>
      <c r="Q7148" s="22"/>
    </row>
    <row r="7149">
      <c r="O7149" s="20"/>
      <c r="P7149" s="17"/>
      <c r="Q7149" s="22"/>
    </row>
    <row r="7150">
      <c r="O7150" s="20"/>
      <c r="P7150" s="17"/>
      <c r="Q7150" s="22"/>
    </row>
    <row r="7151">
      <c r="O7151" s="20"/>
      <c r="P7151" s="17"/>
      <c r="Q7151" s="22"/>
    </row>
    <row r="7152">
      <c r="O7152" s="20"/>
      <c r="P7152" s="17"/>
      <c r="Q7152" s="22"/>
    </row>
    <row r="7153">
      <c r="O7153" s="20"/>
      <c r="P7153" s="17"/>
      <c r="Q7153" s="22"/>
    </row>
    <row r="7154">
      <c r="O7154" s="20"/>
      <c r="P7154" s="17"/>
      <c r="Q7154" s="22"/>
    </row>
    <row r="7155">
      <c r="O7155" s="20"/>
      <c r="P7155" s="17"/>
      <c r="Q7155" s="22"/>
    </row>
    <row r="7156">
      <c r="O7156" s="20"/>
      <c r="P7156" s="17"/>
      <c r="Q7156" s="22"/>
    </row>
    <row r="7157">
      <c r="O7157" s="20"/>
      <c r="P7157" s="17"/>
      <c r="Q7157" s="22"/>
    </row>
    <row r="7158">
      <c r="O7158" s="20"/>
      <c r="P7158" s="17"/>
      <c r="Q7158" s="22"/>
    </row>
    <row r="7159">
      <c r="O7159" s="20"/>
      <c r="P7159" s="17"/>
      <c r="Q7159" s="22"/>
    </row>
    <row r="7160">
      <c r="O7160" s="20"/>
      <c r="P7160" s="17"/>
      <c r="Q7160" s="22"/>
    </row>
    <row r="7161">
      <c r="O7161" s="20"/>
      <c r="P7161" s="17"/>
      <c r="Q7161" s="22"/>
    </row>
    <row r="7162">
      <c r="O7162" s="20"/>
      <c r="P7162" s="17"/>
      <c r="Q7162" s="22"/>
    </row>
    <row r="7163">
      <c r="O7163" s="20"/>
      <c r="P7163" s="17"/>
      <c r="Q7163" s="22"/>
    </row>
    <row r="7164">
      <c r="O7164" s="20"/>
      <c r="P7164" s="17"/>
      <c r="Q7164" s="22"/>
    </row>
    <row r="7165">
      <c r="O7165" s="20"/>
      <c r="P7165" s="17"/>
      <c r="Q7165" s="22"/>
    </row>
    <row r="7166">
      <c r="O7166" s="20"/>
      <c r="P7166" s="17"/>
      <c r="Q7166" s="22"/>
    </row>
    <row r="7167">
      <c r="O7167" s="20"/>
      <c r="P7167" s="17"/>
      <c r="Q7167" s="22"/>
    </row>
    <row r="7168">
      <c r="O7168" s="20"/>
      <c r="P7168" s="17"/>
      <c r="Q7168" s="22"/>
    </row>
    <row r="7169">
      <c r="O7169" s="20"/>
      <c r="P7169" s="17"/>
      <c r="Q7169" s="22"/>
    </row>
    <row r="7170">
      <c r="O7170" s="20"/>
      <c r="P7170" s="17"/>
      <c r="Q7170" s="22"/>
    </row>
    <row r="7171">
      <c r="O7171" s="20"/>
      <c r="P7171" s="17"/>
      <c r="Q7171" s="22"/>
    </row>
    <row r="7172">
      <c r="O7172" s="20"/>
      <c r="P7172" s="17"/>
      <c r="Q7172" s="22"/>
    </row>
    <row r="7173">
      <c r="O7173" s="20"/>
      <c r="P7173" s="17"/>
      <c r="Q7173" s="22"/>
    </row>
    <row r="7174">
      <c r="O7174" s="20"/>
      <c r="P7174" s="17"/>
      <c r="Q7174" s="22"/>
    </row>
    <row r="7175">
      <c r="O7175" s="20"/>
      <c r="P7175" s="17"/>
      <c r="Q7175" s="22"/>
    </row>
    <row r="7176">
      <c r="O7176" s="20"/>
      <c r="P7176" s="17"/>
      <c r="Q7176" s="22"/>
    </row>
    <row r="7177">
      <c r="O7177" s="20"/>
      <c r="P7177" s="17"/>
      <c r="Q7177" s="22"/>
    </row>
    <row r="7178">
      <c r="O7178" s="20"/>
      <c r="P7178" s="17"/>
      <c r="Q7178" s="22"/>
    </row>
    <row r="7179">
      <c r="O7179" s="20"/>
      <c r="P7179" s="17"/>
      <c r="Q7179" s="22"/>
    </row>
    <row r="7180">
      <c r="O7180" s="20"/>
      <c r="P7180" s="17"/>
      <c r="Q7180" s="22"/>
    </row>
    <row r="7181">
      <c r="O7181" s="20"/>
      <c r="P7181" s="17"/>
      <c r="Q7181" s="22"/>
    </row>
    <row r="7182">
      <c r="O7182" s="20"/>
      <c r="P7182" s="17"/>
      <c r="Q7182" s="22"/>
    </row>
    <row r="7183">
      <c r="O7183" s="20"/>
      <c r="P7183" s="17"/>
      <c r="Q7183" s="22"/>
    </row>
    <row r="7184">
      <c r="O7184" s="20"/>
      <c r="P7184" s="17"/>
      <c r="Q7184" s="22"/>
    </row>
    <row r="7185">
      <c r="O7185" s="20"/>
      <c r="P7185" s="17"/>
      <c r="Q7185" s="22"/>
    </row>
    <row r="7186">
      <c r="O7186" s="20"/>
      <c r="P7186" s="17"/>
      <c r="Q7186" s="22"/>
    </row>
    <row r="7187">
      <c r="O7187" s="20"/>
      <c r="P7187" s="17"/>
      <c r="Q7187" s="22"/>
    </row>
    <row r="7188">
      <c r="O7188" s="20"/>
      <c r="P7188" s="17"/>
      <c r="Q7188" s="22"/>
    </row>
    <row r="7189">
      <c r="O7189" s="20"/>
      <c r="P7189" s="17"/>
      <c r="Q7189" s="22"/>
    </row>
    <row r="7190">
      <c r="O7190" s="20"/>
      <c r="P7190" s="17"/>
      <c r="Q7190" s="22"/>
    </row>
    <row r="7191">
      <c r="O7191" s="20"/>
      <c r="P7191" s="17"/>
      <c r="Q7191" s="22"/>
    </row>
    <row r="7192">
      <c r="O7192" s="20"/>
      <c r="P7192" s="17"/>
      <c r="Q7192" s="22"/>
    </row>
    <row r="7193">
      <c r="O7193" s="20"/>
      <c r="P7193" s="17"/>
      <c r="Q7193" s="22"/>
    </row>
    <row r="7194">
      <c r="O7194" s="20"/>
      <c r="P7194" s="17"/>
      <c r="Q7194" s="22"/>
    </row>
    <row r="7195">
      <c r="O7195" s="20"/>
      <c r="P7195" s="17"/>
      <c r="Q7195" s="22"/>
    </row>
    <row r="7196">
      <c r="O7196" s="20"/>
      <c r="P7196" s="17"/>
      <c r="Q7196" s="22"/>
    </row>
    <row r="7197">
      <c r="O7197" s="20"/>
      <c r="P7197" s="17"/>
      <c r="Q7197" s="22"/>
    </row>
    <row r="7198">
      <c r="O7198" s="20"/>
      <c r="P7198" s="17"/>
      <c r="Q7198" s="22"/>
    </row>
    <row r="7199">
      <c r="O7199" s="20"/>
      <c r="P7199" s="17"/>
      <c r="Q7199" s="22"/>
    </row>
    <row r="7200">
      <c r="O7200" s="20"/>
      <c r="P7200" s="17"/>
      <c r="Q7200" s="22"/>
    </row>
    <row r="7201">
      <c r="O7201" s="20"/>
      <c r="P7201" s="17"/>
      <c r="Q7201" s="22"/>
    </row>
    <row r="7202">
      <c r="O7202" s="20"/>
      <c r="P7202" s="17"/>
      <c r="Q7202" s="22"/>
    </row>
    <row r="7203">
      <c r="O7203" s="20"/>
      <c r="P7203" s="17"/>
      <c r="Q7203" s="22"/>
    </row>
    <row r="7204">
      <c r="O7204" s="20"/>
      <c r="P7204" s="17"/>
      <c r="Q7204" s="22"/>
    </row>
    <row r="7205">
      <c r="O7205" s="20"/>
      <c r="P7205" s="17"/>
      <c r="Q7205" s="22"/>
    </row>
    <row r="7206">
      <c r="O7206" s="20"/>
      <c r="P7206" s="17"/>
      <c r="Q7206" s="22"/>
    </row>
    <row r="7207">
      <c r="O7207" s="20"/>
      <c r="P7207" s="17"/>
      <c r="Q7207" s="22"/>
    </row>
    <row r="7208">
      <c r="O7208" s="20"/>
      <c r="P7208" s="17"/>
      <c r="Q7208" s="22"/>
    </row>
    <row r="7209">
      <c r="O7209" s="20"/>
      <c r="P7209" s="17"/>
      <c r="Q7209" s="22"/>
    </row>
    <row r="7210">
      <c r="O7210" s="20"/>
      <c r="P7210" s="17"/>
      <c r="Q7210" s="22"/>
    </row>
    <row r="7211">
      <c r="O7211" s="20"/>
      <c r="P7211" s="17"/>
      <c r="Q7211" s="22"/>
    </row>
    <row r="7212">
      <c r="O7212" s="20"/>
      <c r="P7212" s="17"/>
      <c r="Q7212" s="22"/>
    </row>
    <row r="7213">
      <c r="O7213" s="20"/>
      <c r="P7213" s="17"/>
      <c r="Q7213" s="22"/>
    </row>
    <row r="7214">
      <c r="O7214" s="20"/>
      <c r="P7214" s="17"/>
      <c r="Q7214" s="22"/>
    </row>
    <row r="7215">
      <c r="O7215" s="20"/>
      <c r="P7215" s="17"/>
      <c r="Q7215" s="22"/>
    </row>
    <row r="7216">
      <c r="O7216" s="20"/>
      <c r="P7216" s="17"/>
      <c r="Q7216" s="22"/>
    </row>
    <row r="7217">
      <c r="O7217" s="20"/>
      <c r="P7217" s="17"/>
      <c r="Q7217" s="22"/>
    </row>
    <row r="7218">
      <c r="O7218" s="20"/>
      <c r="P7218" s="17"/>
      <c r="Q7218" s="22"/>
    </row>
    <row r="7219">
      <c r="O7219" s="20"/>
      <c r="P7219" s="17"/>
      <c r="Q7219" s="22"/>
    </row>
    <row r="7220">
      <c r="O7220" s="20"/>
      <c r="P7220" s="17"/>
      <c r="Q7220" s="22"/>
    </row>
    <row r="7221">
      <c r="O7221" s="20"/>
      <c r="P7221" s="17"/>
      <c r="Q7221" s="22"/>
    </row>
    <row r="7222">
      <c r="O7222" s="20"/>
      <c r="P7222" s="17"/>
      <c r="Q7222" s="22"/>
    </row>
    <row r="7223">
      <c r="O7223" s="20"/>
      <c r="P7223" s="17"/>
      <c r="Q7223" s="22"/>
    </row>
    <row r="7224">
      <c r="O7224" s="20"/>
      <c r="P7224" s="17"/>
      <c r="Q7224" s="22"/>
    </row>
    <row r="7225">
      <c r="O7225" s="20"/>
      <c r="P7225" s="17"/>
      <c r="Q7225" s="22"/>
    </row>
    <row r="7226">
      <c r="O7226" s="20"/>
      <c r="P7226" s="17"/>
      <c r="Q7226" s="22"/>
    </row>
    <row r="7227">
      <c r="O7227" s="20"/>
      <c r="P7227" s="17"/>
      <c r="Q7227" s="22"/>
    </row>
    <row r="7228">
      <c r="O7228" s="20"/>
      <c r="P7228" s="17"/>
      <c r="Q7228" s="22"/>
    </row>
    <row r="7229">
      <c r="O7229" s="20"/>
      <c r="P7229" s="17"/>
      <c r="Q7229" s="22"/>
    </row>
    <row r="7230">
      <c r="O7230" s="20"/>
      <c r="P7230" s="17"/>
      <c r="Q7230" s="22"/>
    </row>
    <row r="7231">
      <c r="O7231" s="20"/>
      <c r="P7231" s="17"/>
      <c r="Q7231" s="22"/>
    </row>
    <row r="7232">
      <c r="O7232" s="20"/>
      <c r="P7232" s="17"/>
      <c r="Q7232" s="22"/>
    </row>
    <row r="7233">
      <c r="O7233" s="20"/>
      <c r="P7233" s="17"/>
      <c r="Q7233" s="22"/>
    </row>
    <row r="7234">
      <c r="O7234" s="20"/>
      <c r="P7234" s="17"/>
      <c r="Q7234" s="22"/>
    </row>
    <row r="7235">
      <c r="O7235" s="20"/>
      <c r="P7235" s="17"/>
      <c r="Q7235" s="22"/>
    </row>
    <row r="7236">
      <c r="O7236" s="20"/>
      <c r="P7236" s="17"/>
      <c r="Q7236" s="22"/>
    </row>
    <row r="7237">
      <c r="O7237" s="20"/>
      <c r="P7237" s="17"/>
      <c r="Q7237" s="22"/>
    </row>
    <row r="7238">
      <c r="O7238" s="20"/>
      <c r="P7238" s="17"/>
      <c r="Q7238" s="22"/>
    </row>
    <row r="7239">
      <c r="O7239" s="20"/>
      <c r="P7239" s="17"/>
      <c r="Q7239" s="22"/>
    </row>
    <row r="7240">
      <c r="O7240" s="20"/>
      <c r="P7240" s="17"/>
      <c r="Q7240" s="22"/>
    </row>
    <row r="7241">
      <c r="O7241" s="20"/>
      <c r="P7241" s="17"/>
      <c r="Q7241" s="22"/>
    </row>
    <row r="7242">
      <c r="O7242" s="20"/>
      <c r="P7242" s="17"/>
      <c r="Q7242" s="22"/>
    </row>
    <row r="7243">
      <c r="O7243" s="20"/>
      <c r="P7243" s="17"/>
      <c r="Q7243" s="22"/>
    </row>
    <row r="7244">
      <c r="O7244" s="20"/>
      <c r="P7244" s="17"/>
      <c r="Q7244" s="22"/>
    </row>
    <row r="7245">
      <c r="O7245" s="20"/>
      <c r="P7245" s="17"/>
      <c r="Q7245" s="22"/>
    </row>
    <row r="7246">
      <c r="O7246" s="20"/>
      <c r="P7246" s="17"/>
      <c r="Q7246" s="22"/>
    </row>
    <row r="7247">
      <c r="O7247" s="20"/>
      <c r="P7247" s="17"/>
      <c r="Q7247" s="22"/>
    </row>
    <row r="7248">
      <c r="O7248" s="20"/>
      <c r="P7248" s="17"/>
      <c r="Q7248" s="22"/>
    </row>
    <row r="7249">
      <c r="O7249" s="20"/>
      <c r="P7249" s="17"/>
      <c r="Q7249" s="22"/>
    </row>
    <row r="7250">
      <c r="O7250" s="20"/>
      <c r="P7250" s="17"/>
      <c r="Q7250" s="22"/>
    </row>
    <row r="7251">
      <c r="O7251" s="20"/>
      <c r="P7251" s="17"/>
      <c r="Q7251" s="22"/>
    </row>
    <row r="7252">
      <c r="O7252" s="20"/>
      <c r="P7252" s="17"/>
      <c r="Q7252" s="22"/>
    </row>
    <row r="7253">
      <c r="O7253" s="20"/>
      <c r="P7253" s="17"/>
      <c r="Q7253" s="22"/>
    </row>
    <row r="7254">
      <c r="O7254" s="20"/>
      <c r="P7254" s="17"/>
      <c r="Q7254" s="22"/>
    </row>
    <row r="7255">
      <c r="O7255" s="20"/>
      <c r="P7255" s="17"/>
      <c r="Q7255" s="22"/>
    </row>
    <row r="7256">
      <c r="O7256" s="20"/>
      <c r="P7256" s="17"/>
      <c r="Q7256" s="22"/>
    </row>
    <row r="7257">
      <c r="O7257" s="20"/>
      <c r="P7257" s="17"/>
      <c r="Q7257" s="22"/>
    </row>
    <row r="7258">
      <c r="O7258" s="20"/>
      <c r="P7258" s="17"/>
      <c r="Q7258" s="22"/>
    </row>
    <row r="7259">
      <c r="O7259" s="20"/>
      <c r="P7259" s="17"/>
      <c r="Q7259" s="22"/>
    </row>
    <row r="7260">
      <c r="O7260" s="20"/>
      <c r="P7260" s="17"/>
      <c r="Q7260" s="22"/>
    </row>
    <row r="7261">
      <c r="O7261" s="20"/>
      <c r="P7261" s="17"/>
      <c r="Q7261" s="22"/>
    </row>
    <row r="7262">
      <c r="O7262" s="20"/>
      <c r="P7262" s="17"/>
      <c r="Q7262" s="22"/>
    </row>
    <row r="7263">
      <c r="O7263" s="20"/>
      <c r="P7263" s="17"/>
      <c r="Q7263" s="22"/>
    </row>
    <row r="7264">
      <c r="O7264" s="20"/>
      <c r="P7264" s="17"/>
      <c r="Q7264" s="22"/>
    </row>
    <row r="7265">
      <c r="O7265" s="20"/>
      <c r="P7265" s="17"/>
      <c r="Q7265" s="22"/>
    </row>
    <row r="7266">
      <c r="O7266" s="20"/>
      <c r="P7266" s="17"/>
      <c r="Q7266" s="22"/>
    </row>
    <row r="7267">
      <c r="O7267" s="20"/>
      <c r="P7267" s="17"/>
      <c r="Q7267" s="22"/>
    </row>
    <row r="7268">
      <c r="O7268" s="20"/>
      <c r="P7268" s="17"/>
      <c r="Q7268" s="22"/>
    </row>
    <row r="7269">
      <c r="O7269" s="20"/>
      <c r="P7269" s="17"/>
      <c r="Q7269" s="22"/>
    </row>
    <row r="7270">
      <c r="O7270" s="20"/>
      <c r="P7270" s="17"/>
      <c r="Q7270" s="22"/>
    </row>
    <row r="7271">
      <c r="O7271" s="20"/>
      <c r="P7271" s="17"/>
      <c r="Q7271" s="22"/>
    </row>
    <row r="7272">
      <c r="O7272" s="20"/>
      <c r="P7272" s="17"/>
      <c r="Q7272" s="22"/>
    </row>
    <row r="7273">
      <c r="O7273" s="20"/>
      <c r="P7273" s="17"/>
      <c r="Q7273" s="22"/>
    </row>
    <row r="7274">
      <c r="O7274" s="20"/>
      <c r="P7274" s="17"/>
      <c r="Q7274" s="22"/>
    </row>
    <row r="7275">
      <c r="O7275" s="20"/>
      <c r="P7275" s="17"/>
      <c r="Q7275" s="22"/>
    </row>
    <row r="7276">
      <c r="O7276" s="20"/>
      <c r="P7276" s="17"/>
      <c r="Q7276" s="22"/>
    </row>
    <row r="7277">
      <c r="O7277" s="20"/>
      <c r="P7277" s="17"/>
      <c r="Q7277" s="22"/>
    </row>
    <row r="7278">
      <c r="O7278" s="20"/>
      <c r="P7278" s="17"/>
      <c r="Q7278" s="22"/>
    </row>
    <row r="7279">
      <c r="O7279" s="20"/>
      <c r="P7279" s="17"/>
      <c r="Q7279" s="22"/>
    </row>
    <row r="7280">
      <c r="O7280" s="20"/>
      <c r="P7280" s="17"/>
      <c r="Q7280" s="22"/>
    </row>
    <row r="7281">
      <c r="O7281" s="20"/>
      <c r="P7281" s="17"/>
      <c r="Q7281" s="22"/>
    </row>
    <row r="7282">
      <c r="O7282" s="20"/>
      <c r="P7282" s="17"/>
      <c r="Q7282" s="22"/>
    </row>
    <row r="7283">
      <c r="O7283" s="20"/>
      <c r="P7283" s="17"/>
      <c r="Q7283" s="22"/>
    </row>
    <row r="7284">
      <c r="O7284" s="20"/>
      <c r="P7284" s="17"/>
      <c r="Q7284" s="22"/>
    </row>
    <row r="7285">
      <c r="O7285" s="20"/>
      <c r="P7285" s="17"/>
      <c r="Q7285" s="22"/>
    </row>
    <row r="7286">
      <c r="O7286" s="20"/>
      <c r="P7286" s="17"/>
      <c r="Q7286" s="22"/>
    </row>
    <row r="7287">
      <c r="O7287" s="20"/>
      <c r="P7287" s="17"/>
      <c r="Q7287" s="22"/>
    </row>
    <row r="7288">
      <c r="O7288" s="20"/>
      <c r="P7288" s="17"/>
      <c r="Q7288" s="22"/>
    </row>
    <row r="7289">
      <c r="O7289" s="20"/>
      <c r="P7289" s="17"/>
      <c r="Q7289" s="22"/>
    </row>
    <row r="7290">
      <c r="O7290" s="20"/>
      <c r="P7290" s="17"/>
      <c r="Q7290" s="22"/>
    </row>
    <row r="7291">
      <c r="O7291" s="20"/>
      <c r="P7291" s="17"/>
      <c r="Q7291" s="22"/>
    </row>
    <row r="7292">
      <c r="O7292" s="20"/>
      <c r="P7292" s="17"/>
      <c r="Q7292" s="22"/>
    </row>
    <row r="7293">
      <c r="O7293" s="20"/>
      <c r="P7293" s="17"/>
      <c r="Q7293" s="22"/>
    </row>
    <row r="7294">
      <c r="O7294" s="20"/>
      <c r="P7294" s="17"/>
      <c r="Q7294" s="22"/>
    </row>
    <row r="7295">
      <c r="O7295" s="20"/>
      <c r="P7295" s="17"/>
      <c r="Q7295" s="22"/>
    </row>
    <row r="7296">
      <c r="O7296" s="20"/>
      <c r="P7296" s="17"/>
      <c r="Q7296" s="22"/>
    </row>
    <row r="7297">
      <c r="O7297" s="20"/>
      <c r="P7297" s="17"/>
      <c r="Q7297" s="22"/>
    </row>
    <row r="7298">
      <c r="O7298" s="20"/>
      <c r="P7298" s="17"/>
      <c r="Q7298" s="22"/>
    </row>
    <row r="7299">
      <c r="O7299" s="20"/>
      <c r="P7299" s="17"/>
      <c r="Q7299" s="22"/>
    </row>
    <row r="7300">
      <c r="O7300" s="20"/>
      <c r="P7300" s="17"/>
      <c r="Q7300" s="22"/>
    </row>
    <row r="7301">
      <c r="O7301" s="20"/>
      <c r="P7301" s="17"/>
      <c r="Q7301" s="22"/>
    </row>
    <row r="7302">
      <c r="O7302" s="20"/>
      <c r="P7302" s="17"/>
      <c r="Q7302" s="22"/>
    </row>
    <row r="7303">
      <c r="O7303" s="20"/>
      <c r="P7303" s="17"/>
      <c r="Q7303" s="22"/>
    </row>
    <row r="7304">
      <c r="O7304" s="20"/>
      <c r="P7304" s="17"/>
      <c r="Q7304" s="22"/>
    </row>
    <row r="7305">
      <c r="O7305" s="20"/>
      <c r="P7305" s="17"/>
      <c r="Q7305" s="22"/>
    </row>
    <row r="7306">
      <c r="O7306" s="20"/>
      <c r="P7306" s="17"/>
      <c r="Q7306" s="22"/>
    </row>
    <row r="7307">
      <c r="O7307" s="20"/>
      <c r="P7307" s="17"/>
      <c r="Q7307" s="22"/>
    </row>
    <row r="7308">
      <c r="O7308" s="20"/>
      <c r="P7308" s="17"/>
      <c r="Q7308" s="22"/>
    </row>
    <row r="7309">
      <c r="O7309" s="20"/>
      <c r="P7309" s="17"/>
      <c r="Q7309" s="22"/>
    </row>
    <row r="7310">
      <c r="O7310" s="20"/>
      <c r="P7310" s="17"/>
      <c r="Q7310" s="22"/>
    </row>
    <row r="7311">
      <c r="O7311" s="20"/>
      <c r="P7311" s="17"/>
      <c r="Q7311" s="22"/>
    </row>
    <row r="7312">
      <c r="O7312" s="20"/>
      <c r="P7312" s="17"/>
      <c r="Q7312" s="22"/>
    </row>
    <row r="7313">
      <c r="O7313" s="20"/>
      <c r="P7313" s="17"/>
      <c r="Q7313" s="22"/>
    </row>
    <row r="7314">
      <c r="O7314" s="20"/>
      <c r="P7314" s="17"/>
      <c r="Q7314" s="22"/>
    </row>
    <row r="7315">
      <c r="O7315" s="20"/>
      <c r="P7315" s="17"/>
      <c r="Q7315" s="22"/>
    </row>
    <row r="7316">
      <c r="O7316" s="20"/>
      <c r="P7316" s="17"/>
      <c r="Q7316" s="22"/>
    </row>
    <row r="7317">
      <c r="O7317" s="20"/>
      <c r="P7317" s="17"/>
      <c r="Q7317" s="22"/>
    </row>
    <row r="7318">
      <c r="O7318" s="20"/>
      <c r="P7318" s="17"/>
      <c r="Q7318" s="22"/>
    </row>
    <row r="7319">
      <c r="O7319" s="20"/>
      <c r="P7319" s="17"/>
      <c r="Q7319" s="22"/>
    </row>
    <row r="7320">
      <c r="O7320" s="20"/>
      <c r="P7320" s="17"/>
      <c r="Q7320" s="22"/>
    </row>
    <row r="7321">
      <c r="O7321" s="20"/>
      <c r="P7321" s="17"/>
      <c r="Q7321" s="22"/>
    </row>
    <row r="7322">
      <c r="O7322" s="20"/>
      <c r="P7322" s="17"/>
      <c r="Q7322" s="22"/>
    </row>
    <row r="7323">
      <c r="O7323" s="20"/>
      <c r="P7323" s="17"/>
      <c r="Q7323" s="22"/>
    </row>
    <row r="7324">
      <c r="O7324" s="20"/>
      <c r="P7324" s="17"/>
      <c r="Q7324" s="22"/>
    </row>
    <row r="7325">
      <c r="O7325" s="20"/>
      <c r="P7325" s="17"/>
      <c r="Q7325" s="22"/>
    </row>
    <row r="7326">
      <c r="O7326" s="20"/>
      <c r="P7326" s="17"/>
      <c r="Q7326" s="22"/>
    </row>
    <row r="7327">
      <c r="O7327" s="20"/>
      <c r="P7327" s="17"/>
      <c r="Q7327" s="22"/>
    </row>
    <row r="7328">
      <c r="O7328" s="20"/>
      <c r="P7328" s="17"/>
      <c r="Q7328" s="22"/>
    </row>
    <row r="7329">
      <c r="O7329" s="20"/>
      <c r="P7329" s="17"/>
      <c r="Q7329" s="22"/>
    </row>
    <row r="7330">
      <c r="O7330" s="20"/>
      <c r="P7330" s="17"/>
      <c r="Q7330" s="22"/>
    </row>
    <row r="7331">
      <c r="O7331" s="20"/>
      <c r="P7331" s="17"/>
      <c r="Q7331" s="22"/>
    </row>
    <row r="7332">
      <c r="O7332" s="20"/>
      <c r="P7332" s="17"/>
      <c r="Q7332" s="22"/>
    </row>
    <row r="7333">
      <c r="O7333" s="20"/>
      <c r="P7333" s="17"/>
      <c r="Q7333" s="22"/>
    </row>
    <row r="7334">
      <c r="O7334" s="20"/>
      <c r="P7334" s="17"/>
      <c r="Q7334" s="22"/>
    </row>
    <row r="7335">
      <c r="O7335" s="20"/>
      <c r="P7335" s="17"/>
      <c r="Q7335" s="22"/>
    </row>
    <row r="7336">
      <c r="O7336" s="20"/>
      <c r="P7336" s="17"/>
      <c r="Q7336" s="22"/>
    </row>
    <row r="7337">
      <c r="O7337" s="20"/>
      <c r="P7337" s="17"/>
      <c r="Q7337" s="22"/>
    </row>
    <row r="7338">
      <c r="O7338" s="20"/>
      <c r="P7338" s="17"/>
      <c r="Q7338" s="22"/>
    </row>
    <row r="7339">
      <c r="O7339" s="20"/>
      <c r="P7339" s="17"/>
      <c r="Q7339" s="22"/>
    </row>
    <row r="7340">
      <c r="O7340" s="20"/>
      <c r="P7340" s="17"/>
      <c r="Q7340" s="22"/>
    </row>
    <row r="7341">
      <c r="O7341" s="20"/>
      <c r="P7341" s="17"/>
      <c r="Q7341" s="22"/>
    </row>
    <row r="7342">
      <c r="O7342" s="20"/>
      <c r="P7342" s="17"/>
      <c r="Q7342" s="22"/>
    </row>
    <row r="7343">
      <c r="O7343" s="20"/>
      <c r="P7343" s="17"/>
      <c r="Q7343" s="22"/>
    </row>
    <row r="7344">
      <c r="O7344" s="20"/>
      <c r="P7344" s="17"/>
      <c r="Q7344" s="22"/>
    </row>
    <row r="7345">
      <c r="O7345" s="20"/>
      <c r="P7345" s="17"/>
      <c r="Q7345" s="22"/>
    </row>
    <row r="7346">
      <c r="O7346" s="20"/>
      <c r="P7346" s="17"/>
      <c r="Q7346" s="22"/>
    </row>
    <row r="7347">
      <c r="O7347" s="20"/>
      <c r="P7347" s="17"/>
      <c r="Q7347" s="22"/>
    </row>
    <row r="7348">
      <c r="O7348" s="20"/>
      <c r="P7348" s="17"/>
      <c r="Q7348" s="22"/>
    </row>
    <row r="7349">
      <c r="O7349" s="20"/>
      <c r="P7349" s="17"/>
      <c r="Q7349" s="22"/>
    </row>
    <row r="7350">
      <c r="O7350" s="20"/>
      <c r="P7350" s="17"/>
      <c r="Q7350" s="22"/>
    </row>
    <row r="7351">
      <c r="O7351" s="20"/>
      <c r="P7351" s="17"/>
      <c r="Q7351" s="22"/>
    </row>
    <row r="7352">
      <c r="O7352" s="20"/>
      <c r="P7352" s="17"/>
      <c r="Q7352" s="22"/>
    </row>
    <row r="7353">
      <c r="O7353" s="20"/>
      <c r="P7353" s="17"/>
      <c r="Q7353" s="22"/>
    </row>
    <row r="7354">
      <c r="O7354" s="20"/>
      <c r="P7354" s="17"/>
      <c r="Q7354" s="22"/>
    </row>
    <row r="7355">
      <c r="O7355" s="20"/>
      <c r="P7355" s="17"/>
      <c r="Q7355" s="22"/>
    </row>
    <row r="7356">
      <c r="O7356" s="20"/>
      <c r="P7356" s="17"/>
      <c r="Q7356" s="22"/>
    </row>
    <row r="7357">
      <c r="O7357" s="20"/>
      <c r="P7357" s="17"/>
      <c r="Q7357" s="22"/>
    </row>
    <row r="7358">
      <c r="O7358" s="20"/>
      <c r="P7358" s="17"/>
      <c r="Q7358" s="22"/>
    </row>
    <row r="7359">
      <c r="O7359" s="20"/>
      <c r="P7359" s="17"/>
      <c r="Q7359" s="22"/>
    </row>
    <row r="7360">
      <c r="O7360" s="20"/>
      <c r="P7360" s="17"/>
      <c r="Q7360" s="22"/>
    </row>
    <row r="7361">
      <c r="O7361" s="20"/>
      <c r="P7361" s="17"/>
      <c r="Q7361" s="22"/>
    </row>
    <row r="7362">
      <c r="O7362" s="20"/>
      <c r="P7362" s="17"/>
      <c r="Q7362" s="22"/>
    </row>
    <row r="7363">
      <c r="O7363" s="20"/>
      <c r="P7363" s="17"/>
      <c r="Q7363" s="22"/>
    </row>
    <row r="7364">
      <c r="O7364" s="20"/>
      <c r="P7364" s="17"/>
      <c r="Q7364" s="22"/>
    </row>
    <row r="7365">
      <c r="O7365" s="20"/>
      <c r="P7365" s="17"/>
      <c r="Q7365" s="22"/>
    </row>
    <row r="7366">
      <c r="O7366" s="20"/>
      <c r="P7366" s="17"/>
      <c r="Q7366" s="22"/>
    </row>
    <row r="7367">
      <c r="O7367" s="20"/>
      <c r="P7367" s="17"/>
      <c r="Q7367" s="22"/>
    </row>
    <row r="7368">
      <c r="O7368" s="20"/>
      <c r="P7368" s="17"/>
      <c r="Q7368" s="22"/>
    </row>
    <row r="7369">
      <c r="O7369" s="20"/>
      <c r="P7369" s="17"/>
      <c r="Q7369" s="22"/>
    </row>
    <row r="7370">
      <c r="O7370" s="20"/>
      <c r="P7370" s="17"/>
      <c r="Q7370" s="22"/>
    </row>
    <row r="7371">
      <c r="O7371" s="20"/>
      <c r="P7371" s="17"/>
      <c r="Q7371" s="22"/>
    </row>
    <row r="7372">
      <c r="O7372" s="20"/>
      <c r="P7372" s="17"/>
      <c r="Q7372" s="22"/>
    </row>
    <row r="7373">
      <c r="O7373" s="20"/>
      <c r="P7373" s="17"/>
      <c r="Q7373" s="22"/>
    </row>
    <row r="7374">
      <c r="O7374" s="20"/>
      <c r="P7374" s="17"/>
      <c r="Q7374" s="22"/>
    </row>
    <row r="7375">
      <c r="O7375" s="20"/>
      <c r="P7375" s="17"/>
      <c r="Q7375" s="22"/>
    </row>
    <row r="7376">
      <c r="O7376" s="20"/>
      <c r="P7376" s="17"/>
      <c r="Q7376" s="22"/>
    </row>
    <row r="7377">
      <c r="O7377" s="20"/>
      <c r="P7377" s="17"/>
      <c r="Q7377" s="22"/>
    </row>
    <row r="7378">
      <c r="O7378" s="20"/>
      <c r="P7378" s="17"/>
      <c r="Q7378" s="22"/>
    </row>
    <row r="7379">
      <c r="O7379" s="20"/>
      <c r="P7379" s="17"/>
      <c r="Q7379" s="22"/>
    </row>
    <row r="7380">
      <c r="O7380" s="20"/>
      <c r="P7380" s="17"/>
      <c r="Q7380" s="22"/>
    </row>
    <row r="7381">
      <c r="O7381" s="20"/>
      <c r="P7381" s="17"/>
      <c r="Q7381" s="22"/>
    </row>
    <row r="7382">
      <c r="O7382" s="20"/>
      <c r="P7382" s="17"/>
      <c r="Q7382" s="22"/>
    </row>
    <row r="7383">
      <c r="O7383" s="20"/>
      <c r="P7383" s="17"/>
      <c r="Q7383" s="22"/>
    </row>
    <row r="7384">
      <c r="O7384" s="20"/>
      <c r="P7384" s="17"/>
      <c r="Q7384" s="22"/>
    </row>
    <row r="7385">
      <c r="O7385" s="20"/>
      <c r="P7385" s="17"/>
      <c r="Q7385" s="22"/>
    </row>
    <row r="7386">
      <c r="O7386" s="20"/>
      <c r="P7386" s="17"/>
      <c r="Q7386" s="22"/>
    </row>
    <row r="7387">
      <c r="O7387" s="20"/>
      <c r="P7387" s="17"/>
      <c r="Q7387" s="22"/>
    </row>
    <row r="7388">
      <c r="O7388" s="20"/>
      <c r="P7388" s="17"/>
      <c r="Q7388" s="22"/>
    </row>
    <row r="7389">
      <c r="O7389" s="20"/>
      <c r="P7389" s="17"/>
      <c r="Q7389" s="22"/>
    </row>
    <row r="7390">
      <c r="O7390" s="20"/>
      <c r="P7390" s="17"/>
      <c r="Q7390" s="22"/>
    </row>
    <row r="7391">
      <c r="O7391" s="20"/>
      <c r="P7391" s="17"/>
      <c r="Q7391" s="22"/>
    </row>
    <row r="7392">
      <c r="O7392" s="20"/>
      <c r="P7392" s="17"/>
      <c r="Q7392" s="22"/>
    </row>
    <row r="7393">
      <c r="O7393" s="20"/>
      <c r="P7393" s="17"/>
      <c r="Q7393" s="22"/>
    </row>
    <row r="7394">
      <c r="O7394" s="20"/>
      <c r="P7394" s="17"/>
      <c r="Q7394" s="22"/>
    </row>
    <row r="7395">
      <c r="O7395" s="20"/>
      <c r="P7395" s="17"/>
      <c r="Q7395" s="22"/>
    </row>
    <row r="7396">
      <c r="O7396" s="20"/>
      <c r="P7396" s="17"/>
      <c r="Q7396" s="22"/>
    </row>
    <row r="7397">
      <c r="O7397" s="20"/>
      <c r="P7397" s="17"/>
      <c r="Q7397" s="22"/>
    </row>
    <row r="7398">
      <c r="O7398" s="20"/>
      <c r="P7398" s="17"/>
      <c r="Q7398" s="22"/>
    </row>
    <row r="7399">
      <c r="O7399" s="20"/>
      <c r="P7399" s="17"/>
      <c r="Q7399" s="22"/>
    </row>
    <row r="7400">
      <c r="O7400" s="20"/>
      <c r="P7400" s="17"/>
      <c r="Q7400" s="22"/>
    </row>
    <row r="7401">
      <c r="O7401" s="20"/>
      <c r="P7401" s="17"/>
      <c r="Q7401" s="22"/>
    </row>
    <row r="7402">
      <c r="O7402" s="20"/>
      <c r="P7402" s="17"/>
      <c r="Q7402" s="22"/>
    </row>
    <row r="7403">
      <c r="O7403" s="20"/>
      <c r="P7403" s="17"/>
      <c r="Q7403" s="22"/>
    </row>
    <row r="7404">
      <c r="O7404" s="20"/>
      <c r="P7404" s="17"/>
      <c r="Q7404" s="22"/>
    </row>
    <row r="7405">
      <c r="O7405" s="20"/>
      <c r="P7405" s="17"/>
      <c r="Q7405" s="22"/>
    </row>
    <row r="7406">
      <c r="O7406" s="20"/>
      <c r="P7406" s="17"/>
      <c r="Q7406" s="22"/>
    </row>
    <row r="7407">
      <c r="O7407" s="20"/>
      <c r="P7407" s="17"/>
      <c r="Q7407" s="22"/>
    </row>
    <row r="7408">
      <c r="O7408" s="20"/>
      <c r="P7408" s="17"/>
      <c r="Q7408" s="22"/>
    </row>
    <row r="7409">
      <c r="O7409" s="20"/>
      <c r="P7409" s="17"/>
      <c r="Q7409" s="22"/>
    </row>
    <row r="7410">
      <c r="O7410" s="20"/>
      <c r="P7410" s="17"/>
      <c r="Q7410" s="22"/>
    </row>
    <row r="7411">
      <c r="O7411" s="20"/>
      <c r="P7411" s="17"/>
      <c r="Q7411" s="22"/>
    </row>
    <row r="7412">
      <c r="O7412" s="20"/>
      <c r="P7412" s="17"/>
      <c r="Q7412" s="22"/>
    </row>
    <row r="7413">
      <c r="O7413" s="20"/>
      <c r="P7413" s="17"/>
      <c r="Q7413" s="22"/>
    </row>
    <row r="7414">
      <c r="O7414" s="20"/>
      <c r="P7414" s="17"/>
      <c r="Q7414" s="22"/>
    </row>
    <row r="7415">
      <c r="O7415" s="20"/>
      <c r="P7415" s="17"/>
      <c r="Q7415" s="22"/>
    </row>
    <row r="7416">
      <c r="O7416" s="20"/>
      <c r="P7416" s="17"/>
      <c r="Q7416" s="22"/>
    </row>
    <row r="7417">
      <c r="O7417" s="20"/>
      <c r="P7417" s="17"/>
      <c r="Q7417" s="22"/>
    </row>
    <row r="7418">
      <c r="O7418" s="20"/>
      <c r="P7418" s="17"/>
      <c r="Q7418" s="22"/>
    </row>
    <row r="7419">
      <c r="O7419" s="20"/>
      <c r="P7419" s="17"/>
      <c r="Q7419" s="22"/>
    </row>
    <row r="7420">
      <c r="O7420" s="20"/>
      <c r="P7420" s="17"/>
      <c r="Q7420" s="22"/>
    </row>
    <row r="7421">
      <c r="O7421" s="20"/>
      <c r="P7421" s="17"/>
      <c r="Q7421" s="22"/>
    </row>
    <row r="7422">
      <c r="O7422" s="20"/>
      <c r="P7422" s="17"/>
      <c r="Q7422" s="22"/>
    </row>
    <row r="7423">
      <c r="O7423" s="20"/>
      <c r="P7423" s="17"/>
      <c r="Q7423" s="22"/>
    </row>
    <row r="7424">
      <c r="O7424" s="20"/>
      <c r="P7424" s="17"/>
      <c r="Q7424" s="22"/>
    </row>
    <row r="7425">
      <c r="O7425" s="20"/>
      <c r="P7425" s="17"/>
      <c r="Q7425" s="22"/>
    </row>
    <row r="7426">
      <c r="O7426" s="20"/>
      <c r="P7426" s="17"/>
      <c r="Q7426" s="22"/>
    </row>
    <row r="7427">
      <c r="O7427" s="20"/>
      <c r="P7427" s="17"/>
      <c r="Q7427" s="22"/>
    </row>
    <row r="7428">
      <c r="O7428" s="20"/>
      <c r="P7428" s="17"/>
      <c r="Q7428" s="22"/>
    </row>
    <row r="7429">
      <c r="O7429" s="20"/>
      <c r="P7429" s="17"/>
      <c r="Q7429" s="22"/>
    </row>
    <row r="7430">
      <c r="O7430" s="20"/>
      <c r="P7430" s="17"/>
      <c r="Q7430" s="22"/>
    </row>
    <row r="7431">
      <c r="O7431" s="20"/>
      <c r="P7431" s="17"/>
      <c r="Q7431" s="22"/>
    </row>
    <row r="7432">
      <c r="O7432" s="20"/>
      <c r="P7432" s="17"/>
      <c r="Q7432" s="22"/>
    </row>
    <row r="7433">
      <c r="O7433" s="20"/>
      <c r="P7433" s="17"/>
      <c r="Q7433" s="22"/>
    </row>
    <row r="7434">
      <c r="O7434" s="20"/>
      <c r="P7434" s="17"/>
      <c r="Q7434" s="22"/>
    </row>
    <row r="7435">
      <c r="O7435" s="20"/>
      <c r="P7435" s="17"/>
      <c r="Q7435" s="22"/>
    </row>
    <row r="7436">
      <c r="O7436" s="20"/>
      <c r="P7436" s="17"/>
      <c r="Q7436" s="22"/>
    </row>
    <row r="7437">
      <c r="O7437" s="20"/>
      <c r="P7437" s="17"/>
      <c r="Q7437" s="22"/>
    </row>
    <row r="7438">
      <c r="O7438" s="20"/>
      <c r="P7438" s="17"/>
      <c r="Q7438" s="22"/>
    </row>
    <row r="7439">
      <c r="O7439" s="20"/>
      <c r="P7439" s="17"/>
      <c r="Q7439" s="22"/>
    </row>
    <row r="7440">
      <c r="O7440" s="20"/>
      <c r="P7440" s="17"/>
      <c r="Q7440" s="22"/>
    </row>
    <row r="7441">
      <c r="O7441" s="20"/>
      <c r="P7441" s="17"/>
      <c r="Q7441" s="22"/>
    </row>
    <row r="7442">
      <c r="O7442" s="20"/>
      <c r="P7442" s="17"/>
      <c r="Q7442" s="22"/>
    </row>
    <row r="7443">
      <c r="O7443" s="20"/>
      <c r="P7443" s="17"/>
      <c r="Q7443" s="22"/>
    </row>
    <row r="7444">
      <c r="O7444" s="20"/>
      <c r="P7444" s="17"/>
      <c r="Q7444" s="22"/>
    </row>
    <row r="7445">
      <c r="O7445" s="20"/>
      <c r="P7445" s="17"/>
      <c r="Q7445" s="22"/>
    </row>
    <row r="7446">
      <c r="O7446" s="20"/>
      <c r="P7446" s="17"/>
      <c r="Q7446" s="22"/>
    </row>
    <row r="7447">
      <c r="O7447" s="20"/>
      <c r="P7447" s="17"/>
      <c r="Q7447" s="22"/>
    </row>
    <row r="7448">
      <c r="O7448" s="20"/>
      <c r="P7448" s="17"/>
      <c r="Q7448" s="22"/>
    </row>
    <row r="7449">
      <c r="O7449" s="20"/>
      <c r="P7449" s="17"/>
      <c r="Q7449" s="22"/>
    </row>
    <row r="7450">
      <c r="O7450" s="20"/>
      <c r="P7450" s="17"/>
      <c r="Q7450" s="22"/>
    </row>
    <row r="7451">
      <c r="O7451" s="20"/>
      <c r="P7451" s="17"/>
      <c r="Q7451" s="22"/>
    </row>
    <row r="7452">
      <c r="O7452" s="20"/>
      <c r="P7452" s="17"/>
      <c r="Q7452" s="22"/>
    </row>
    <row r="7453">
      <c r="O7453" s="20"/>
      <c r="P7453" s="17"/>
      <c r="Q7453" s="22"/>
    </row>
    <row r="7454">
      <c r="O7454" s="20"/>
      <c r="P7454" s="17"/>
      <c r="Q7454" s="22"/>
    </row>
    <row r="7455">
      <c r="O7455" s="20"/>
      <c r="P7455" s="17"/>
      <c r="Q7455" s="22"/>
    </row>
    <row r="7456">
      <c r="O7456" s="20"/>
      <c r="P7456" s="17"/>
      <c r="Q7456" s="22"/>
    </row>
    <row r="7457">
      <c r="O7457" s="20"/>
      <c r="P7457" s="17"/>
      <c r="Q7457" s="22"/>
    </row>
    <row r="7458">
      <c r="O7458" s="20"/>
      <c r="P7458" s="17"/>
      <c r="Q7458" s="22"/>
    </row>
    <row r="7459">
      <c r="O7459" s="20"/>
      <c r="P7459" s="17"/>
      <c r="Q7459" s="22"/>
    </row>
    <row r="7460">
      <c r="O7460" s="20"/>
      <c r="P7460" s="17"/>
      <c r="Q7460" s="22"/>
    </row>
    <row r="7461">
      <c r="O7461" s="20"/>
      <c r="P7461" s="17"/>
      <c r="Q7461" s="22"/>
    </row>
    <row r="7462">
      <c r="O7462" s="20"/>
      <c r="P7462" s="17"/>
      <c r="Q7462" s="22"/>
    </row>
    <row r="7463">
      <c r="O7463" s="20"/>
      <c r="P7463" s="17"/>
      <c r="Q7463" s="22"/>
    </row>
    <row r="7464">
      <c r="O7464" s="20"/>
      <c r="P7464" s="17"/>
      <c r="Q7464" s="22"/>
    </row>
    <row r="7465">
      <c r="O7465" s="20"/>
      <c r="P7465" s="17"/>
      <c r="Q7465" s="22"/>
    </row>
    <row r="7466">
      <c r="O7466" s="20"/>
      <c r="P7466" s="17"/>
      <c r="Q7466" s="22"/>
    </row>
    <row r="7467">
      <c r="O7467" s="20"/>
      <c r="P7467" s="17"/>
      <c r="Q7467" s="22"/>
    </row>
    <row r="7468">
      <c r="O7468" s="20"/>
      <c r="P7468" s="17"/>
      <c r="Q7468" s="22"/>
    </row>
    <row r="7469">
      <c r="O7469" s="20"/>
      <c r="P7469" s="17"/>
      <c r="Q7469" s="22"/>
    </row>
    <row r="7470">
      <c r="O7470" s="20"/>
      <c r="P7470" s="17"/>
      <c r="Q7470" s="22"/>
    </row>
    <row r="7471">
      <c r="O7471" s="20"/>
      <c r="P7471" s="17"/>
      <c r="Q7471" s="22"/>
    </row>
    <row r="7472">
      <c r="O7472" s="20"/>
      <c r="P7472" s="17"/>
      <c r="Q7472" s="22"/>
    </row>
    <row r="7473">
      <c r="O7473" s="20"/>
      <c r="P7473" s="17"/>
      <c r="Q7473" s="22"/>
    </row>
    <row r="7474">
      <c r="O7474" s="20"/>
      <c r="P7474" s="17"/>
      <c r="Q7474" s="22"/>
    </row>
    <row r="7475">
      <c r="O7475" s="20"/>
      <c r="P7475" s="17"/>
      <c r="Q7475" s="22"/>
    </row>
    <row r="7476">
      <c r="O7476" s="20"/>
      <c r="P7476" s="17"/>
      <c r="Q7476" s="22"/>
    </row>
    <row r="7477">
      <c r="O7477" s="20"/>
      <c r="P7477" s="17"/>
      <c r="Q7477" s="22"/>
    </row>
    <row r="7478">
      <c r="O7478" s="20"/>
      <c r="P7478" s="17"/>
      <c r="Q7478" s="22"/>
    </row>
    <row r="7479">
      <c r="O7479" s="20"/>
      <c r="P7479" s="17"/>
      <c r="Q7479" s="22"/>
    </row>
    <row r="7480">
      <c r="O7480" s="20"/>
      <c r="P7480" s="17"/>
      <c r="Q7480" s="22"/>
    </row>
    <row r="7481">
      <c r="O7481" s="20"/>
      <c r="P7481" s="17"/>
      <c r="Q7481" s="22"/>
    </row>
    <row r="7482">
      <c r="O7482" s="20"/>
      <c r="P7482" s="17"/>
      <c r="Q7482" s="22"/>
    </row>
    <row r="7483">
      <c r="O7483" s="20"/>
      <c r="P7483" s="17"/>
      <c r="Q7483" s="22"/>
    </row>
    <row r="7484">
      <c r="O7484" s="20"/>
      <c r="P7484" s="17"/>
      <c r="Q7484" s="22"/>
    </row>
    <row r="7485">
      <c r="O7485" s="20"/>
      <c r="P7485" s="17"/>
      <c r="Q7485" s="22"/>
    </row>
    <row r="7486">
      <c r="O7486" s="20"/>
      <c r="P7486" s="17"/>
      <c r="Q7486" s="22"/>
    </row>
    <row r="7487">
      <c r="O7487" s="20"/>
      <c r="P7487" s="17"/>
      <c r="Q7487" s="22"/>
    </row>
    <row r="7488">
      <c r="O7488" s="20"/>
      <c r="P7488" s="17"/>
      <c r="Q7488" s="22"/>
    </row>
    <row r="7489">
      <c r="O7489" s="20"/>
      <c r="P7489" s="17"/>
      <c r="Q7489" s="22"/>
    </row>
    <row r="7490">
      <c r="O7490" s="20"/>
      <c r="P7490" s="17"/>
      <c r="Q7490" s="22"/>
    </row>
    <row r="7491">
      <c r="O7491" s="20"/>
      <c r="P7491" s="17"/>
      <c r="Q7491" s="22"/>
    </row>
    <row r="7492">
      <c r="O7492" s="20"/>
      <c r="P7492" s="17"/>
      <c r="Q7492" s="22"/>
    </row>
    <row r="7493">
      <c r="O7493" s="20"/>
      <c r="P7493" s="17"/>
      <c r="Q7493" s="22"/>
    </row>
    <row r="7494">
      <c r="O7494" s="20"/>
      <c r="P7494" s="17"/>
      <c r="Q7494" s="22"/>
    </row>
    <row r="7495">
      <c r="O7495" s="20"/>
      <c r="P7495" s="17"/>
      <c r="Q7495" s="22"/>
    </row>
    <row r="7496">
      <c r="O7496" s="20"/>
      <c r="P7496" s="17"/>
      <c r="Q7496" s="22"/>
    </row>
    <row r="7497">
      <c r="O7497" s="20"/>
      <c r="P7497" s="17"/>
      <c r="Q7497" s="22"/>
    </row>
    <row r="7498">
      <c r="O7498" s="20"/>
      <c r="P7498" s="17"/>
      <c r="Q7498" s="22"/>
    </row>
    <row r="7499">
      <c r="O7499" s="20"/>
      <c r="P7499" s="17"/>
      <c r="Q7499" s="22"/>
    </row>
    <row r="7500">
      <c r="O7500" s="20"/>
      <c r="P7500" s="17"/>
      <c r="Q7500" s="22"/>
    </row>
    <row r="7501">
      <c r="O7501" s="20"/>
      <c r="P7501" s="17"/>
      <c r="Q7501" s="22"/>
    </row>
    <row r="7502">
      <c r="O7502" s="20"/>
      <c r="P7502" s="17"/>
      <c r="Q7502" s="22"/>
    </row>
    <row r="7503">
      <c r="O7503" s="20"/>
      <c r="P7503" s="17"/>
      <c r="Q7503" s="22"/>
    </row>
    <row r="7504">
      <c r="O7504" s="20"/>
      <c r="P7504" s="17"/>
      <c r="Q7504" s="22"/>
    </row>
    <row r="7505">
      <c r="O7505" s="20"/>
      <c r="P7505" s="17"/>
      <c r="Q7505" s="22"/>
    </row>
    <row r="7506">
      <c r="O7506" s="20"/>
      <c r="P7506" s="17"/>
      <c r="Q7506" s="22"/>
    </row>
    <row r="7507">
      <c r="O7507" s="20"/>
      <c r="P7507" s="17"/>
      <c r="Q7507" s="22"/>
    </row>
    <row r="7508">
      <c r="O7508" s="20"/>
      <c r="P7508" s="17"/>
      <c r="Q7508" s="22"/>
    </row>
    <row r="7509">
      <c r="O7509" s="20"/>
      <c r="P7509" s="17"/>
      <c r="Q7509" s="22"/>
    </row>
    <row r="7510">
      <c r="O7510" s="20"/>
      <c r="P7510" s="17"/>
      <c r="Q7510" s="22"/>
    </row>
    <row r="7511">
      <c r="O7511" s="20"/>
      <c r="P7511" s="17"/>
      <c r="Q7511" s="22"/>
    </row>
    <row r="7512">
      <c r="O7512" s="20"/>
      <c r="P7512" s="17"/>
      <c r="Q7512" s="22"/>
    </row>
    <row r="7513">
      <c r="O7513" s="20"/>
      <c r="P7513" s="17"/>
      <c r="Q7513" s="22"/>
    </row>
    <row r="7514">
      <c r="O7514" s="20"/>
      <c r="P7514" s="17"/>
      <c r="Q7514" s="22"/>
    </row>
    <row r="7515">
      <c r="O7515" s="20"/>
      <c r="P7515" s="17"/>
      <c r="Q7515" s="22"/>
    </row>
    <row r="7516">
      <c r="O7516" s="20"/>
      <c r="P7516" s="17"/>
      <c r="Q7516" s="22"/>
    </row>
    <row r="7517">
      <c r="O7517" s="20"/>
      <c r="P7517" s="17"/>
      <c r="Q7517" s="22"/>
    </row>
    <row r="7518">
      <c r="O7518" s="20"/>
      <c r="P7518" s="17"/>
      <c r="Q7518" s="22"/>
    </row>
    <row r="7519">
      <c r="O7519" s="20"/>
      <c r="P7519" s="17"/>
      <c r="Q7519" s="22"/>
    </row>
    <row r="7520">
      <c r="O7520" s="20"/>
      <c r="P7520" s="17"/>
      <c r="Q7520" s="22"/>
    </row>
    <row r="7521">
      <c r="O7521" s="20"/>
      <c r="P7521" s="17"/>
      <c r="Q7521" s="22"/>
    </row>
    <row r="7522">
      <c r="O7522" s="20"/>
      <c r="P7522" s="17"/>
      <c r="Q7522" s="22"/>
    </row>
    <row r="7523">
      <c r="O7523" s="20"/>
      <c r="P7523" s="17"/>
      <c r="Q7523" s="22"/>
    </row>
    <row r="7524">
      <c r="O7524" s="20"/>
      <c r="P7524" s="17"/>
      <c r="Q7524" s="22"/>
    </row>
    <row r="7525">
      <c r="O7525" s="20"/>
      <c r="P7525" s="17"/>
      <c r="Q7525" s="22"/>
    </row>
    <row r="7526">
      <c r="O7526" s="20"/>
      <c r="P7526" s="17"/>
      <c r="Q7526" s="22"/>
    </row>
    <row r="7527">
      <c r="O7527" s="20"/>
      <c r="P7527" s="17"/>
      <c r="Q7527" s="22"/>
    </row>
    <row r="7528">
      <c r="O7528" s="20"/>
      <c r="P7528" s="17"/>
      <c r="Q7528" s="22"/>
    </row>
    <row r="7529">
      <c r="O7529" s="20"/>
      <c r="P7529" s="17"/>
      <c r="Q7529" s="22"/>
    </row>
    <row r="7530">
      <c r="O7530" s="20"/>
      <c r="P7530" s="17"/>
      <c r="Q7530" s="22"/>
    </row>
    <row r="7531">
      <c r="O7531" s="20"/>
      <c r="P7531" s="17"/>
      <c r="Q7531" s="22"/>
    </row>
    <row r="7532">
      <c r="O7532" s="20"/>
      <c r="P7532" s="17"/>
      <c r="Q7532" s="22"/>
    </row>
    <row r="7533">
      <c r="O7533" s="20"/>
      <c r="P7533" s="17"/>
      <c r="Q7533" s="22"/>
    </row>
    <row r="7534">
      <c r="O7534" s="20"/>
      <c r="P7534" s="17"/>
      <c r="Q7534" s="22"/>
    </row>
    <row r="7535">
      <c r="O7535" s="20"/>
      <c r="P7535" s="17"/>
      <c r="Q7535" s="22"/>
    </row>
    <row r="7536">
      <c r="O7536" s="20"/>
      <c r="P7536" s="17"/>
      <c r="Q7536" s="22"/>
    </row>
    <row r="7537">
      <c r="O7537" s="20"/>
      <c r="P7537" s="17"/>
      <c r="Q7537" s="22"/>
    </row>
    <row r="7538">
      <c r="O7538" s="20"/>
      <c r="P7538" s="17"/>
      <c r="Q7538" s="22"/>
    </row>
    <row r="7539">
      <c r="O7539" s="20"/>
      <c r="P7539" s="17"/>
      <c r="Q7539" s="22"/>
    </row>
    <row r="7540">
      <c r="O7540" s="20"/>
      <c r="P7540" s="17"/>
      <c r="Q7540" s="22"/>
    </row>
    <row r="7541">
      <c r="O7541" s="20"/>
      <c r="P7541" s="17"/>
      <c r="Q7541" s="22"/>
    </row>
    <row r="7542">
      <c r="O7542" s="20"/>
      <c r="P7542" s="17"/>
      <c r="Q7542" s="22"/>
    </row>
    <row r="7543">
      <c r="O7543" s="20"/>
      <c r="P7543" s="17"/>
      <c r="Q7543" s="22"/>
    </row>
    <row r="7544">
      <c r="O7544" s="20"/>
      <c r="P7544" s="17"/>
      <c r="Q7544" s="22"/>
    </row>
    <row r="7545">
      <c r="O7545" s="20"/>
      <c r="P7545" s="17"/>
      <c r="Q7545" s="22"/>
    </row>
    <row r="7546">
      <c r="O7546" s="20"/>
      <c r="P7546" s="17"/>
      <c r="Q7546" s="22"/>
    </row>
    <row r="7547">
      <c r="O7547" s="20"/>
      <c r="P7547" s="17"/>
      <c r="Q7547" s="22"/>
    </row>
    <row r="7548">
      <c r="O7548" s="20"/>
      <c r="P7548" s="17"/>
      <c r="Q7548" s="22"/>
    </row>
    <row r="7549">
      <c r="O7549" s="20"/>
      <c r="P7549" s="17"/>
      <c r="Q7549" s="22"/>
    </row>
    <row r="7550">
      <c r="O7550" s="20"/>
      <c r="P7550" s="17"/>
      <c r="Q7550" s="22"/>
    </row>
    <row r="7551">
      <c r="O7551" s="20"/>
      <c r="P7551" s="17"/>
      <c r="Q7551" s="22"/>
    </row>
    <row r="7552">
      <c r="O7552" s="20"/>
      <c r="P7552" s="17"/>
      <c r="Q7552" s="22"/>
    </row>
    <row r="7553">
      <c r="O7553" s="20"/>
      <c r="P7553" s="17"/>
      <c r="Q7553" s="22"/>
    </row>
    <row r="7554">
      <c r="O7554" s="20"/>
      <c r="P7554" s="17"/>
      <c r="Q7554" s="22"/>
    </row>
    <row r="7555">
      <c r="O7555" s="20"/>
      <c r="P7555" s="17"/>
      <c r="Q7555" s="22"/>
    </row>
    <row r="7556">
      <c r="O7556" s="20"/>
      <c r="P7556" s="17"/>
      <c r="Q7556" s="22"/>
    </row>
    <row r="7557">
      <c r="O7557" s="20"/>
      <c r="P7557" s="17"/>
      <c r="Q7557" s="22"/>
    </row>
    <row r="7558">
      <c r="O7558" s="20"/>
      <c r="P7558" s="17"/>
      <c r="Q7558" s="22"/>
    </row>
    <row r="7559">
      <c r="O7559" s="20"/>
      <c r="P7559" s="17"/>
      <c r="Q7559" s="22"/>
    </row>
    <row r="7560">
      <c r="O7560" s="20"/>
      <c r="P7560" s="17"/>
      <c r="Q7560" s="22"/>
    </row>
    <row r="7561">
      <c r="O7561" s="20"/>
      <c r="P7561" s="17"/>
      <c r="Q7561" s="22"/>
    </row>
    <row r="7562">
      <c r="O7562" s="20"/>
      <c r="P7562" s="17"/>
      <c r="Q7562" s="22"/>
    </row>
    <row r="7563">
      <c r="O7563" s="20"/>
      <c r="P7563" s="17"/>
      <c r="Q7563" s="22"/>
    </row>
    <row r="7564">
      <c r="O7564" s="20"/>
      <c r="P7564" s="17"/>
      <c r="Q7564" s="22"/>
    </row>
    <row r="7565">
      <c r="O7565" s="20"/>
      <c r="P7565" s="17"/>
      <c r="Q7565" s="22"/>
    </row>
    <row r="7566">
      <c r="O7566" s="20"/>
      <c r="P7566" s="17"/>
      <c r="Q7566" s="22"/>
    </row>
    <row r="7567">
      <c r="O7567" s="20"/>
      <c r="P7567" s="17"/>
      <c r="Q7567" s="22"/>
    </row>
    <row r="7568">
      <c r="O7568" s="20"/>
      <c r="P7568" s="17"/>
      <c r="Q7568" s="22"/>
    </row>
    <row r="7569">
      <c r="O7569" s="20"/>
      <c r="P7569" s="17"/>
      <c r="Q7569" s="22"/>
    </row>
    <row r="7570">
      <c r="O7570" s="20"/>
      <c r="P7570" s="17"/>
      <c r="Q7570" s="22"/>
    </row>
    <row r="7571">
      <c r="O7571" s="20"/>
      <c r="P7571" s="17"/>
      <c r="Q7571" s="22"/>
    </row>
    <row r="7572">
      <c r="O7572" s="20"/>
      <c r="P7572" s="17"/>
      <c r="Q7572" s="22"/>
    </row>
    <row r="7573">
      <c r="O7573" s="20"/>
      <c r="P7573" s="17"/>
      <c r="Q7573" s="22"/>
    </row>
    <row r="7574">
      <c r="O7574" s="20"/>
      <c r="P7574" s="17"/>
      <c r="Q7574" s="22"/>
    </row>
    <row r="7575">
      <c r="O7575" s="20"/>
      <c r="P7575" s="17"/>
      <c r="Q7575" s="22"/>
    </row>
    <row r="7576">
      <c r="O7576" s="20"/>
      <c r="P7576" s="17"/>
      <c r="Q7576" s="22"/>
    </row>
    <row r="7577">
      <c r="O7577" s="20"/>
      <c r="P7577" s="17"/>
      <c r="Q7577" s="22"/>
    </row>
    <row r="7578">
      <c r="O7578" s="20"/>
      <c r="P7578" s="17"/>
      <c r="Q7578" s="22"/>
    </row>
    <row r="7579">
      <c r="O7579" s="20"/>
      <c r="P7579" s="17"/>
      <c r="Q7579" s="22"/>
    </row>
    <row r="7580">
      <c r="O7580" s="20"/>
      <c r="P7580" s="17"/>
      <c r="Q7580" s="22"/>
    </row>
    <row r="7581">
      <c r="O7581" s="20"/>
      <c r="P7581" s="17"/>
      <c r="Q7581" s="22"/>
    </row>
    <row r="7582">
      <c r="O7582" s="20"/>
      <c r="P7582" s="17"/>
      <c r="Q7582" s="22"/>
    </row>
    <row r="7583">
      <c r="O7583" s="20"/>
      <c r="P7583" s="17"/>
      <c r="Q7583" s="22"/>
    </row>
    <row r="7584">
      <c r="O7584" s="20"/>
      <c r="P7584" s="17"/>
      <c r="Q7584" s="22"/>
    </row>
    <row r="7585">
      <c r="O7585" s="20"/>
      <c r="P7585" s="17"/>
      <c r="Q7585" s="22"/>
    </row>
    <row r="7586">
      <c r="O7586" s="20"/>
      <c r="P7586" s="17"/>
      <c r="Q7586" s="22"/>
    </row>
    <row r="7587">
      <c r="O7587" s="20"/>
      <c r="P7587" s="17"/>
      <c r="Q7587" s="22"/>
    </row>
    <row r="7588">
      <c r="O7588" s="20"/>
      <c r="P7588" s="17"/>
      <c r="Q7588" s="22"/>
    </row>
    <row r="7589">
      <c r="O7589" s="20"/>
      <c r="P7589" s="17"/>
      <c r="Q7589" s="22"/>
    </row>
    <row r="7590">
      <c r="O7590" s="20"/>
      <c r="P7590" s="17"/>
      <c r="Q7590" s="22"/>
    </row>
    <row r="7591">
      <c r="O7591" s="20"/>
      <c r="P7591" s="17"/>
      <c r="Q7591" s="22"/>
    </row>
    <row r="7592">
      <c r="O7592" s="20"/>
      <c r="P7592" s="17"/>
      <c r="Q7592" s="22"/>
    </row>
    <row r="7593">
      <c r="O7593" s="20"/>
      <c r="P7593" s="17"/>
      <c r="Q7593" s="22"/>
    </row>
    <row r="7594">
      <c r="O7594" s="20"/>
      <c r="P7594" s="17"/>
      <c r="Q7594" s="22"/>
    </row>
    <row r="7595">
      <c r="O7595" s="20"/>
      <c r="P7595" s="17"/>
      <c r="Q7595" s="22"/>
    </row>
    <row r="7596">
      <c r="O7596" s="20"/>
      <c r="P7596" s="17"/>
      <c r="Q7596" s="22"/>
    </row>
    <row r="7597">
      <c r="O7597" s="20"/>
      <c r="P7597" s="17"/>
      <c r="Q7597" s="22"/>
    </row>
    <row r="7598">
      <c r="O7598" s="20"/>
      <c r="P7598" s="17"/>
      <c r="Q7598" s="22"/>
    </row>
    <row r="7599">
      <c r="O7599" s="20"/>
      <c r="P7599" s="17"/>
      <c r="Q7599" s="22"/>
    </row>
    <row r="7600">
      <c r="O7600" s="20"/>
      <c r="P7600" s="17"/>
      <c r="Q7600" s="22"/>
    </row>
    <row r="7601">
      <c r="O7601" s="20"/>
      <c r="P7601" s="17"/>
      <c r="Q7601" s="22"/>
    </row>
    <row r="7602">
      <c r="O7602" s="20"/>
      <c r="P7602" s="17"/>
      <c r="Q7602" s="22"/>
    </row>
    <row r="7603">
      <c r="O7603" s="20"/>
      <c r="P7603" s="17"/>
      <c r="Q7603" s="22"/>
    </row>
    <row r="7604">
      <c r="O7604" s="20"/>
      <c r="P7604" s="17"/>
      <c r="Q7604" s="22"/>
    </row>
    <row r="7605">
      <c r="O7605" s="20"/>
      <c r="P7605" s="17"/>
      <c r="Q7605" s="22"/>
    </row>
    <row r="7606">
      <c r="O7606" s="20"/>
      <c r="P7606" s="17"/>
      <c r="Q7606" s="22"/>
    </row>
    <row r="7607">
      <c r="O7607" s="20"/>
      <c r="P7607" s="17"/>
      <c r="Q7607" s="22"/>
    </row>
    <row r="7608">
      <c r="O7608" s="20"/>
      <c r="P7608" s="17"/>
      <c r="Q7608" s="22"/>
    </row>
    <row r="7609">
      <c r="O7609" s="20"/>
      <c r="P7609" s="17"/>
      <c r="Q7609" s="22"/>
    </row>
    <row r="7610">
      <c r="O7610" s="20"/>
      <c r="P7610" s="17"/>
      <c r="Q7610" s="22"/>
    </row>
    <row r="7611">
      <c r="O7611" s="20"/>
      <c r="P7611" s="17"/>
      <c r="Q7611" s="22"/>
    </row>
    <row r="7612">
      <c r="O7612" s="20"/>
      <c r="P7612" s="17"/>
      <c r="Q7612" s="22"/>
    </row>
    <row r="7613">
      <c r="O7613" s="20"/>
      <c r="P7613" s="17"/>
      <c r="Q7613" s="22"/>
    </row>
    <row r="7614">
      <c r="O7614" s="20"/>
      <c r="P7614" s="17"/>
      <c r="Q7614" s="22"/>
    </row>
    <row r="7615">
      <c r="O7615" s="20"/>
      <c r="P7615" s="17"/>
      <c r="Q7615" s="22"/>
    </row>
    <row r="7616">
      <c r="O7616" s="20"/>
      <c r="P7616" s="17"/>
      <c r="Q7616" s="22"/>
    </row>
    <row r="7617">
      <c r="O7617" s="20"/>
      <c r="P7617" s="17"/>
      <c r="Q7617" s="22"/>
    </row>
    <row r="7618">
      <c r="O7618" s="20"/>
      <c r="P7618" s="17"/>
      <c r="Q7618" s="22"/>
    </row>
    <row r="7619">
      <c r="O7619" s="20"/>
      <c r="P7619" s="17"/>
      <c r="Q7619" s="22"/>
    </row>
    <row r="7620">
      <c r="O7620" s="20"/>
      <c r="P7620" s="17"/>
      <c r="Q7620" s="22"/>
    </row>
    <row r="7621">
      <c r="O7621" s="20"/>
      <c r="P7621" s="17"/>
      <c r="Q7621" s="22"/>
    </row>
    <row r="7622">
      <c r="O7622" s="20"/>
      <c r="P7622" s="17"/>
      <c r="Q7622" s="22"/>
    </row>
    <row r="7623">
      <c r="O7623" s="20"/>
      <c r="P7623" s="17"/>
      <c r="Q7623" s="22"/>
    </row>
    <row r="7624">
      <c r="O7624" s="20"/>
      <c r="P7624" s="17"/>
      <c r="Q7624" s="22"/>
    </row>
    <row r="7625">
      <c r="O7625" s="20"/>
      <c r="P7625" s="17"/>
      <c r="Q7625" s="22"/>
    </row>
    <row r="7626">
      <c r="O7626" s="20"/>
      <c r="P7626" s="17"/>
      <c r="Q7626" s="22"/>
    </row>
    <row r="7627">
      <c r="O7627" s="20"/>
      <c r="P7627" s="17"/>
      <c r="Q7627" s="22"/>
    </row>
    <row r="7628">
      <c r="O7628" s="20"/>
      <c r="P7628" s="17"/>
      <c r="Q7628" s="22"/>
    </row>
    <row r="7629">
      <c r="O7629" s="20"/>
      <c r="P7629" s="17"/>
      <c r="Q7629" s="22"/>
    </row>
    <row r="7630">
      <c r="O7630" s="20"/>
      <c r="P7630" s="17"/>
      <c r="Q7630" s="22"/>
    </row>
    <row r="7631">
      <c r="O7631" s="20"/>
      <c r="P7631" s="17"/>
      <c r="Q7631" s="22"/>
    </row>
    <row r="7632">
      <c r="O7632" s="20"/>
      <c r="P7632" s="17"/>
      <c r="Q7632" s="22"/>
    </row>
    <row r="7633">
      <c r="O7633" s="20"/>
      <c r="P7633" s="17"/>
      <c r="Q7633" s="22"/>
    </row>
    <row r="7634">
      <c r="O7634" s="20"/>
      <c r="P7634" s="17"/>
      <c r="Q7634" s="22"/>
    </row>
    <row r="7635">
      <c r="O7635" s="20"/>
      <c r="P7635" s="17"/>
      <c r="Q7635" s="22"/>
    </row>
    <row r="7636">
      <c r="O7636" s="20"/>
      <c r="P7636" s="17"/>
      <c r="Q7636" s="22"/>
    </row>
    <row r="7637">
      <c r="O7637" s="20"/>
      <c r="P7637" s="17"/>
      <c r="Q7637" s="22"/>
    </row>
    <row r="7638">
      <c r="O7638" s="20"/>
      <c r="P7638" s="17"/>
      <c r="Q7638" s="22"/>
    </row>
    <row r="7639">
      <c r="O7639" s="20"/>
      <c r="P7639" s="17"/>
      <c r="Q7639" s="22"/>
    </row>
    <row r="7640">
      <c r="O7640" s="20"/>
      <c r="P7640" s="17"/>
      <c r="Q7640" s="22"/>
    </row>
    <row r="7641">
      <c r="O7641" s="20"/>
      <c r="P7641" s="17"/>
      <c r="Q7641" s="22"/>
    </row>
    <row r="7642">
      <c r="O7642" s="20"/>
      <c r="P7642" s="17"/>
      <c r="Q7642" s="22"/>
    </row>
    <row r="7643">
      <c r="O7643" s="20"/>
      <c r="P7643" s="17"/>
      <c r="Q7643" s="22"/>
    </row>
    <row r="7644">
      <c r="O7644" s="20"/>
      <c r="P7644" s="17"/>
      <c r="Q7644" s="22"/>
    </row>
    <row r="7645">
      <c r="O7645" s="20"/>
      <c r="P7645" s="17"/>
      <c r="Q7645" s="22"/>
    </row>
    <row r="7646">
      <c r="O7646" s="20"/>
      <c r="P7646" s="17"/>
      <c r="Q7646" s="22"/>
    </row>
    <row r="7647">
      <c r="O7647" s="20"/>
      <c r="P7647" s="17"/>
      <c r="Q7647" s="22"/>
    </row>
    <row r="7648">
      <c r="O7648" s="20"/>
      <c r="P7648" s="17"/>
      <c r="Q7648" s="22"/>
    </row>
    <row r="7649">
      <c r="O7649" s="20"/>
      <c r="P7649" s="17"/>
      <c r="Q7649" s="22"/>
    </row>
    <row r="7650">
      <c r="O7650" s="20"/>
      <c r="P7650" s="17"/>
      <c r="Q7650" s="22"/>
    </row>
    <row r="7651">
      <c r="O7651" s="20"/>
      <c r="P7651" s="17"/>
      <c r="Q7651" s="22"/>
    </row>
    <row r="7652">
      <c r="O7652" s="20"/>
      <c r="P7652" s="17"/>
      <c r="Q7652" s="22"/>
    </row>
    <row r="7653">
      <c r="O7653" s="20"/>
      <c r="P7653" s="17"/>
      <c r="Q7653" s="22"/>
    </row>
    <row r="7654">
      <c r="O7654" s="20"/>
      <c r="P7654" s="17"/>
      <c r="Q7654" s="22"/>
    </row>
    <row r="7655">
      <c r="O7655" s="20"/>
      <c r="P7655" s="17"/>
      <c r="Q7655" s="22"/>
    </row>
    <row r="7656">
      <c r="O7656" s="20"/>
      <c r="P7656" s="17"/>
      <c r="Q7656" s="22"/>
    </row>
    <row r="7657">
      <c r="O7657" s="20"/>
      <c r="P7657" s="17"/>
      <c r="Q7657" s="22"/>
    </row>
    <row r="7658">
      <c r="O7658" s="20"/>
      <c r="P7658" s="17"/>
      <c r="Q7658" s="22"/>
    </row>
    <row r="7659">
      <c r="O7659" s="20"/>
      <c r="P7659" s="17"/>
      <c r="Q7659" s="22"/>
    </row>
    <row r="7660">
      <c r="O7660" s="20"/>
      <c r="P7660" s="17"/>
      <c r="Q7660" s="22"/>
    </row>
    <row r="7661">
      <c r="O7661" s="20"/>
      <c r="P7661" s="17"/>
      <c r="Q7661" s="22"/>
    </row>
    <row r="7662">
      <c r="O7662" s="20"/>
      <c r="P7662" s="17"/>
      <c r="Q7662" s="22"/>
    </row>
    <row r="7663">
      <c r="O7663" s="20"/>
      <c r="P7663" s="17"/>
      <c r="Q7663" s="22"/>
    </row>
    <row r="7664">
      <c r="O7664" s="20"/>
      <c r="P7664" s="17"/>
      <c r="Q7664" s="22"/>
    </row>
    <row r="7665">
      <c r="O7665" s="20"/>
      <c r="P7665" s="17"/>
      <c r="Q7665" s="22"/>
    </row>
    <row r="7666">
      <c r="O7666" s="20"/>
      <c r="P7666" s="17"/>
      <c r="Q7666" s="22"/>
    </row>
    <row r="7667">
      <c r="O7667" s="20"/>
      <c r="P7667" s="17"/>
      <c r="Q7667" s="22"/>
    </row>
    <row r="7668">
      <c r="O7668" s="20"/>
      <c r="P7668" s="17"/>
      <c r="Q7668" s="22"/>
    </row>
    <row r="7669">
      <c r="O7669" s="20"/>
      <c r="P7669" s="17"/>
      <c r="Q7669" s="22"/>
    </row>
    <row r="7670">
      <c r="O7670" s="20"/>
      <c r="P7670" s="17"/>
      <c r="Q7670" s="22"/>
    </row>
    <row r="7671">
      <c r="O7671" s="20"/>
      <c r="P7671" s="17"/>
      <c r="Q7671" s="22"/>
    </row>
    <row r="7672">
      <c r="O7672" s="20"/>
      <c r="P7672" s="17"/>
      <c r="Q7672" s="22"/>
    </row>
    <row r="7673">
      <c r="O7673" s="20"/>
      <c r="P7673" s="17"/>
      <c r="Q7673" s="22"/>
    </row>
    <row r="7674">
      <c r="O7674" s="20"/>
      <c r="P7674" s="17"/>
      <c r="Q7674" s="22"/>
    </row>
    <row r="7675">
      <c r="O7675" s="20"/>
      <c r="P7675" s="17"/>
      <c r="Q7675" s="22"/>
    </row>
    <row r="7676">
      <c r="O7676" s="20"/>
      <c r="P7676" s="17"/>
      <c r="Q7676" s="22"/>
    </row>
    <row r="7677">
      <c r="O7677" s="20"/>
      <c r="P7677" s="17"/>
      <c r="Q7677" s="22"/>
    </row>
    <row r="7678">
      <c r="O7678" s="20"/>
      <c r="P7678" s="17"/>
      <c r="Q7678" s="22"/>
    </row>
    <row r="7679">
      <c r="O7679" s="20"/>
      <c r="P7679" s="17"/>
      <c r="Q7679" s="22"/>
    </row>
    <row r="7680">
      <c r="O7680" s="20"/>
      <c r="P7680" s="17"/>
      <c r="Q7680" s="22"/>
    </row>
    <row r="7681">
      <c r="O7681" s="20"/>
      <c r="P7681" s="17"/>
      <c r="Q7681" s="22"/>
    </row>
    <row r="7682">
      <c r="O7682" s="20"/>
      <c r="P7682" s="17"/>
      <c r="Q7682" s="22"/>
    </row>
    <row r="7683">
      <c r="O7683" s="20"/>
      <c r="P7683" s="17"/>
      <c r="Q7683" s="22"/>
    </row>
    <row r="7684">
      <c r="O7684" s="20"/>
      <c r="P7684" s="17"/>
      <c r="Q7684" s="22"/>
    </row>
    <row r="7685">
      <c r="O7685" s="20"/>
      <c r="P7685" s="17"/>
      <c r="Q7685" s="22"/>
    </row>
    <row r="7686">
      <c r="O7686" s="20"/>
      <c r="P7686" s="17"/>
      <c r="Q7686" s="22"/>
    </row>
    <row r="7687">
      <c r="O7687" s="20"/>
      <c r="P7687" s="17"/>
      <c r="Q7687" s="22"/>
    </row>
    <row r="7688">
      <c r="O7688" s="20"/>
      <c r="P7688" s="17"/>
      <c r="Q7688" s="22"/>
    </row>
    <row r="7689">
      <c r="O7689" s="20"/>
      <c r="P7689" s="17"/>
      <c r="Q7689" s="22"/>
    </row>
    <row r="7690">
      <c r="O7690" s="20"/>
      <c r="P7690" s="17"/>
      <c r="Q7690" s="22"/>
    </row>
    <row r="7691">
      <c r="O7691" s="20"/>
      <c r="P7691" s="17"/>
      <c r="Q7691" s="22"/>
    </row>
    <row r="7692">
      <c r="O7692" s="20"/>
      <c r="P7692" s="17"/>
      <c r="Q7692" s="22"/>
    </row>
    <row r="7693">
      <c r="O7693" s="20"/>
      <c r="P7693" s="17"/>
      <c r="Q7693" s="22"/>
    </row>
    <row r="7694">
      <c r="O7694" s="20"/>
      <c r="P7694" s="17"/>
      <c r="Q7694" s="22"/>
    </row>
    <row r="7695">
      <c r="O7695" s="20"/>
      <c r="P7695" s="17"/>
      <c r="Q7695" s="22"/>
    </row>
    <row r="7696">
      <c r="O7696" s="20"/>
      <c r="P7696" s="17"/>
      <c r="Q7696" s="22"/>
    </row>
    <row r="7697">
      <c r="O7697" s="20"/>
      <c r="P7697" s="17"/>
      <c r="Q7697" s="22"/>
    </row>
    <row r="7698">
      <c r="O7698" s="20"/>
      <c r="P7698" s="17"/>
      <c r="Q7698" s="22"/>
    </row>
    <row r="7699">
      <c r="O7699" s="20"/>
      <c r="P7699" s="17"/>
      <c r="Q7699" s="22"/>
    </row>
    <row r="7700">
      <c r="O7700" s="20"/>
      <c r="P7700" s="17"/>
      <c r="Q7700" s="22"/>
    </row>
    <row r="7701">
      <c r="O7701" s="20"/>
      <c r="P7701" s="17"/>
      <c r="Q7701" s="22"/>
    </row>
    <row r="7702">
      <c r="O7702" s="20"/>
      <c r="P7702" s="17"/>
      <c r="Q7702" s="22"/>
    </row>
    <row r="7703">
      <c r="O7703" s="20"/>
      <c r="P7703" s="17"/>
      <c r="Q7703" s="22"/>
    </row>
    <row r="7704">
      <c r="O7704" s="20"/>
      <c r="P7704" s="17"/>
      <c r="Q7704" s="22"/>
    </row>
    <row r="7705">
      <c r="O7705" s="20"/>
      <c r="P7705" s="17"/>
      <c r="Q7705" s="22"/>
    </row>
    <row r="7706">
      <c r="O7706" s="20"/>
      <c r="P7706" s="17"/>
      <c r="Q7706" s="22"/>
    </row>
    <row r="7707">
      <c r="O7707" s="20"/>
      <c r="P7707" s="17"/>
      <c r="Q7707" s="22"/>
    </row>
    <row r="7708">
      <c r="O7708" s="20"/>
      <c r="P7708" s="17"/>
      <c r="Q7708" s="22"/>
    </row>
    <row r="7709">
      <c r="O7709" s="20"/>
      <c r="P7709" s="17"/>
      <c r="Q7709" s="22"/>
    </row>
    <row r="7710">
      <c r="O7710" s="20"/>
      <c r="P7710" s="17"/>
      <c r="Q7710" s="22"/>
    </row>
    <row r="7711">
      <c r="O7711" s="20"/>
      <c r="P7711" s="17"/>
      <c r="Q7711" s="22"/>
    </row>
    <row r="7712">
      <c r="O7712" s="20"/>
      <c r="P7712" s="17"/>
      <c r="Q7712" s="22"/>
    </row>
    <row r="7713">
      <c r="O7713" s="20"/>
      <c r="P7713" s="17"/>
      <c r="Q7713" s="22"/>
    </row>
    <row r="7714">
      <c r="O7714" s="20"/>
      <c r="P7714" s="17"/>
      <c r="Q7714" s="22"/>
    </row>
    <row r="7715">
      <c r="O7715" s="20"/>
      <c r="P7715" s="17"/>
      <c r="Q7715" s="22"/>
    </row>
    <row r="7716">
      <c r="O7716" s="20"/>
      <c r="P7716" s="17"/>
      <c r="Q7716" s="22"/>
    </row>
    <row r="7717">
      <c r="O7717" s="20"/>
      <c r="P7717" s="17"/>
      <c r="Q7717" s="22"/>
    </row>
    <row r="7718">
      <c r="O7718" s="20"/>
      <c r="P7718" s="17"/>
      <c r="Q7718" s="22"/>
    </row>
    <row r="7719">
      <c r="O7719" s="20"/>
      <c r="P7719" s="17"/>
      <c r="Q7719" s="22"/>
    </row>
    <row r="7720">
      <c r="O7720" s="20"/>
      <c r="P7720" s="17"/>
      <c r="Q7720" s="22"/>
    </row>
    <row r="7721">
      <c r="O7721" s="20"/>
      <c r="P7721" s="17"/>
      <c r="Q7721" s="22"/>
    </row>
    <row r="7722">
      <c r="O7722" s="20"/>
      <c r="P7722" s="17"/>
      <c r="Q7722" s="22"/>
    </row>
    <row r="7723">
      <c r="O7723" s="20"/>
      <c r="P7723" s="17"/>
      <c r="Q7723" s="22"/>
    </row>
    <row r="7724">
      <c r="O7724" s="20"/>
      <c r="P7724" s="17"/>
      <c r="Q7724" s="22"/>
    </row>
    <row r="7725">
      <c r="O7725" s="20"/>
      <c r="P7725" s="17"/>
      <c r="Q7725" s="22"/>
    </row>
    <row r="7726">
      <c r="O7726" s="20"/>
      <c r="P7726" s="17"/>
      <c r="Q7726" s="22"/>
    </row>
    <row r="7727">
      <c r="O7727" s="20"/>
      <c r="P7727" s="17"/>
      <c r="Q7727" s="22"/>
    </row>
    <row r="7728">
      <c r="O7728" s="20"/>
      <c r="P7728" s="17"/>
      <c r="Q7728" s="22"/>
    </row>
    <row r="7729">
      <c r="O7729" s="20"/>
      <c r="P7729" s="17"/>
      <c r="Q7729" s="22"/>
    </row>
    <row r="7730">
      <c r="O7730" s="20"/>
      <c r="P7730" s="17"/>
      <c r="Q7730" s="22"/>
    </row>
    <row r="7731">
      <c r="O7731" s="20"/>
      <c r="P7731" s="17"/>
      <c r="Q7731" s="22"/>
    </row>
    <row r="7732">
      <c r="O7732" s="20"/>
      <c r="P7732" s="17"/>
      <c r="Q7732" s="22"/>
    </row>
    <row r="7733">
      <c r="O7733" s="20"/>
      <c r="P7733" s="17"/>
      <c r="Q7733" s="22"/>
    </row>
    <row r="7734">
      <c r="O7734" s="20"/>
      <c r="P7734" s="17"/>
      <c r="Q7734" s="22"/>
    </row>
    <row r="7735">
      <c r="O7735" s="20"/>
      <c r="P7735" s="17"/>
      <c r="Q7735" s="22"/>
    </row>
    <row r="7736">
      <c r="O7736" s="20"/>
      <c r="P7736" s="17"/>
      <c r="Q7736" s="22"/>
    </row>
    <row r="7737">
      <c r="O7737" s="20"/>
      <c r="P7737" s="17"/>
      <c r="Q7737" s="22"/>
    </row>
    <row r="7738">
      <c r="O7738" s="20"/>
      <c r="P7738" s="17"/>
      <c r="Q7738" s="22"/>
    </row>
    <row r="7739">
      <c r="O7739" s="20"/>
      <c r="P7739" s="17"/>
      <c r="Q7739" s="22"/>
    </row>
    <row r="7740">
      <c r="O7740" s="20"/>
      <c r="P7740" s="17"/>
      <c r="Q7740" s="22"/>
    </row>
    <row r="7741">
      <c r="O7741" s="20"/>
      <c r="P7741" s="17"/>
      <c r="Q7741" s="22"/>
    </row>
    <row r="7742">
      <c r="O7742" s="20"/>
      <c r="P7742" s="17"/>
      <c r="Q7742" s="22"/>
    </row>
    <row r="7743">
      <c r="O7743" s="20"/>
      <c r="P7743" s="17"/>
      <c r="Q7743" s="22"/>
    </row>
    <row r="7744">
      <c r="O7744" s="20"/>
      <c r="P7744" s="17"/>
      <c r="Q7744" s="22"/>
    </row>
    <row r="7745">
      <c r="O7745" s="20"/>
      <c r="P7745" s="17"/>
      <c r="Q7745" s="22"/>
    </row>
    <row r="7746">
      <c r="O7746" s="20"/>
      <c r="P7746" s="17"/>
      <c r="Q7746" s="22"/>
    </row>
    <row r="7747">
      <c r="O7747" s="20"/>
      <c r="P7747" s="17"/>
      <c r="Q7747" s="22"/>
    </row>
    <row r="7748">
      <c r="O7748" s="20"/>
      <c r="P7748" s="17"/>
      <c r="Q7748" s="22"/>
    </row>
    <row r="7749">
      <c r="O7749" s="20"/>
      <c r="P7749" s="17"/>
      <c r="Q7749" s="22"/>
    </row>
    <row r="7750">
      <c r="O7750" s="20"/>
      <c r="P7750" s="17"/>
      <c r="Q7750" s="22"/>
    </row>
    <row r="7751">
      <c r="O7751" s="20"/>
      <c r="P7751" s="17"/>
      <c r="Q7751" s="22"/>
    </row>
    <row r="7752">
      <c r="O7752" s="20"/>
      <c r="P7752" s="17"/>
      <c r="Q7752" s="22"/>
    </row>
    <row r="7753">
      <c r="O7753" s="20"/>
      <c r="P7753" s="17"/>
      <c r="Q7753" s="22"/>
    </row>
    <row r="7754">
      <c r="O7754" s="20"/>
      <c r="P7754" s="17"/>
      <c r="Q7754" s="22"/>
    </row>
    <row r="7755">
      <c r="O7755" s="20"/>
      <c r="P7755" s="17"/>
      <c r="Q7755" s="22"/>
    </row>
    <row r="7756">
      <c r="O7756" s="20"/>
      <c r="P7756" s="17"/>
      <c r="Q7756" s="22"/>
    </row>
    <row r="7757">
      <c r="O7757" s="20"/>
      <c r="P7757" s="17"/>
      <c r="Q7757" s="22"/>
    </row>
    <row r="7758">
      <c r="O7758" s="20"/>
      <c r="P7758" s="17"/>
      <c r="Q7758" s="22"/>
    </row>
    <row r="7759">
      <c r="O7759" s="20"/>
      <c r="P7759" s="17"/>
      <c r="Q7759" s="22"/>
    </row>
    <row r="7760">
      <c r="O7760" s="20"/>
      <c r="P7760" s="17"/>
      <c r="Q7760" s="22"/>
    </row>
    <row r="7761">
      <c r="O7761" s="20"/>
      <c r="P7761" s="17"/>
      <c r="Q7761" s="22"/>
    </row>
    <row r="7762">
      <c r="O7762" s="20"/>
      <c r="P7762" s="17"/>
      <c r="Q7762" s="22"/>
    </row>
    <row r="7763">
      <c r="O7763" s="20"/>
      <c r="P7763" s="17"/>
      <c r="Q7763" s="22"/>
    </row>
    <row r="7764">
      <c r="O7764" s="20"/>
      <c r="P7764" s="17"/>
      <c r="Q7764" s="22"/>
    </row>
    <row r="7765">
      <c r="O7765" s="20"/>
      <c r="P7765" s="17"/>
      <c r="Q7765" s="22"/>
    </row>
    <row r="7766">
      <c r="O7766" s="20"/>
      <c r="P7766" s="17"/>
      <c r="Q7766" s="22"/>
    </row>
    <row r="7767">
      <c r="O7767" s="20"/>
      <c r="P7767" s="17"/>
      <c r="Q7767" s="22"/>
    </row>
    <row r="7768">
      <c r="O7768" s="20"/>
      <c r="P7768" s="17"/>
      <c r="Q7768" s="22"/>
    </row>
    <row r="7769">
      <c r="O7769" s="20"/>
      <c r="P7769" s="17"/>
      <c r="Q7769" s="22"/>
    </row>
    <row r="7770">
      <c r="O7770" s="20"/>
      <c r="P7770" s="17"/>
      <c r="Q7770" s="22"/>
    </row>
    <row r="7771">
      <c r="O7771" s="20"/>
      <c r="P7771" s="17"/>
      <c r="Q7771" s="22"/>
    </row>
    <row r="7772">
      <c r="O7772" s="20"/>
      <c r="P7772" s="17"/>
      <c r="Q7772" s="22"/>
    </row>
    <row r="7773">
      <c r="O7773" s="20"/>
      <c r="P7773" s="17"/>
      <c r="Q7773" s="22"/>
    </row>
    <row r="7774">
      <c r="O7774" s="20"/>
      <c r="P7774" s="17"/>
      <c r="Q7774" s="22"/>
    </row>
    <row r="7775">
      <c r="O7775" s="20"/>
      <c r="P7775" s="17"/>
      <c r="Q7775" s="22"/>
    </row>
    <row r="7776">
      <c r="O7776" s="20"/>
      <c r="P7776" s="17"/>
      <c r="Q7776" s="22"/>
    </row>
    <row r="7777">
      <c r="O7777" s="20"/>
      <c r="P7777" s="17"/>
      <c r="Q7777" s="22"/>
    </row>
    <row r="7778">
      <c r="O7778" s="20"/>
      <c r="P7778" s="17"/>
      <c r="Q7778" s="22"/>
    </row>
    <row r="7779">
      <c r="O7779" s="20"/>
      <c r="P7779" s="17"/>
      <c r="Q7779" s="22"/>
    </row>
    <row r="7780">
      <c r="O7780" s="20"/>
      <c r="P7780" s="17"/>
      <c r="Q7780" s="22"/>
    </row>
    <row r="7781">
      <c r="O7781" s="20"/>
      <c r="P7781" s="17"/>
      <c r="Q7781" s="22"/>
    </row>
    <row r="7782">
      <c r="O7782" s="20"/>
      <c r="P7782" s="17"/>
      <c r="Q7782" s="22"/>
    </row>
    <row r="7783">
      <c r="O7783" s="20"/>
      <c r="P7783" s="17"/>
      <c r="Q7783" s="22"/>
    </row>
    <row r="7784">
      <c r="O7784" s="20"/>
      <c r="P7784" s="17"/>
      <c r="Q7784" s="22"/>
    </row>
    <row r="7785">
      <c r="O7785" s="20"/>
      <c r="P7785" s="17"/>
      <c r="Q7785" s="22"/>
    </row>
    <row r="7786">
      <c r="O7786" s="20"/>
      <c r="P7786" s="17"/>
      <c r="Q7786" s="22"/>
    </row>
    <row r="7787">
      <c r="O7787" s="20"/>
      <c r="P7787" s="17"/>
      <c r="Q7787" s="22"/>
    </row>
    <row r="7788">
      <c r="O7788" s="20"/>
      <c r="P7788" s="17"/>
      <c r="Q7788" s="22"/>
    </row>
    <row r="7789">
      <c r="O7789" s="20"/>
      <c r="P7789" s="17"/>
      <c r="Q7789" s="22"/>
    </row>
    <row r="7790">
      <c r="O7790" s="20"/>
      <c r="P7790" s="17"/>
      <c r="Q7790" s="22"/>
    </row>
    <row r="7791">
      <c r="O7791" s="20"/>
      <c r="P7791" s="17"/>
      <c r="Q7791" s="22"/>
    </row>
    <row r="7792">
      <c r="O7792" s="20"/>
      <c r="P7792" s="17"/>
      <c r="Q7792" s="22"/>
    </row>
    <row r="7793">
      <c r="O7793" s="20"/>
      <c r="P7793" s="17"/>
      <c r="Q7793" s="22"/>
    </row>
    <row r="7794">
      <c r="O7794" s="20"/>
      <c r="P7794" s="17"/>
      <c r="Q7794" s="22"/>
    </row>
    <row r="7795">
      <c r="O7795" s="20"/>
      <c r="P7795" s="17"/>
      <c r="Q7795" s="22"/>
    </row>
    <row r="7796">
      <c r="O7796" s="20"/>
      <c r="P7796" s="17"/>
      <c r="Q7796" s="22"/>
    </row>
    <row r="7797">
      <c r="O7797" s="20"/>
      <c r="P7797" s="17"/>
      <c r="Q7797" s="22"/>
    </row>
    <row r="7798">
      <c r="O7798" s="20"/>
      <c r="P7798" s="17"/>
      <c r="Q7798" s="22"/>
    </row>
    <row r="7799">
      <c r="O7799" s="20"/>
      <c r="P7799" s="17"/>
      <c r="Q7799" s="22"/>
    </row>
    <row r="7800">
      <c r="O7800" s="20"/>
      <c r="P7800" s="17"/>
      <c r="Q7800" s="22"/>
    </row>
    <row r="7801">
      <c r="O7801" s="20"/>
      <c r="P7801" s="17"/>
      <c r="Q7801" s="22"/>
    </row>
    <row r="7802">
      <c r="O7802" s="20"/>
      <c r="P7802" s="17"/>
      <c r="Q7802" s="22"/>
    </row>
    <row r="7803">
      <c r="O7803" s="20"/>
      <c r="P7803" s="17"/>
      <c r="Q7803" s="22"/>
    </row>
    <row r="7804">
      <c r="O7804" s="20"/>
      <c r="P7804" s="17"/>
      <c r="Q7804" s="22"/>
    </row>
    <row r="7805">
      <c r="O7805" s="20"/>
      <c r="P7805" s="17"/>
      <c r="Q7805" s="22"/>
    </row>
    <row r="7806">
      <c r="O7806" s="20"/>
      <c r="P7806" s="17"/>
      <c r="Q7806" s="22"/>
    </row>
    <row r="7807">
      <c r="O7807" s="20"/>
      <c r="P7807" s="17"/>
      <c r="Q7807" s="22"/>
    </row>
    <row r="7808">
      <c r="O7808" s="20"/>
      <c r="P7808" s="17"/>
      <c r="Q7808" s="22"/>
    </row>
    <row r="7809">
      <c r="O7809" s="20"/>
      <c r="P7809" s="17"/>
      <c r="Q7809" s="22"/>
    </row>
    <row r="7810">
      <c r="O7810" s="20"/>
      <c r="P7810" s="17"/>
      <c r="Q7810" s="22"/>
    </row>
    <row r="7811">
      <c r="O7811" s="20"/>
      <c r="P7811" s="17"/>
      <c r="Q7811" s="22"/>
    </row>
    <row r="7812">
      <c r="O7812" s="20"/>
      <c r="P7812" s="17"/>
      <c r="Q7812" s="22"/>
    </row>
    <row r="7813">
      <c r="O7813" s="20"/>
      <c r="P7813" s="17"/>
      <c r="Q7813" s="22"/>
    </row>
    <row r="7814">
      <c r="O7814" s="20"/>
      <c r="P7814" s="17"/>
      <c r="Q7814" s="22"/>
    </row>
    <row r="7815">
      <c r="O7815" s="20"/>
      <c r="P7815" s="17"/>
      <c r="Q7815" s="22"/>
    </row>
    <row r="7816">
      <c r="O7816" s="20"/>
      <c r="P7816" s="17"/>
      <c r="Q7816" s="22"/>
    </row>
    <row r="7817">
      <c r="O7817" s="20"/>
      <c r="P7817" s="17"/>
      <c r="Q7817" s="22"/>
    </row>
    <row r="7818">
      <c r="O7818" s="20"/>
      <c r="P7818" s="17"/>
      <c r="Q7818" s="22"/>
    </row>
    <row r="7819">
      <c r="O7819" s="20"/>
      <c r="P7819" s="17"/>
      <c r="Q7819" s="22"/>
    </row>
    <row r="7820">
      <c r="O7820" s="20"/>
      <c r="P7820" s="17"/>
      <c r="Q7820" s="22"/>
    </row>
    <row r="7821">
      <c r="O7821" s="20"/>
      <c r="P7821" s="17"/>
      <c r="Q7821" s="22"/>
    </row>
    <row r="7822">
      <c r="O7822" s="20"/>
      <c r="P7822" s="17"/>
      <c r="Q7822" s="22"/>
    </row>
    <row r="7823">
      <c r="O7823" s="20"/>
      <c r="P7823" s="17"/>
      <c r="Q7823" s="22"/>
    </row>
    <row r="7824">
      <c r="O7824" s="20"/>
      <c r="P7824" s="17"/>
      <c r="Q7824" s="22"/>
    </row>
    <row r="7825">
      <c r="O7825" s="20"/>
      <c r="P7825" s="17"/>
      <c r="Q7825" s="22"/>
    </row>
    <row r="7826">
      <c r="O7826" s="20"/>
      <c r="P7826" s="17"/>
      <c r="Q7826" s="22"/>
    </row>
    <row r="7827">
      <c r="O7827" s="20"/>
      <c r="P7827" s="17"/>
      <c r="Q7827" s="22"/>
    </row>
    <row r="7828">
      <c r="O7828" s="20"/>
      <c r="P7828" s="17"/>
      <c r="Q7828" s="22"/>
    </row>
    <row r="7829">
      <c r="O7829" s="20"/>
      <c r="P7829" s="17"/>
      <c r="Q7829" s="22"/>
    </row>
    <row r="7830">
      <c r="O7830" s="20"/>
      <c r="P7830" s="17"/>
      <c r="Q7830" s="22"/>
    </row>
    <row r="7831">
      <c r="O7831" s="20"/>
      <c r="P7831" s="17"/>
      <c r="Q7831" s="22"/>
    </row>
    <row r="7832">
      <c r="O7832" s="20"/>
      <c r="P7832" s="17"/>
      <c r="Q7832" s="22"/>
    </row>
    <row r="7833">
      <c r="O7833" s="20"/>
      <c r="P7833" s="17"/>
      <c r="Q7833" s="22"/>
    </row>
    <row r="7834">
      <c r="O7834" s="20"/>
      <c r="P7834" s="17"/>
      <c r="Q7834" s="22"/>
    </row>
    <row r="7835">
      <c r="O7835" s="20"/>
      <c r="P7835" s="17"/>
      <c r="Q7835" s="22"/>
    </row>
    <row r="7836">
      <c r="O7836" s="20"/>
      <c r="P7836" s="17"/>
      <c r="Q7836" s="22"/>
    </row>
    <row r="7837">
      <c r="O7837" s="20"/>
      <c r="P7837" s="17"/>
      <c r="Q7837" s="22"/>
    </row>
    <row r="7838">
      <c r="O7838" s="20"/>
      <c r="P7838" s="17"/>
      <c r="Q7838" s="22"/>
    </row>
    <row r="7839">
      <c r="O7839" s="20"/>
      <c r="P7839" s="17"/>
      <c r="Q7839" s="22"/>
    </row>
    <row r="7840">
      <c r="O7840" s="20"/>
      <c r="P7840" s="17"/>
      <c r="Q7840" s="22"/>
    </row>
    <row r="7841">
      <c r="O7841" s="20"/>
      <c r="P7841" s="17"/>
      <c r="Q7841" s="22"/>
    </row>
    <row r="7842">
      <c r="O7842" s="20"/>
      <c r="P7842" s="17"/>
      <c r="Q7842" s="22"/>
    </row>
    <row r="7843">
      <c r="O7843" s="20"/>
      <c r="P7843" s="17"/>
      <c r="Q7843" s="22"/>
    </row>
    <row r="7844">
      <c r="O7844" s="20"/>
      <c r="P7844" s="17"/>
      <c r="Q7844" s="22"/>
    </row>
    <row r="7845">
      <c r="O7845" s="20"/>
      <c r="P7845" s="17"/>
      <c r="Q7845" s="22"/>
    </row>
    <row r="7846">
      <c r="O7846" s="20"/>
      <c r="P7846" s="17"/>
      <c r="Q7846" s="22"/>
    </row>
    <row r="7847">
      <c r="O7847" s="20"/>
      <c r="P7847" s="17"/>
      <c r="Q7847" s="22"/>
    </row>
    <row r="7848">
      <c r="O7848" s="20"/>
      <c r="P7848" s="17"/>
      <c r="Q7848" s="22"/>
    </row>
    <row r="7849">
      <c r="O7849" s="20"/>
      <c r="P7849" s="17"/>
      <c r="Q7849" s="22"/>
    </row>
    <row r="7850">
      <c r="O7850" s="20"/>
      <c r="P7850" s="17"/>
      <c r="Q7850" s="22"/>
    </row>
    <row r="7851">
      <c r="O7851" s="20"/>
      <c r="P7851" s="17"/>
      <c r="Q7851" s="22"/>
    </row>
    <row r="7852">
      <c r="O7852" s="20"/>
      <c r="P7852" s="17"/>
      <c r="Q7852" s="22"/>
    </row>
    <row r="7853">
      <c r="O7853" s="20"/>
      <c r="P7853" s="17"/>
      <c r="Q7853" s="22"/>
    </row>
    <row r="7854">
      <c r="O7854" s="20"/>
      <c r="P7854" s="17"/>
      <c r="Q7854" s="22"/>
    </row>
    <row r="7855">
      <c r="O7855" s="20"/>
      <c r="P7855" s="17"/>
      <c r="Q7855" s="22"/>
    </row>
    <row r="7856">
      <c r="O7856" s="20"/>
      <c r="P7856" s="17"/>
      <c r="Q7856" s="22"/>
    </row>
    <row r="7857">
      <c r="O7857" s="20"/>
      <c r="P7857" s="17"/>
      <c r="Q7857" s="22"/>
    </row>
    <row r="7858">
      <c r="O7858" s="20"/>
      <c r="P7858" s="17"/>
      <c r="Q7858" s="22"/>
    </row>
    <row r="7859">
      <c r="O7859" s="20"/>
      <c r="P7859" s="17"/>
      <c r="Q7859" s="22"/>
    </row>
    <row r="7860">
      <c r="O7860" s="20"/>
      <c r="P7860" s="17"/>
      <c r="Q7860" s="22"/>
    </row>
    <row r="7861">
      <c r="O7861" s="20"/>
      <c r="P7861" s="17"/>
      <c r="Q7861" s="22"/>
    </row>
    <row r="7862">
      <c r="O7862" s="20"/>
      <c r="P7862" s="17"/>
      <c r="Q7862" s="22"/>
    </row>
    <row r="7863">
      <c r="O7863" s="20"/>
      <c r="P7863" s="17"/>
      <c r="Q7863" s="22"/>
    </row>
    <row r="7864">
      <c r="O7864" s="20"/>
      <c r="P7864" s="17"/>
      <c r="Q7864" s="22"/>
    </row>
    <row r="7865">
      <c r="O7865" s="20"/>
      <c r="P7865" s="17"/>
      <c r="Q7865" s="22"/>
    </row>
    <row r="7866">
      <c r="O7866" s="20"/>
      <c r="P7866" s="17"/>
      <c r="Q7866" s="22"/>
    </row>
    <row r="7867">
      <c r="O7867" s="20"/>
      <c r="P7867" s="17"/>
      <c r="Q7867" s="22"/>
    </row>
    <row r="7868">
      <c r="O7868" s="20"/>
      <c r="P7868" s="17"/>
      <c r="Q7868" s="22"/>
    </row>
    <row r="7869">
      <c r="O7869" s="20"/>
      <c r="P7869" s="17"/>
      <c r="Q7869" s="22"/>
    </row>
    <row r="7870">
      <c r="O7870" s="20"/>
      <c r="P7870" s="17"/>
      <c r="Q7870" s="22"/>
    </row>
    <row r="7871">
      <c r="O7871" s="20"/>
      <c r="P7871" s="17"/>
      <c r="Q7871" s="22"/>
    </row>
    <row r="7872">
      <c r="O7872" s="20"/>
      <c r="P7872" s="17"/>
      <c r="Q7872" s="22"/>
    </row>
    <row r="7873">
      <c r="O7873" s="20"/>
      <c r="P7873" s="17"/>
      <c r="Q7873" s="22"/>
    </row>
    <row r="7874">
      <c r="O7874" s="20"/>
      <c r="P7874" s="17"/>
      <c r="Q7874" s="22"/>
    </row>
    <row r="7875">
      <c r="O7875" s="20"/>
      <c r="P7875" s="17"/>
      <c r="Q7875" s="22"/>
    </row>
    <row r="7876">
      <c r="O7876" s="20"/>
      <c r="P7876" s="17"/>
      <c r="Q7876" s="22"/>
    </row>
    <row r="7877">
      <c r="O7877" s="20"/>
      <c r="P7877" s="17"/>
      <c r="Q7877" s="22"/>
    </row>
    <row r="7878">
      <c r="O7878" s="20"/>
      <c r="P7878" s="17"/>
      <c r="Q7878" s="22"/>
    </row>
    <row r="7879">
      <c r="O7879" s="20"/>
      <c r="P7879" s="17"/>
      <c r="Q7879" s="22"/>
    </row>
    <row r="7880">
      <c r="O7880" s="20"/>
      <c r="P7880" s="17"/>
      <c r="Q7880" s="22"/>
    </row>
    <row r="7881">
      <c r="O7881" s="20"/>
      <c r="P7881" s="17"/>
      <c r="Q7881" s="22"/>
    </row>
    <row r="7882">
      <c r="O7882" s="20"/>
      <c r="P7882" s="17"/>
      <c r="Q7882" s="22"/>
    </row>
    <row r="7883">
      <c r="O7883" s="20"/>
      <c r="P7883" s="17"/>
      <c r="Q7883" s="22"/>
    </row>
    <row r="7884">
      <c r="O7884" s="20"/>
      <c r="P7884" s="17"/>
      <c r="Q7884" s="22"/>
    </row>
    <row r="7885">
      <c r="O7885" s="20"/>
      <c r="P7885" s="17"/>
      <c r="Q7885" s="22"/>
    </row>
    <row r="7886">
      <c r="O7886" s="20"/>
      <c r="P7886" s="17"/>
      <c r="Q7886" s="22"/>
    </row>
    <row r="7887">
      <c r="O7887" s="20"/>
      <c r="P7887" s="17"/>
      <c r="Q7887" s="22"/>
    </row>
    <row r="7888">
      <c r="O7888" s="20"/>
      <c r="P7888" s="17"/>
      <c r="Q7888" s="22"/>
    </row>
    <row r="7889">
      <c r="O7889" s="20"/>
      <c r="P7889" s="17"/>
      <c r="Q7889" s="22"/>
    </row>
    <row r="7890">
      <c r="O7890" s="20"/>
      <c r="P7890" s="17"/>
      <c r="Q7890" s="22"/>
    </row>
    <row r="7891">
      <c r="O7891" s="20"/>
      <c r="P7891" s="17"/>
      <c r="Q7891" s="22"/>
    </row>
    <row r="7892">
      <c r="O7892" s="20"/>
      <c r="P7892" s="17"/>
      <c r="Q7892" s="22"/>
    </row>
    <row r="7893">
      <c r="O7893" s="20"/>
      <c r="P7893" s="17"/>
      <c r="Q7893" s="22"/>
    </row>
    <row r="7894">
      <c r="O7894" s="20"/>
      <c r="P7894" s="17"/>
      <c r="Q7894" s="22"/>
    </row>
    <row r="7895">
      <c r="O7895" s="20"/>
      <c r="P7895" s="17"/>
      <c r="Q7895" s="22"/>
    </row>
    <row r="7896">
      <c r="O7896" s="20"/>
      <c r="P7896" s="17"/>
      <c r="Q7896" s="22"/>
    </row>
    <row r="7897">
      <c r="O7897" s="20"/>
      <c r="P7897" s="17"/>
      <c r="Q7897" s="22"/>
    </row>
    <row r="7898">
      <c r="O7898" s="20"/>
      <c r="P7898" s="17"/>
      <c r="Q7898" s="22"/>
    </row>
    <row r="7899">
      <c r="O7899" s="20"/>
      <c r="P7899" s="17"/>
      <c r="Q7899" s="22"/>
    </row>
    <row r="7900">
      <c r="O7900" s="20"/>
      <c r="P7900" s="17"/>
      <c r="Q7900" s="22"/>
    </row>
    <row r="7901">
      <c r="O7901" s="20"/>
      <c r="P7901" s="17"/>
      <c r="Q7901" s="22"/>
    </row>
    <row r="7902">
      <c r="O7902" s="20"/>
      <c r="P7902" s="17"/>
      <c r="Q7902" s="22"/>
    </row>
    <row r="7903">
      <c r="O7903" s="20"/>
      <c r="P7903" s="17"/>
      <c r="Q7903" s="22"/>
    </row>
    <row r="7904">
      <c r="O7904" s="20"/>
      <c r="P7904" s="17"/>
      <c r="Q7904" s="22"/>
    </row>
    <row r="7905">
      <c r="O7905" s="20"/>
      <c r="P7905" s="17"/>
      <c r="Q7905" s="22"/>
    </row>
    <row r="7906">
      <c r="O7906" s="20"/>
      <c r="P7906" s="17"/>
      <c r="Q7906" s="22"/>
    </row>
    <row r="7907">
      <c r="O7907" s="20"/>
      <c r="P7907" s="17"/>
      <c r="Q7907" s="22"/>
    </row>
    <row r="7908">
      <c r="O7908" s="20"/>
      <c r="P7908" s="17"/>
      <c r="Q7908" s="22"/>
    </row>
    <row r="7909">
      <c r="O7909" s="20"/>
      <c r="P7909" s="17"/>
      <c r="Q7909" s="22"/>
    </row>
    <row r="7910">
      <c r="O7910" s="20"/>
      <c r="P7910" s="17"/>
      <c r="Q7910" s="22"/>
    </row>
    <row r="7911">
      <c r="O7911" s="20"/>
      <c r="P7911" s="17"/>
      <c r="Q7911" s="22"/>
    </row>
    <row r="7912">
      <c r="O7912" s="20"/>
      <c r="P7912" s="17"/>
      <c r="Q7912" s="22"/>
    </row>
    <row r="7913">
      <c r="O7913" s="20"/>
      <c r="P7913" s="17"/>
      <c r="Q7913" s="22"/>
    </row>
    <row r="7914">
      <c r="O7914" s="20"/>
      <c r="P7914" s="17"/>
      <c r="Q7914" s="22"/>
    </row>
    <row r="7915">
      <c r="O7915" s="20"/>
      <c r="P7915" s="17"/>
      <c r="Q7915" s="22"/>
    </row>
    <row r="7916">
      <c r="O7916" s="20"/>
      <c r="P7916" s="17"/>
      <c r="Q7916" s="22"/>
    </row>
    <row r="7917">
      <c r="O7917" s="20"/>
      <c r="P7917" s="17"/>
      <c r="Q7917" s="22"/>
    </row>
    <row r="7918">
      <c r="O7918" s="20"/>
      <c r="P7918" s="17"/>
      <c r="Q7918" s="22"/>
    </row>
    <row r="7919">
      <c r="O7919" s="20"/>
      <c r="P7919" s="17"/>
      <c r="Q7919" s="22"/>
    </row>
    <row r="7920">
      <c r="O7920" s="20"/>
      <c r="P7920" s="17"/>
      <c r="Q7920" s="22"/>
    </row>
    <row r="7921">
      <c r="O7921" s="20"/>
      <c r="P7921" s="17"/>
      <c r="Q7921" s="22"/>
    </row>
    <row r="7922">
      <c r="O7922" s="20"/>
      <c r="P7922" s="17"/>
      <c r="Q7922" s="22"/>
    </row>
    <row r="7923">
      <c r="O7923" s="20"/>
      <c r="P7923" s="17"/>
      <c r="Q7923" s="22"/>
    </row>
    <row r="7924">
      <c r="O7924" s="20"/>
      <c r="P7924" s="17"/>
      <c r="Q7924" s="22"/>
    </row>
    <row r="7925">
      <c r="O7925" s="20"/>
      <c r="P7925" s="17"/>
      <c r="Q7925" s="22"/>
    </row>
    <row r="7926">
      <c r="O7926" s="20"/>
      <c r="P7926" s="17"/>
      <c r="Q7926" s="22"/>
    </row>
    <row r="7927">
      <c r="O7927" s="20"/>
      <c r="P7927" s="17"/>
      <c r="Q7927" s="22"/>
    </row>
    <row r="7928">
      <c r="O7928" s="20"/>
      <c r="P7928" s="17"/>
      <c r="Q7928" s="22"/>
    </row>
    <row r="7929">
      <c r="O7929" s="20"/>
      <c r="P7929" s="17"/>
      <c r="Q7929" s="22"/>
    </row>
    <row r="7930">
      <c r="O7930" s="20"/>
      <c r="P7930" s="17"/>
      <c r="Q7930" s="22"/>
    </row>
    <row r="7931">
      <c r="O7931" s="20"/>
      <c r="P7931" s="17"/>
      <c r="Q7931" s="22"/>
    </row>
    <row r="7932">
      <c r="O7932" s="20"/>
      <c r="P7932" s="17"/>
      <c r="Q7932" s="22"/>
    </row>
    <row r="7933">
      <c r="O7933" s="20"/>
      <c r="P7933" s="17"/>
      <c r="Q7933" s="22"/>
    </row>
    <row r="7934">
      <c r="O7934" s="20"/>
      <c r="P7934" s="17"/>
      <c r="Q7934" s="22"/>
    </row>
    <row r="7935">
      <c r="O7935" s="20"/>
      <c r="P7935" s="17"/>
      <c r="Q7935" s="22"/>
    </row>
    <row r="7936">
      <c r="O7936" s="20"/>
      <c r="P7936" s="17"/>
      <c r="Q7936" s="22"/>
    </row>
    <row r="7937">
      <c r="O7937" s="20"/>
      <c r="P7937" s="17"/>
      <c r="Q7937" s="22"/>
    </row>
    <row r="7938">
      <c r="O7938" s="20"/>
      <c r="P7938" s="17"/>
      <c r="Q7938" s="22"/>
    </row>
    <row r="7939">
      <c r="O7939" s="20"/>
      <c r="P7939" s="17"/>
      <c r="Q7939" s="22"/>
    </row>
    <row r="7940">
      <c r="O7940" s="20"/>
      <c r="P7940" s="17"/>
      <c r="Q7940" s="22"/>
    </row>
    <row r="7941">
      <c r="O7941" s="20"/>
      <c r="P7941" s="17"/>
      <c r="Q7941" s="22"/>
    </row>
    <row r="7942">
      <c r="O7942" s="20"/>
      <c r="P7942" s="17"/>
      <c r="Q7942" s="22"/>
    </row>
    <row r="7943">
      <c r="O7943" s="20"/>
      <c r="P7943" s="17"/>
      <c r="Q7943" s="22"/>
    </row>
    <row r="7944">
      <c r="O7944" s="20"/>
      <c r="P7944" s="17"/>
      <c r="Q7944" s="22"/>
    </row>
    <row r="7945">
      <c r="O7945" s="20"/>
      <c r="P7945" s="17"/>
      <c r="Q7945" s="22"/>
    </row>
    <row r="7946">
      <c r="O7946" s="20"/>
      <c r="P7946" s="17"/>
      <c r="Q7946" s="22"/>
    </row>
    <row r="7947">
      <c r="O7947" s="20"/>
      <c r="P7947" s="17"/>
      <c r="Q7947" s="22"/>
    </row>
    <row r="7948">
      <c r="O7948" s="20"/>
      <c r="P7948" s="17"/>
      <c r="Q7948" s="22"/>
    </row>
    <row r="7949">
      <c r="O7949" s="20"/>
      <c r="P7949" s="17"/>
      <c r="Q7949" s="22"/>
    </row>
    <row r="7950">
      <c r="O7950" s="20"/>
      <c r="P7950" s="17"/>
      <c r="Q7950" s="22"/>
    </row>
    <row r="7951">
      <c r="O7951" s="20"/>
      <c r="P7951" s="17"/>
      <c r="Q7951" s="22"/>
    </row>
    <row r="7952">
      <c r="O7952" s="20"/>
      <c r="P7952" s="17"/>
      <c r="Q7952" s="22"/>
    </row>
    <row r="7953">
      <c r="O7953" s="20"/>
      <c r="P7953" s="17"/>
      <c r="Q7953" s="22"/>
    </row>
    <row r="7954">
      <c r="O7954" s="20"/>
      <c r="P7954" s="17"/>
      <c r="Q7954" s="22"/>
    </row>
    <row r="7955">
      <c r="O7955" s="20"/>
      <c r="P7955" s="17"/>
      <c r="Q7955" s="22"/>
    </row>
    <row r="7956">
      <c r="O7956" s="20"/>
      <c r="P7956" s="17"/>
      <c r="Q7956" s="22"/>
    </row>
    <row r="7957">
      <c r="O7957" s="20"/>
      <c r="P7957" s="17"/>
      <c r="Q7957" s="22"/>
    </row>
    <row r="7958">
      <c r="O7958" s="20"/>
      <c r="P7958" s="17"/>
      <c r="Q7958" s="22"/>
    </row>
    <row r="7959">
      <c r="O7959" s="20"/>
      <c r="P7959" s="17"/>
      <c r="Q7959" s="22"/>
    </row>
    <row r="7960">
      <c r="O7960" s="20"/>
      <c r="P7960" s="17"/>
      <c r="Q7960" s="22"/>
    </row>
    <row r="7961">
      <c r="O7961" s="20"/>
      <c r="P7961" s="17"/>
      <c r="Q7961" s="22"/>
    </row>
    <row r="7962">
      <c r="O7962" s="20"/>
      <c r="P7962" s="17"/>
      <c r="Q7962" s="22"/>
    </row>
    <row r="7963">
      <c r="O7963" s="20"/>
      <c r="P7963" s="17"/>
      <c r="Q7963" s="22"/>
    </row>
    <row r="7964">
      <c r="O7964" s="20"/>
      <c r="P7964" s="17"/>
      <c r="Q7964" s="22"/>
    </row>
    <row r="7965">
      <c r="O7965" s="20"/>
      <c r="P7965" s="17"/>
      <c r="Q7965" s="22"/>
    </row>
    <row r="7966">
      <c r="O7966" s="20"/>
      <c r="P7966" s="17"/>
      <c r="Q7966" s="22"/>
    </row>
    <row r="7967">
      <c r="O7967" s="20"/>
      <c r="P7967" s="17"/>
      <c r="Q7967" s="22"/>
    </row>
    <row r="7968">
      <c r="O7968" s="20"/>
      <c r="P7968" s="17"/>
      <c r="Q7968" s="22"/>
    </row>
    <row r="7969">
      <c r="O7969" s="20"/>
      <c r="P7969" s="17"/>
      <c r="Q7969" s="22"/>
    </row>
    <row r="7970">
      <c r="O7970" s="20"/>
      <c r="P7970" s="17"/>
      <c r="Q7970" s="22"/>
    </row>
    <row r="7971">
      <c r="O7971" s="20"/>
      <c r="P7971" s="17"/>
      <c r="Q7971" s="22"/>
    </row>
    <row r="7972">
      <c r="O7972" s="20"/>
      <c r="P7972" s="17"/>
      <c r="Q7972" s="22"/>
    </row>
    <row r="7973">
      <c r="O7973" s="20"/>
      <c r="P7973" s="17"/>
      <c r="Q7973" s="22"/>
    </row>
    <row r="7974">
      <c r="O7974" s="20"/>
      <c r="P7974" s="17"/>
      <c r="Q7974" s="22"/>
    </row>
    <row r="7975">
      <c r="O7975" s="20"/>
      <c r="P7975" s="17"/>
      <c r="Q7975" s="22"/>
    </row>
    <row r="7976">
      <c r="O7976" s="20"/>
      <c r="P7976" s="17"/>
      <c r="Q7976" s="22"/>
    </row>
    <row r="7977">
      <c r="O7977" s="20"/>
      <c r="P7977" s="17"/>
      <c r="Q7977" s="22"/>
    </row>
    <row r="7978">
      <c r="O7978" s="20"/>
      <c r="P7978" s="17"/>
      <c r="Q7978" s="22"/>
    </row>
    <row r="7979">
      <c r="O7979" s="20"/>
      <c r="P7979" s="17"/>
      <c r="Q7979" s="22"/>
    </row>
    <row r="7980">
      <c r="O7980" s="20"/>
      <c r="P7980" s="17"/>
      <c r="Q7980" s="22"/>
    </row>
    <row r="7981">
      <c r="O7981" s="20"/>
      <c r="P7981" s="17"/>
      <c r="Q7981" s="22"/>
    </row>
    <row r="7982">
      <c r="O7982" s="20"/>
      <c r="P7982" s="17"/>
      <c r="Q7982" s="22"/>
    </row>
    <row r="7983">
      <c r="O7983" s="20"/>
      <c r="P7983" s="17"/>
      <c r="Q7983" s="22"/>
    </row>
    <row r="7984">
      <c r="O7984" s="20"/>
      <c r="P7984" s="17"/>
      <c r="Q7984" s="22"/>
    </row>
    <row r="7985">
      <c r="O7985" s="20"/>
      <c r="P7985" s="17"/>
      <c r="Q7985" s="22"/>
    </row>
    <row r="7986">
      <c r="O7986" s="20"/>
      <c r="P7986" s="17"/>
      <c r="Q7986" s="22"/>
    </row>
    <row r="7987">
      <c r="O7987" s="20"/>
      <c r="P7987" s="17"/>
      <c r="Q7987" s="22"/>
    </row>
    <row r="7988">
      <c r="O7988" s="20"/>
      <c r="P7988" s="17"/>
      <c r="Q7988" s="22"/>
    </row>
    <row r="7989">
      <c r="O7989" s="20"/>
      <c r="P7989" s="17"/>
      <c r="Q7989" s="22"/>
    </row>
    <row r="7990">
      <c r="O7990" s="20"/>
      <c r="P7990" s="17"/>
      <c r="Q7990" s="22"/>
    </row>
    <row r="7991">
      <c r="O7991" s="20"/>
      <c r="P7991" s="17"/>
      <c r="Q7991" s="22"/>
    </row>
    <row r="7992">
      <c r="O7992" s="20"/>
      <c r="P7992" s="17"/>
      <c r="Q7992" s="22"/>
    </row>
    <row r="7993">
      <c r="O7993" s="20"/>
      <c r="P7993" s="17"/>
      <c r="Q7993" s="22"/>
    </row>
    <row r="7994">
      <c r="O7994" s="20"/>
      <c r="P7994" s="17"/>
      <c r="Q7994" s="22"/>
    </row>
    <row r="7995">
      <c r="O7995" s="20"/>
      <c r="P7995" s="17"/>
      <c r="Q7995" s="22"/>
    </row>
    <row r="7996">
      <c r="O7996" s="20"/>
      <c r="P7996" s="17"/>
      <c r="Q7996" s="22"/>
    </row>
    <row r="7997">
      <c r="O7997" s="20"/>
      <c r="P7997" s="17"/>
      <c r="Q7997" s="22"/>
    </row>
    <row r="7998">
      <c r="O7998" s="20"/>
      <c r="P7998" s="17"/>
      <c r="Q7998" s="22"/>
    </row>
    <row r="7999">
      <c r="O7999" s="20"/>
      <c r="P7999" s="17"/>
      <c r="Q7999" s="22"/>
    </row>
    <row r="8000">
      <c r="O8000" s="20"/>
      <c r="P8000" s="17"/>
      <c r="Q8000" s="22"/>
    </row>
    <row r="8001">
      <c r="O8001" s="20"/>
      <c r="P8001" s="17"/>
      <c r="Q8001" s="22"/>
    </row>
    <row r="8002">
      <c r="O8002" s="20"/>
      <c r="P8002" s="17"/>
      <c r="Q8002" s="22"/>
    </row>
    <row r="8003">
      <c r="O8003" s="20"/>
      <c r="P8003" s="17"/>
      <c r="Q8003" s="22"/>
    </row>
    <row r="8004">
      <c r="O8004" s="20"/>
      <c r="P8004" s="17"/>
      <c r="Q8004" s="22"/>
    </row>
    <row r="8005">
      <c r="O8005" s="20"/>
      <c r="P8005" s="17"/>
      <c r="Q8005" s="22"/>
    </row>
    <row r="8006">
      <c r="O8006" s="20"/>
      <c r="P8006" s="17"/>
      <c r="Q8006" s="22"/>
    </row>
    <row r="8007">
      <c r="O8007" s="20"/>
      <c r="P8007" s="17"/>
      <c r="Q8007" s="22"/>
    </row>
    <row r="8008">
      <c r="O8008" s="20"/>
      <c r="P8008" s="17"/>
      <c r="Q8008" s="22"/>
    </row>
    <row r="8009">
      <c r="O8009" s="20"/>
      <c r="P8009" s="17"/>
      <c r="Q8009" s="22"/>
    </row>
    <row r="8010">
      <c r="O8010" s="20"/>
      <c r="P8010" s="17"/>
      <c r="Q8010" s="22"/>
    </row>
    <row r="8011">
      <c r="O8011" s="20"/>
      <c r="P8011" s="17"/>
      <c r="Q8011" s="22"/>
    </row>
    <row r="8012">
      <c r="O8012" s="20"/>
      <c r="P8012" s="17"/>
      <c r="Q8012" s="22"/>
    </row>
    <row r="8013">
      <c r="O8013" s="20"/>
      <c r="P8013" s="17"/>
      <c r="Q8013" s="22"/>
    </row>
    <row r="8014">
      <c r="O8014" s="20"/>
      <c r="P8014" s="17"/>
      <c r="Q8014" s="22"/>
    </row>
    <row r="8015">
      <c r="O8015" s="20"/>
      <c r="P8015" s="17"/>
      <c r="Q8015" s="22"/>
    </row>
    <row r="8016">
      <c r="O8016" s="20"/>
      <c r="P8016" s="17"/>
      <c r="Q8016" s="22"/>
    </row>
    <row r="8017">
      <c r="O8017" s="20"/>
      <c r="P8017" s="17"/>
      <c r="Q8017" s="22"/>
    </row>
    <row r="8018">
      <c r="O8018" s="20"/>
      <c r="P8018" s="17"/>
      <c r="Q8018" s="22"/>
    </row>
    <row r="8019">
      <c r="O8019" s="20"/>
      <c r="P8019" s="17"/>
      <c r="Q8019" s="22"/>
    </row>
    <row r="8020">
      <c r="O8020" s="20"/>
      <c r="P8020" s="17"/>
      <c r="Q8020" s="22"/>
    </row>
    <row r="8021">
      <c r="O8021" s="20"/>
      <c r="P8021" s="17"/>
      <c r="Q8021" s="22"/>
    </row>
    <row r="8022">
      <c r="O8022" s="20"/>
      <c r="P8022" s="17"/>
      <c r="Q8022" s="22"/>
    </row>
    <row r="8023">
      <c r="O8023" s="20"/>
      <c r="P8023" s="17"/>
      <c r="Q8023" s="22"/>
    </row>
    <row r="8024">
      <c r="O8024" s="20"/>
      <c r="P8024" s="17"/>
      <c r="Q8024" s="22"/>
    </row>
    <row r="8025">
      <c r="O8025" s="20"/>
      <c r="P8025" s="17"/>
      <c r="Q8025" s="22"/>
    </row>
    <row r="8026">
      <c r="O8026" s="20"/>
      <c r="P8026" s="17"/>
      <c r="Q8026" s="22"/>
    </row>
    <row r="8027">
      <c r="O8027" s="20"/>
      <c r="P8027" s="17"/>
      <c r="Q8027" s="22"/>
    </row>
    <row r="8028">
      <c r="O8028" s="20"/>
      <c r="P8028" s="17"/>
      <c r="Q8028" s="22"/>
    </row>
    <row r="8029">
      <c r="O8029" s="20"/>
      <c r="P8029" s="17"/>
      <c r="Q8029" s="22"/>
    </row>
    <row r="8030">
      <c r="O8030" s="20"/>
      <c r="P8030" s="17"/>
      <c r="Q8030" s="22"/>
    </row>
    <row r="8031">
      <c r="O8031" s="20"/>
      <c r="P8031" s="17"/>
      <c r="Q8031" s="22"/>
    </row>
    <row r="8032">
      <c r="O8032" s="20"/>
      <c r="P8032" s="17"/>
      <c r="Q8032" s="22"/>
    </row>
    <row r="8033">
      <c r="O8033" s="20"/>
      <c r="P8033" s="17"/>
      <c r="Q8033" s="22"/>
    </row>
    <row r="8034">
      <c r="O8034" s="20"/>
      <c r="P8034" s="17"/>
      <c r="Q8034" s="22"/>
    </row>
    <row r="8035">
      <c r="O8035" s="20"/>
      <c r="P8035" s="17"/>
      <c r="Q8035" s="22"/>
    </row>
    <row r="8036">
      <c r="O8036" s="20"/>
      <c r="P8036" s="17"/>
      <c r="Q8036" s="22"/>
    </row>
    <row r="8037">
      <c r="O8037" s="20"/>
      <c r="P8037" s="17"/>
      <c r="Q8037" s="22"/>
    </row>
    <row r="8038">
      <c r="O8038" s="20"/>
      <c r="P8038" s="17"/>
      <c r="Q8038" s="22"/>
    </row>
    <row r="8039">
      <c r="O8039" s="20"/>
      <c r="P8039" s="17"/>
      <c r="Q8039" s="22"/>
    </row>
    <row r="8040">
      <c r="O8040" s="20"/>
      <c r="P8040" s="17"/>
      <c r="Q8040" s="22"/>
    </row>
    <row r="8041">
      <c r="O8041" s="20"/>
      <c r="P8041" s="17"/>
      <c r="Q8041" s="22"/>
    </row>
    <row r="8042">
      <c r="O8042" s="20"/>
      <c r="P8042" s="17"/>
      <c r="Q8042" s="22"/>
    </row>
    <row r="8043">
      <c r="O8043" s="20"/>
      <c r="P8043" s="17"/>
      <c r="Q8043" s="22"/>
    </row>
    <row r="8044">
      <c r="O8044" s="20"/>
      <c r="P8044" s="17"/>
      <c r="Q8044" s="22"/>
    </row>
    <row r="8045">
      <c r="O8045" s="20"/>
      <c r="P8045" s="17"/>
      <c r="Q8045" s="22"/>
    </row>
    <row r="8046">
      <c r="O8046" s="20"/>
      <c r="P8046" s="17"/>
      <c r="Q8046" s="22"/>
    </row>
    <row r="8047">
      <c r="O8047" s="20"/>
      <c r="P8047" s="17"/>
      <c r="Q8047" s="22"/>
    </row>
    <row r="8048">
      <c r="O8048" s="20"/>
      <c r="P8048" s="17"/>
      <c r="Q8048" s="22"/>
    </row>
    <row r="8049">
      <c r="O8049" s="20"/>
      <c r="P8049" s="17"/>
      <c r="Q8049" s="22"/>
    </row>
    <row r="8050">
      <c r="O8050" s="20"/>
      <c r="P8050" s="17"/>
      <c r="Q8050" s="22"/>
    </row>
    <row r="8051">
      <c r="O8051" s="20"/>
      <c r="P8051" s="17"/>
      <c r="Q8051" s="22"/>
    </row>
    <row r="8052">
      <c r="O8052" s="20"/>
      <c r="P8052" s="17"/>
      <c r="Q8052" s="22"/>
    </row>
    <row r="8053">
      <c r="O8053" s="20"/>
      <c r="P8053" s="17"/>
      <c r="Q8053" s="22"/>
    </row>
    <row r="8054">
      <c r="O8054" s="20"/>
      <c r="P8054" s="17"/>
      <c r="Q8054" s="22"/>
    </row>
    <row r="8055">
      <c r="O8055" s="20"/>
      <c r="P8055" s="17"/>
      <c r="Q8055" s="22"/>
    </row>
    <row r="8056">
      <c r="O8056" s="20"/>
      <c r="P8056" s="17"/>
      <c r="Q8056" s="22"/>
    </row>
    <row r="8057">
      <c r="O8057" s="20"/>
      <c r="P8057" s="17"/>
      <c r="Q8057" s="22"/>
    </row>
    <row r="8058">
      <c r="O8058" s="20"/>
      <c r="P8058" s="17"/>
      <c r="Q8058" s="22"/>
    </row>
    <row r="8059">
      <c r="O8059" s="20"/>
      <c r="P8059" s="17"/>
      <c r="Q8059" s="22"/>
    </row>
    <row r="8060">
      <c r="O8060" s="20"/>
      <c r="P8060" s="17"/>
      <c r="Q8060" s="22"/>
    </row>
    <row r="8061">
      <c r="O8061" s="20"/>
      <c r="P8061" s="17"/>
      <c r="Q8061" s="22"/>
    </row>
    <row r="8062">
      <c r="O8062" s="20"/>
      <c r="P8062" s="17"/>
      <c r="Q8062" s="22"/>
    </row>
    <row r="8063">
      <c r="O8063" s="20"/>
      <c r="P8063" s="17"/>
      <c r="Q8063" s="22"/>
    </row>
    <row r="8064">
      <c r="O8064" s="20"/>
      <c r="P8064" s="17"/>
      <c r="Q8064" s="22"/>
    </row>
    <row r="8065">
      <c r="O8065" s="20"/>
      <c r="P8065" s="17"/>
      <c r="Q8065" s="22"/>
    </row>
    <row r="8066">
      <c r="O8066" s="20"/>
      <c r="P8066" s="17"/>
      <c r="Q8066" s="22"/>
    </row>
    <row r="8067">
      <c r="O8067" s="20"/>
      <c r="P8067" s="17"/>
      <c r="Q8067" s="22"/>
    </row>
    <row r="8068">
      <c r="O8068" s="20"/>
      <c r="P8068" s="17"/>
      <c r="Q8068" s="22"/>
    </row>
    <row r="8069">
      <c r="O8069" s="20"/>
      <c r="P8069" s="17"/>
      <c r="Q8069" s="22"/>
    </row>
    <row r="8070">
      <c r="O8070" s="20"/>
      <c r="P8070" s="17"/>
      <c r="Q8070" s="22"/>
    </row>
    <row r="8071">
      <c r="O8071" s="20"/>
      <c r="P8071" s="17"/>
      <c r="Q8071" s="22"/>
    </row>
    <row r="8072">
      <c r="O8072" s="20"/>
      <c r="P8072" s="17"/>
      <c r="Q8072" s="22"/>
    </row>
    <row r="8073">
      <c r="O8073" s="20"/>
      <c r="P8073" s="17"/>
      <c r="Q8073" s="22"/>
    </row>
    <row r="8074">
      <c r="O8074" s="20"/>
      <c r="P8074" s="17"/>
      <c r="Q8074" s="22"/>
    </row>
    <row r="8075">
      <c r="O8075" s="20"/>
      <c r="P8075" s="17"/>
      <c r="Q8075" s="22"/>
    </row>
    <row r="8076">
      <c r="O8076" s="20"/>
      <c r="P8076" s="17"/>
      <c r="Q8076" s="22"/>
    </row>
    <row r="8077">
      <c r="O8077" s="20"/>
      <c r="P8077" s="17"/>
      <c r="Q8077" s="22"/>
    </row>
    <row r="8078">
      <c r="O8078" s="20"/>
      <c r="P8078" s="17"/>
      <c r="Q8078" s="22"/>
    </row>
    <row r="8079">
      <c r="O8079" s="20"/>
      <c r="P8079" s="17"/>
      <c r="Q8079" s="22"/>
    </row>
    <row r="8080">
      <c r="O8080" s="20"/>
      <c r="P8080" s="17"/>
      <c r="Q8080" s="22"/>
    </row>
    <row r="8081">
      <c r="O8081" s="20"/>
      <c r="P8081" s="17"/>
      <c r="Q8081" s="22"/>
    </row>
    <row r="8082">
      <c r="O8082" s="20"/>
      <c r="P8082" s="17"/>
      <c r="Q8082" s="22"/>
    </row>
    <row r="8083">
      <c r="O8083" s="20"/>
      <c r="P8083" s="17"/>
      <c r="Q8083" s="22"/>
    </row>
    <row r="8084">
      <c r="O8084" s="20"/>
      <c r="P8084" s="17"/>
      <c r="Q8084" s="22"/>
    </row>
    <row r="8085">
      <c r="O8085" s="20"/>
      <c r="P8085" s="17"/>
      <c r="Q8085" s="22"/>
    </row>
    <row r="8086">
      <c r="O8086" s="20"/>
      <c r="P8086" s="17"/>
      <c r="Q8086" s="22"/>
    </row>
    <row r="8087">
      <c r="O8087" s="20"/>
      <c r="P8087" s="17"/>
      <c r="Q8087" s="22"/>
    </row>
    <row r="8088">
      <c r="O8088" s="20"/>
      <c r="P8088" s="17"/>
      <c r="Q8088" s="22"/>
    </row>
    <row r="8089">
      <c r="O8089" s="20"/>
      <c r="P8089" s="17"/>
      <c r="Q8089" s="22"/>
    </row>
    <row r="8090">
      <c r="O8090" s="20"/>
      <c r="P8090" s="17"/>
      <c r="Q8090" s="22"/>
    </row>
    <row r="8091">
      <c r="O8091" s="20"/>
      <c r="P8091" s="17"/>
      <c r="Q8091" s="22"/>
    </row>
    <row r="8092">
      <c r="O8092" s="20"/>
      <c r="P8092" s="17"/>
      <c r="Q8092" s="22"/>
    </row>
    <row r="8093">
      <c r="O8093" s="20"/>
      <c r="P8093" s="17"/>
      <c r="Q8093" s="22"/>
    </row>
    <row r="8094">
      <c r="O8094" s="20"/>
      <c r="P8094" s="17"/>
      <c r="Q8094" s="22"/>
    </row>
    <row r="8095">
      <c r="O8095" s="20"/>
      <c r="P8095" s="17"/>
      <c r="Q8095" s="22"/>
    </row>
    <row r="8096">
      <c r="O8096" s="20"/>
      <c r="P8096" s="17"/>
      <c r="Q8096" s="22"/>
    </row>
    <row r="8097">
      <c r="O8097" s="20"/>
      <c r="P8097" s="17"/>
      <c r="Q8097" s="22"/>
    </row>
    <row r="8098">
      <c r="O8098" s="20"/>
      <c r="P8098" s="17"/>
      <c r="Q8098" s="22"/>
    </row>
    <row r="8099">
      <c r="O8099" s="20"/>
      <c r="P8099" s="17"/>
      <c r="Q8099" s="22"/>
    </row>
    <row r="8100">
      <c r="O8100" s="20"/>
      <c r="P8100" s="17"/>
      <c r="Q8100" s="22"/>
    </row>
    <row r="8101">
      <c r="O8101" s="20"/>
      <c r="P8101" s="17"/>
      <c r="Q8101" s="22"/>
    </row>
    <row r="8102">
      <c r="O8102" s="20"/>
      <c r="P8102" s="17"/>
      <c r="Q8102" s="22"/>
    </row>
    <row r="8103">
      <c r="O8103" s="20"/>
      <c r="P8103" s="17"/>
      <c r="Q8103" s="22"/>
    </row>
    <row r="8104">
      <c r="O8104" s="20"/>
      <c r="P8104" s="17"/>
      <c r="Q8104" s="22"/>
    </row>
    <row r="8105">
      <c r="O8105" s="20"/>
      <c r="P8105" s="17"/>
      <c r="Q8105" s="22"/>
    </row>
    <row r="8106">
      <c r="O8106" s="20"/>
      <c r="P8106" s="17"/>
      <c r="Q8106" s="22"/>
    </row>
    <row r="8107">
      <c r="O8107" s="20"/>
      <c r="P8107" s="17"/>
      <c r="Q8107" s="22"/>
    </row>
    <row r="8108">
      <c r="O8108" s="20"/>
      <c r="P8108" s="17"/>
      <c r="Q8108" s="22"/>
    </row>
    <row r="8109">
      <c r="O8109" s="20"/>
      <c r="P8109" s="17"/>
      <c r="Q8109" s="22"/>
    </row>
    <row r="8110">
      <c r="O8110" s="20"/>
      <c r="P8110" s="17"/>
      <c r="Q8110" s="22"/>
    </row>
    <row r="8111">
      <c r="O8111" s="20"/>
      <c r="P8111" s="17"/>
      <c r="Q8111" s="22"/>
    </row>
    <row r="8112">
      <c r="O8112" s="20"/>
      <c r="P8112" s="17"/>
      <c r="Q8112" s="22"/>
    </row>
    <row r="8113">
      <c r="O8113" s="20"/>
      <c r="P8113" s="17"/>
      <c r="Q8113" s="22"/>
    </row>
    <row r="8114">
      <c r="O8114" s="20"/>
      <c r="P8114" s="17"/>
      <c r="Q8114" s="22"/>
    </row>
    <row r="8115">
      <c r="O8115" s="20"/>
      <c r="P8115" s="17"/>
      <c r="Q8115" s="22"/>
    </row>
    <row r="8116">
      <c r="O8116" s="20"/>
      <c r="P8116" s="17"/>
      <c r="Q8116" s="22"/>
    </row>
    <row r="8117">
      <c r="O8117" s="20"/>
      <c r="P8117" s="17"/>
      <c r="Q8117" s="22"/>
    </row>
    <row r="8118">
      <c r="O8118" s="20"/>
      <c r="P8118" s="17"/>
      <c r="Q8118" s="22"/>
    </row>
    <row r="8119">
      <c r="O8119" s="20"/>
      <c r="P8119" s="17"/>
      <c r="Q8119" s="22"/>
    </row>
    <row r="8120">
      <c r="O8120" s="20"/>
      <c r="P8120" s="17"/>
      <c r="Q8120" s="22"/>
    </row>
    <row r="8121">
      <c r="O8121" s="20"/>
      <c r="P8121" s="17"/>
      <c r="Q8121" s="22"/>
    </row>
    <row r="8122">
      <c r="O8122" s="20"/>
      <c r="P8122" s="17"/>
      <c r="Q8122" s="22"/>
    </row>
    <row r="8123">
      <c r="O8123" s="20"/>
      <c r="P8123" s="17"/>
      <c r="Q8123" s="22"/>
    </row>
    <row r="8124">
      <c r="O8124" s="20"/>
      <c r="P8124" s="17"/>
      <c r="Q8124" s="22"/>
    </row>
    <row r="8125">
      <c r="O8125" s="20"/>
      <c r="P8125" s="17"/>
      <c r="Q8125" s="22"/>
    </row>
    <row r="8126">
      <c r="O8126" s="20"/>
      <c r="P8126" s="17"/>
      <c r="Q8126" s="22"/>
    </row>
    <row r="8127">
      <c r="O8127" s="20"/>
      <c r="P8127" s="17"/>
      <c r="Q8127" s="22"/>
    </row>
    <row r="8128">
      <c r="O8128" s="20"/>
      <c r="P8128" s="17"/>
      <c r="Q8128" s="22"/>
    </row>
    <row r="8129">
      <c r="O8129" s="20"/>
      <c r="P8129" s="17"/>
      <c r="Q8129" s="22"/>
    </row>
    <row r="8130">
      <c r="O8130" s="20"/>
      <c r="P8130" s="17"/>
      <c r="Q8130" s="22"/>
    </row>
    <row r="8131">
      <c r="O8131" s="20"/>
      <c r="P8131" s="17"/>
      <c r="Q8131" s="22"/>
    </row>
    <row r="8132">
      <c r="O8132" s="20"/>
      <c r="P8132" s="17"/>
      <c r="Q8132" s="22"/>
    </row>
    <row r="8133">
      <c r="O8133" s="20"/>
      <c r="P8133" s="17"/>
      <c r="Q8133" s="22"/>
    </row>
    <row r="8134">
      <c r="O8134" s="20"/>
      <c r="P8134" s="17"/>
      <c r="Q8134" s="22"/>
    </row>
    <row r="8135">
      <c r="O8135" s="20"/>
      <c r="P8135" s="17"/>
      <c r="Q8135" s="22"/>
    </row>
    <row r="8136">
      <c r="O8136" s="20"/>
      <c r="P8136" s="17"/>
      <c r="Q8136" s="22"/>
    </row>
    <row r="8137">
      <c r="O8137" s="20"/>
      <c r="P8137" s="17"/>
      <c r="Q8137" s="22"/>
    </row>
    <row r="8138">
      <c r="O8138" s="20"/>
      <c r="P8138" s="17"/>
      <c r="Q8138" s="22"/>
    </row>
    <row r="8139">
      <c r="O8139" s="20"/>
      <c r="P8139" s="17"/>
      <c r="Q8139" s="22"/>
    </row>
    <row r="8140">
      <c r="O8140" s="20"/>
      <c r="P8140" s="17"/>
      <c r="Q8140" s="22"/>
    </row>
    <row r="8141">
      <c r="O8141" s="20"/>
      <c r="P8141" s="17"/>
      <c r="Q8141" s="22"/>
    </row>
    <row r="8142">
      <c r="O8142" s="20"/>
      <c r="P8142" s="17"/>
      <c r="Q8142" s="22"/>
    </row>
    <row r="8143">
      <c r="O8143" s="20"/>
      <c r="P8143" s="17"/>
      <c r="Q8143" s="22"/>
    </row>
    <row r="8144">
      <c r="O8144" s="20"/>
      <c r="P8144" s="17"/>
      <c r="Q8144" s="22"/>
    </row>
    <row r="8145">
      <c r="O8145" s="20"/>
      <c r="P8145" s="17"/>
      <c r="Q8145" s="22"/>
    </row>
    <row r="8146">
      <c r="O8146" s="20"/>
      <c r="P8146" s="17"/>
      <c r="Q8146" s="22"/>
    </row>
    <row r="8147">
      <c r="O8147" s="20"/>
      <c r="P8147" s="17"/>
      <c r="Q8147" s="22"/>
    </row>
    <row r="8148">
      <c r="O8148" s="20"/>
      <c r="P8148" s="17"/>
      <c r="Q8148" s="22"/>
    </row>
    <row r="8149">
      <c r="O8149" s="20"/>
      <c r="P8149" s="17"/>
      <c r="Q8149" s="22"/>
    </row>
    <row r="8150">
      <c r="O8150" s="20"/>
      <c r="P8150" s="17"/>
      <c r="Q8150" s="22"/>
    </row>
    <row r="8151">
      <c r="O8151" s="20"/>
      <c r="P8151" s="17"/>
      <c r="Q8151" s="22"/>
    </row>
    <row r="8152">
      <c r="O8152" s="20"/>
      <c r="P8152" s="17"/>
      <c r="Q8152" s="22"/>
    </row>
    <row r="8153">
      <c r="O8153" s="20"/>
      <c r="P8153" s="17"/>
      <c r="Q8153" s="22"/>
    </row>
    <row r="8154">
      <c r="O8154" s="20"/>
      <c r="P8154" s="17"/>
      <c r="Q8154" s="22"/>
    </row>
    <row r="8155">
      <c r="O8155" s="20"/>
      <c r="P8155" s="17"/>
      <c r="Q8155" s="22"/>
    </row>
    <row r="8156">
      <c r="O8156" s="20"/>
      <c r="P8156" s="17"/>
      <c r="Q8156" s="22"/>
    </row>
    <row r="8157">
      <c r="O8157" s="20"/>
      <c r="P8157" s="17"/>
      <c r="Q8157" s="22"/>
    </row>
    <row r="8158">
      <c r="O8158" s="20"/>
      <c r="P8158" s="17"/>
      <c r="Q8158" s="22"/>
    </row>
    <row r="8159">
      <c r="O8159" s="20"/>
      <c r="P8159" s="17"/>
      <c r="Q8159" s="22"/>
    </row>
    <row r="8160">
      <c r="O8160" s="20"/>
      <c r="P8160" s="17"/>
      <c r="Q8160" s="22"/>
    </row>
    <row r="8161">
      <c r="O8161" s="20"/>
      <c r="P8161" s="17"/>
      <c r="Q8161" s="22"/>
    </row>
    <row r="8162">
      <c r="O8162" s="20"/>
      <c r="P8162" s="17"/>
      <c r="Q8162" s="22"/>
    </row>
    <row r="8163">
      <c r="O8163" s="20"/>
      <c r="P8163" s="17"/>
      <c r="Q8163" s="22"/>
    </row>
    <row r="8164">
      <c r="O8164" s="20"/>
      <c r="P8164" s="17"/>
      <c r="Q8164" s="22"/>
    </row>
    <row r="8165">
      <c r="O8165" s="20"/>
      <c r="P8165" s="17"/>
      <c r="Q8165" s="22"/>
    </row>
    <row r="8166">
      <c r="O8166" s="20"/>
      <c r="P8166" s="17"/>
      <c r="Q8166" s="22"/>
    </row>
    <row r="8167">
      <c r="O8167" s="20"/>
      <c r="P8167" s="17"/>
      <c r="Q8167" s="22"/>
    </row>
    <row r="8168">
      <c r="O8168" s="20"/>
      <c r="P8168" s="17"/>
      <c r="Q8168" s="22"/>
    </row>
    <row r="8169">
      <c r="O8169" s="20"/>
      <c r="P8169" s="17"/>
      <c r="Q8169" s="22"/>
    </row>
    <row r="8170">
      <c r="O8170" s="20"/>
      <c r="P8170" s="17"/>
      <c r="Q8170" s="22"/>
    </row>
    <row r="8171">
      <c r="O8171" s="20"/>
      <c r="P8171" s="17"/>
      <c r="Q8171" s="22"/>
    </row>
    <row r="8172">
      <c r="O8172" s="20"/>
      <c r="P8172" s="17"/>
      <c r="Q8172" s="22"/>
    </row>
    <row r="8173">
      <c r="O8173" s="20"/>
      <c r="P8173" s="17"/>
      <c r="Q8173" s="22"/>
    </row>
    <row r="8174">
      <c r="O8174" s="20"/>
      <c r="P8174" s="17"/>
      <c r="Q8174" s="22"/>
    </row>
    <row r="8175">
      <c r="O8175" s="20"/>
      <c r="P8175" s="17"/>
      <c r="Q8175" s="22"/>
    </row>
    <row r="8176">
      <c r="O8176" s="20"/>
      <c r="P8176" s="17"/>
      <c r="Q8176" s="22"/>
    </row>
    <row r="8177">
      <c r="O8177" s="20"/>
      <c r="P8177" s="17"/>
      <c r="Q8177" s="22"/>
    </row>
    <row r="8178">
      <c r="O8178" s="20"/>
      <c r="P8178" s="17"/>
      <c r="Q8178" s="22"/>
    </row>
    <row r="8179">
      <c r="O8179" s="20"/>
      <c r="P8179" s="17"/>
      <c r="Q8179" s="22"/>
    </row>
    <row r="8180">
      <c r="O8180" s="20"/>
      <c r="P8180" s="17"/>
      <c r="Q8180" s="22"/>
    </row>
    <row r="8181">
      <c r="O8181" s="20"/>
      <c r="P8181" s="17"/>
      <c r="Q8181" s="22"/>
    </row>
    <row r="8182">
      <c r="O8182" s="20"/>
      <c r="P8182" s="17"/>
      <c r="Q8182" s="22"/>
    </row>
    <row r="8183">
      <c r="O8183" s="20"/>
      <c r="P8183" s="17"/>
      <c r="Q8183" s="22"/>
    </row>
    <row r="8184">
      <c r="O8184" s="20"/>
      <c r="P8184" s="17"/>
      <c r="Q8184" s="22"/>
    </row>
    <row r="8185">
      <c r="O8185" s="20"/>
      <c r="P8185" s="17"/>
      <c r="Q8185" s="22"/>
    </row>
    <row r="8186">
      <c r="O8186" s="20"/>
      <c r="P8186" s="17"/>
      <c r="Q8186" s="22"/>
    </row>
    <row r="8187">
      <c r="O8187" s="20"/>
      <c r="P8187" s="17"/>
      <c r="Q8187" s="22"/>
    </row>
    <row r="8188">
      <c r="O8188" s="20"/>
      <c r="P8188" s="17"/>
      <c r="Q8188" s="22"/>
    </row>
    <row r="8189">
      <c r="O8189" s="20"/>
      <c r="P8189" s="17"/>
      <c r="Q8189" s="22"/>
    </row>
    <row r="8190">
      <c r="O8190" s="20"/>
      <c r="P8190" s="17"/>
      <c r="Q8190" s="22"/>
    </row>
    <row r="8191">
      <c r="O8191" s="20"/>
      <c r="P8191" s="17"/>
      <c r="Q8191" s="22"/>
    </row>
    <row r="8192">
      <c r="O8192" s="20"/>
      <c r="P8192" s="17"/>
      <c r="Q8192" s="22"/>
    </row>
    <row r="8193">
      <c r="O8193" s="20"/>
      <c r="P8193" s="17"/>
      <c r="Q8193" s="22"/>
    </row>
    <row r="8194">
      <c r="O8194" s="20"/>
      <c r="P8194" s="17"/>
      <c r="Q8194" s="22"/>
    </row>
    <row r="8195">
      <c r="O8195" s="20"/>
      <c r="P8195" s="17"/>
      <c r="Q8195" s="22"/>
    </row>
    <row r="8196">
      <c r="O8196" s="20"/>
      <c r="P8196" s="17"/>
      <c r="Q8196" s="22"/>
    </row>
    <row r="8197">
      <c r="O8197" s="20"/>
      <c r="P8197" s="17"/>
      <c r="Q8197" s="22"/>
    </row>
    <row r="8198">
      <c r="O8198" s="20"/>
      <c r="P8198" s="17"/>
      <c r="Q8198" s="22"/>
    </row>
    <row r="8199">
      <c r="O8199" s="20"/>
      <c r="P8199" s="17"/>
      <c r="Q8199" s="22"/>
    </row>
    <row r="8200">
      <c r="O8200" s="20"/>
      <c r="P8200" s="17"/>
      <c r="Q8200" s="22"/>
    </row>
    <row r="8201">
      <c r="O8201" s="20"/>
      <c r="P8201" s="17"/>
      <c r="Q8201" s="22"/>
    </row>
    <row r="8202">
      <c r="O8202" s="20"/>
      <c r="P8202" s="17"/>
      <c r="Q8202" s="22"/>
    </row>
    <row r="8203">
      <c r="O8203" s="20"/>
      <c r="P8203" s="17"/>
      <c r="Q8203" s="22"/>
    </row>
    <row r="8204">
      <c r="O8204" s="20"/>
      <c r="P8204" s="17"/>
      <c r="Q8204" s="22"/>
    </row>
    <row r="8205">
      <c r="O8205" s="20"/>
      <c r="P8205" s="17"/>
      <c r="Q8205" s="22"/>
    </row>
    <row r="8206">
      <c r="O8206" s="20"/>
      <c r="P8206" s="17"/>
      <c r="Q8206" s="22"/>
    </row>
    <row r="8207">
      <c r="O8207" s="20"/>
      <c r="P8207" s="17"/>
      <c r="Q8207" s="22"/>
    </row>
    <row r="8208">
      <c r="O8208" s="20"/>
      <c r="P8208" s="17"/>
      <c r="Q8208" s="22"/>
    </row>
    <row r="8209">
      <c r="O8209" s="20"/>
      <c r="P8209" s="17"/>
      <c r="Q8209" s="22"/>
    </row>
    <row r="8210">
      <c r="O8210" s="20"/>
      <c r="P8210" s="17"/>
      <c r="Q8210" s="22"/>
    </row>
    <row r="8211">
      <c r="O8211" s="20"/>
      <c r="P8211" s="17"/>
      <c r="Q8211" s="22"/>
    </row>
    <row r="8212">
      <c r="O8212" s="20"/>
      <c r="P8212" s="17"/>
      <c r="Q8212" s="22"/>
    </row>
    <row r="8213">
      <c r="O8213" s="20"/>
      <c r="P8213" s="17"/>
      <c r="Q8213" s="22"/>
    </row>
    <row r="8214">
      <c r="O8214" s="20"/>
      <c r="P8214" s="17"/>
      <c r="Q8214" s="22"/>
    </row>
    <row r="8215">
      <c r="O8215" s="20"/>
      <c r="P8215" s="17"/>
      <c r="Q8215" s="22"/>
    </row>
    <row r="8216">
      <c r="O8216" s="20"/>
      <c r="P8216" s="17"/>
      <c r="Q8216" s="22"/>
    </row>
    <row r="8217">
      <c r="O8217" s="20"/>
      <c r="P8217" s="17"/>
      <c r="Q8217" s="22"/>
    </row>
    <row r="8218">
      <c r="O8218" s="20"/>
      <c r="P8218" s="17"/>
      <c r="Q8218" s="22"/>
    </row>
    <row r="8219">
      <c r="O8219" s="20"/>
      <c r="P8219" s="17"/>
      <c r="Q8219" s="22"/>
    </row>
    <row r="8220">
      <c r="O8220" s="20"/>
      <c r="P8220" s="17"/>
      <c r="Q8220" s="22"/>
    </row>
    <row r="8221">
      <c r="O8221" s="20"/>
      <c r="P8221" s="17"/>
      <c r="Q8221" s="22"/>
    </row>
    <row r="8222">
      <c r="O8222" s="20"/>
      <c r="P8222" s="17"/>
      <c r="Q8222" s="22"/>
    </row>
    <row r="8223">
      <c r="O8223" s="20"/>
      <c r="P8223" s="17"/>
      <c r="Q8223" s="22"/>
    </row>
    <row r="8224">
      <c r="O8224" s="20"/>
      <c r="P8224" s="17"/>
      <c r="Q8224" s="22"/>
    </row>
    <row r="8225">
      <c r="O8225" s="20"/>
      <c r="P8225" s="17"/>
      <c r="Q8225" s="22"/>
    </row>
    <row r="8226">
      <c r="O8226" s="20"/>
      <c r="P8226" s="17"/>
      <c r="Q8226" s="22"/>
    </row>
    <row r="8227">
      <c r="O8227" s="20"/>
      <c r="P8227" s="17"/>
      <c r="Q8227" s="22"/>
    </row>
    <row r="8228">
      <c r="O8228" s="20"/>
      <c r="P8228" s="17"/>
      <c r="Q8228" s="22"/>
    </row>
    <row r="8229">
      <c r="O8229" s="20"/>
      <c r="P8229" s="17"/>
      <c r="Q8229" s="22"/>
    </row>
    <row r="8230">
      <c r="O8230" s="20"/>
      <c r="P8230" s="17"/>
      <c r="Q8230" s="22"/>
    </row>
    <row r="8231">
      <c r="O8231" s="20"/>
      <c r="P8231" s="17"/>
      <c r="Q8231" s="22"/>
    </row>
    <row r="8232">
      <c r="O8232" s="20"/>
      <c r="P8232" s="17"/>
      <c r="Q8232" s="22"/>
    </row>
    <row r="8233">
      <c r="O8233" s="20"/>
      <c r="P8233" s="17"/>
      <c r="Q8233" s="22"/>
    </row>
    <row r="8234">
      <c r="O8234" s="20"/>
      <c r="P8234" s="17"/>
      <c r="Q8234" s="22"/>
    </row>
    <row r="8235">
      <c r="O8235" s="20"/>
      <c r="P8235" s="17"/>
      <c r="Q8235" s="22"/>
    </row>
    <row r="8236">
      <c r="O8236" s="20"/>
      <c r="P8236" s="17"/>
      <c r="Q8236" s="22"/>
    </row>
    <row r="8237">
      <c r="O8237" s="20"/>
      <c r="P8237" s="17"/>
      <c r="Q8237" s="22"/>
    </row>
    <row r="8238">
      <c r="O8238" s="20"/>
      <c r="P8238" s="17"/>
      <c r="Q8238" s="22"/>
    </row>
    <row r="8239">
      <c r="O8239" s="20"/>
      <c r="P8239" s="17"/>
      <c r="Q8239" s="22"/>
    </row>
    <row r="8240">
      <c r="O8240" s="20"/>
      <c r="P8240" s="17"/>
      <c r="Q8240" s="22"/>
    </row>
    <row r="8241">
      <c r="O8241" s="20"/>
      <c r="P8241" s="17"/>
      <c r="Q8241" s="22"/>
    </row>
    <row r="8242">
      <c r="O8242" s="20"/>
      <c r="P8242" s="17"/>
      <c r="Q8242" s="22"/>
    </row>
    <row r="8243">
      <c r="O8243" s="20"/>
      <c r="P8243" s="17"/>
      <c r="Q8243" s="22"/>
    </row>
    <row r="8244">
      <c r="O8244" s="20"/>
      <c r="P8244" s="17"/>
      <c r="Q8244" s="22"/>
    </row>
    <row r="8245">
      <c r="O8245" s="20"/>
      <c r="P8245" s="17"/>
      <c r="Q8245" s="22"/>
    </row>
    <row r="8246">
      <c r="O8246" s="20"/>
      <c r="P8246" s="17"/>
      <c r="Q8246" s="22"/>
    </row>
    <row r="8247">
      <c r="O8247" s="20"/>
      <c r="P8247" s="17"/>
      <c r="Q8247" s="22"/>
    </row>
    <row r="8248">
      <c r="O8248" s="20"/>
      <c r="P8248" s="17"/>
      <c r="Q8248" s="22"/>
    </row>
    <row r="8249">
      <c r="O8249" s="20"/>
      <c r="P8249" s="17"/>
      <c r="Q8249" s="22"/>
    </row>
    <row r="8250">
      <c r="O8250" s="20"/>
      <c r="P8250" s="17"/>
      <c r="Q8250" s="22"/>
    </row>
    <row r="8251">
      <c r="O8251" s="20"/>
      <c r="P8251" s="17"/>
      <c r="Q8251" s="22"/>
    </row>
    <row r="8252">
      <c r="O8252" s="20"/>
      <c r="P8252" s="17"/>
      <c r="Q8252" s="22"/>
    </row>
    <row r="8253">
      <c r="O8253" s="20"/>
      <c r="P8253" s="17"/>
      <c r="Q8253" s="22"/>
    </row>
    <row r="8254">
      <c r="O8254" s="20"/>
      <c r="P8254" s="17"/>
      <c r="Q8254" s="22"/>
    </row>
    <row r="8255">
      <c r="O8255" s="20"/>
      <c r="P8255" s="17"/>
      <c r="Q8255" s="22"/>
    </row>
    <row r="8256">
      <c r="O8256" s="20"/>
      <c r="P8256" s="17"/>
      <c r="Q8256" s="22"/>
    </row>
    <row r="8257">
      <c r="O8257" s="20"/>
      <c r="P8257" s="17"/>
      <c r="Q8257" s="22"/>
    </row>
    <row r="8258">
      <c r="O8258" s="20"/>
      <c r="P8258" s="17"/>
      <c r="Q8258" s="22"/>
    </row>
    <row r="8259">
      <c r="O8259" s="20"/>
      <c r="P8259" s="17"/>
      <c r="Q8259" s="22"/>
    </row>
    <row r="8260">
      <c r="O8260" s="20"/>
      <c r="P8260" s="17"/>
      <c r="Q8260" s="22"/>
    </row>
    <row r="8261">
      <c r="O8261" s="20"/>
      <c r="P8261" s="17"/>
      <c r="Q8261" s="22"/>
    </row>
    <row r="8262">
      <c r="O8262" s="20"/>
      <c r="P8262" s="17"/>
      <c r="Q8262" s="22"/>
    </row>
    <row r="8263">
      <c r="O8263" s="20"/>
      <c r="P8263" s="17"/>
      <c r="Q8263" s="22"/>
    </row>
    <row r="8264">
      <c r="O8264" s="20"/>
      <c r="P8264" s="17"/>
      <c r="Q8264" s="22"/>
    </row>
    <row r="8265">
      <c r="O8265" s="20"/>
      <c r="P8265" s="17"/>
      <c r="Q8265" s="22"/>
    </row>
    <row r="8266">
      <c r="O8266" s="20"/>
      <c r="P8266" s="17"/>
      <c r="Q8266" s="22"/>
    </row>
    <row r="8267">
      <c r="O8267" s="20"/>
      <c r="P8267" s="17"/>
      <c r="Q8267" s="22"/>
    </row>
    <row r="8268">
      <c r="O8268" s="20"/>
      <c r="P8268" s="17"/>
      <c r="Q8268" s="22"/>
    </row>
    <row r="8269">
      <c r="O8269" s="20"/>
      <c r="P8269" s="17"/>
      <c r="Q8269" s="22"/>
    </row>
    <row r="8270">
      <c r="O8270" s="20"/>
      <c r="P8270" s="17"/>
      <c r="Q8270" s="22"/>
    </row>
    <row r="8271">
      <c r="O8271" s="20"/>
      <c r="P8271" s="17"/>
      <c r="Q8271" s="22"/>
    </row>
    <row r="8272">
      <c r="O8272" s="20"/>
      <c r="P8272" s="17"/>
      <c r="Q8272" s="22"/>
    </row>
    <row r="8273">
      <c r="O8273" s="20"/>
      <c r="P8273" s="17"/>
      <c r="Q8273" s="22"/>
    </row>
    <row r="8274">
      <c r="O8274" s="20"/>
      <c r="P8274" s="17"/>
      <c r="Q8274" s="22"/>
    </row>
    <row r="8275">
      <c r="O8275" s="20"/>
      <c r="P8275" s="17"/>
      <c r="Q8275" s="22"/>
    </row>
    <row r="8276">
      <c r="O8276" s="20"/>
      <c r="P8276" s="17"/>
      <c r="Q8276" s="22"/>
    </row>
    <row r="8277">
      <c r="O8277" s="20"/>
      <c r="P8277" s="17"/>
      <c r="Q8277" s="22"/>
    </row>
    <row r="8278">
      <c r="O8278" s="20"/>
      <c r="P8278" s="17"/>
      <c r="Q8278" s="22"/>
    </row>
    <row r="8279">
      <c r="O8279" s="20"/>
      <c r="P8279" s="17"/>
      <c r="Q8279" s="22"/>
    </row>
    <row r="8280">
      <c r="O8280" s="20"/>
      <c r="P8280" s="17"/>
      <c r="Q8280" s="22"/>
    </row>
    <row r="8281">
      <c r="O8281" s="20"/>
      <c r="P8281" s="17"/>
      <c r="Q8281" s="22"/>
    </row>
    <row r="8282">
      <c r="O8282" s="20"/>
      <c r="P8282" s="17"/>
      <c r="Q8282" s="22"/>
    </row>
    <row r="8283">
      <c r="O8283" s="20"/>
      <c r="P8283" s="17"/>
      <c r="Q8283" s="22"/>
    </row>
    <row r="8284">
      <c r="O8284" s="20"/>
      <c r="P8284" s="17"/>
      <c r="Q8284" s="22"/>
    </row>
    <row r="8285">
      <c r="O8285" s="20"/>
      <c r="P8285" s="17"/>
      <c r="Q8285" s="22"/>
    </row>
    <row r="8286">
      <c r="O8286" s="20"/>
      <c r="P8286" s="17"/>
      <c r="Q8286" s="22"/>
    </row>
    <row r="8287">
      <c r="O8287" s="20"/>
      <c r="P8287" s="17"/>
      <c r="Q8287" s="22"/>
    </row>
    <row r="8288">
      <c r="O8288" s="20"/>
      <c r="P8288" s="17"/>
      <c r="Q8288" s="22"/>
    </row>
    <row r="8289">
      <c r="O8289" s="20"/>
      <c r="P8289" s="17"/>
      <c r="Q8289" s="22"/>
    </row>
    <row r="8290">
      <c r="O8290" s="20"/>
      <c r="P8290" s="17"/>
      <c r="Q8290" s="22"/>
    </row>
    <row r="8291">
      <c r="O8291" s="20"/>
      <c r="P8291" s="17"/>
      <c r="Q8291" s="22"/>
    </row>
    <row r="8292">
      <c r="O8292" s="20"/>
      <c r="P8292" s="17"/>
      <c r="Q8292" s="22"/>
    </row>
    <row r="8293">
      <c r="O8293" s="20"/>
      <c r="P8293" s="17"/>
      <c r="Q8293" s="22"/>
    </row>
    <row r="8294">
      <c r="O8294" s="20"/>
      <c r="P8294" s="17"/>
      <c r="Q8294" s="22"/>
    </row>
    <row r="8295">
      <c r="O8295" s="20"/>
      <c r="P8295" s="17"/>
      <c r="Q8295" s="22"/>
    </row>
    <row r="8296">
      <c r="O8296" s="20"/>
      <c r="P8296" s="17"/>
      <c r="Q8296" s="22"/>
    </row>
    <row r="8297">
      <c r="O8297" s="20"/>
      <c r="P8297" s="17"/>
      <c r="Q8297" s="22"/>
    </row>
    <row r="8298">
      <c r="O8298" s="20"/>
      <c r="P8298" s="17"/>
      <c r="Q8298" s="22"/>
    </row>
    <row r="8299">
      <c r="O8299" s="20"/>
      <c r="P8299" s="17"/>
      <c r="Q8299" s="22"/>
    </row>
    <row r="8300">
      <c r="O8300" s="20"/>
      <c r="P8300" s="17"/>
      <c r="Q8300" s="22"/>
    </row>
    <row r="8301">
      <c r="O8301" s="20"/>
      <c r="P8301" s="17"/>
      <c r="Q8301" s="22"/>
    </row>
    <row r="8302">
      <c r="O8302" s="20"/>
      <c r="P8302" s="17"/>
      <c r="Q8302" s="22"/>
    </row>
    <row r="8303">
      <c r="O8303" s="20"/>
      <c r="P8303" s="17"/>
      <c r="Q8303" s="22"/>
    </row>
    <row r="8304">
      <c r="O8304" s="20"/>
      <c r="P8304" s="17"/>
      <c r="Q8304" s="22"/>
    </row>
    <row r="8305">
      <c r="O8305" s="20"/>
      <c r="P8305" s="17"/>
      <c r="Q8305" s="22"/>
    </row>
    <row r="8306">
      <c r="O8306" s="20"/>
      <c r="P8306" s="17"/>
      <c r="Q8306" s="22"/>
    </row>
    <row r="8307">
      <c r="O8307" s="20"/>
      <c r="P8307" s="17"/>
      <c r="Q8307" s="22"/>
    </row>
    <row r="8308">
      <c r="O8308" s="20"/>
      <c r="P8308" s="17"/>
      <c r="Q8308" s="22"/>
    </row>
    <row r="8309">
      <c r="O8309" s="20"/>
      <c r="P8309" s="17"/>
      <c r="Q8309" s="22"/>
    </row>
    <row r="8310">
      <c r="O8310" s="20"/>
      <c r="P8310" s="17"/>
      <c r="Q8310" s="22"/>
    </row>
    <row r="8311">
      <c r="O8311" s="20"/>
      <c r="P8311" s="17"/>
      <c r="Q8311" s="22"/>
    </row>
    <row r="8312">
      <c r="O8312" s="20"/>
      <c r="P8312" s="17"/>
      <c r="Q8312" s="22"/>
    </row>
    <row r="8313">
      <c r="O8313" s="20"/>
      <c r="P8313" s="17"/>
      <c r="Q8313" s="22"/>
    </row>
    <row r="8314">
      <c r="O8314" s="20"/>
      <c r="P8314" s="17"/>
      <c r="Q8314" s="22"/>
    </row>
    <row r="8315">
      <c r="O8315" s="20"/>
      <c r="P8315" s="17"/>
      <c r="Q8315" s="22"/>
    </row>
    <row r="8316">
      <c r="O8316" s="20"/>
      <c r="P8316" s="17"/>
      <c r="Q8316" s="22"/>
    </row>
    <row r="8317">
      <c r="O8317" s="20"/>
      <c r="P8317" s="17"/>
      <c r="Q8317" s="22"/>
    </row>
    <row r="8318">
      <c r="O8318" s="20"/>
      <c r="P8318" s="17"/>
      <c r="Q8318" s="22"/>
    </row>
    <row r="8319">
      <c r="O8319" s="20"/>
      <c r="P8319" s="17"/>
      <c r="Q8319" s="22"/>
    </row>
    <row r="8320">
      <c r="O8320" s="20"/>
      <c r="P8320" s="17"/>
      <c r="Q8320" s="22"/>
    </row>
    <row r="8321">
      <c r="O8321" s="20"/>
      <c r="P8321" s="17"/>
      <c r="Q8321" s="22"/>
    </row>
    <row r="8322">
      <c r="O8322" s="20"/>
      <c r="P8322" s="17"/>
      <c r="Q8322" s="22"/>
    </row>
    <row r="8323">
      <c r="O8323" s="20"/>
      <c r="P8323" s="17"/>
      <c r="Q8323" s="22"/>
    </row>
    <row r="8324">
      <c r="O8324" s="20"/>
      <c r="P8324" s="17"/>
      <c r="Q8324" s="22"/>
    </row>
    <row r="8325">
      <c r="O8325" s="20"/>
      <c r="P8325" s="17"/>
      <c r="Q8325" s="22"/>
    </row>
    <row r="8326">
      <c r="O8326" s="20"/>
      <c r="P8326" s="17"/>
      <c r="Q8326" s="22"/>
    </row>
    <row r="8327">
      <c r="O8327" s="20"/>
      <c r="P8327" s="17"/>
      <c r="Q8327" s="22"/>
    </row>
    <row r="8328">
      <c r="O8328" s="20"/>
      <c r="P8328" s="17"/>
      <c r="Q8328" s="22"/>
    </row>
    <row r="8329">
      <c r="O8329" s="20"/>
      <c r="P8329" s="17"/>
      <c r="Q8329" s="22"/>
    </row>
    <row r="8330">
      <c r="O8330" s="20"/>
      <c r="P8330" s="17"/>
      <c r="Q8330" s="22"/>
    </row>
    <row r="8331">
      <c r="O8331" s="20"/>
      <c r="P8331" s="17"/>
      <c r="Q8331" s="22"/>
    </row>
    <row r="8332">
      <c r="O8332" s="20"/>
      <c r="P8332" s="17"/>
      <c r="Q8332" s="22"/>
    </row>
    <row r="8333">
      <c r="O8333" s="20"/>
      <c r="P8333" s="17"/>
      <c r="Q8333" s="22"/>
    </row>
    <row r="8334">
      <c r="O8334" s="20"/>
      <c r="P8334" s="17"/>
      <c r="Q8334" s="22"/>
    </row>
    <row r="8335">
      <c r="O8335" s="20"/>
      <c r="P8335" s="17"/>
      <c r="Q8335" s="22"/>
    </row>
    <row r="8336">
      <c r="O8336" s="20"/>
      <c r="P8336" s="17"/>
      <c r="Q8336" s="22"/>
    </row>
    <row r="8337">
      <c r="O8337" s="20"/>
      <c r="P8337" s="17"/>
      <c r="Q8337" s="22"/>
    </row>
    <row r="8338">
      <c r="O8338" s="20"/>
      <c r="P8338" s="17"/>
      <c r="Q8338" s="22"/>
    </row>
    <row r="8339">
      <c r="O8339" s="20"/>
      <c r="P8339" s="17"/>
      <c r="Q8339" s="22"/>
    </row>
    <row r="8340">
      <c r="O8340" s="20"/>
      <c r="P8340" s="17"/>
      <c r="Q8340" s="22"/>
    </row>
    <row r="8341">
      <c r="O8341" s="20"/>
      <c r="P8341" s="17"/>
      <c r="Q8341" s="22"/>
    </row>
    <row r="8342">
      <c r="O8342" s="20"/>
      <c r="P8342" s="17"/>
      <c r="Q8342" s="22"/>
    </row>
    <row r="8343">
      <c r="O8343" s="20"/>
      <c r="P8343" s="17"/>
      <c r="Q8343" s="22"/>
    </row>
    <row r="8344">
      <c r="O8344" s="20"/>
      <c r="P8344" s="17"/>
      <c r="Q8344" s="22"/>
    </row>
    <row r="8345">
      <c r="O8345" s="20"/>
      <c r="P8345" s="17"/>
      <c r="Q8345" s="22"/>
    </row>
    <row r="8346">
      <c r="O8346" s="20"/>
      <c r="P8346" s="17"/>
      <c r="Q8346" s="22"/>
    </row>
    <row r="8347">
      <c r="O8347" s="20"/>
      <c r="P8347" s="17"/>
      <c r="Q8347" s="22"/>
    </row>
    <row r="8348">
      <c r="O8348" s="20"/>
      <c r="P8348" s="17"/>
      <c r="Q8348" s="22"/>
    </row>
    <row r="8349">
      <c r="O8349" s="20"/>
      <c r="P8349" s="17"/>
      <c r="Q8349" s="22"/>
    </row>
    <row r="8350">
      <c r="O8350" s="20"/>
      <c r="P8350" s="17"/>
      <c r="Q8350" s="22"/>
    </row>
    <row r="8351">
      <c r="O8351" s="20"/>
      <c r="P8351" s="17"/>
      <c r="Q8351" s="22"/>
    </row>
    <row r="8352">
      <c r="O8352" s="20"/>
      <c r="P8352" s="17"/>
      <c r="Q8352" s="22"/>
    </row>
    <row r="8353">
      <c r="O8353" s="20"/>
      <c r="P8353" s="17"/>
      <c r="Q8353" s="22"/>
    </row>
    <row r="8354">
      <c r="O8354" s="20"/>
      <c r="P8354" s="17"/>
      <c r="Q8354" s="22"/>
    </row>
    <row r="8355">
      <c r="O8355" s="20"/>
      <c r="P8355" s="17"/>
      <c r="Q8355" s="22"/>
    </row>
    <row r="8356">
      <c r="O8356" s="20"/>
      <c r="P8356" s="17"/>
      <c r="Q8356" s="22"/>
    </row>
    <row r="8357">
      <c r="O8357" s="20"/>
      <c r="P8357" s="17"/>
      <c r="Q8357" s="22"/>
    </row>
    <row r="8358">
      <c r="O8358" s="20"/>
      <c r="P8358" s="17"/>
      <c r="Q8358" s="22"/>
    </row>
    <row r="8359">
      <c r="O8359" s="20"/>
      <c r="P8359" s="17"/>
      <c r="Q8359" s="22"/>
    </row>
    <row r="8360">
      <c r="O8360" s="20"/>
      <c r="P8360" s="17"/>
      <c r="Q8360" s="22"/>
    </row>
    <row r="8361">
      <c r="O8361" s="20"/>
      <c r="P8361" s="17"/>
      <c r="Q8361" s="22"/>
    </row>
    <row r="8362">
      <c r="O8362" s="20"/>
      <c r="P8362" s="17"/>
      <c r="Q8362" s="22"/>
    </row>
    <row r="8363">
      <c r="O8363" s="20"/>
      <c r="P8363" s="17"/>
      <c r="Q8363" s="22"/>
    </row>
    <row r="8364">
      <c r="O8364" s="20"/>
      <c r="P8364" s="17"/>
      <c r="Q8364" s="22"/>
    </row>
    <row r="8365">
      <c r="O8365" s="20"/>
      <c r="P8365" s="17"/>
      <c r="Q8365" s="22"/>
    </row>
    <row r="8366">
      <c r="O8366" s="20"/>
      <c r="P8366" s="17"/>
      <c r="Q8366" s="22"/>
    </row>
    <row r="8367">
      <c r="O8367" s="20"/>
      <c r="P8367" s="17"/>
      <c r="Q8367" s="22"/>
    </row>
    <row r="8368">
      <c r="O8368" s="20"/>
      <c r="P8368" s="17"/>
      <c r="Q8368" s="22"/>
    </row>
    <row r="8369">
      <c r="O8369" s="20"/>
      <c r="P8369" s="17"/>
      <c r="Q8369" s="22"/>
    </row>
    <row r="8370">
      <c r="O8370" s="20"/>
      <c r="P8370" s="17"/>
      <c r="Q8370" s="22"/>
    </row>
    <row r="8371">
      <c r="O8371" s="20"/>
      <c r="P8371" s="17"/>
      <c r="Q8371" s="22"/>
    </row>
    <row r="8372">
      <c r="O8372" s="20"/>
      <c r="P8372" s="17"/>
      <c r="Q8372" s="22"/>
    </row>
    <row r="8373">
      <c r="O8373" s="20"/>
      <c r="P8373" s="17"/>
      <c r="Q8373" s="22"/>
    </row>
    <row r="8374">
      <c r="O8374" s="20"/>
      <c r="P8374" s="17"/>
      <c r="Q8374" s="22"/>
    </row>
    <row r="8375">
      <c r="O8375" s="20"/>
      <c r="P8375" s="17"/>
      <c r="Q8375" s="22"/>
    </row>
    <row r="8376">
      <c r="O8376" s="20"/>
      <c r="P8376" s="17"/>
      <c r="Q8376" s="22"/>
    </row>
    <row r="8377">
      <c r="O8377" s="20"/>
      <c r="P8377" s="17"/>
      <c r="Q8377" s="22"/>
    </row>
    <row r="8378">
      <c r="O8378" s="20"/>
      <c r="P8378" s="17"/>
      <c r="Q8378" s="22"/>
    </row>
    <row r="8379">
      <c r="O8379" s="20"/>
      <c r="P8379" s="17"/>
      <c r="Q8379" s="22"/>
    </row>
    <row r="8380">
      <c r="O8380" s="20"/>
      <c r="P8380" s="17"/>
      <c r="Q8380" s="22"/>
    </row>
    <row r="8381">
      <c r="O8381" s="20"/>
      <c r="P8381" s="17"/>
      <c r="Q8381" s="22"/>
    </row>
    <row r="8382">
      <c r="O8382" s="20"/>
      <c r="P8382" s="17"/>
      <c r="Q8382" s="22"/>
    </row>
    <row r="8383">
      <c r="O8383" s="20"/>
      <c r="P8383" s="17"/>
      <c r="Q8383" s="22"/>
    </row>
    <row r="8384">
      <c r="O8384" s="20"/>
      <c r="P8384" s="17"/>
      <c r="Q8384" s="22"/>
    </row>
    <row r="8385">
      <c r="O8385" s="20"/>
      <c r="P8385" s="17"/>
      <c r="Q8385" s="22"/>
    </row>
    <row r="8386">
      <c r="O8386" s="20"/>
      <c r="P8386" s="17"/>
      <c r="Q8386" s="22"/>
    </row>
    <row r="8387">
      <c r="O8387" s="20"/>
      <c r="P8387" s="17"/>
      <c r="Q8387" s="22"/>
    </row>
    <row r="8388">
      <c r="O8388" s="20"/>
      <c r="P8388" s="17"/>
      <c r="Q8388" s="22"/>
    </row>
    <row r="8389">
      <c r="O8389" s="20"/>
      <c r="P8389" s="17"/>
      <c r="Q8389" s="22"/>
    </row>
    <row r="8390">
      <c r="O8390" s="20"/>
      <c r="P8390" s="17"/>
      <c r="Q8390" s="22"/>
    </row>
    <row r="8391">
      <c r="O8391" s="20"/>
      <c r="P8391" s="17"/>
      <c r="Q8391" s="22"/>
    </row>
    <row r="8392">
      <c r="O8392" s="20"/>
      <c r="P8392" s="17"/>
      <c r="Q8392" s="22"/>
    </row>
    <row r="8393">
      <c r="O8393" s="20"/>
      <c r="P8393" s="17"/>
      <c r="Q8393" s="22"/>
    </row>
    <row r="8394">
      <c r="O8394" s="20"/>
      <c r="P8394" s="17"/>
      <c r="Q8394" s="22"/>
    </row>
    <row r="8395">
      <c r="O8395" s="20"/>
      <c r="P8395" s="17"/>
      <c r="Q8395" s="22"/>
    </row>
    <row r="8396">
      <c r="O8396" s="20"/>
      <c r="P8396" s="17"/>
      <c r="Q8396" s="22"/>
    </row>
    <row r="8397">
      <c r="O8397" s="20"/>
      <c r="P8397" s="17"/>
      <c r="Q8397" s="22"/>
    </row>
    <row r="8398">
      <c r="O8398" s="20"/>
      <c r="P8398" s="17"/>
      <c r="Q8398" s="22"/>
    </row>
    <row r="8399">
      <c r="O8399" s="20"/>
      <c r="P8399" s="17"/>
      <c r="Q8399" s="22"/>
    </row>
    <row r="8400">
      <c r="O8400" s="20"/>
      <c r="P8400" s="17"/>
      <c r="Q8400" s="22"/>
    </row>
    <row r="8401">
      <c r="O8401" s="20"/>
      <c r="P8401" s="17"/>
      <c r="Q8401" s="22"/>
    </row>
    <row r="8402">
      <c r="O8402" s="20"/>
      <c r="P8402" s="17"/>
      <c r="Q8402" s="22"/>
    </row>
    <row r="8403">
      <c r="O8403" s="20"/>
      <c r="P8403" s="17"/>
      <c r="Q8403" s="22"/>
    </row>
    <row r="8404">
      <c r="O8404" s="20"/>
      <c r="P8404" s="17"/>
      <c r="Q8404" s="22"/>
    </row>
    <row r="8405">
      <c r="O8405" s="20"/>
      <c r="P8405" s="17"/>
      <c r="Q8405" s="22"/>
    </row>
    <row r="8406">
      <c r="O8406" s="20"/>
      <c r="P8406" s="17"/>
      <c r="Q8406" s="22"/>
    </row>
    <row r="8407">
      <c r="O8407" s="20"/>
      <c r="P8407" s="17"/>
      <c r="Q8407" s="22"/>
    </row>
    <row r="8408">
      <c r="O8408" s="20"/>
      <c r="P8408" s="17"/>
      <c r="Q8408" s="22"/>
    </row>
    <row r="8409">
      <c r="O8409" s="20"/>
      <c r="P8409" s="17"/>
      <c r="Q8409" s="22"/>
    </row>
    <row r="8410">
      <c r="O8410" s="20"/>
      <c r="P8410" s="17"/>
      <c r="Q8410" s="22"/>
    </row>
    <row r="8411">
      <c r="O8411" s="20"/>
      <c r="P8411" s="17"/>
      <c r="Q8411" s="22"/>
    </row>
    <row r="8412">
      <c r="O8412" s="20"/>
      <c r="P8412" s="17"/>
      <c r="Q8412" s="22"/>
    </row>
    <row r="8413">
      <c r="O8413" s="20"/>
      <c r="P8413" s="17"/>
      <c r="Q8413" s="22"/>
    </row>
    <row r="8414">
      <c r="O8414" s="20"/>
      <c r="P8414" s="17"/>
      <c r="Q8414" s="22"/>
    </row>
    <row r="8415">
      <c r="O8415" s="20"/>
      <c r="P8415" s="17"/>
      <c r="Q8415" s="22"/>
    </row>
    <row r="8416">
      <c r="O8416" s="20"/>
      <c r="P8416" s="17"/>
      <c r="Q8416" s="22"/>
    </row>
    <row r="8417">
      <c r="O8417" s="20"/>
      <c r="P8417" s="17"/>
      <c r="Q8417" s="22"/>
    </row>
    <row r="8418">
      <c r="O8418" s="20"/>
      <c r="P8418" s="17"/>
      <c r="Q8418" s="22"/>
    </row>
    <row r="8419">
      <c r="O8419" s="20"/>
      <c r="P8419" s="17"/>
      <c r="Q8419" s="22"/>
    </row>
    <row r="8420">
      <c r="O8420" s="20"/>
      <c r="P8420" s="17"/>
      <c r="Q8420" s="22"/>
    </row>
    <row r="8421">
      <c r="O8421" s="20"/>
      <c r="P8421" s="17"/>
      <c r="Q8421" s="22"/>
    </row>
    <row r="8422">
      <c r="O8422" s="20"/>
      <c r="P8422" s="17"/>
      <c r="Q8422" s="22"/>
    </row>
    <row r="8423">
      <c r="O8423" s="20"/>
      <c r="P8423" s="17"/>
      <c r="Q8423" s="22"/>
    </row>
    <row r="8424">
      <c r="O8424" s="20"/>
      <c r="P8424" s="17"/>
      <c r="Q8424" s="22"/>
    </row>
    <row r="8425">
      <c r="O8425" s="20"/>
      <c r="P8425" s="17"/>
      <c r="Q8425" s="22"/>
    </row>
    <row r="8426">
      <c r="O8426" s="20"/>
      <c r="P8426" s="17"/>
      <c r="Q8426" s="22"/>
    </row>
    <row r="8427">
      <c r="O8427" s="20"/>
      <c r="P8427" s="17"/>
      <c r="Q8427" s="22"/>
    </row>
    <row r="8428">
      <c r="O8428" s="20"/>
      <c r="P8428" s="17"/>
      <c r="Q8428" s="22"/>
    </row>
    <row r="8429">
      <c r="O8429" s="20"/>
      <c r="P8429" s="17"/>
      <c r="Q8429" s="22"/>
    </row>
    <row r="8430">
      <c r="O8430" s="20"/>
      <c r="P8430" s="17"/>
      <c r="Q8430" s="22"/>
    </row>
    <row r="8431">
      <c r="O8431" s="20"/>
      <c r="P8431" s="17"/>
      <c r="Q8431" s="22"/>
    </row>
    <row r="8432">
      <c r="O8432" s="20"/>
      <c r="P8432" s="17"/>
      <c r="Q8432" s="22"/>
    </row>
    <row r="8433">
      <c r="O8433" s="20"/>
      <c r="P8433" s="17"/>
      <c r="Q8433" s="22"/>
    </row>
    <row r="8434">
      <c r="O8434" s="20"/>
      <c r="P8434" s="17"/>
      <c r="Q8434" s="22"/>
    </row>
    <row r="8435">
      <c r="O8435" s="20"/>
      <c r="P8435" s="17"/>
      <c r="Q8435" s="22"/>
    </row>
    <row r="8436">
      <c r="O8436" s="20"/>
      <c r="P8436" s="17"/>
      <c r="Q8436" s="22"/>
    </row>
    <row r="8437">
      <c r="O8437" s="20"/>
      <c r="P8437" s="17"/>
      <c r="Q8437" s="22"/>
    </row>
    <row r="8438">
      <c r="O8438" s="20"/>
      <c r="P8438" s="17"/>
      <c r="Q8438" s="22"/>
    </row>
    <row r="8439">
      <c r="O8439" s="20"/>
      <c r="P8439" s="17"/>
      <c r="Q8439" s="22"/>
    </row>
    <row r="8440">
      <c r="O8440" s="20"/>
      <c r="P8440" s="17"/>
      <c r="Q8440" s="22"/>
    </row>
    <row r="8441">
      <c r="O8441" s="20"/>
      <c r="P8441" s="17"/>
      <c r="Q8441" s="22"/>
    </row>
    <row r="8442">
      <c r="O8442" s="20"/>
      <c r="P8442" s="17"/>
      <c r="Q8442" s="22"/>
    </row>
    <row r="8443">
      <c r="O8443" s="20"/>
      <c r="P8443" s="17"/>
      <c r="Q8443" s="22"/>
    </row>
    <row r="8444">
      <c r="O8444" s="20"/>
      <c r="P8444" s="17"/>
      <c r="Q8444" s="22"/>
    </row>
    <row r="8445">
      <c r="O8445" s="20"/>
      <c r="P8445" s="17"/>
      <c r="Q8445" s="22"/>
    </row>
    <row r="8446">
      <c r="O8446" s="20"/>
      <c r="P8446" s="17"/>
      <c r="Q8446" s="22"/>
    </row>
    <row r="8447">
      <c r="O8447" s="20"/>
      <c r="P8447" s="17"/>
      <c r="Q8447" s="22"/>
    </row>
    <row r="8448">
      <c r="O8448" s="20"/>
      <c r="P8448" s="17"/>
      <c r="Q8448" s="22"/>
    </row>
    <row r="8449">
      <c r="O8449" s="20"/>
      <c r="P8449" s="17"/>
      <c r="Q8449" s="22"/>
    </row>
    <row r="8450">
      <c r="O8450" s="20"/>
      <c r="P8450" s="17"/>
      <c r="Q8450" s="22"/>
    </row>
    <row r="8451">
      <c r="O8451" s="20"/>
      <c r="P8451" s="17"/>
      <c r="Q8451" s="22"/>
    </row>
    <row r="8452">
      <c r="O8452" s="20"/>
      <c r="P8452" s="17"/>
      <c r="Q8452" s="22"/>
    </row>
    <row r="8453">
      <c r="O8453" s="20"/>
      <c r="P8453" s="17"/>
      <c r="Q8453" s="22"/>
    </row>
    <row r="8454">
      <c r="O8454" s="20"/>
      <c r="P8454" s="17"/>
      <c r="Q8454" s="22"/>
    </row>
    <row r="8455">
      <c r="O8455" s="20"/>
      <c r="P8455" s="17"/>
      <c r="Q8455" s="22"/>
    </row>
    <row r="8456">
      <c r="O8456" s="20"/>
      <c r="P8456" s="17"/>
      <c r="Q8456" s="22"/>
    </row>
    <row r="8457">
      <c r="O8457" s="20"/>
      <c r="P8457" s="17"/>
      <c r="Q8457" s="22"/>
    </row>
    <row r="8458">
      <c r="O8458" s="20"/>
      <c r="P8458" s="17"/>
      <c r="Q8458" s="22"/>
    </row>
    <row r="8459">
      <c r="O8459" s="20"/>
      <c r="P8459" s="17"/>
      <c r="Q8459" s="22"/>
    </row>
    <row r="8460">
      <c r="O8460" s="20"/>
      <c r="P8460" s="17"/>
      <c r="Q8460" s="22"/>
    </row>
    <row r="8461">
      <c r="O8461" s="20"/>
      <c r="P8461" s="17"/>
      <c r="Q8461" s="22"/>
    </row>
    <row r="8462">
      <c r="O8462" s="20"/>
      <c r="P8462" s="17"/>
      <c r="Q8462" s="22"/>
    </row>
    <row r="8463">
      <c r="O8463" s="20"/>
      <c r="P8463" s="17"/>
      <c r="Q8463" s="22"/>
    </row>
    <row r="8464">
      <c r="O8464" s="20"/>
      <c r="P8464" s="17"/>
      <c r="Q8464" s="22"/>
    </row>
    <row r="8465">
      <c r="O8465" s="20"/>
      <c r="P8465" s="17"/>
      <c r="Q8465" s="22"/>
    </row>
    <row r="8466">
      <c r="O8466" s="20"/>
      <c r="P8466" s="17"/>
      <c r="Q8466" s="22"/>
    </row>
    <row r="8467">
      <c r="O8467" s="20"/>
      <c r="P8467" s="17"/>
      <c r="Q8467" s="22"/>
    </row>
    <row r="8468">
      <c r="O8468" s="20"/>
      <c r="P8468" s="17"/>
      <c r="Q8468" s="22"/>
    </row>
    <row r="8469">
      <c r="O8469" s="20"/>
      <c r="P8469" s="17"/>
      <c r="Q8469" s="22"/>
    </row>
    <row r="8470">
      <c r="O8470" s="20"/>
      <c r="P8470" s="17"/>
      <c r="Q8470" s="22"/>
    </row>
    <row r="8471">
      <c r="O8471" s="20"/>
      <c r="P8471" s="17"/>
      <c r="Q8471" s="22"/>
    </row>
    <row r="8472">
      <c r="O8472" s="20"/>
      <c r="P8472" s="17"/>
      <c r="Q8472" s="22"/>
    </row>
    <row r="8473">
      <c r="O8473" s="20"/>
      <c r="P8473" s="17"/>
      <c r="Q8473" s="22"/>
    </row>
    <row r="8474">
      <c r="O8474" s="20"/>
      <c r="P8474" s="17"/>
      <c r="Q8474" s="22"/>
    </row>
    <row r="8475">
      <c r="O8475" s="20"/>
      <c r="P8475" s="17"/>
      <c r="Q8475" s="22"/>
    </row>
    <row r="8476">
      <c r="O8476" s="20"/>
      <c r="P8476" s="17"/>
      <c r="Q8476" s="22"/>
    </row>
    <row r="8477">
      <c r="O8477" s="20"/>
      <c r="P8477" s="17"/>
      <c r="Q8477" s="22"/>
    </row>
    <row r="8478">
      <c r="O8478" s="20"/>
      <c r="P8478" s="17"/>
      <c r="Q8478" s="22"/>
    </row>
    <row r="8479">
      <c r="O8479" s="20"/>
      <c r="P8479" s="17"/>
      <c r="Q8479" s="22"/>
    </row>
    <row r="8480">
      <c r="O8480" s="20"/>
      <c r="P8480" s="17"/>
      <c r="Q8480" s="22"/>
    </row>
    <row r="8481">
      <c r="O8481" s="20"/>
      <c r="P8481" s="17"/>
      <c r="Q8481" s="22"/>
    </row>
    <row r="8482">
      <c r="O8482" s="20"/>
      <c r="P8482" s="17"/>
      <c r="Q8482" s="22"/>
    </row>
    <row r="8483">
      <c r="O8483" s="20"/>
      <c r="P8483" s="17"/>
      <c r="Q8483" s="22"/>
    </row>
    <row r="8484">
      <c r="O8484" s="20"/>
      <c r="P8484" s="17"/>
      <c r="Q8484" s="22"/>
    </row>
    <row r="8485">
      <c r="O8485" s="20"/>
      <c r="P8485" s="17"/>
      <c r="Q8485" s="22"/>
    </row>
    <row r="8486">
      <c r="O8486" s="20"/>
      <c r="P8486" s="17"/>
      <c r="Q8486" s="22"/>
    </row>
    <row r="8487">
      <c r="O8487" s="20"/>
      <c r="P8487" s="17"/>
      <c r="Q8487" s="22"/>
    </row>
    <row r="8488">
      <c r="O8488" s="20"/>
      <c r="P8488" s="17"/>
      <c r="Q8488" s="22"/>
    </row>
    <row r="8489">
      <c r="O8489" s="20"/>
      <c r="P8489" s="17"/>
      <c r="Q8489" s="22"/>
    </row>
    <row r="8490">
      <c r="O8490" s="20"/>
      <c r="P8490" s="17"/>
      <c r="Q8490" s="22"/>
    </row>
    <row r="8491">
      <c r="O8491" s="20"/>
      <c r="P8491" s="17"/>
      <c r="Q8491" s="22"/>
    </row>
    <row r="8492">
      <c r="O8492" s="20"/>
      <c r="P8492" s="17"/>
      <c r="Q8492" s="22"/>
    </row>
    <row r="8493">
      <c r="O8493" s="20"/>
      <c r="P8493" s="17"/>
      <c r="Q8493" s="22"/>
    </row>
    <row r="8494">
      <c r="O8494" s="20"/>
      <c r="P8494" s="17"/>
      <c r="Q8494" s="22"/>
    </row>
    <row r="8495">
      <c r="O8495" s="20"/>
      <c r="P8495" s="17"/>
      <c r="Q8495" s="22"/>
    </row>
    <row r="8496">
      <c r="O8496" s="20"/>
      <c r="P8496" s="17"/>
      <c r="Q8496" s="22"/>
    </row>
    <row r="8497">
      <c r="O8497" s="20"/>
      <c r="P8497" s="17"/>
      <c r="Q8497" s="22"/>
    </row>
    <row r="8498">
      <c r="O8498" s="20"/>
      <c r="P8498" s="17"/>
      <c r="Q8498" s="22"/>
    </row>
    <row r="8499">
      <c r="O8499" s="20"/>
      <c r="P8499" s="17"/>
      <c r="Q8499" s="22"/>
    </row>
    <row r="8500">
      <c r="O8500" s="20"/>
      <c r="P8500" s="17"/>
      <c r="Q8500" s="22"/>
    </row>
    <row r="8501">
      <c r="O8501" s="20"/>
      <c r="P8501" s="17"/>
      <c r="Q8501" s="22"/>
    </row>
    <row r="8502">
      <c r="O8502" s="20"/>
      <c r="P8502" s="17"/>
      <c r="Q8502" s="22"/>
    </row>
    <row r="8503">
      <c r="O8503" s="20"/>
      <c r="P8503" s="17"/>
      <c r="Q8503" s="22"/>
    </row>
    <row r="8504">
      <c r="O8504" s="20"/>
      <c r="P8504" s="17"/>
      <c r="Q8504" s="22"/>
    </row>
    <row r="8505">
      <c r="O8505" s="20"/>
      <c r="P8505" s="17"/>
      <c r="Q8505" s="22"/>
    </row>
    <row r="8506">
      <c r="O8506" s="20"/>
      <c r="P8506" s="17"/>
      <c r="Q8506" s="22"/>
    </row>
    <row r="8507">
      <c r="O8507" s="20"/>
      <c r="P8507" s="17"/>
      <c r="Q8507" s="22"/>
    </row>
    <row r="8508">
      <c r="O8508" s="20"/>
      <c r="P8508" s="17"/>
      <c r="Q8508" s="22"/>
    </row>
    <row r="8509">
      <c r="O8509" s="20"/>
      <c r="P8509" s="17"/>
      <c r="Q8509" s="22"/>
    </row>
    <row r="8510">
      <c r="O8510" s="20"/>
      <c r="P8510" s="17"/>
      <c r="Q8510" s="22"/>
    </row>
    <row r="8511">
      <c r="O8511" s="20"/>
      <c r="P8511" s="17"/>
      <c r="Q8511" s="22"/>
    </row>
    <row r="8512">
      <c r="O8512" s="20"/>
      <c r="P8512" s="17"/>
      <c r="Q8512" s="22"/>
    </row>
    <row r="8513">
      <c r="O8513" s="20"/>
      <c r="P8513" s="17"/>
      <c r="Q8513" s="22"/>
    </row>
    <row r="8514">
      <c r="O8514" s="20"/>
      <c r="P8514" s="17"/>
      <c r="Q8514" s="22"/>
    </row>
    <row r="8515">
      <c r="O8515" s="20"/>
      <c r="P8515" s="17"/>
      <c r="Q8515" s="22"/>
    </row>
    <row r="8516">
      <c r="O8516" s="20"/>
      <c r="P8516" s="17"/>
      <c r="Q8516" s="22"/>
    </row>
    <row r="8517">
      <c r="O8517" s="20"/>
      <c r="P8517" s="17"/>
      <c r="Q8517" s="22"/>
    </row>
    <row r="8518">
      <c r="O8518" s="20"/>
      <c r="P8518" s="17"/>
      <c r="Q8518" s="22"/>
    </row>
    <row r="8519">
      <c r="O8519" s="20"/>
      <c r="P8519" s="17"/>
      <c r="Q8519" s="22"/>
    </row>
    <row r="8520">
      <c r="O8520" s="20"/>
      <c r="P8520" s="17"/>
      <c r="Q8520" s="22"/>
    </row>
    <row r="8521">
      <c r="O8521" s="20"/>
      <c r="P8521" s="17"/>
      <c r="Q8521" s="22"/>
    </row>
    <row r="8522">
      <c r="O8522" s="20"/>
      <c r="P8522" s="17"/>
      <c r="Q8522" s="22"/>
    </row>
    <row r="8523">
      <c r="O8523" s="20"/>
      <c r="P8523" s="17"/>
      <c r="Q8523" s="22"/>
    </row>
    <row r="8524">
      <c r="O8524" s="20"/>
      <c r="P8524" s="17"/>
      <c r="Q8524" s="22"/>
    </row>
    <row r="8525">
      <c r="O8525" s="20"/>
      <c r="P8525" s="17"/>
      <c r="Q8525" s="22"/>
    </row>
    <row r="8526">
      <c r="O8526" s="20"/>
      <c r="P8526" s="17"/>
      <c r="Q8526" s="22"/>
    </row>
    <row r="8527">
      <c r="O8527" s="20"/>
      <c r="P8527" s="17"/>
      <c r="Q8527" s="22"/>
    </row>
    <row r="8528">
      <c r="O8528" s="20"/>
      <c r="P8528" s="17"/>
      <c r="Q8528" s="22"/>
    </row>
    <row r="8529">
      <c r="O8529" s="20"/>
      <c r="P8529" s="17"/>
      <c r="Q8529" s="22"/>
    </row>
    <row r="8530">
      <c r="O8530" s="20"/>
      <c r="P8530" s="17"/>
      <c r="Q8530" s="22"/>
    </row>
    <row r="8531">
      <c r="O8531" s="20"/>
      <c r="P8531" s="17"/>
      <c r="Q8531" s="22"/>
    </row>
    <row r="8532">
      <c r="O8532" s="20"/>
      <c r="P8532" s="17"/>
      <c r="Q8532" s="22"/>
    </row>
    <row r="8533">
      <c r="O8533" s="20"/>
      <c r="P8533" s="17"/>
      <c r="Q8533" s="22"/>
    </row>
    <row r="8534">
      <c r="O8534" s="20"/>
      <c r="P8534" s="17"/>
      <c r="Q8534" s="22"/>
    </row>
    <row r="8535">
      <c r="O8535" s="20"/>
      <c r="P8535" s="17"/>
      <c r="Q8535" s="22"/>
    </row>
    <row r="8536">
      <c r="O8536" s="20"/>
      <c r="P8536" s="17"/>
      <c r="Q8536" s="22"/>
    </row>
    <row r="8537">
      <c r="O8537" s="20"/>
      <c r="P8537" s="17"/>
      <c r="Q8537" s="22"/>
    </row>
    <row r="8538">
      <c r="O8538" s="20"/>
      <c r="P8538" s="17"/>
      <c r="Q8538" s="22"/>
    </row>
    <row r="8539">
      <c r="O8539" s="20"/>
      <c r="P8539" s="17"/>
      <c r="Q8539" s="22"/>
    </row>
    <row r="8540">
      <c r="O8540" s="20"/>
      <c r="P8540" s="17"/>
      <c r="Q8540" s="22"/>
    </row>
    <row r="8541">
      <c r="O8541" s="20"/>
      <c r="P8541" s="17"/>
      <c r="Q8541" s="22"/>
    </row>
    <row r="8542">
      <c r="O8542" s="20"/>
      <c r="P8542" s="17"/>
      <c r="Q8542" s="22"/>
    </row>
    <row r="8543">
      <c r="O8543" s="20"/>
      <c r="P8543" s="17"/>
      <c r="Q8543" s="22"/>
    </row>
    <row r="8544">
      <c r="O8544" s="20"/>
      <c r="P8544" s="17"/>
      <c r="Q8544" s="22"/>
    </row>
    <row r="8545">
      <c r="O8545" s="20"/>
      <c r="P8545" s="17"/>
      <c r="Q8545" s="22"/>
    </row>
    <row r="8546">
      <c r="O8546" s="20"/>
      <c r="P8546" s="17"/>
      <c r="Q8546" s="22"/>
    </row>
    <row r="8547">
      <c r="O8547" s="20"/>
      <c r="P8547" s="17"/>
      <c r="Q8547" s="22"/>
    </row>
    <row r="8548">
      <c r="O8548" s="20"/>
      <c r="P8548" s="17"/>
      <c r="Q8548" s="22"/>
    </row>
    <row r="8549">
      <c r="O8549" s="20"/>
      <c r="P8549" s="17"/>
      <c r="Q8549" s="22"/>
    </row>
    <row r="8550">
      <c r="O8550" s="20"/>
      <c r="P8550" s="17"/>
      <c r="Q8550" s="22"/>
    </row>
    <row r="8551">
      <c r="O8551" s="20"/>
      <c r="P8551" s="17"/>
      <c r="Q8551" s="22"/>
    </row>
    <row r="8552">
      <c r="O8552" s="20"/>
      <c r="P8552" s="17"/>
      <c r="Q8552" s="22"/>
    </row>
    <row r="8553">
      <c r="O8553" s="20"/>
      <c r="P8553" s="17"/>
      <c r="Q8553" s="22"/>
    </row>
    <row r="8554">
      <c r="O8554" s="20"/>
      <c r="P8554" s="17"/>
      <c r="Q8554" s="22"/>
    </row>
    <row r="8555">
      <c r="O8555" s="20"/>
      <c r="P8555" s="17"/>
      <c r="Q8555" s="22"/>
    </row>
    <row r="8556">
      <c r="O8556" s="20"/>
      <c r="P8556" s="17"/>
      <c r="Q8556" s="22"/>
    </row>
    <row r="8557">
      <c r="O8557" s="20"/>
      <c r="P8557" s="17"/>
      <c r="Q8557" s="22"/>
    </row>
    <row r="8558">
      <c r="O8558" s="20"/>
      <c r="P8558" s="17"/>
      <c r="Q8558" s="22"/>
    </row>
    <row r="8559">
      <c r="O8559" s="20"/>
      <c r="P8559" s="17"/>
      <c r="Q8559" s="22"/>
    </row>
    <row r="8560">
      <c r="O8560" s="20"/>
      <c r="P8560" s="17"/>
      <c r="Q8560" s="22"/>
    </row>
    <row r="8561">
      <c r="O8561" s="20"/>
      <c r="P8561" s="17"/>
      <c r="Q8561" s="22"/>
    </row>
    <row r="8562">
      <c r="O8562" s="20"/>
      <c r="P8562" s="17"/>
      <c r="Q8562" s="22"/>
    </row>
    <row r="8563">
      <c r="O8563" s="20"/>
      <c r="P8563" s="17"/>
      <c r="Q8563" s="22"/>
    </row>
    <row r="8564">
      <c r="O8564" s="20"/>
      <c r="P8564" s="17"/>
      <c r="Q8564" s="22"/>
    </row>
    <row r="8565">
      <c r="O8565" s="20"/>
      <c r="P8565" s="17"/>
      <c r="Q8565" s="22"/>
    </row>
    <row r="8566">
      <c r="O8566" s="20"/>
      <c r="P8566" s="17"/>
      <c r="Q8566" s="22"/>
    </row>
    <row r="8567">
      <c r="O8567" s="20"/>
      <c r="P8567" s="17"/>
      <c r="Q8567" s="22"/>
    </row>
    <row r="8568">
      <c r="O8568" s="20"/>
      <c r="P8568" s="17"/>
      <c r="Q8568" s="22"/>
    </row>
    <row r="8569">
      <c r="O8569" s="20"/>
      <c r="P8569" s="17"/>
      <c r="Q8569" s="22"/>
    </row>
    <row r="8570">
      <c r="O8570" s="20"/>
      <c r="P8570" s="17"/>
      <c r="Q8570" s="22"/>
    </row>
    <row r="8571">
      <c r="O8571" s="20"/>
      <c r="P8571" s="17"/>
      <c r="Q8571" s="22"/>
    </row>
    <row r="8572">
      <c r="O8572" s="20"/>
      <c r="P8572" s="17"/>
      <c r="Q8572" s="22"/>
    </row>
    <row r="8573">
      <c r="O8573" s="20"/>
      <c r="P8573" s="17"/>
      <c r="Q8573" s="22"/>
    </row>
    <row r="8574">
      <c r="O8574" s="20"/>
      <c r="P8574" s="17"/>
      <c r="Q8574" s="22"/>
    </row>
    <row r="8575">
      <c r="O8575" s="20"/>
      <c r="P8575" s="17"/>
      <c r="Q8575" s="22"/>
    </row>
    <row r="8576">
      <c r="O8576" s="20"/>
      <c r="P8576" s="17"/>
      <c r="Q8576" s="22"/>
    </row>
    <row r="8577">
      <c r="O8577" s="20"/>
      <c r="P8577" s="17"/>
      <c r="Q8577" s="22"/>
    </row>
    <row r="8578">
      <c r="O8578" s="20"/>
      <c r="P8578" s="17"/>
      <c r="Q8578" s="22"/>
    </row>
    <row r="8579">
      <c r="O8579" s="20"/>
      <c r="P8579" s="17"/>
      <c r="Q8579" s="22"/>
    </row>
    <row r="8580">
      <c r="O8580" s="20"/>
      <c r="P8580" s="17"/>
      <c r="Q8580" s="22"/>
    </row>
    <row r="8581">
      <c r="O8581" s="20"/>
      <c r="P8581" s="17"/>
      <c r="Q8581" s="22"/>
    </row>
    <row r="8582">
      <c r="O8582" s="20"/>
      <c r="P8582" s="17"/>
      <c r="Q8582" s="22"/>
    </row>
    <row r="8583">
      <c r="O8583" s="20"/>
      <c r="P8583" s="17"/>
      <c r="Q8583" s="22"/>
    </row>
    <row r="8584">
      <c r="O8584" s="20"/>
      <c r="P8584" s="17"/>
      <c r="Q8584" s="22"/>
    </row>
    <row r="8585">
      <c r="O8585" s="20"/>
      <c r="P8585" s="17"/>
      <c r="Q8585" s="22"/>
    </row>
    <row r="8586">
      <c r="O8586" s="20"/>
      <c r="P8586" s="17"/>
      <c r="Q8586" s="22"/>
    </row>
    <row r="8587">
      <c r="O8587" s="20"/>
      <c r="P8587" s="17"/>
      <c r="Q8587" s="22"/>
    </row>
    <row r="8588">
      <c r="O8588" s="20"/>
      <c r="P8588" s="17"/>
      <c r="Q8588" s="22"/>
    </row>
    <row r="8589">
      <c r="O8589" s="20"/>
      <c r="P8589" s="17"/>
      <c r="Q8589" s="22"/>
    </row>
    <row r="8590">
      <c r="O8590" s="20"/>
      <c r="P8590" s="17"/>
      <c r="Q8590" s="22"/>
    </row>
    <row r="8591">
      <c r="O8591" s="20"/>
      <c r="P8591" s="17"/>
      <c r="Q8591" s="22"/>
    </row>
    <row r="8592">
      <c r="O8592" s="20"/>
      <c r="P8592" s="17"/>
      <c r="Q8592" s="22"/>
    </row>
    <row r="8593">
      <c r="O8593" s="20"/>
      <c r="P8593" s="17"/>
      <c r="Q8593" s="22"/>
    </row>
    <row r="8594">
      <c r="O8594" s="20"/>
      <c r="P8594" s="17"/>
      <c r="Q8594" s="22"/>
    </row>
    <row r="8595">
      <c r="O8595" s="20"/>
      <c r="P8595" s="17"/>
      <c r="Q8595" s="22"/>
    </row>
    <row r="8596">
      <c r="O8596" s="20"/>
      <c r="P8596" s="17"/>
      <c r="Q8596" s="22"/>
    </row>
    <row r="8597">
      <c r="O8597" s="20"/>
      <c r="P8597" s="17"/>
      <c r="Q8597" s="22"/>
    </row>
    <row r="8598">
      <c r="O8598" s="20"/>
      <c r="P8598" s="17"/>
      <c r="Q8598" s="22"/>
    </row>
    <row r="8599">
      <c r="O8599" s="20"/>
      <c r="P8599" s="17"/>
      <c r="Q8599" s="22"/>
    </row>
    <row r="8600">
      <c r="O8600" s="20"/>
      <c r="P8600" s="17"/>
      <c r="Q8600" s="22"/>
    </row>
    <row r="8601">
      <c r="O8601" s="20"/>
      <c r="P8601" s="17"/>
      <c r="Q8601" s="22"/>
    </row>
    <row r="8602">
      <c r="O8602" s="20"/>
      <c r="P8602" s="17"/>
      <c r="Q8602" s="22"/>
    </row>
    <row r="8603">
      <c r="O8603" s="20"/>
      <c r="P8603" s="17"/>
      <c r="Q8603" s="22"/>
    </row>
    <row r="8604">
      <c r="O8604" s="20"/>
      <c r="P8604" s="17"/>
      <c r="Q8604" s="22"/>
    </row>
    <row r="8605">
      <c r="O8605" s="20"/>
      <c r="P8605" s="17"/>
      <c r="Q8605" s="22"/>
    </row>
    <row r="8606">
      <c r="O8606" s="20"/>
      <c r="P8606" s="17"/>
      <c r="Q8606" s="22"/>
    </row>
    <row r="8607">
      <c r="O8607" s="20"/>
      <c r="P8607" s="17"/>
      <c r="Q8607" s="22"/>
    </row>
    <row r="8608">
      <c r="O8608" s="20"/>
      <c r="P8608" s="17"/>
      <c r="Q8608" s="22"/>
    </row>
    <row r="8609">
      <c r="O8609" s="20"/>
      <c r="P8609" s="17"/>
      <c r="Q8609" s="22"/>
    </row>
    <row r="8610">
      <c r="O8610" s="20"/>
      <c r="P8610" s="17"/>
      <c r="Q8610" s="22"/>
    </row>
    <row r="8611">
      <c r="O8611" s="20"/>
      <c r="P8611" s="17"/>
      <c r="Q8611" s="22"/>
    </row>
    <row r="8612">
      <c r="O8612" s="20"/>
      <c r="P8612" s="17"/>
      <c r="Q8612" s="22"/>
    </row>
    <row r="8613">
      <c r="O8613" s="20"/>
      <c r="P8613" s="17"/>
      <c r="Q8613" s="22"/>
    </row>
    <row r="8614">
      <c r="O8614" s="20"/>
      <c r="P8614" s="17"/>
      <c r="Q8614" s="22"/>
    </row>
    <row r="8615">
      <c r="O8615" s="20"/>
      <c r="P8615" s="17"/>
      <c r="Q8615" s="22"/>
    </row>
    <row r="8616">
      <c r="O8616" s="20"/>
      <c r="P8616" s="17"/>
      <c r="Q8616" s="22"/>
    </row>
    <row r="8617">
      <c r="O8617" s="20"/>
      <c r="P8617" s="17"/>
      <c r="Q8617" s="22"/>
    </row>
    <row r="8618">
      <c r="O8618" s="20"/>
      <c r="P8618" s="17"/>
      <c r="Q8618" s="22"/>
    </row>
    <row r="8619">
      <c r="O8619" s="20"/>
      <c r="P8619" s="17"/>
      <c r="Q8619" s="22"/>
    </row>
    <row r="8620">
      <c r="O8620" s="20"/>
      <c r="P8620" s="17"/>
      <c r="Q8620" s="22"/>
    </row>
    <row r="8621">
      <c r="O8621" s="20"/>
      <c r="P8621" s="17"/>
      <c r="Q8621" s="22"/>
    </row>
    <row r="8622">
      <c r="O8622" s="20"/>
      <c r="P8622" s="17"/>
      <c r="Q8622" s="22"/>
    </row>
    <row r="8623">
      <c r="O8623" s="20"/>
      <c r="P8623" s="17"/>
      <c r="Q8623" s="22"/>
    </row>
    <row r="8624">
      <c r="O8624" s="20"/>
      <c r="P8624" s="17"/>
      <c r="Q8624" s="22"/>
    </row>
    <row r="8625">
      <c r="O8625" s="20"/>
      <c r="P8625" s="17"/>
      <c r="Q8625" s="22"/>
    </row>
    <row r="8626">
      <c r="O8626" s="20"/>
      <c r="P8626" s="17"/>
      <c r="Q8626" s="22"/>
    </row>
    <row r="8627">
      <c r="O8627" s="20"/>
      <c r="P8627" s="17"/>
      <c r="Q8627" s="22"/>
    </row>
    <row r="8628">
      <c r="O8628" s="20"/>
      <c r="P8628" s="17"/>
      <c r="Q8628" s="22"/>
    </row>
    <row r="8629">
      <c r="O8629" s="20"/>
      <c r="P8629" s="17"/>
      <c r="Q8629" s="22"/>
    </row>
    <row r="8630">
      <c r="O8630" s="20"/>
      <c r="P8630" s="17"/>
      <c r="Q8630" s="22"/>
    </row>
    <row r="8631">
      <c r="O8631" s="20"/>
      <c r="P8631" s="17"/>
      <c r="Q8631" s="22"/>
    </row>
    <row r="8632">
      <c r="O8632" s="20"/>
      <c r="P8632" s="17"/>
      <c r="Q8632" s="22"/>
    </row>
    <row r="8633">
      <c r="O8633" s="20"/>
      <c r="P8633" s="17"/>
      <c r="Q8633" s="22"/>
    </row>
    <row r="8634">
      <c r="O8634" s="20"/>
      <c r="P8634" s="17"/>
      <c r="Q8634" s="22"/>
    </row>
    <row r="8635">
      <c r="O8635" s="20"/>
      <c r="P8635" s="17"/>
      <c r="Q8635" s="22"/>
    </row>
    <row r="8636">
      <c r="O8636" s="20"/>
      <c r="P8636" s="17"/>
      <c r="Q8636" s="22"/>
    </row>
    <row r="8637">
      <c r="O8637" s="20"/>
      <c r="P8637" s="17"/>
      <c r="Q8637" s="22"/>
    </row>
    <row r="8638">
      <c r="O8638" s="20"/>
      <c r="P8638" s="17"/>
      <c r="Q8638" s="22"/>
    </row>
    <row r="8639">
      <c r="O8639" s="20"/>
      <c r="P8639" s="17"/>
      <c r="Q8639" s="22"/>
    </row>
    <row r="8640">
      <c r="O8640" s="20"/>
      <c r="P8640" s="17"/>
      <c r="Q8640" s="22"/>
    </row>
    <row r="8641">
      <c r="O8641" s="20"/>
      <c r="P8641" s="17"/>
      <c r="Q8641" s="22"/>
    </row>
    <row r="8642">
      <c r="O8642" s="20"/>
      <c r="P8642" s="17"/>
      <c r="Q8642" s="22"/>
    </row>
    <row r="8643">
      <c r="O8643" s="20"/>
      <c r="P8643" s="17"/>
      <c r="Q8643" s="22"/>
    </row>
    <row r="8644">
      <c r="O8644" s="20"/>
      <c r="P8644" s="17"/>
      <c r="Q8644" s="22"/>
    </row>
    <row r="8645">
      <c r="O8645" s="20"/>
      <c r="P8645" s="17"/>
      <c r="Q8645" s="22"/>
    </row>
    <row r="8646">
      <c r="O8646" s="20"/>
      <c r="P8646" s="17"/>
      <c r="Q8646" s="22"/>
    </row>
    <row r="8647">
      <c r="O8647" s="20"/>
      <c r="P8647" s="17"/>
      <c r="Q8647" s="22"/>
    </row>
    <row r="8648">
      <c r="O8648" s="20"/>
      <c r="P8648" s="17"/>
      <c r="Q8648" s="22"/>
    </row>
    <row r="8649">
      <c r="O8649" s="20"/>
      <c r="P8649" s="17"/>
      <c r="Q8649" s="22"/>
    </row>
    <row r="8650">
      <c r="O8650" s="20"/>
      <c r="P8650" s="17"/>
      <c r="Q8650" s="22"/>
    </row>
    <row r="8651">
      <c r="O8651" s="20"/>
      <c r="P8651" s="17"/>
      <c r="Q8651" s="22"/>
    </row>
    <row r="8652">
      <c r="O8652" s="20"/>
      <c r="P8652" s="17"/>
      <c r="Q8652" s="22"/>
    </row>
    <row r="8653">
      <c r="O8653" s="20"/>
      <c r="P8653" s="17"/>
      <c r="Q8653" s="22"/>
    </row>
    <row r="8654">
      <c r="O8654" s="20"/>
      <c r="P8654" s="17"/>
      <c r="Q8654" s="22"/>
    </row>
    <row r="8655">
      <c r="O8655" s="20"/>
      <c r="P8655" s="17"/>
      <c r="Q8655" s="22"/>
    </row>
    <row r="8656">
      <c r="O8656" s="20"/>
      <c r="P8656" s="17"/>
      <c r="Q8656" s="22"/>
    </row>
    <row r="8657">
      <c r="O8657" s="20"/>
      <c r="P8657" s="17"/>
      <c r="Q8657" s="22"/>
    </row>
    <row r="8658">
      <c r="O8658" s="20"/>
      <c r="P8658" s="17"/>
      <c r="Q8658" s="22"/>
    </row>
    <row r="8659">
      <c r="O8659" s="20"/>
      <c r="P8659" s="17"/>
      <c r="Q8659" s="22"/>
    </row>
    <row r="8660">
      <c r="O8660" s="20"/>
      <c r="P8660" s="17"/>
      <c r="Q8660" s="22"/>
    </row>
    <row r="8661">
      <c r="O8661" s="20"/>
      <c r="P8661" s="17"/>
      <c r="Q8661" s="22"/>
    </row>
    <row r="8662">
      <c r="O8662" s="20"/>
      <c r="P8662" s="17"/>
      <c r="Q8662" s="22"/>
    </row>
    <row r="8663">
      <c r="O8663" s="20"/>
      <c r="P8663" s="17"/>
      <c r="Q8663" s="22"/>
    </row>
    <row r="8664">
      <c r="O8664" s="20"/>
      <c r="P8664" s="17"/>
      <c r="Q8664" s="22"/>
    </row>
    <row r="8665">
      <c r="O8665" s="20"/>
      <c r="P8665" s="17"/>
      <c r="Q8665" s="22"/>
    </row>
    <row r="8666">
      <c r="O8666" s="20"/>
      <c r="P8666" s="17"/>
      <c r="Q8666" s="22"/>
    </row>
    <row r="8667">
      <c r="O8667" s="20"/>
      <c r="P8667" s="17"/>
      <c r="Q8667" s="22"/>
    </row>
    <row r="8668">
      <c r="O8668" s="20"/>
      <c r="P8668" s="17"/>
      <c r="Q8668" s="22"/>
    </row>
    <row r="8669">
      <c r="O8669" s="20"/>
      <c r="P8669" s="17"/>
      <c r="Q8669" s="22"/>
    </row>
    <row r="8670">
      <c r="O8670" s="20"/>
      <c r="P8670" s="17"/>
      <c r="Q8670" s="22"/>
    </row>
    <row r="8671">
      <c r="O8671" s="20"/>
      <c r="P8671" s="17"/>
      <c r="Q8671" s="22"/>
    </row>
    <row r="8672">
      <c r="O8672" s="20"/>
      <c r="P8672" s="17"/>
      <c r="Q8672" s="22"/>
    </row>
    <row r="8673">
      <c r="O8673" s="20"/>
      <c r="P8673" s="17"/>
      <c r="Q8673" s="22"/>
    </row>
    <row r="8674">
      <c r="O8674" s="20"/>
      <c r="P8674" s="17"/>
      <c r="Q8674" s="22"/>
    </row>
    <row r="8675">
      <c r="O8675" s="20"/>
      <c r="P8675" s="17"/>
      <c r="Q8675" s="22"/>
    </row>
    <row r="8676">
      <c r="O8676" s="20"/>
      <c r="P8676" s="17"/>
      <c r="Q8676" s="22"/>
    </row>
    <row r="8677">
      <c r="O8677" s="20"/>
      <c r="P8677" s="17"/>
      <c r="Q8677" s="22"/>
    </row>
    <row r="8678">
      <c r="O8678" s="20"/>
      <c r="P8678" s="17"/>
      <c r="Q8678" s="22"/>
    </row>
    <row r="8679">
      <c r="O8679" s="20"/>
      <c r="P8679" s="17"/>
      <c r="Q8679" s="22"/>
    </row>
    <row r="8680">
      <c r="O8680" s="20"/>
      <c r="P8680" s="17"/>
      <c r="Q8680" s="22"/>
    </row>
    <row r="8681">
      <c r="O8681" s="20"/>
      <c r="P8681" s="17"/>
      <c r="Q8681" s="22"/>
    </row>
    <row r="8682">
      <c r="O8682" s="20"/>
      <c r="P8682" s="17"/>
      <c r="Q8682" s="22"/>
    </row>
    <row r="8683">
      <c r="O8683" s="20"/>
      <c r="P8683" s="17"/>
      <c r="Q8683" s="22"/>
    </row>
    <row r="8684">
      <c r="O8684" s="20"/>
      <c r="P8684" s="17"/>
      <c r="Q8684" s="22"/>
    </row>
    <row r="8685">
      <c r="O8685" s="20"/>
      <c r="P8685" s="17"/>
      <c r="Q8685" s="22"/>
    </row>
    <row r="8686">
      <c r="O8686" s="20"/>
      <c r="P8686" s="17"/>
      <c r="Q8686" s="22"/>
    </row>
    <row r="8687">
      <c r="O8687" s="20"/>
      <c r="P8687" s="17"/>
      <c r="Q8687" s="22"/>
    </row>
    <row r="8688">
      <c r="O8688" s="20"/>
      <c r="P8688" s="17"/>
      <c r="Q8688" s="22"/>
    </row>
    <row r="8689">
      <c r="O8689" s="20"/>
      <c r="P8689" s="17"/>
      <c r="Q8689" s="22"/>
    </row>
    <row r="8690">
      <c r="O8690" s="20"/>
      <c r="P8690" s="17"/>
      <c r="Q8690" s="22"/>
    </row>
    <row r="8691">
      <c r="O8691" s="20"/>
      <c r="P8691" s="17"/>
      <c r="Q8691" s="22"/>
    </row>
    <row r="8692">
      <c r="O8692" s="20"/>
      <c r="P8692" s="17"/>
      <c r="Q8692" s="22"/>
    </row>
    <row r="8693">
      <c r="O8693" s="20"/>
      <c r="P8693" s="17"/>
      <c r="Q8693" s="22"/>
    </row>
    <row r="8694">
      <c r="O8694" s="20"/>
      <c r="P8694" s="17"/>
      <c r="Q8694" s="22"/>
    </row>
    <row r="8695">
      <c r="O8695" s="20"/>
      <c r="P8695" s="17"/>
      <c r="Q8695" s="22"/>
    </row>
    <row r="8696">
      <c r="O8696" s="20"/>
      <c r="P8696" s="17"/>
      <c r="Q8696" s="22"/>
    </row>
    <row r="8697">
      <c r="O8697" s="20"/>
      <c r="P8697" s="17"/>
      <c r="Q8697" s="22"/>
    </row>
    <row r="8698">
      <c r="O8698" s="20"/>
      <c r="P8698" s="17"/>
      <c r="Q8698" s="22"/>
    </row>
    <row r="8699">
      <c r="O8699" s="20"/>
      <c r="P8699" s="17"/>
      <c r="Q8699" s="22"/>
    </row>
    <row r="8700">
      <c r="O8700" s="20"/>
      <c r="P8700" s="17"/>
      <c r="Q8700" s="22"/>
    </row>
    <row r="8701">
      <c r="O8701" s="20"/>
      <c r="P8701" s="17"/>
      <c r="Q8701" s="22"/>
    </row>
    <row r="8702">
      <c r="O8702" s="20"/>
      <c r="P8702" s="17"/>
      <c r="Q8702" s="22"/>
    </row>
    <row r="8703">
      <c r="O8703" s="20"/>
      <c r="P8703" s="17"/>
      <c r="Q8703" s="22"/>
    </row>
    <row r="8704">
      <c r="O8704" s="20"/>
      <c r="P8704" s="17"/>
      <c r="Q8704" s="22"/>
    </row>
    <row r="8705">
      <c r="O8705" s="20"/>
      <c r="P8705" s="17"/>
      <c r="Q8705" s="22"/>
    </row>
    <row r="8706">
      <c r="O8706" s="20"/>
      <c r="P8706" s="17"/>
      <c r="Q8706" s="22"/>
    </row>
    <row r="8707">
      <c r="O8707" s="20"/>
      <c r="P8707" s="17"/>
      <c r="Q8707" s="22"/>
    </row>
    <row r="8708">
      <c r="O8708" s="20"/>
      <c r="P8708" s="17"/>
      <c r="Q8708" s="22"/>
    </row>
    <row r="8709">
      <c r="O8709" s="20"/>
      <c r="P8709" s="17"/>
      <c r="Q8709" s="22"/>
    </row>
    <row r="8710">
      <c r="O8710" s="20"/>
      <c r="P8710" s="17"/>
      <c r="Q8710" s="22"/>
    </row>
    <row r="8711">
      <c r="O8711" s="20"/>
      <c r="P8711" s="17"/>
      <c r="Q8711" s="22"/>
    </row>
    <row r="8712">
      <c r="O8712" s="20"/>
      <c r="P8712" s="17"/>
      <c r="Q8712" s="22"/>
    </row>
    <row r="8713">
      <c r="O8713" s="20"/>
      <c r="P8713" s="17"/>
      <c r="Q8713" s="22"/>
    </row>
    <row r="8714">
      <c r="O8714" s="20"/>
      <c r="P8714" s="17"/>
      <c r="Q8714" s="22"/>
    </row>
    <row r="8715">
      <c r="O8715" s="20"/>
      <c r="P8715" s="17"/>
      <c r="Q8715" s="22"/>
    </row>
    <row r="8716">
      <c r="O8716" s="20"/>
      <c r="P8716" s="17"/>
      <c r="Q8716" s="22"/>
    </row>
    <row r="8717">
      <c r="O8717" s="20"/>
      <c r="P8717" s="17"/>
      <c r="Q8717" s="22"/>
    </row>
    <row r="8718">
      <c r="O8718" s="20"/>
      <c r="P8718" s="17"/>
      <c r="Q8718" s="22"/>
    </row>
    <row r="8719">
      <c r="O8719" s="20"/>
      <c r="P8719" s="17"/>
      <c r="Q8719" s="22"/>
    </row>
    <row r="8720">
      <c r="O8720" s="20"/>
      <c r="P8720" s="17"/>
      <c r="Q8720" s="22"/>
    </row>
    <row r="8721">
      <c r="O8721" s="20"/>
      <c r="P8721" s="17"/>
      <c r="Q8721" s="22"/>
    </row>
    <row r="8722">
      <c r="O8722" s="20"/>
      <c r="P8722" s="17"/>
      <c r="Q8722" s="22"/>
    </row>
    <row r="8723">
      <c r="O8723" s="20"/>
      <c r="P8723" s="17"/>
      <c r="Q8723" s="22"/>
    </row>
    <row r="8724">
      <c r="O8724" s="20"/>
      <c r="P8724" s="17"/>
      <c r="Q8724" s="22"/>
    </row>
    <row r="8725">
      <c r="O8725" s="20"/>
      <c r="P8725" s="17"/>
      <c r="Q8725" s="22"/>
    </row>
    <row r="8726">
      <c r="O8726" s="20"/>
      <c r="P8726" s="17"/>
      <c r="Q8726" s="22"/>
    </row>
    <row r="8727">
      <c r="O8727" s="20"/>
      <c r="P8727" s="17"/>
      <c r="Q8727" s="22"/>
    </row>
    <row r="8728">
      <c r="O8728" s="20"/>
      <c r="P8728" s="17"/>
      <c r="Q8728" s="22"/>
    </row>
    <row r="8729">
      <c r="O8729" s="20"/>
      <c r="P8729" s="17"/>
      <c r="Q8729" s="22"/>
    </row>
    <row r="8730">
      <c r="O8730" s="20"/>
      <c r="P8730" s="17"/>
      <c r="Q8730" s="22"/>
    </row>
    <row r="8731">
      <c r="O8731" s="20"/>
      <c r="P8731" s="17"/>
      <c r="Q8731" s="22"/>
    </row>
    <row r="8732">
      <c r="O8732" s="20"/>
      <c r="P8732" s="17"/>
      <c r="Q8732" s="22"/>
    </row>
    <row r="8733">
      <c r="O8733" s="20"/>
      <c r="P8733" s="17"/>
      <c r="Q8733" s="22"/>
    </row>
    <row r="8734">
      <c r="O8734" s="20"/>
      <c r="P8734" s="17"/>
      <c r="Q8734" s="22"/>
    </row>
    <row r="8735">
      <c r="O8735" s="20"/>
      <c r="P8735" s="17"/>
      <c r="Q8735" s="22"/>
    </row>
    <row r="8736">
      <c r="O8736" s="20"/>
      <c r="P8736" s="17"/>
      <c r="Q8736" s="22"/>
    </row>
    <row r="8737">
      <c r="O8737" s="20"/>
      <c r="P8737" s="17"/>
      <c r="Q8737" s="22"/>
    </row>
    <row r="8738">
      <c r="O8738" s="20"/>
      <c r="P8738" s="17"/>
      <c r="Q8738" s="22"/>
    </row>
    <row r="8739">
      <c r="O8739" s="20"/>
      <c r="P8739" s="17"/>
      <c r="Q8739" s="22"/>
    </row>
    <row r="8740">
      <c r="O8740" s="20"/>
      <c r="P8740" s="17"/>
      <c r="Q8740" s="22"/>
    </row>
    <row r="8741">
      <c r="O8741" s="20"/>
      <c r="P8741" s="17"/>
      <c r="Q8741" s="22"/>
    </row>
    <row r="8742">
      <c r="O8742" s="20"/>
      <c r="P8742" s="17"/>
      <c r="Q8742" s="22"/>
    </row>
    <row r="8743">
      <c r="O8743" s="20"/>
      <c r="P8743" s="17"/>
      <c r="Q8743" s="22"/>
    </row>
    <row r="8744">
      <c r="O8744" s="20"/>
      <c r="P8744" s="17"/>
      <c r="Q8744" s="22"/>
    </row>
    <row r="8745">
      <c r="O8745" s="20"/>
      <c r="P8745" s="17"/>
      <c r="Q8745" s="22"/>
    </row>
    <row r="8746">
      <c r="O8746" s="20"/>
      <c r="P8746" s="17"/>
      <c r="Q8746" s="22"/>
    </row>
    <row r="8747">
      <c r="O8747" s="20"/>
      <c r="P8747" s="17"/>
      <c r="Q8747" s="22"/>
    </row>
    <row r="8748">
      <c r="O8748" s="20"/>
      <c r="P8748" s="17"/>
      <c r="Q8748" s="22"/>
    </row>
    <row r="8749">
      <c r="O8749" s="20"/>
      <c r="P8749" s="17"/>
      <c r="Q8749" s="22"/>
    </row>
    <row r="8750">
      <c r="O8750" s="20"/>
      <c r="P8750" s="17"/>
      <c r="Q8750" s="22"/>
    </row>
    <row r="8751">
      <c r="O8751" s="20"/>
      <c r="P8751" s="17"/>
      <c r="Q8751" s="22"/>
    </row>
    <row r="8752">
      <c r="O8752" s="20"/>
      <c r="P8752" s="17"/>
      <c r="Q8752" s="22"/>
    </row>
    <row r="8753">
      <c r="O8753" s="20"/>
      <c r="P8753" s="17"/>
      <c r="Q8753" s="22"/>
    </row>
    <row r="8754">
      <c r="O8754" s="20"/>
      <c r="P8754" s="17"/>
      <c r="Q8754" s="22"/>
    </row>
    <row r="8755">
      <c r="O8755" s="20"/>
      <c r="P8755" s="17"/>
      <c r="Q8755" s="22"/>
    </row>
    <row r="8756">
      <c r="O8756" s="20"/>
      <c r="P8756" s="17"/>
      <c r="Q8756" s="22"/>
    </row>
    <row r="8757">
      <c r="O8757" s="20"/>
      <c r="P8757" s="17"/>
      <c r="Q8757" s="22"/>
    </row>
    <row r="8758">
      <c r="O8758" s="20"/>
      <c r="P8758" s="17"/>
      <c r="Q8758" s="22"/>
    </row>
    <row r="8759">
      <c r="O8759" s="20"/>
      <c r="P8759" s="17"/>
      <c r="Q8759" s="22"/>
    </row>
    <row r="8760">
      <c r="O8760" s="20"/>
      <c r="P8760" s="17"/>
      <c r="Q8760" s="22"/>
    </row>
    <row r="8761">
      <c r="O8761" s="20"/>
      <c r="P8761" s="17"/>
      <c r="Q8761" s="22"/>
    </row>
    <row r="8762">
      <c r="O8762" s="20"/>
      <c r="P8762" s="17"/>
      <c r="Q8762" s="22"/>
    </row>
    <row r="8763">
      <c r="O8763" s="20"/>
      <c r="P8763" s="17"/>
      <c r="Q8763" s="22"/>
    </row>
    <row r="8764">
      <c r="O8764" s="20"/>
      <c r="P8764" s="17"/>
      <c r="Q8764" s="22"/>
    </row>
    <row r="8765">
      <c r="O8765" s="20"/>
      <c r="P8765" s="17"/>
      <c r="Q8765" s="22"/>
    </row>
    <row r="8766">
      <c r="O8766" s="20"/>
      <c r="P8766" s="17"/>
      <c r="Q8766" s="22"/>
    </row>
    <row r="8767">
      <c r="O8767" s="20"/>
      <c r="P8767" s="17"/>
      <c r="Q8767" s="22"/>
    </row>
    <row r="8768">
      <c r="O8768" s="20"/>
      <c r="P8768" s="17"/>
      <c r="Q8768" s="22"/>
    </row>
    <row r="8769">
      <c r="O8769" s="20"/>
      <c r="P8769" s="17"/>
      <c r="Q8769" s="22"/>
    </row>
    <row r="8770">
      <c r="O8770" s="20"/>
      <c r="P8770" s="17"/>
      <c r="Q8770" s="22"/>
    </row>
    <row r="8771">
      <c r="O8771" s="20"/>
      <c r="P8771" s="17"/>
      <c r="Q8771" s="22"/>
    </row>
    <row r="8772">
      <c r="O8772" s="20"/>
      <c r="P8772" s="17"/>
      <c r="Q8772" s="22"/>
    </row>
    <row r="8773">
      <c r="O8773" s="20"/>
      <c r="P8773" s="17"/>
      <c r="Q8773" s="22"/>
    </row>
    <row r="8774">
      <c r="O8774" s="20"/>
      <c r="P8774" s="17"/>
      <c r="Q8774" s="22"/>
    </row>
    <row r="8775">
      <c r="O8775" s="20"/>
      <c r="P8775" s="17"/>
      <c r="Q8775" s="22"/>
    </row>
    <row r="8776">
      <c r="O8776" s="20"/>
      <c r="P8776" s="17"/>
      <c r="Q8776" s="22"/>
    </row>
    <row r="8777">
      <c r="O8777" s="20"/>
      <c r="P8777" s="17"/>
      <c r="Q8777" s="22"/>
    </row>
    <row r="8778">
      <c r="O8778" s="20"/>
      <c r="P8778" s="17"/>
      <c r="Q8778" s="22"/>
    </row>
    <row r="8779">
      <c r="O8779" s="20"/>
      <c r="P8779" s="17"/>
      <c r="Q8779" s="22"/>
    </row>
    <row r="8780">
      <c r="O8780" s="20"/>
      <c r="P8780" s="17"/>
      <c r="Q8780" s="22"/>
    </row>
    <row r="8781">
      <c r="O8781" s="20"/>
      <c r="P8781" s="17"/>
      <c r="Q8781" s="22"/>
    </row>
    <row r="8782">
      <c r="O8782" s="20"/>
      <c r="P8782" s="17"/>
      <c r="Q8782" s="22"/>
    </row>
    <row r="8783">
      <c r="O8783" s="20"/>
      <c r="P8783" s="17"/>
      <c r="Q8783" s="22"/>
    </row>
    <row r="8784">
      <c r="O8784" s="20"/>
      <c r="P8784" s="17"/>
      <c r="Q8784" s="22"/>
    </row>
    <row r="8785">
      <c r="O8785" s="20"/>
      <c r="P8785" s="17"/>
      <c r="Q8785" s="22"/>
    </row>
    <row r="8786">
      <c r="O8786" s="20"/>
      <c r="P8786" s="17"/>
      <c r="Q8786" s="22"/>
    </row>
    <row r="8787">
      <c r="O8787" s="20"/>
      <c r="P8787" s="17"/>
      <c r="Q8787" s="22"/>
    </row>
    <row r="8788">
      <c r="O8788" s="20"/>
      <c r="P8788" s="17"/>
      <c r="Q8788" s="22"/>
    </row>
    <row r="8789">
      <c r="O8789" s="20"/>
      <c r="P8789" s="17"/>
      <c r="Q8789" s="22"/>
    </row>
    <row r="8790">
      <c r="O8790" s="20"/>
      <c r="P8790" s="17"/>
      <c r="Q8790" s="22"/>
    </row>
    <row r="8791">
      <c r="O8791" s="20"/>
      <c r="P8791" s="17"/>
      <c r="Q8791" s="22"/>
    </row>
    <row r="8792">
      <c r="O8792" s="20"/>
      <c r="P8792" s="17"/>
      <c r="Q8792" s="22"/>
    </row>
    <row r="8793">
      <c r="O8793" s="20"/>
      <c r="P8793" s="17"/>
      <c r="Q8793" s="22"/>
    </row>
    <row r="8794">
      <c r="O8794" s="20"/>
      <c r="P8794" s="17"/>
      <c r="Q8794" s="22"/>
    </row>
    <row r="8795">
      <c r="O8795" s="20"/>
      <c r="P8795" s="17"/>
      <c r="Q8795" s="22"/>
    </row>
    <row r="8796">
      <c r="O8796" s="20"/>
      <c r="P8796" s="17"/>
      <c r="Q8796" s="22"/>
    </row>
    <row r="8797">
      <c r="O8797" s="20"/>
      <c r="P8797" s="17"/>
      <c r="Q8797" s="22"/>
    </row>
    <row r="8798">
      <c r="O8798" s="20"/>
      <c r="P8798" s="17"/>
      <c r="Q8798" s="22"/>
    </row>
    <row r="8799">
      <c r="O8799" s="20"/>
      <c r="P8799" s="17"/>
      <c r="Q8799" s="22"/>
    </row>
    <row r="8800">
      <c r="O8800" s="20"/>
      <c r="P8800" s="17"/>
      <c r="Q8800" s="22"/>
    </row>
    <row r="8801">
      <c r="O8801" s="20"/>
      <c r="P8801" s="17"/>
      <c r="Q8801" s="22"/>
    </row>
    <row r="8802">
      <c r="O8802" s="20"/>
      <c r="P8802" s="17"/>
      <c r="Q8802" s="22"/>
    </row>
    <row r="8803">
      <c r="O8803" s="20"/>
      <c r="P8803" s="17"/>
      <c r="Q8803" s="22"/>
    </row>
    <row r="8804">
      <c r="O8804" s="20"/>
      <c r="P8804" s="17"/>
      <c r="Q8804" s="22"/>
    </row>
    <row r="8805">
      <c r="O8805" s="20"/>
      <c r="P8805" s="17"/>
      <c r="Q8805" s="22"/>
    </row>
    <row r="8806">
      <c r="O8806" s="20"/>
      <c r="P8806" s="17"/>
      <c r="Q8806" s="22"/>
    </row>
    <row r="8807">
      <c r="O8807" s="20"/>
      <c r="P8807" s="17"/>
      <c r="Q8807" s="22"/>
    </row>
    <row r="8808">
      <c r="O8808" s="20"/>
      <c r="P8808" s="17"/>
      <c r="Q8808" s="22"/>
    </row>
    <row r="8809">
      <c r="O8809" s="20"/>
      <c r="P8809" s="17"/>
      <c r="Q8809" s="22"/>
    </row>
    <row r="8810">
      <c r="O8810" s="20"/>
      <c r="P8810" s="17"/>
      <c r="Q8810" s="22"/>
    </row>
    <row r="8811">
      <c r="O8811" s="20"/>
      <c r="P8811" s="17"/>
      <c r="Q8811" s="22"/>
    </row>
    <row r="8812">
      <c r="O8812" s="20"/>
      <c r="P8812" s="17"/>
      <c r="Q8812" s="22"/>
    </row>
    <row r="8813">
      <c r="O8813" s="20"/>
      <c r="P8813" s="17"/>
      <c r="Q8813" s="22"/>
    </row>
    <row r="8814">
      <c r="O8814" s="20"/>
      <c r="P8814" s="17"/>
      <c r="Q8814" s="22"/>
    </row>
    <row r="8815">
      <c r="O8815" s="20"/>
      <c r="P8815" s="17"/>
      <c r="Q8815" s="22"/>
    </row>
    <row r="8816">
      <c r="O8816" s="20"/>
      <c r="P8816" s="17"/>
      <c r="Q8816" s="22"/>
    </row>
    <row r="8817">
      <c r="O8817" s="20"/>
      <c r="P8817" s="17"/>
      <c r="Q8817" s="22"/>
    </row>
    <row r="8818">
      <c r="O8818" s="20"/>
      <c r="P8818" s="17"/>
      <c r="Q8818" s="22"/>
    </row>
    <row r="8819">
      <c r="O8819" s="20"/>
      <c r="P8819" s="17"/>
      <c r="Q8819" s="22"/>
    </row>
    <row r="8820">
      <c r="O8820" s="20"/>
      <c r="P8820" s="17"/>
      <c r="Q8820" s="22"/>
    </row>
    <row r="8821">
      <c r="O8821" s="20"/>
      <c r="P8821" s="17"/>
      <c r="Q8821" s="22"/>
    </row>
    <row r="8822">
      <c r="O8822" s="20"/>
      <c r="P8822" s="17"/>
      <c r="Q8822" s="22"/>
    </row>
    <row r="8823">
      <c r="O8823" s="20"/>
      <c r="P8823" s="17"/>
      <c r="Q8823" s="22"/>
    </row>
    <row r="8824">
      <c r="O8824" s="20"/>
      <c r="P8824" s="17"/>
      <c r="Q8824" s="22"/>
    </row>
    <row r="8825">
      <c r="O8825" s="20"/>
      <c r="P8825" s="17"/>
      <c r="Q8825" s="22"/>
    </row>
    <row r="8826">
      <c r="O8826" s="20"/>
      <c r="P8826" s="17"/>
      <c r="Q8826" s="22"/>
    </row>
    <row r="8827">
      <c r="O8827" s="20"/>
      <c r="P8827" s="17"/>
      <c r="Q8827" s="22"/>
    </row>
    <row r="8828">
      <c r="O8828" s="20"/>
      <c r="P8828" s="17"/>
      <c r="Q8828" s="22"/>
    </row>
    <row r="8829">
      <c r="O8829" s="20"/>
      <c r="P8829" s="17"/>
      <c r="Q8829" s="22"/>
    </row>
    <row r="8830">
      <c r="O8830" s="20"/>
      <c r="P8830" s="17"/>
      <c r="Q8830" s="22"/>
    </row>
    <row r="8831">
      <c r="O8831" s="20"/>
      <c r="P8831" s="17"/>
      <c r="Q8831" s="22"/>
    </row>
    <row r="8832">
      <c r="O8832" s="20"/>
      <c r="P8832" s="17"/>
      <c r="Q8832" s="22"/>
    </row>
    <row r="8833">
      <c r="O8833" s="20"/>
      <c r="P8833" s="17"/>
      <c r="Q8833" s="22"/>
    </row>
    <row r="8834">
      <c r="O8834" s="20"/>
      <c r="P8834" s="17"/>
      <c r="Q8834" s="22"/>
    </row>
    <row r="8835">
      <c r="O8835" s="20"/>
      <c r="P8835" s="17"/>
      <c r="Q8835" s="22"/>
    </row>
    <row r="8836">
      <c r="O8836" s="20"/>
      <c r="P8836" s="17"/>
      <c r="Q8836" s="22"/>
    </row>
    <row r="8837">
      <c r="O8837" s="20"/>
      <c r="P8837" s="17"/>
      <c r="Q8837" s="22"/>
    </row>
    <row r="8838">
      <c r="O8838" s="20"/>
      <c r="P8838" s="17"/>
      <c r="Q8838" s="22"/>
    </row>
    <row r="8839">
      <c r="O8839" s="20"/>
      <c r="P8839" s="17"/>
      <c r="Q8839" s="22"/>
    </row>
    <row r="8840">
      <c r="O8840" s="20"/>
      <c r="P8840" s="17"/>
      <c r="Q8840" s="22"/>
    </row>
    <row r="8841">
      <c r="O8841" s="20"/>
      <c r="P8841" s="17"/>
      <c r="Q8841" s="22"/>
    </row>
    <row r="8842">
      <c r="O8842" s="20"/>
      <c r="P8842" s="17"/>
      <c r="Q8842" s="22"/>
    </row>
    <row r="8843">
      <c r="O8843" s="20"/>
      <c r="P8843" s="17"/>
      <c r="Q8843" s="22"/>
    </row>
    <row r="8844">
      <c r="O8844" s="20"/>
      <c r="P8844" s="17"/>
      <c r="Q8844" s="22"/>
    </row>
    <row r="8845">
      <c r="O8845" s="20"/>
      <c r="P8845" s="17"/>
      <c r="Q8845" s="22"/>
    </row>
    <row r="8846">
      <c r="O8846" s="20"/>
      <c r="P8846" s="17"/>
      <c r="Q8846" s="22"/>
    </row>
    <row r="8847">
      <c r="O8847" s="20"/>
      <c r="P8847" s="17"/>
      <c r="Q8847" s="22"/>
    </row>
    <row r="8848">
      <c r="O8848" s="20"/>
      <c r="P8848" s="17"/>
      <c r="Q8848" s="22"/>
    </row>
    <row r="8849">
      <c r="O8849" s="20"/>
      <c r="P8849" s="17"/>
      <c r="Q8849" s="22"/>
    </row>
    <row r="8850">
      <c r="O8850" s="20"/>
      <c r="P8850" s="17"/>
      <c r="Q8850" s="22"/>
    </row>
    <row r="8851">
      <c r="O8851" s="20"/>
      <c r="P8851" s="17"/>
      <c r="Q8851" s="22"/>
    </row>
    <row r="8852">
      <c r="O8852" s="20"/>
      <c r="P8852" s="17"/>
      <c r="Q8852" s="22"/>
    </row>
    <row r="8853">
      <c r="O8853" s="20"/>
      <c r="P8853" s="17"/>
      <c r="Q8853" s="22"/>
    </row>
    <row r="8854">
      <c r="O8854" s="20"/>
      <c r="P8854" s="17"/>
      <c r="Q8854" s="22"/>
    </row>
    <row r="8855">
      <c r="O8855" s="20"/>
      <c r="P8855" s="17"/>
      <c r="Q8855" s="22"/>
    </row>
    <row r="8856">
      <c r="O8856" s="20"/>
      <c r="P8856" s="17"/>
      <c r="Q8856" s="22"/>
    </row>
    <row r="8857">
      <c r="O8857" s="20"/>
      <c r="P8857" s="17"/>
      <c r="Q8857" s="22"/>
    </row>
    <row r="8858">
      <c r="O8858" s="20"/>
      <c r="P8858" s="17"/>
      <c r="Q8858" s="22"/>
    </row>
    <row r="8859">
      <c r="O8859" s="20"/>
      <c r="P8859" s="17"/>
      <c r="Q8859" s="22"/>
    </row>
    <row r="8860">
      <c r="O8860" s="20"/>
      <c r="P8860" s="17"/>
      <c r="Q8860" s="22"/>
    </row>
    <row r="8861">
      <c r="O8861" s="20"/>
      <c r="P8861" s="17"/>
      <c r="Q8861" s="22"/>
    </row>
    <row r="8862">
      <c r="O8862" s="20"/>
      <c r="P8862" s="17"/>
      <c r="Q8862" s="22"/>
    </row>
    <row r="8863">
      <c r="O8863" s="20"/>
      <c r="P8863" s="17"/>
      <c r="Q8863" s="22"/>
    </row>
    <row r="8864">
      <c r="O8864" s="20"/>
      <c r="P8864" s="17"/>
      <c r="Q8864" s="22"/>
    </row>
    <row r="8865">
      <c r="O8865" s="20"/>
      <c r="P8865" s="17"/>
      <c r="Q8865" s="22"/>
    </row>
    <row r="8866">
      <c r="O8866" s="20"/>
      <c r="P8866" s="17"/>
      <c r="Q8866" s="22"/>
    </row>
    <row r="8867">
      <c r="O8867" s="20"/>
      <c r="P8867" s="17"/>
      <c r="Q8867" s="22"/>
    </row>
    <row r="8868">
      <c r="O8868" s="20"/>
      <c r="P8868" s="17"/>
      <c r="Q8868" s="22"/>
    </row>
    <row r="8869">
      <c r="O8869" s="20"/>
      <c r="P8869" s="17"/>
      <c r="Q8869" s="22"/>
    </row>
    <row r="8870">
      <c r="O8870" s="20"/>
      <c r="P8870" s="17"/>
      <c r="Q8870" s="22"/>
    </row>
    <row r="8871">
      <c r="O8871" s="20"/>
      <c r="P8871" s="17"/>
      <c r="Q8871" s="22"/>
    </row>
    <row r="8872">
      <c r="O8872" s="20"/>
      <c r="P8872" s="17"/>
      <c r="Q8872" s="22"/>
    </row>
    <row r="8873">
      <c r="O8873" s="20"/>
      <c r="P8873" s="17"/>
      <c r="Q8873" s="22"/>
    </row>
    <row r="8874">
      <c r="O8874" s="20"/>
      <c r="P8874" s="17"/>
      <c r="Q8874" s="22"/>
    </row>
    <row r="8875">
      <c r="O8875" s="20"/>
      <c r="P8875" s="17"/>
      <c r="Q8875" s="22"/>
    </row>
    <row r="8876">
      <c r="O8876" s="20"/>
      <c r="P8876" s="17"/>
      <c r="Q8876" s="22"/>
    </row>
    <row r="8877">
      <c r="O8877" s="20"/>
      <c r="P8877" s="17"/>
      <c r="Q8877" s="22"/>
    </row>
    <row r="8878">
      <c r="O8878" s="20"/>
      <c r="P8878" s="17"/>
      <c r="Q8878" s="22"/>
    </row>
    <row r="8879">
      <c r="O8879" s="20"/>
      <c r="P8879" s="17"/>
      <c r="Q8879" s="22"/>
    </row>
    <row r="8880">
      <c r="O8880" s="20"/>
      <c r="P8880" s="17"/>
      <c r="Q8880" s="22"/>
    </row>
    <row r="8881">
      <c r="O8881" s="20"/>
      <c r="P8881" s="17"/>
      <c r="Q8881" s="22"/>
    </row>
    <row r="8882">
      <c r="O8882" s="20"/>
      <c r="P8882" s="17"/>
      <c r="Q8882" s="22"/>
    </row>
    <row r="8883">
      <c r="O8883" s="20"/>
      <c r="P8883" s="17"/>
      <c r="Q8883" s="22"/>
    </row>
    <row r="8884">
      <c r="O8884" s="20"/>
      <c r="P8884" s="17"/>
      <c r="Q8884" s="22"/>
    </row>
    <row r="8885">
      <c r="O8885" s="20"/>
      <c r="P8885" s="17"/>
      <c r="Q8885" s="22"/>
    </row>
    <row r="8886">
      <c r="O8886" s="20"/>
      <c r="P8886" s="17"/>
      <c r="Q8886" s="22"/>
    </row>
    <row r="8887">
      <c r="O8887" s="20"/>
      <c r="P8887" s="17"/>
      <c r="Q8887" s="22"/>
    </row>
    <row r="8888">
      <c r="O8888" s="20"/>
      <c r="P8888" s="17"/>
      <c r="Q8888" s="22"/>
    </row>
    <row r="8889">
      <c r="O8889" s="20"/>
      <c r="P8889" s="17"/>
      <c r="Q8889" s="22"/>
    </row>
    <row r="8890">
      <c r="O8890" s="20"/>
      <c r="P8890" s="17"/>
      <c r="Q8890" s="22"/>
    </row>
    <row r="8891">
      <c r="O8891" s="20"/>
      <c r="P8891" s="17"/>
      <c r="Q8891" s="22"/>
    </row>
    <row r="8892">
      <c r="O8892" s="20"/>
      <c r="P8892" s="17"/>
      <c r="Q8892" s="22"/>
    </row>
    <row r="8893">
      <c r="O8893" s="20"/>
      <c r="P8893" s="17"/>
      <c r="Q8893" s="22"/>
    </row>
    <row r="8894">
      <c r="O8894" s="20"/>
      <c r="P8894" s="17"/>
      <c r="Q8894" s="22"/>
    </row>
    <row r="8895">
      <c r="O8895" s="20"/>
      <c r="P8895" s="17"/>
      <c r="Q8895" s="22"/>
    </row>
    <row r="8896">
      <c r="O8896" s="20"/>
      <c r="P8896" s="17"/>
      <c r="Q8896" s="22"/>
    </row>
    <row r="8897">
      <c r="O8897" s="20"/>
      <c r="P8897" s="17"/>
      <c r="Q8897" s="22"/>
    </row>
    <row r="8898">
      <c r="O8898" s="20"/>
      <c r="P8898" s="17"/>
      <c r="Q8898" s="22"/>
    </row>
    <row r="8899">
      <c r="O8899" s="20"/>
      <c r="P8899" s="17"/>
      <c r="Q8899" s="22"/>
    </row>
    <row r="8900">
      <c r="O8900" s="20"/>
      <c r="P8900" s="17"/>
      <c r="Q8900" s="22"/>
    </row>
    <row r="8901">
      <c r="O8901" s="20"/>
      <c r="P8901" s="17"/>
      <c r="Q8901" s="22"/>
    </row>
    <row r="8902">
      <c r="O8902" s="20"/>
      <c r="P8902" s="17"/>
      <c r="Q8902" s="22"/>
    </row>
    <row r="8903">
      <c r="O8903" s="20"/>
      <c r="P8903" s="17"/>
      <c r="Q8903" s="22"/>
    </row>
    <row r="8904">
      <c r="O8904" s="20"/>
      <c r="P8904" s="17"/>
      <c r="Q8904" s="22"/>
    </row>
    <row r="8905">
      <c r="O8905" s="20"/>
      <c r="P8905" s="17"/>
      <c r="Q8905" s="22"/>
    </row>
    <row r="8906">
      <c r="O8906" s="20"/>
      <c r="P8906" s="17"/>
      <c r="Q8906" s="22"/>
    </row>
    <row r="8907">
      <c r="O8907" s="20"/>
      <c r="P8907" s="17"/>
      <c r="Q8907" s="22"/>
    </row>
    <row r="8908">
      <c r="O8908" s="20"/>
      <c r="P8908" s="17"/>
      <c r="Q8908" s="22"/>
    </row>
    <row r="8909">
      <c r="O8909" s="20"/>
      <c r="P8909" s="17"/>
      <c r="Q8909" s="22"/>
    </row>
    <row r="8910">
      <c r="O8910" s="20"/>
      <c r="P8910" s="17"/>
      <c r="Q8910" s="22"/>
    </row>
    <row r="8911">
      <c r="O8911" s="20"/>
      <c r="P8911" s="17"/>
      <c r="Q8911" s="22"/>
    </row>
    <row r="8912">
      <c r="O8912" s="20"/>
      <c r="P8912" s="17"/>
      <c r="Q8912" s="22"/>
    </row>
    <row r="8913">
      <c r="O8913" s="20"/>
      <c r="P8913" s="17"/>
      <c r="Q8913" s="22"/>
    </row>
    <row r="8914">
      <c r="O8914" s="20"/>
      <c r="P8914" s="17"/>
      <c r="Q8914" s="22"/>
    </row>
    <row r="8915">
      <c r="O8915" s="20"/>
      <c r="P8915" s="17"/>
      <c r="Q8915" s="22"/>
    </row>
    <row r="8916">
      <c r="O8916" s="20"/>
      <c r="P8916" s="17"/>
      <c r="Q8916" s="22"/>
    </row>
    <row r="8917">
      <c r="O8917" s="20"/>
      <c r="P8917" s="17"/>
      <c r="Q8917" s="22"/>
    </row>
    <row r="8918">
      <c r="O8918" s="20"/>
      <c r="P8918" s="17"/>
      <c r="Q8918" s="22"/>
    </row>
    <row r="8919">
      <c r="O8919" s="20"/>
      <c r="P8919" s="17"/>
      <c r="Q8919" s="22"/>
    </row>
    <row r="8920">
      <c r="O8920" s="20"/>
      <c r="P8920" s="17"/>
      <c r="Q8920" s="22"/>
    </row>
    <row r="8921">
      <c r="O8921" s="20"/>
      <c r="P8921" s="17"/>
      <c r="Q8921" s="22"/>
    </row>
    <row r="8922">
      <c r="O8922" s="20"/>
      <c r="P8922" s="17"/>
      <c r="Q8922" s="22"/>
    </row>
    <row r="8923">
      <c r="O8923" s="20"/>
      <c r="P8923" s="17"/>
      <c r="Q8923" s="22"/>
    </row>
    <row r="8924">
      <c r="O8924" s="20"/>
      <c r="P8924" s="17"/>
      <c r="Q8924" s="22"/>
    </row>
    <row r="8925">
      <c r="O8925" s="20"/>
      <c r="P8925" s="17"/>
      <c r="Q8925" s="22"/>
    </row>
    <row r="8926">
      <c r="O8926" s="20"/>
      <c r="P8926" s="17"/>
      <c r="Q8926" s="22"/>
    </row>
    <row r="8927">
      <c r="O8927" s="20"/>
      <c r="P8927" s="17"/>
      <c r="Q8927" s="22"/>
    </row>
    <row r="8928">
      <c r="O8928" s="20"/>
      <c r="P8928" s="17"/>
      <c r="Q8928" s="22"/>
    </row>
    <row r="8929">
      <c r="O8929" s="20"/>
      <c r="P8929" s="17"/>
      <c r="Q8929" s="22"/>
    </row>
    <row r="8930">
      <c r="O8930" s="20"/>
      <c r="P8930" s="17"/>
      <c r="Q8930" s="22"/>
    </row>
    <row r="8931">
      <c r="O8931" s="20"/>
      <c r="P8931" s="17"/>
      <c r="Q8931" s="22"/>
    </row>
    <row r="8932">
      <c r="O8932" s="20"/>
      <c r="P8932" s="17"/>
      <c r="Q8932" s="22"/>
    </row>
    <row r="8933">
      <c r="O8933" s="20"/>
      <c r="P8933" s="17"/>
      <c r="Q8933" s="22"/>
    </row>
    <row r="8934">
      <c r="O8934" s="20"/>
      <c r="P8934" s="17"/>
      <c r="Q8934" s="22"/>
    </row>
    <row r="8935">
      <c r="O8935" s="20"/>
      <c r="P8935" s="17"/>
      <c r="Q8935" s="22"/>
    </row>
    <row r="8936">
      <c r="O8936" s="20"/>
      <c r="P8936" s="17"/>
      <c r="Q8936" s="22"/>
    </row>
    <row r="8937">
      <c r="O8937" s="20"/>
      <c r="P8937" s="17"/>
      <c r="Q8937" s="22"/>
    </row>
    <row r="8938">
      <c r="O8938" s="20"/>
      <c r="P8938" s="17"/>
      <c r="Q8938" s="22"/>
    </row>
    <row r="8939">
      <c r="O8939" s="20"/>
      <c r="P8939" s="17"/>
      <c r="Q8939" s="22"/>
    </row>
    <row r="8940">
      <c r="O8940" s="20"/>
      <c r="P8940" s="17"/>
      <c r="Q8940" s="22"/>
    </row>
    <row r="8941">
      <c r="O8941" s="20"/>
      <c r="P8941" s="17"/>
      <c r="Q8941" s="22"/>
    </row>
    <row r="8942">
      <c r="O8942" s="20"/>
      <c r="P8942" s="17"/>
      <c r="Q8942" s="22"/>
    </row>
    <row r="8943">
      <c r="O8943" s="20"/>
      <c r="P8943" s="17"/>
      <c r="Q8943" s="22"/>
    </row>
    <row r="8944">
      <c r="O8944" s="20"/>
      <c r="P8944" s="17"/>
      <c r="Q8944" s="22"/>
    </row>
    <row r="8945">
      <c r="O8945" s="20"/>
      <c r="P8945" s="17"/>
      <c r="Q8945" s="22"/>
    </row>
    <row r="8946">
      <c r="O8946" s="20"/>
      <c r="P8946" s="17"/>
      <c r="Q8946" s="22"/>
    </row>
    <row r="8947">
      <c r="O8947" s="20"/>
      <c r="P8947" s="17"/>
      <c r="Q8947" s="22"/>
    </row>
    <row r="8948">
      <c r="O8948" s="20"/>
      <c r="P8948" s="17"/>
      <c r="Q8948" s="22"/>
    </row>
    <row r="8949">
      <c r="O8949" s="20"/>
      <c r="P8949" s="17"/>
      <c r="Q8949" s="22"/>
    </row>
    <row r="8950">
      <c r="O8950" s="20"/>
      <c r="P8950" s="17"/>
      <c r="Q8950" s="22"/>
    </row>
    <row r="8951">
      <c r="O8951" s="20"/>
      <c r="P8951" s="17"/>
      <c r="Q8951" s="22"/>
    </row>
    <row r="8952">
      <c r="O8952" s="20"/>
      <c r="P8952" s="17"/>
      <c r="Q8952" s="22"/>
    </row>
    <row r="8953">
      <c r="O8953" s="20"/>
      <c r="P8953" s="17"/>
      <c r="Q8953" s="22"/>
    </row>
    <row r="8954">
      <c r="O8954" s="20"/>
      <c r="P8954" s="17"/>
      <c r="Q8954" s="22"/>
    </row>
    <row r="8955">
      <c r="O8955" s="20"/>
      <c r="P8955" s="17"/>
      <c r="Q8955" s="22"/>
    </row>
    <row r="8956">
      <c r="O8956" s="20"/>
      <c r="P8956" s="17"/>
      <c r="Q8956" s="22"/>
    </row>
    <row r="8957">
      <c r="O8957" s="20"/>
      <c r="P8957" s="17"/>
      <c r="Q8957" s="22"/>
    </row>
    <row r="8958">
      <c r="O8958" s="20"/>
      <c r="P8958" s="17"/>
      <c r="Q8958" s="22"/>
    </row>
    <row r="8959">
      <c r="O8959" s="20"/>
      <c r="P8959" s="17"/>
      <c r="Q8959" s="22"/>
    </row>
    <row r="8960">
      <c r="O8960" s="20"/>
      <c r="P8960" s="17"/>
      <c r="Q8960" s="22"/>
    </row>
    <row r="8961">
      <c r="O8961" s="20"/>
      <c r="P8961" s="17"/>
      <c r="Q8961" s="22"/>
    </row>
    <row r="8962">
      <c r="O8962" s="20"/>
      <c r="P8962" s="17"/>
      <c r="Q8962" s="22"/>
    </row>
    <row r="8963">
      <c r="O8963" s="20"/>
      <c r="P8963" s="17"/>
      <c r="Q8963" s="22"/>
    </row>
    <row r="8964">
      <c r="O8964" s="20"/>
      <c r="P8964" s="17"/>
      <c r="Q8964" s="22"/>
    </row>
    <row r="8965">
      <c r="O8965" s="20"/>
      <c r="P8965" s="17"/>
      <c r="Q8965" s="22"/>
    </row>
    <row r="8966">
      <c r="O8966" s="20"/>
      <c r="P8966" s="17"/>
      <c r="Q8966" s="22"/>
    </row>
    <row r="8967">
      <c r="O8967" s="20"/>
      <c r="P8967" s="17"/>
      <c r="Q8967" s="22"/>
    </row>
    <row r="8968">
      <c r="O8968" s="20"/>
      <c r="P8968" s="17"/>
      <c r="Q8968" s="22"/>
    </row>
    <row r="8969">
      <c r="O8969" s="20"/>
      <c r="P8969" s="17"/>
      <c r="Q8969" s="22"/>
    </row>
    <row r="8970">
      <c r="O8970" s="20"/>
      <c r="P8970" s="17"/>
      <c r="Q8970" s="22"/>
    </row>
    <row r="8971">
      <c r="O8971" s="20"/>
      <c r="P8971" s="17"/>
      <c r="Q8971" s="22"/>
    </row>
    <row r="8972">
      <c r="O8972" s="20"/>
      <c r="P8972" s="17"/>
      <c r="Q8972" s="22"/>
    </row>
    <row r="8973">
      <c r="O8973" s="20"/>
      <c r="P8973" s="17"/>
      <c r="Q8973" s="22"/>
    </row>
    <row r="8974">
      <c r="O8974" s="20"/>
      <c r="P8974" s="17"/>
      <c r="Q8974" s="22"/>
    </row>
    <row r="8975">
      <c r="O8975" s="20"/>
      <c r="P8975" s="17"/>
      <c r="Q8975" s="22"/>
    </row>
    <row r="8976">
      <c r="O8976" s="20"/>
      <c r="P8976" s="17"/>
      <c r="Q8976" s="22"/>
    </row>
    <row r="8977">
      <c r="O8977" s="20"/>
      <c r="P8977" s="17"/>
      <c r="Q8977" s="22"/>
    </row>
    <row r="8978">
      <c r="O8978" s="20"/>
      <c r="P8978" s="17"/>
      <c r="Q8978" s="22"/>
    </row>
    <row r="8979">
      <c r="O8979" s="20"/>
      <c r="P8979" s="17"/>
      <c r="Q8979" s="22"/>
    </row>
    <row r="8980">
      <c r="O8980" s="20"/>
      <c r="P8980" s="17"/>
      <c r="Q8980" s="22"/>
    </row>
    <row r="8981">
      <c r="O8981" s="20"/>
      <c r="P8981" s="17"/>
      <c r="Q8981" s="22"/>
    </row>
    <row r="8982">
      <c r="O8982" s="20"/>
      <c r="P8982" s="17"/>
      <c r="Q8982" s="22"/>
    </row>
    <row r="8983">
      <c r="O8983" s="20"/>
      <c r="P8983" s="17"/>
      <c r="Q8983" s="22"/>
    </row>
    <row r="8984">
      <c r="O8984" s="20"/>
      <c r="P8984" s="17"/>
      <c r="Q8984" s="22"/>
    </row>
    <row r="8985">
      <c r="O8985" s="20"/>
      <c r="P8985" s="17"/>
      <c r="Q8985" s="22"/>
    </row>
    <row r="8986">
      <c r="O8986" s="20"/>
      <c r="P8986" s="17"/>
      <c r="Q8986" s="22"/>
    </row>
    <row r="8987">
      <c r="O8987" s="20"/>
      <c r="P8987" s="17"/>
      <c r="Q8987" s="22"/>
    </row>
    <row r="8988">
      <c r="O8988" s="20"/>
      <c r="P8988" s="17"/>
      <c r="Q8988" s="22"/>
    </row>
    <row r="8989">
      <c r="O8989" s="20"/>
      <c r="P8989" s="17"/>
      <c r="Q8989" s="22"/>
    </row>
    <row r="8990">
      <c r="O8990" s="20"/>
      <c r="P8990" s="17"/>
      <c r="Q8990" s="22"/>
    </row>
    <row r="8991">
      <c r="O8991" s="20"/>
      <c r="P8991" s="17"/>
      <c r="Q8991" s="22"/>
    </row>
    <row r="8992">
      <c r="O8992" s="20"/>
      <c r="P8992" s="17"/>
      <c r="Q8992" s="22"/>
    </row>
    <row r="8993">
      <c r="O8993" s="20"/>
      <c r="P8993" s="17"/>
      <c r="Q8993" s="22"/>
    </row>
    <row r="8994">
      <c r="O8994" s="20"/>
      <c r="P8994" s="17"/>
      <c r="Q8994" s="22"/>
    </row>
    <row r="8995">
      <c r="O8995" s="20"/>
      <c r="P8995" s="17"/>
      <c r="Q8995" s="22"/>
    </row>
    <row r="8996">
      <c r="O8996" s="20"/>
      <c r="P8996" s="17"/>
      <c r="Q8996" s="22"/>
    </row>
    <row r="8997">
      <c r="O8997" s="20"/>
      <c r="P8997" s="17"/>
      <c r="Q8997" s="22"/>
    </row>
    <row r="8998">
      <c r="O8998" s="20"/>
      <c r="P8998" s="17"/>
      <c r="Q8998" s="22"/>
    </row>
    <row r="8999">
      <c r="O8999" s="20"/>
      <c r="P8999" s="17"/>
      <c r="Q8999" s="22"/>
    </row>
    <row r="9000">
      <c r="O9000" s="20"/>
      <c r="P9000" s="17"/>
      <c r="Q9000" s="22"/>
    </row>
    <row r="9001">
      <c r="O9001" s="20"/>
      <c r="P9001" s="17"/>
      <c r="Q9001" s="22"/>
    </row>
    <row r="9002">
      <c r="O9002" s="20"/>
      <c r="P9002" s="17"/>
      <c r="Q9002" s="22"/>
    </row>
    <row r="9003">
      <c r="O9003" s="20"/>
      <c r="P9003" s="17"/>
      <c r="Q9003" s="22"/>
    </row>
    <row r="9004">
      <c r="O9004" s="20"/>
      <c r="P9004" s="17"/>
      <c r="Q9004" s="22"/>
    </row>
    <row r="9005">
      <c r="O9005" s="20"/>
      <c r="P9005" s="17"/>
      <c r="Q9005" s="22"/>
    </row>
    <row r="9006">
      <c r="O9006" s="20"/>
      <c r="P9006" s="17"/>
      <c r="Q9006" s="22"/>
    </row>
    <row r="9007">
      <c r="O9007" s="20"/>
      <c r="P9007" s="17"/>
      <c r="Q9007" s="22"/>
    </row>
    <row r="9008">
      <c r="O9008" s="20"/>
      <c r="P9008" s="17"/>
      <c r="Q9008" s="22"/>
    </row>
    <row r="9009">
      <c r="O9009" s="20"/>
      <c r="P9009" s="17"/>
      <c r="Q9009" s="22"/>
    </row>
    <row r="9010">
      <c r="O9010" s="20"/>
      <c r="P9010" s="17"/>
      <c r="Q9010" s="22"/>
    </row>
    <row r="9011">
      <c r="O9011" s="20"/>
      <c r="P9011" s="17"/>
      <c r="Q9011" s="22"/>
    </row>
    <row r="9012">
      <c r="O9012" s="20"/>
      <c r="P9012" s="17"/>
      <c r="Q9012" s="22"/>
    </row>
    <row r="9013">
      <c r="O9013" s="20"/>
      <c r="P9013" s="17"/>
      <c r="Q9013" s="22"/>
    </row>
    <row r="9014">
      <c r="O9014" s="20"/>
      <c r="P9014" s="17"/>
      <c r="Q9014" s="22"/>
    </row>
    <row r="9015">
      <c r="O9015" s="20"/>
      <c r="P9015" s="17"/>
      <c r="Q9015" s="22"/>
    </row>
    <row r="9016">
      <c r="O9016" s="20"/>
      <c r="P9016" s="17"/>
      <c r="Q9016" s="22"/>
    </row>
    <row r="9017">
      <c r="O9017" s="20"/>
      <c r="P9017" s="17"/>
      <c r="Q9017" s="22"/>
    </row>
    <row r="9018">
      <c r="O9018" s="20"/>
      <c r="P9018" s="17"/>
      <c r="Q9018" s="22"/>
    </row>
    <row r="9019">
      <c r="O9019" s="20"/>
      <c r="P9019" s="17"/>
      <c r="Q9019" s="22"/>
    </row>
    <row r="9020">
      <c r="O9020" s="20"/>
      <c r="P9020" s="17"/>
      <c r="Q9020" s="22"/>
    </row>
    <row r="9021">
      <c r="O9021" s="20"/>
      <c r="P9021" s="17"/>
      <c r="Q9021" s="22"/>
    </row>
    <row r="9022">
      <c r="O9022" s="20"/>
      <c r="P9022" s="17"/>
      <c r="Q9022" s="22"/>
    </row>
    <row r="9023">
      <c r="O9023" s="20"/>
      <c r="P9023" s="17"/>
      <c r="Q9023" s="22"/>
    </row>
    <row r="9024">
      <c r="O9024" s="20"/>
      <c r="P9024" s="17"/>
      <c r="Q9024" s="22"/>
    </row>
    <row r="9025">
      <c r="O9025" s="20"/>
      <c r="P9025" s="17"/>
      <c r="Q9025" s="22"/>
    </row>
    <row r="9026">
      <c r="O9026" s="20"/>
      <c r="P9026" s="17"/>
      <c r="Q9026" s="22"/>
    </row>
    <row r="9027">
      <c r="O9027" s="20"/>
      <c r="P9027" s="17"/>
      <c r="Q9027" s="22"/>
    </row>
    <row r="9028">
      <c r="O9028" s="20"/>
      <c r="P9028" s="17"/>
      <c r="Q9028" s="22"/>
    </row>
    <row r="9029">
      <c r="O9029" s="20"/>
      <c r="P9029" s="17"/>
      <c r="Q9029" s="22"/>
    </row>
    <row r="9030">
      <c r="O9030" s="20"/>
      <c r="P9030" s="17"/>
      <c r="Q9030" s="22"/>
    </row>
    <row r="9031">
      <c r="O9031" s="20"/>
      <c r="P9031" s="17"/>
      <c r="Q9031" s="22"/>
    </row>
    <row r="9032">
      <c r="O9032" s="20"/>
      <c r="P9032" s="17"/>
      <c r="Q9032" s="22"/>
    </row>
    <row r="9033">
      <c r="O9033" s="20"/>
      <c r="P9033" s="17"/>
      <c r="Q9033" s="22"/>
    </row>
    <row r="9034">
      <c r="O9034" s="20"/>
      <c r="P9034" s="17"/>
      <c r="Q9034" s="22"/>
    </row>
    <row r="9035">
      <c r="O9035" s="20"/>
      <c r="P9035" s="17"/>
      <c r="Q9035" s="22"/>
    </row>
    <row r="9036">
      <c r="O9036" s="20"/>
      <c r="P9036" s="17"/>
      <c r="Q9036" s="22"/>
    </row>
    <row r="9037">
      <c r="O9037" s="20"/>
      <c r="P9037" s="17"/>
      <c r="Q9037" s="22"/>
    </row>
    <row r="9038">
      <c r="O9038" s="20"/>
      <c r="P9038" s="17"/>
      <c r="Q9038" s="22"/>
    </row>
    <row r="9039">
      <c r="O9039" s="20"/>
      <c r="P9039" s="17"/>
      <c r="Q9039" s="22"/>
    </row>
    <row r="9040">
      <c r="O9040" s="20"/>
      <c r="P9040" s="17"/>
      <c r="Q9040" s="22"/>
    </row>
    <row r="9041">
      <c r="O9041" s="20"/>
      <c r="P9041" s="17"/>
      <c r="Q9041" s="22"/>
    </row>
    <row r="9042">
      <c r="O9042" s="20"/>
      <c r="P9042" s="17"/>
      <c r="Q9042" s="22"/>
    </row>
    <row r="9043">
      <c r="O9043" s="20"/>
      <c r="P9043" s="17"/>
      <c r="Q9043" s="22"/>
    </row>
    <row r="9044">
      <c r="O9044" s="20"/>
      <c r="P9044" s="17"/>
      <c r="Q9044" s="22"/>
    </row>
    <row r="9045">
      <c r="O9045" s="20"/>
      <c r="P9045" s="17"/>
      <c r="Q9045" s="22"/>
    </row>
    <row r="9046">
      <c r="O9046" s="20"/>
      <c r="P9046" s="17"/>
      <c r="Q9046" s="22"/>
    </row>
    <row r="9047">
      <c r="O9047" s="20"/>
      <c r="P9047" s="17"/>
      <c r="Q9047" s="22"/>
    </row>
    <row r="9048">
      <c r="O9048" s="20"/>
      <c r="P9048" s="17"/>
      <c r="Q9048" s="22"/>
    </row>
    <row r="9049">
      <c r="O9049" s="20"/>
      <c r="P9049" s="17"/>
      <c r="Q9049" s="22"/>
    </row>
    <row r="9050">
      <c r="O9050" s="20"/>
      <c r="P9050" s="17"/>
      <c r="Q9050" s="22"/>
    </row>
    <row r="9051">
      <c r="O9051" s="20"/>
      <c r="P9051" s="17"/>
      <c r="Q9051" s="22"/>
    </row>
    <row r="9052">
      <c r="O9052" s="20"/>
      <c r="P9052" s="17"/>
      <c r="Q9052" s="22"/>
    </row>
    <row r="9053">
      <c r="O9053" s="20"/>
      <c r="P9053" s="17"/>
      <c r="Q9053" s="22"/>
    </row>
    <row r="9054">
      <c r="O9054" s="20"/>
      <c r="P9054" s="17"/>
      <c r="Q9054" s="22"/>
    </row>
    <row r="9055">
      <c r="O9055" s="20"/>
      <c r="P9055" s="17"/>
      <c r="Q9055" s="22"/>
    </row>
    <row r="9056">
      <c r="O9056" s="20"/>
      <c r="P9056" s="17"/>
      <c r="Q9056" s="22"/>
    </row>
    <row r="9057">
      <c r="O9057" s="20"/>
      <c r="P9057" s="17"/>
      <c r="Q9057" s="22"/>
    </row>
    <row r="9058">
      <c r="O9058" s="20"/>
      <c r="P9058" s="17"/>
      <c r="Q9058" s="22"/>
    </row>
    <row r="9059">
      <c r="O9059" s="20"/>
      <c r="P9059" s="17"/>
      <c r="Q9059" s="22"/>
    </row>
    <row r="9060">
      <c r="O9060" s="20"/>
      <c r="P9060" s="17"/>
      <c r="Q9060" s="22"/>
    </row>
    <row r="9061">
      <c r="O9061" s="20"/>
      <c r="P9061" s="17"/>
      <c r="Q9061" s="22"/>
    </row>
    <row r="9062">
      <c r="O9062" s="20"/>
      <c r="P9062" s="17"/>
      <c r="Q9062" s="22"/>
    </row>
    <row r="9063">
      <c r="O9063" s="20"/>
      <c r="P9063" s="17"/>
      <c r="Q9063" s="22"/>
    </row>
    <row r="9064">
      <c r="O9064" s="20"/>
      <c r="P9064" s="17"/>
      <c r="Q9064" s="22"/>
    </row>
    <row r="9065">
      <c r="O9065" s="20"/>
      <c r="P9065" s="17"/>
      <c r="Q9065" s="22"/>
    </row>
    <row r="9066">
      <c r="O9066" s="20"/>
      <c r="P9066" s="17"/>
      <c r="Q9066" s="22"/>
    </row>
    <row r="9067">
      <c r="O9067" s="20"/>
      <c r="P9067" s="17"/>
      <c r="Q9067" s="22"/>
    </row>
    <row r="9068">
      <c r="O9068" s="20"/>
      <c r="P9068" s="17"/>
      <c r="Q9068" s="22"/>
    </row>
    <row r="9069">
      <c r="O9069" s="20"/>
      <c r="P9069" s="17"/>
      <c r="Q9069" s="22"/>
    </row>
    <row r="9070">
      <c r="O9070" s="20"/>
      <c r="P9070" s="17"/>
      <c r="Q9070" s="22"/>
    </row>
    <row r="9071">
      <c r="O9071" s="20"/>
      <c r="P9071" s="17"/>
      <c r="Q9071" s="22"/>
    </row>
    <row r="9072">
      <c r="O9072" s="20"/>
      <c r="P9072" s="17"/>
      <c r="Q9072" s="22"/>
    </row>
    <row r="9073">
      <c r="O9073" s="20"/>
      <c r="P9073" s="17"/>
      <c r="Q9073" s="22"/>
    </row>
    <row r="9074">
      <c r="O9074" s="20"/>
      <c r="P9074" s="17"/>
      <c r="Q9074" s="22"/>
    </row>
    <row r="9075">
      <c r="O9075" s="20"/>
      <c r="P9075" s="17"/>
      <c r="Q9075" s="22"/>
    </row>
    <row r="9076">
      <c r="O9076" s="20"/>
      <c r="P9076" s="17"/>
      <c r="Q9076" s="22"/>
    </row>
    <row r="9077">
      <c r="O9077" s="20"/>
      <c r="P9077" s="17"/>
      <c r="Q9077" s="22"/>
    </row>
    <row r="9078">
      <c r="O9078" s="20"/>
      <c r="P9078" s="17"/>
      <c r="Q9078" s="22"/>
    </row>
    <row r="9079">
      <c r="O9079" s="20"/>
      <c r="P9079" s="17"/>
      <c r="Q9079" s="22"/>
    </row>
    <row r="9080">
      <c r="O9080" s="20"/>
      <c r="P9080" s="17"/>
      <c r="Q9080" s="22"/>
    </row>
    <row r="9081">
      <c r="O9081" s="20"/>
      <c r="P9081" s="17"/>
      <c r="Q9081" s="22"/>
    </row>
    <row r="9082">
      <c r="O9082" s="20"/>
      <c r="P9082" s="17"/>
      <c r="Q9082" s="22"/>
    </row>
    <row r="9083">
      <c r="O9083" s="20"/>
      <c r="P9083" s="17"/>
      <c r="Q9083" s="22"/>
    </row>
    <row r="9084">
      <c r="O9084" s="20"/>
      <c r="P9084" s="17"/>
      <c r="Q9084" s="22"/>
    </row>
    <row r="9085">
      <c r="O9085" s="20"/>
      <c r="P9085" s="17"/>
      <c r="Q9085" s="22"/>
    </row>
    <row r="9086">
      <c r="O9086" s="20"/>
      <c r="P9086" s="17"/>
      <c r="Q9086" s="22"/>
    </row>
    <row r="9087">
      <c r="O9087" s="20"/>
      <c r="P9087" s="17"/>
      <c r="Q9087" s="22"/>
    </row>
    <row r="9088">
      <c r="O9088" s="20"/>
      <c r="P9088" s="17"/>
      <c r="Q9088" s="22"/>
    </row>
    <row r="9089">
      <c r="O9089" s="20"/>
      <c r="P9089" s="17"/>
      <c r="Q9089" s="22"/>
    </row>
    <row r="9090">
      <c r="O9090" s="20"/>
      <c r="P9090" s="17"/>
      <c r="Q9090" s="22"/>
    </row>
    <row r="9091">
      <c r="O9091" s="20"/>
      <c r="P9091" s="17"/>
      <c r="Q9091" s="22"/>
    </row>
    <row r="9092">
      <c r="O9092" s="20"/>
      <c r="P9092" s="17"/>
      <c r="Q9092" s="22"/>
    </row>
    <row r="9093">
      <c r="O9093" s="20"/>
      <c r="P9093" s="17"/>
      <c r="Q9093" s="22"/>
    </row>
    <row r="9094">
      <c r="O9094" s="20"/>
      <c r="P9094" s="17"/>
      <c r="Q9094" s="22"/>
    </row>
    <row r="9095">
      <c r="O9095" s="20"/>
      <c r="P9095" s="17"/>
      <c r="Q9095" s="22"/>
    </row>
    <row r="9096">
      <c r="O9096" s="20"/>
      <c r="P9096" s="17"/>
      <c r="Q9096" s="22"/>
    </row>
    <row r="9097">
      <c r="O9097" s="20"/>
      <c r="P9097" s="17"/>
      <c r="Q9097" s="22"/>
    </row>
    <row r="9098">
      <c r="O9098" s="20"/>
      <c r="P9098" s="17"/>
      <c r="Q9098" s="22"/>
    </row>
    <row r="9099">
      <c r="O9099" s="20"/>
      <c r="P9099" s="17"/>
      <c r="Q9099" s="22"/>
    </row>
    <row r="9100">
      <c r="O9100" s="20"/>
      <c r="P9100" s="17"/>
      <c r="Q9100" s="22"/>
    </row>
    <row r="9101">
      <c r="O9101" s="20"/>
      <c r="P9101" s="17"/>
      <c r="Q9101" s="22"/>
    </row>
    <row r="9102">
      <c r="O9102" s="20"/>
      <c r="P9102" s="17"/>
      <c r="Q9102" s="22"/>
    </row>
    <row r="9103">
      <c r="O9103" s="20"/>
      <c r="P9103" s="17"/>
      <c r="Q9103" s="22"/>
    </row>
    <row r="9104">
      <c r="O9104" s="20"/>
      <c r="P9104" s="17"/>
      <c r="Q9104" s="22"/>
    </row>
    <row r="9105">
      <c r="O9105" s="20"/>
      <c r="P9105" s="17"/>
      <c r="Q9105" s="22"/>
    </row>
    <row r="9106">
      <c r="O9106" s="20"/>
      <c r="P9106" s="17"/>
      <c r="Q9106" s="22"/>
    </row>
    <row r="9107">
      <c r="O9107" s="20"/>
      <c r="P9107" s="17"/>
      <c r="Q9107" s="22"/>
    </row>
    <row r="9108">
      <c r="O9108" s="20"/>
      <c r="P9108" s="17"/>
      <c r="Q9108" s="22"/>
    </row>
    <row r="9109">
      <c r="O9109" s="20"/>
      <c r="P9109" s="17"/>
      <c r="Q9109" s="22"/>
    </row>
    <row r="9110">
      <c r="O9110" s="20"/>
      <c r="P9110" s="17"/>
      <c r="Q9110" s="22"/>
    </row>
    <row r="9111">
      <c r="O9111" s="20"/>
      <c r="P9111" s="17"/>
      <c r="Q9111" s="22"/>
    </row>
    <row r="9112">
      <c r="O9112" s="20"/>
      <c r="P9112" s="17"/>
      <c r="Q9112" s="22"/>
    </row>
    <row r="9113">
      <c r="O9113" s="20"/>
      <c r="P9113" s="17"/>
      <c r="Q9113" s="22"/>
    </row>
    <row r="9114">
      <c r="O9114" s="20"/>
      <c r="P9114" s="17"/>
      <c r="Q9114" s="22"/>
    </row>
    <row r="9115">
      <c r="O9115" s="20"/>
      <c r="P9115" s="17"/>
      <c r="Q9115" s="22"/>
    </row>
    <row r="9116">
      <c r="O9116" s="20"/>
      <c r="P9116" s="17"/>
      <c r="Q9116" s="22"/>
    </row>
    <row r="9117">
      <c r="O9117" s="20"/>
      <c r="P9117" s="17"/>
      <c r="Q9117" s="22"/>
    </row>
    <row r="9118">
      <c r="O9118" s="20"/>
      <c r="P9118" s="17"/>
      <c r="Q9118" s="22"/>
    </row>
    <row r="9119">
      <c r="O9119" s="20"/>
      <c r="P9119" s="17"/>
      <c r="Q9119" s="22"/>
    </row>
    <row r="9120">
      <c r="O9120" s="20"/>
      <c r="P9120" s="17"/>
      <c r="Q9120" s="22"/>
    </row>
    <row r="9121">
      <c r="O9121" s="20"/>
      <c r="P9121" s="17"/>
      <c r="Q9121" s="22"/>
    </row>
    <row r="9122">
      <c r="O9122" s="20"/>
      <c r="P9122" s="17"/>
      <c r="Q9122" s="22"/>
    </row>
    <row r="9123">
      <c r="O9123" s="20"/>
      <c r="P9123" s="17"/>
      <c r="Q9123" s="22"/>
    </row>
    <row r="9124">
      <c r="O9124" s="20"/>
      <c r="P9124" s="17"/>
      <c r="Q9124" s="22"/>
    </row>
    <row r="9125">
      <c r="O9125" s="20"/>
      <c r="P9125" s="17"/>
      <c r="Q9125" s="22"/>
    </row>
    <row r="9126">
      <c r="O9126" s="20"/>
      <c r="P9126" s="17"/>
      <c r="Q9126" s="22"/>
    </row>
    <row r="9127">
      <c r="O9127" s="20"/>
      <c r="P9127" s="17"/>
      <c r="Q9127" s="22"/>
    </row>
    <row r="9128">
      <c r="O9128" s="20"/>
      <c r="P9128" s="17"/>
      <c r="Q9128" s="22"/>
    </row>
    <row r="9129">
      <c r="O9129" s="20"/>
      <c r="P9129" s="17"/>
      <c r="Q9129" s="22"/>
    </row>
    <row r="9130">
      <c r="O9130" s="20"/>
      <c r="P9130" s="17"/>
      <c r="Q9130" s="22"/>
    </row>
    <row r="9131">
      <c r="O9131" s="20"/>
      <c r="P9131" s="17"/>
      <c r="Q9131" s="22"/>
    </row>
    <row r="9132">
      <c r="O9132" s="20"/>
      <c r="P9132" s="17"/>
      <c r="Q9132" s="22"/>
    </row>
    <row r="9133">
      <c r="O9133" s="20"/>
      <c r="P9133" s="17"/>
      <c r="Q9133" s="22"/>
    </row>
    <row r="9134">
      <c r="O9134" s="20"/>
      <c r="P9134" s="17"/>
      <c r="Q9134" s="22"/>
    </row>
    <row r="9135">
      <c r="O9135" s="20"/>
      <c r="P9135" s="17"/>
      <c r="Q9135" s="22"/>
    </row>
    <row r="9136">
      <c r="O9136" s="20"/>
      <c r="P9136" s="17"/>
      <c r="Q9136" s="22"/>
    </row>
    <row r="9137">
      <c r="O9137" s="20"/>
      <c r="P9137" s="17"/>
      <c r="Q9137" s="22"/>
    </row>
    <row r="9138">
      <c r="O9138" s="20"/>
      <c r="P9138" s="17"/>
      <c r="Q9138" s="22"/>
    </row>
    <row r="9139">
      <c r="O9139" s="20"/>
      <c r="P9139" s="17"/>
      <c r="Q9139" s="22"/>
    </row>
    <row r="9140">
      <c r="O9140" s="20"/>
      <c r="P9140" s="17"/>
      <c r="Q9140" s="22"/>
    </row>
    <row r="9141">
      <c r="O9141" s="20"/>
      <c r="P9141" s="17"/>
      <c r="Q9141" s="22"/>
    </row>
    <row r="9142">
      <c r="O9142" s="20"/>
      <c r="P9142" s="17"/>
      <c r="Q9142" s="22"/>
    </row>
    <row r="9143">
      <c r="O9143" s="20"/>
      <c r="P9143" s="17"/>
      <c r="Q9143" s="22"/>
    </row>
    <row r="9144">
      <c r="O9144" s="20"/>
      <c r="P9144" s="17"/>
      <c r="Q9144" s="22"/>
    </row>
    <row r="9145">
      <c r="O9145" s="20"/>
      <c r="P9145" s="17"/>
      <c r="Q9145" s="22"/>
    </row>
    <row r="9146">
      <c r="O9146" s="20"/>
      <c r="P9146" s="17"/>
      <c r="Q9146" s="22"/>
    </row>
    <row r="9147">
      <c r="O9147" s="20"/>
      <c r="P9147" s="17"/>
      <c r="Q9147" s="22"/>
    </row>
    <row r="9148">
      <c r="O9148" s="20"/>
      <c r="P9148" s="17"/>
      <c r="Q9148" s="22"/>
    </row>
    <row r="9149">
      <c r="O9149" s="20"/>
      <c r="P9149" s="17"/>
      <c r="Q9149" s="22"/>
    </row>
    <row r="9150">
      <c r="O9150" s="20"/>
      <c r="P9150" s="17"/>
      <c r="Q9150" s="22"/>
    </row>
    <row r="9151">
      <c r="O9151" s="20"/>
      <c r="P9151" s="17"/>
      <c r="Q9151" s="22"/>
    </row>
    <row r="9152">
      <c r="O9152" s="20"/>
      <c r="P9152" s="17"/>
      <c r="Q9152" s="22"/>
    </row>
    <row r="9153">
      <c r="O9153" s="20"/>
      <c r="P9153" s="17"/>
      <c r="Q9153" s="22"/>
    </row>
    <row r="9154">
      <c r="O9154" s="20"/>
      <c r="P9154" s="17"/>
      <c r="Q9154" s="22"/>
    </row>
    <row r="9155">
      <c r="O9155" s="20"/>
      <c r="P9155" s="17"/>
      <c r="Q9155" s="22"/>
    </row>
    <row r="9156">
      <c r="O9156" s="20"/>
      <c r="P9156" s="17"/>
      <c r="Q9156" s="22"/>
    </row>
    <row r="9157">
      <c r="O9157" s="20"/>
      <c r="P9157" s="17"/>
      <c r="Q9157" s="22"/>
    </row>
    <row r="9158">
      <c r="O9158" s="20"/>
      <c r="P9158" s="17"/>
      <c r="Q9158" s="22"/>
    </row>
    <row r="9159">
      <c r="O9159" s="20"/>
      <c r="P9159" s="17"/>
      <c r="Q9159" s="22"/>
    </row>
    <row r="9160">
      <c r="O9160" s="20"/>
      <c r="P9160" s="17"/>
      <c r="Q9160" s="22"/>
    </row>
    <row r="9161">
      <c r="O9161" s="20"/>
      <c r="P9161" s="17"/>
      <c r="Q9161" s="22"/>
    </row>
    <row r="9162">
      <c r="O9162" s="20"/>
      <c r="P9162" s="17"/>
      <c r="Q9162" s="22"/>
    </row>
    <row r="9163">
      <c r="O9163" s="20"/>
      <c r="P9163" s="17"/>
      <c r="Q9163" s="22"/>
    </row>
    <row r="9164">
      <c r="O9164" s="20"/>
      <c r="P9164" s="17"/>
      <c r="Q9164" s="22"/>
    </row>
    <row r="9165">
      <c r="O9165" s="20"/>
      <c r="P9165" s="17"/>
      <c r="Q9165" s="22"/>
    </row>
    <row r="9166">
      <c r="O9166" s="20"/>
      <c r="P9166" s="17"/>
      <c r="Q9166" s="22"/>
    </row>
    <row r="9167">
      <c r="O9167" s="20"/>
      <c r="P9167" s="17"/>
      <c r="Q9167" s="22"/>
    </row>
    <row r="9168">
      <c r="O9168" s="20"/>
      <c r="P9168" s="17"/>
      <c r="Q9168" s="22"/>
    </row>
    <row r="9169">
      <c r="O9169" s="20"/>
      <c r="P9169" s="17"/>
      <c r="Q9169" s="22"/>
    </row>
    <row r="9170">
      <c r="O9170" s="20"/>
      <c r="P9170" s="17"/>
      <c r="Q9170" s="22"/>
    </row>
    <row r="9171">
      <c r="O9171" s="20"/>
      <c r="P9171" s="17"/>
      <c r="Q9171" s="22"/>
    </row>
    <row r="9172">
      <c r="O9172" s="20"/>
      <c r="P9172" s="17"/>
      <c r="Q9172" s="22"/>
    </row>
    <row r="9173">
      <c r="O9173" s="20"/>
      <c r="P9173" s="17"/>
      <c r="Q9173" s="22"/>
    </row>
    <row r="9174">
      <c r="O9174" s="20"/>
      <c r="P9174" s="17"/>
      <c r="Q9174" s="22"/>
    </row>
    <row r="9175">
      <c r="O9175" s="20"/>
      <c r="P9175" s="17"/>
      <c r="Q9175" s="22"/>
    </row>
    <row r="9176">
      <c r="O9176" s="20"/>
      <c r="P9176" s="17"/>
      <c r="Q9176" s="22"/>
    </row>
    <row r="9177">
      <c r="O9177" s="20"/>
      <c r="P9177" s="17"/>
      <c r="Q9177" s="22"/>
    </row>
    <row r="9178">
      <c r="O9178" s="20"/>
      <c r="P9178" s="17"/>
      <c r="Q9178" s="22"/>
    </row>
    <row r="9179">
      <c r="O9179" s="20"/>
      <c r="P9179" s="17"/>
      <c r="Q9179" s="22"/>
    </row>
    <row r="9180">
      <c r="O9180" s="20"/>
      <c r="P9180" s="17"/>
      <c r="Q9180" s="22"/>
    </row>
    <row r="9181">
      <c r="O9181" s="20"/>
      <c r="P9181" s="17"/>
      <c r="Q9181" s="22"/>
    </row>
    <row r="9182">
      <c r="O9182" s="20"/>
      <c r="P9182" s="17"/>
      <c r="Q9182" s="22"/>
    </row>
    <row r="9183">
      <c r="O9183" s="20"/>
      <c r="P9183" s="17"/>
      <c r="Q9183" s="22"/>
    </row>
    <row r="9184">
      <c r="O9184" s="20"/>
      <c r="P9184" s="17"/>
      <c r="Q9184" s="22"/>
    </row>
    <row r="9185">
      <c r="O9185" s="20"/>
      <c r="P9185" s="17"/>
      <c r="Q9185" s="22"/>
    </row>
    <row r="9186">
      <c r="O9186" s="20"/>
      <c r="P9186" s="17"/>
      <c r="Q9186" s="22"/>
    </row>
    <row r="9187">
      <c r="O9187" s="20"/>
      <c r="P9187" s="17"/>
      <c r="Q9187" s="22"/>
    </row>
    <row r="9188">
      <c r="O9188" s="20"/>
      <c r="P9188" s="17"/>
      <c r="Q9188" s="22"/>
    </row>
    <row r="9189">
      <c r="O9189" s="20"/>
      <c r="P9189" s="17"/>
      <c r="Q9189" s="22"/>
    </row>
    <row r="9190">
      <c r="O9190" s="20"/>
      <c r="P9190" s="17"/>
      <c r="Q9190" s="22"/>
    </row>
    <row r="9191">
      <c r="O9191" s="20"/>
      <c r="P9191" s="17"/>
      <c r="Q9191" s="22"/>
    </row>
    <row r="9192">
      <c r="O9192" s="20"/>
      <c r="P9192" s="17"/>
      <c r="Q9192" s="22"/>
    </row>
    <row r="9193">
      <c r="O9193" s="20"/>
      <c r="P9193" s="17"/>
      <c r="Q9193" s="22"/>
    </row>
    <row r="9194">
      <c r="O9194" s="20"/>
      <c r="P9194" s="17"/>
      <c r="Q9194" s="22"/>
    </row>
    <row r="9195">
      <c r="O9195" s="20"/>
      <c r="P9195" s="17"/>
      <c r="Q9195" s="22"/>
    </row>
    <row r="9196">
      <c r="O9196" s="20"/>
      <c r="P9196" s="17"/>
      <c r="Q9196" s="22"/>
    </row>
    <row r="9197">
      <c r="O9197" s="20"/>
      <c r="P9197" s="17"/>
      <c r="Q9197" s="22"/>
    </row>
    <row r="9198">
      <c r="O9198" s="20"/>
      <c r="P9198" s="17"/>
      <c r="Q9198" s="22"/>
    </row>
    <row r="9199">
      <c r="O9199" s="20"/>
      <c r="P9199" s="17"/>
      <c r="Q9199" s="22"/>
    </row>
    <row r="9200">
      <c r="O9200" s="20"/>
      <c r="P9200" s="17"/>
      <c r="Q9200" s="22"/>
    </row>
    <row r="9201">
      <c r="O9201" s="20"/>
      <c r="P9201" s="17"/>
      <c r="Q9201" s="22"/>
    </row>
    <row r="9202">
      <c r="O9202" s="20"/>
      <c r="P9202" s="17"/>
      <c r="Q9202" s="22"/>
    </row>
    <row r="9203">
      <c r="O9203" s="20"/>
      <c r="P9203" s="17"/>
      <c r="Q9203" s="22"/>
    </row>
    <row r="9204">
      <c r="O9204" s="20"/>
      <c r="P9204" s="17"/>
      <c r="Q9204" s="22"/>
    </row>
    <row r="9205">
      <c r="O9205" s="20"/>
      <c r="P9205" s="17"/>
      <c r="Q9205" s="22"/>
    </row>
    <row r="9206">
      <c r="O9206" s="20"/>
      <c r="P9206" s="17"/>
      <c r="Q9206" s="22"/>
    </row>
    <row r="9207">
      <c r="O9207" s="20"/>
      <c r="P9207" s="17"/>
      <c r="Q9207" s="22"/>
    </row>
    <row r="9208">
      <c r="O9208" s="20"/>
      <c r="P9208" s="17"/>
      <c r="Q9208" s="22"/>
    </row>
    <row r="9209">
      <c r="O9209" s="20"/>
      <c r="P9209" s="17"/>
      <c r="Q9209" s="22"/>
    </row>
    <row r="9210">
      <c r="O9210" s="20"/>
      <c r="P9210" s="17"/>
      <c r="Q9210" s="22"/>
    </row>
    <row r="9211">
      <c r="O9211" s="20"/>
      <c r="P9211" s="17"/>
      <c r="Q9211" s="22"/>
    </row>
    <row r="9212">
      <c r="O9212" s="20"/>
      <c r="P9212" s="17"/>
      <c r="Q9212" s="22"/>
    </row>
    <row r="9213">
      <c r="O9213" s="20"/>
      <c r="P9213" s="17"/>
      <c r="Q9213" s="22"/>
    </row>
    <row r="9214">
      <c r="O9214" s="20"/>
      <c r="P9214" s="17"/>
      <c r="Q9214" s="22"/>
    </row>
    <row r="9215">
      <c r="O9215" s="20"/>
      <c r="P9215" s="17"/>
      <c r="Q9215" s="22"/>
    </row>
    <row r="9216">
      <c r="O9216" s="20"/>
      <c r="P9216" s="17"/>
      <c r="Q9216" s="22"/>
    </row>
    <row r="9217">
      <c r="O9217" s="20"/>
      <c r="P9217" s="17"/>
      <c r="Q9217" s="22"/>
    </row>
    <row r="9218">
      <c r="O9218" s="20"/>
      <c r="P9218" s="17"/>
      <c r="Q9218" s="22"/>
    </row>
    <row r="9219">
      <c r="O9219" s="20"/>
      <c r="P9219" s="17"/>
      <c r="Q9219" s="22"/>
    </row>
    <row r="9220">
      <c r="O9220" s="20"/>
      <c r="P9220" s="17"/>
      <c r="Q9220" s="22"/>
    </row>
    <row r="9221">
      <c r="O9221" s="20"/>
      <c r="P9221" s="17"/>
      <c r="Q9221" s="22"/>
    </row>
    <row r="9222">
      <c r="O9222" s="20"/>
      <c r="P9222" s="17"/>
      <c r="Q9222" s="22"/>
    </row>
    <row r="9223">
      <c r="O9223" s="20"/>
      <c r="P9223" s="17"/>
      <c r="Q9223" s="22"/>
    </row>
    <row r="9224">
      <c r="O9224" s="20"/>
      <c r="P9224" s="17"/>
      <c r="Q9224" s="22"/>
    </row>
    <row r="9225">
      <c r="O9225" s="20"/>
      <c r="P9225" s="17"/>
      <c r="Q9225" s="22"/>
    </row>
    <row r="9226">
      <c r="O9226" s="20"/>
      <c r="P9226" s="17"/>
      <c r="Q9226" s="22"/>
    </row>
    <row r="9227">
      <c r="O9227" s="20"/>
      <c r="P9227" s="17"/>
      <c r="Q9227" s="22"/>
    </row>
    <row r="9228">
      <c r="O9228" s="20"/>
      <c r="P9228" s="17"/>
      <c r="Q9228" s="22"/>
    </row>
    <row r="9229">
      <c r="O9229" s="20"/>
      <c r="P9229" s="17"/>
      <c r="Q9229" s="22"/>
    </row>
    <row r="9230">
      <c r="O9230" s="20"/>
      <c r="P9230" s="17"/>
      <c r="Q9230" s="22"/>
    </row>
    <row r="9231">
      <c r="O9231" s="20"/>
      <c r="P9231" s="17"/>
      <c r="Q9231" s="22"/>
    </row>
    <row r="9232">
      <c r="O9232" s="20"/>
      <c r="P9232" s="17"/>
      <c r="Q9232" s="22"/>
    </row>
    <row r="9233">
      <c r="O9233" s="20"/>
      <c r="P9233" s="17"/>
      <c r="Q9233" s="22"/>
    </row>
    <row r="9234">
      <c r="O9234" s="20"/>
      <c r="P9234" s="17"/>
      <c r="Q9234" s="22"/>
    </row>
    <row r="9235">
      <c r="O9235" s="20"/>
      <c r="P9235" s="17"/>
      <c r="Q9235" s="22"/>
    </row>
    <row r="9236">
      <c r="O9236" s="20"/>
      <c r="P9236" s="17"/>
      <c r="Q9236" s="22"/>
    </row>
    <row r="9237">
      <c r="O9237" s="20"/>
      <c r="P9237" s="17"/>
      <c r="Q9237" s="22"/>
    </row>
    <row r="9238">
      <c r="O9238" s="20"/>
      <c r="P9238" s="17"/>
      <c r="Q9238" s="22"/>
    </row>
    <row r="9239">
      <c r="O9239" s="20"/>
      <c r="P9239" s="17"/>
      <c r="Q9239" s="22"/>
    </row>
    <row r="9240">
      <c r="O9240" s="20"/>
      <c r="P9240" s="17"/>
      <c r="Q9240" s="22"/>
    </row>
    <row r="9241">
      <c r="O9241" s="20"/>
      <c r="P9241" s="17"/>
      <c r="Q9241" s="22"/>
    </row>
    <row r="9242">
      <c r="O9242" s="20"/>
      <c r="P9242" s="17"/>
      <c r="Q9242" s="22"/>
    </row>
    <row r="9243">
      <c r="O9243" s="20"/>
      <c r="P9243" s="17"/>
      <c r="Q9243" s="22"/>
    </row>
    <row r="9244">
      <c r="O9244" s="20"/>
      <c r="P9244" s="17"/>
      <c r="Q9244" s="22"/>
    </row>
    <row r="9245">
      <c r="O9245" s="20"/>
      <c r="P9245" s="17"/>
      <c r="Q9245" s="22"/>
    </row>
    <row r="9246">
      <c r="O9246" s="20"/>
      <c r="P9246" s="17"/>
      <c r="Q9246" s="22"/>
    </row>
    <row r="9247">
      <c r="O9247" s="20"/>
      <c r="P9247" s="17"/>
      <c r="Q9247" s="22"/>
    </row>
    <row r="9248">
      <c r="O9248" s="20"/>
      <c r="P9248" s="17"/>
      <c r="Q9248" s="22"/>
    </row>
    <row r="9249">
      <c r="O9249" s="20"/>
      <c r="P9249" s="17"/>
      <c r="Q9249" s="22"/>
    </row>
    <row r="9250">
      <c r="O9250" s="20"/>
      <c r="P9250" s="17"/>
      <c r="Q9250" s="22"/>
    </row>
    <row r="9251">
      <c r="O9251" s="20"/>
      <c r="P9251" s="17"/>
      <c r="Q9251" s="22"/>
    </row>
    <row r="9252">
      <c r="O9252" s="20"/>
      <c r="P9252" s="17"/>
      <c r="Q9252" s="22"/>
    </row>
    <row r="9253">
      <c r="O9253" s="20"/>
      <c r="P9253" s="17"/>
      <c r="Q9253" s="22"/>
    </row>
    <row r="9254">
      <c r="O9254" s="20"/>
      <c r="P9254" s="17"/>
      <c r="Q9254" s="22"/>
    </row>
    <row r="9255">
      <c r="O9255" s="20"/>
      <c r="P9255" s="17"/>
      <c r="Q9255" s="22"/>
    </row>
    <row r="9256">
      <c r="O9256" s="20"/>
      <c r="P9256" s="17"/>
      <c r="Q9256" s="22"/>
    </row>
    <row r="9257">
      <c r="O9257" s="20"/>
      <c r="P9257" s="17"/>
      <c r="Q9257" s="22"/>
    </row>
    <row r="9258">
      <c r="O9258" s="20"/>
      <c r="P9258" s="17"/>
      <c r="Q9258" s="22"/>
    </row>
    <row r="9259">
      <c r="O9259" s="20"/>
      <c r="P9259" s="17"/>
      <c r="Q9259" s="22"/>
    </row>
    <row r="9260">
      <c r="O9260" s="20"/>
      <c r="P9260" s="17"/>
      <c r="Q9260" s="22"/>
    </row>
    <row r="9261">
      <c r="O9261" s="20"/>
      <c r="P9261" s="17"/>
      <c r="Q9261" s="22"/>
    </row>
    <row r="9262">
      <c r="O9262" s="20"/>
      <c r="P9262" s="17"/>
      <c r="Q9262" s="22"/>
    </row>
    <row r="9263">
      <c r="O9263" s="20"/>
      <c r="P9263" s="17"/>
      <c r="Q9263" s="22"/>
    </row>
    <row r="9264">
      <c r="O9264" s="20"/>
      <c r="P9264" s="17"/>
      <c r="Q9264" s="22"/>
    </row>
    <row r="9265">
      <c r="O9265" s="20"/>
      <c r="P9265" s="17"/>
      <c r="Q9265" s="22"/>
    </row>
    <row r="9266">
      <c r="O9266" s="20"/>
      <c r="P9266" s="17"/>
      <c r="Q9266" s="22"/>
    </row>
    <row r="9267">
      <c r="O9267" s="20"/>
      <c r="P9267" s="17"/>
      <c r="Q9267" s="22"/>
    </row>
    <row r="9268">
      <c r="O9268" s="20"/>
      <c r="P9268" s="17"/>
      <c r="Q9268" s="22"/>
    </row>
    <row r="9269">
      <c r="O9269" s="20"/>
      <c r="P9269" s="17"/>
      <c r="Q9269" s="22"/>
    </row>
    <row r="9270">
      <c r="O9270" s="20"/>
      <c r="P9270" s="17"/>
      <c r="Q9270" s="22"/>
    </row>
    <row r="9271">
      <c r="O9271" s="20"/>
      <c r="P9271" s="17"/>
      <c r="Q9271" s="22"/>
    </row>
    <row r="9272">
      <c r="O9272" s="20"/>
      <c r="P9272" s="17"/>
      <c r="Q9272" s="22"/>
    </row>
    <row r="9273">
      <c r="O9273" s="20"/>
      <c r="P9273" s="17"/>
      <c r="Q9273" s="22"/>
    </row>
    <row r="9274">
      <c r="O9274" s="20"/>
      <c r="P9274" s="17"/>
      <c r="Q9274" s="22"/>
    </row>
    <row r="9275">
      <c r="O9275" s="20"/>
      <c r="P9275" s="17"/>
      <c r="Q9275" s="22"/>
    </row>
    <row r="9276">
      <c r="O9276" s="20"/>
      <c r="P9276" s="17"/>
      <c r="Q9276" s="22"/>
    </row>
    <row r="9277">
      <c r="O9277" s="20"/>
      <c r="P9277" s="17"/>
      <c r="Q9277" s="22"/>
    </row>
    <row r="9278">
      <c r="O9278" s="20"/>
      <c r="P9278" s="17"/>
      <c r="Q9278" s="22"/>
    </row>
    <row r="9279">
      <c r="O9279" s="20"/>
      <c r="P9279" s="17"/>
      <c r="Q9279" s="22"/>
    </row>
    <row r="9280">
      <c r="O9280" s="20"/>
      <c r="P9280" s="17"/>
      <c r="Q9280" s="22"/>
    </row>
    <row r="9281">
      <c r="O9281" s="20"/>
      <c r="P9281" s="17"/>
      <c r="Q9281" s="22"/>
    </row>
    <row r="9282">
      <c r="O9282" s="20"/>
      <c r="P9282" s="17"/>
      <c r="Q9282" s="22"/>
    </row>
    <row r="9283">
      <c r="O9283" s="20"/>
      <c r="P9283" s="17"/>
      <c r="Q9283" s="22"/>
    </row>
    <row r="9284">
      <c r="O9284" s="20"/>
      <c r="P9284" s="17"/>
      <c r="Q9284" s="22"/>
    </row>
    <row r="9285">
      <c r="O9285" s="20"/>
      <c r="P9285" s="17"/>
      <c r="Q9285" s="22"/>
    </row>
    <row r="9286">
      <c r="O9286" s="20"/>
      <c r="P9286" s="17"/>
      <c r="Q9286" s="22"/>
    </row>
    <row r="9287">
      <c r="O9287" s="20"/>
      <c r="P9287" s="17"/>
      <c r="Q9287" s="22"/>
    </row>
    <row r="9288">
      <c r="O9288" s="20"/>
      <c r="P9288" s="17"/>
      <c r="Q9288" s="22"/>
    </row>
    <row r="9289">
      <c r="O9289" s="20"/>
      <c r="P9289" s="17"/>
      <c r="Q9289" s="22"/>
    </row>
    <row r="9290">
      <c r="O9290" s="20"/>
      <c r="P9290" s="17"/>
      <c r="Q9290" s="22"/>
    </row>
    <row r="9291">
      <c r="O9291" s="20"/>
      <c r="P9291" s="17"/>
      <c r="Q9291" s="22"/>
    </row>
    <row r="9292">
      <c r="O9292" s="20"/>
      <c r="P9292" s="17"/>
      <c r="Q9292" s="22"/>
    </row>
    <row r="9293">
      <c r="O9293" s="20"/>
      <c r="P9293" s="17"/>
      <c r="Q9293" s="22"/>
    </row>
    <row r="9294">
      <c r="O9294" s="20"/>
      <c r="P9294" s="17"/>
      <c r="Q9294" s="22"/>
    </row>
    <row r="9295">
      <c r="O9295" s="20"/>
      <c r="P9295" s="17"/>
      <c r="Q9295" s="22"/>
    </row>
    <row r="9296">
      <c r="O9296" s="20"/>
      <c r="P9296" s="17"/>
      <c r="Q9296" s="22"/>
    </row>
    <row r="9297">
      <c r="O9297" s="20"/>
      <c r="P9297" s="17"/>
      <c r="Q9297" s="22"/>
    </row>
    <row r="9298">
      <c r="O9298" s="20"/>
      <c r="P9298" s="17"/>
      <c r="Q9298" s="22"/>
    </row>
    <row r="9299">
      <c r="O9299" s="20"/>
      <c r="P9299" s="17"/>
      <c r="Q9299" s="22"/>
    </row>
    <row r="9300">
      <c r="O9300" s="20"/>
      <c r="P9300" s="17"/>
      <c r="Q9300" s="22"/>
    </row>
    <row r="9301">
      <c r="O9301" s="20"/>
      <c r="P9301" s="17"/>
      <c r="Q9301" s="22"/>
    </row>
    <row r="9302">
      <c r="O9302" s="20"/>
      <c r="P9302" s="17"/>
      <c r="Q9302" s="22"/>
    </row>
    <row r="9303">
      <c r="O9303" s="20"/>
      <c r="P9303" s="17"/>
      <c r="Q9303" s="22"/>
    </row>
    <row r="9304">
      <c r="O9304" s="20"/>
      <c r="P9304" s="17"/>
      <c r="Q9304" s="22"/>
    </row>
    <row r="9305">
      <c r="O9305" s="20"/>
      <c r="P9305" s="17"/>
      <c r="Q9305" s="22"/>
    </row>
    <row r="9306">
      <c r="O9306" s="20"/>
      <c r="P9306" s="17"/>
      <c r="Q9306" s="22"/>
    </row>
    <row r="9307">
      <c r="O9307" s="20"/>
      <c r="P9307" s="17"/>
      <c r="Q9307" s="22"/>
    </row>
    <row r="9308">
      <c r="O9308" s="20"/>
      <c r="P9308" s="17"/>
      <c r="Q9308" s="22"/>
    </row>
    <row r="9309">
      <c r="O9309" s="20"/>
      <c r="P9309" s="17"/>
      <c r="Q9309" s="22"/>
    </row>
    <row r="9310">
      <c r="O9310" s="20"/>
      <c r="P9310" s="17"/>
      <c r="Q9310" s="22"/>
    </row>
    <row r="9311">
      <c r="O9311" s="20"/>
      <c r="P9311" s="17"/>
      <c r="Q9311" s="22"/>
    </row>
    <row r="9312">
      <c r="O9312" s="20"/>
      <c r="P9312" s="17"/>
      <c r="Q9312" s="22"/>
    </row>
    <row r="9313">
      <c r="O9313" s="20"/>
      <c r="P9313" s="17"/>
      <c r="Q9313" s="22"/>
    </row>
    <row r="9314">
      <c r="O9314" s="20"/>
      <c r="P9314" s="17"/>
      <c r="Q9314" s="22"/>
    </row>
    <row r="9315">
      <c r="O9315" s="20"/>
      <c r="P9315" s="17"/>
      <c r="Q9315" s="22"/>
    </row>
    <row r="9316">
      <c r="O9316" s="20"/>
      <c r="P9316" s="17"/>
      <c r="Q9316" s="22"/>
    </row>
    <row r="9317">
      <c r="O9317" s="20"/>
      <c r="P9317" s="17"/>
      <c r="Q9317" s="22"/>
    </row>
    <row r="9318">
      <c r="O9318" s="20"/>
      <c r="P9318" s="17"/>
      <c r="Q9318" s="22"/>
    </row>
    <row r="9319">
      <c r="O9319" s="20"/>
      <c r="P9319" s="17"/>
      <c r="Q9319" s="22"/>
    </row>
    <row r="9320">
      <c r="O9320" s="20"/>
      <c r="P9320" s="17"/>
      <c r="Q9320" s="22"/>
    </row>
    <row r="9321">
      <c r="O9321" s="20"/>
      <c r="P9321" s="17"/>
      <c r="Q9321" s="22"/>
    </row>
    <row r="9322">
      <c r="O9322" s="20"/>
      <c r="P9322" s="17"/>
      <c r="Q9322" s="22"/>
    </row>
    <row r="9323">
      <c r="O9323" s="20"/>
      <c r="P9323" s="17"/>
      <c r="Q9323" s="22"/>
    </row>
    <row r="9324">
      <c r="O9324" s="20"/>
      <c r="P9324" s="17"/>
      <c r="Q9324" s="22"/>
    </row>
    <row r="9325">
      <c r="O9325" s="20"/>
      <c r="P9325" s="17"/>
      <c r="Q9325" s="22"/>
    </row>
    <row r="9326">
      <c r="O9326" s="20"/>
      <c r="P9326" s="17"/>
      <c r="Q9326" s="22"/>
    </row>
    <row r="9327">
      <c r="O9327" s="20"/>
      <c r="P9327" s="17"/>
      <c r="Q9327" s="22"/>
    </row>
    <row r="9328">
      <c r="O9328" s="20"/>
      <c r="P9328" s="17"/>
      <c r="Q9328" s="22"/>
    </row>
    <row r="9329">
      <c r="O9329" s="20"/>
      <c r="P9329" s="17"/>
      <c r="Q9329" s="22"/>
    </row>
    <row r="9330">
      <c r="O9330" s="20"/>
      <c r="P9330" s="17"/>
      <c r="Q9330" s="22"/>
    </row>
    <row r="9331">
      <c r="O9331" s="20"/>
      <c r="P9331" s="17"/>
      <c r="Q9331" s="22"/>
    </row>
    <row r="9332">
      <c r="O9332" s="20"/>
      <c r="P9332" s="17"/>
      <c r="Q9332" s="22"/>
    </row>
    <row r="9333">
      <c r="O9333" s="20"/>
      <c r="P9333" s="17"/>
      <c r="Q9333" s="22"/>
    </row>
    <row r="9334">
      <c r="O9334" s="20"/>
      <c r="P9334" s="17"/>
      <c r="Q9334" s="22"/>
    </row>
    <row r="9335">
      <c r="O9335" s="20"/>
      <c r="P9335" s="17"/>
      <c r="Q9335" s="22"/>
    </row>
    <row r="9336">
      <c r="O9336" s="20"/>
      <c r="P9336" s="17"/>
      <c r="Q9336" s="22"/>
    </row>
    <row r="9337">
      <c r="O9337" s="20"/>
      <c r="P9337" s="17"/>
      <c r="Q9337" s="22"/>
    </row>
    <row r="9338">
      <c r="O9338" s="20"/>
      <c r="P9338" s="17"/>
      <c r="Q9338" s="22"/>
    </row>
    <row r="9339">
      <c r="O9339" s="20"/>
      <c r="P9339" s="17"/>
      <c r="Q9339" s="22"/>
    </row>
    <row r="9340">
      <c r="O9340" s="20"/>
      <c r="P9340" s="17"/>
      <c r="Q9340" s="22"/>
    </row>
    <row r="9341">
      <c r="O9341" s="20"/>
      <c r="P9341" s="17"/>
      <c r="Q9341" s="22"/>
    </row>
    <row r="9342">
      <c r="O9342" s="20"/>
      <c r="P9342" s="17"/>
      <c r="Q9342" s="22"/>
    </row>
    <row r="9343">
      <c r="O9343" s="20"/>
      <c r="P9343" s="17"/>
      <c r="Q9343" s="22"/>
    </row>
    <row r="9344">
      <c r="O9344" s="20"/>
      <c r="P9344" s="17"/>
      <c r="Q9344" s="22"/>
    </row>
    <row r="9345">
      <c r="O9345" s="20"/>
      <c r="P9345" s="17"/>
      <c r="Q9345" s="22"/>
    </row>
    <row r="9346">
      <c r="O9346" s="20"/>
      <c r="P9346" s="17"/>
      <c r="Q9346" s="22"/>
    </row>
    <row r="9347">
      <c r="O9347" s="20"/>
      <c r="P9347" s="17"/>
      <c r="Q9347" s="22"/>
    </row>
    <row r="9348">
      <c r="O9348" s="20"/>
      <c r="P9348" s="17"/>
      <c r="Q9348" s="22"/>
    </row>
    <row r="9349">
      <c r="O9349" s="20"/>
      <c r="P9349" s="17"/>
      <c r="Q9349" s="22"/>
    </row>
    <row r="9350">
      <c r="O9350" s="20"/>
      <c r="P9350" s="17"/>
      <c r="Q9350" s="22"/>
    </row>
    <row r="9351">
      <c r="O9351" s="20"/>
      <c r="P9351" s="17"/>
      <c r="Q9351" s="22"/>
    </row>
    <row r="9352">
      <c r="O9352" s="20"/>
      <c r="P9352" s="17"/>
      <c r="Q9352" s="22"/>
    </row>
    <row r="9353">
      <c r="O9353" s="20"/>
      <c r="P9353" s="17"/>
      <c r="Q9353" s="22"/>
    </row>
    <row r="9354">
      <c r="O9354" s="20"/>
      <c r="P9354" s="17"/>
      <c r="Q9354" s="22"/>
    </row>
    <row r="9355">
      <c r="O9355" s="20"/>
      <c r="P9355" s="17"/>
      <c r="Q9355" s="22"/>
    </row>
    <row r="9356">
      <c r="O9356" s="20"/>
      <c r="P9356" s="17"/>
      <c r="Q9356" s="22"/>
    </row>
    <row r="9357">
      <c r="O9357" s="20"/>
      <c r="P9357" s="17"/>
      <c r="Q9357" s="22"/>
    </row>
    <row r="9358">
      <c r="O9358" s="20"/>
      <c r="P9358" s="17"/>
      <c r="Q9358" s="22"/>
    </row>
    <row r="9359">
      <c r="O9359" s="20"/>
      <c r="P9359" s="17"/>
      <c r="Q9359" s="22"/>
    </row>
    <row r="9360">
      <c r="O9360" s="20"/>
      <c r="P9360" s="17"/>
      <c r="Q9360" s="22"/>
    </row>
    <row r="9361">
      <c r="O9361" s="20"/>
      <c r="P9361" s="17"/>
      <c r="Q9361" s="22"/>
    </row>
    <row r="9362">
      <c r="O9362" s="20"/>
      <c r="P9362" s="17"/>
      <c r="Q9362" s="22"/>
    </row>
    <row r="9363">
      <c r="O9363" s="20"/>
      <c r="P9363" s="17"/>
      <c r="Q9363" s="22"/>
    </row>
    <row r="9364">
      <c r="O9364" s="20"/>
      <c r="P9364" s="17"/>
      <c r="Q9364" s="22"/>
    </row>
    <row r="9365">
      <c r="O9365" s="20"/>
      <c r="P9365" s="17"/>
      <c r="Q9365" s="22"/>
    </row>
    <row r="9366">
      <c r="O9366" s="20"/>
      <c r="P9366" s="17"/>
      <c r="Q9366" s="22"/>
    </row>
    <row r="9367">
      <c r="O9367" s="20"/>
      <c r="P9367" s="17"/>
      <c r="Q9367" s="22"/>
    </row>
    <row r="9368">
      <c r="O9368" s="20"/>
      <c r="P9368" s="17"/>
      <c r="Q9368" s="22"/>
    </row>
    <row r="9369">
      <c r="O9369" s="20"/>
      <c r="P9369" s="17"/>
      <c r="Q9369" s="22"/>
    </row>
    <row r="9370">
      <c r="O9370" s="20"/>
      <c r="P9370" s="17"/>
      <c r="Q9370" s="22"/>
    </row>
    <row r="9371">
      <c r="O9371" s="20"/>
      <c r="P9371" s="17"/>
      <c r="Q9371" s="22"/>
    </row>
    <row r="9372">
      <c r="O9372" s="20"/>
      <c r="P9372" s="17"/>
      <c r="Q9372" s="22"/>
    </row>
    <row r="9373">
      <c r="O9373" s="20"/>
      <c r="P9373" s="17"/>
      <c r="Q9373" s="22"/>
    </row>
    <row r="9374">
      <c r="O9374" s="20"/>
      <c r="P9374" s="17"/>
      <c r="Q9374" s="22"/>
    </row>
    <row r="9375">
      <c r="O9375" s="20"/>
      <c r="P9375" s="17"/>
      <c r="Q9375" s="22"/>
    </row>
    <row r="9376">
      <c r="O9376" s="20"/>
      <c r="P9376" s="17"/>
      <c r="Q9376" s="22"/>
    </row>
    <row r="9377">
      <c r="O9377" s="20"/>
      <c r="P9377" s="17"/>
      <c r="Q9377" s="22"/>
    </row>
    <row r="9378">
      <c r="O9378" s="20"/>
      <c r="P9378" s="17"/>
      <c r="Q9378" s="22"/>
    </row>
    <row r="9379">
      <c r="O9379" s="20"/>
      <c r="P9379" s="17"/>
      <c r="Q9379" s="22"/>
    </row>
    <row r="9380">
      <c r="O9380" s="20"/>
      <c r="P9380" s="17"/>
      <c r="Q9380" s="22"/>
    </row>
    <row r="9381">
      <c r="O9381" s="20"/>
      <c r="P9381" s="17"/>
      <c r="Q9381" s="22"/>
    </row>
    <row r="9382">
      <c r="O9382" s="20"/>
      <c r="P9382" s="17"/>
      <c r="Q9382" s="22"/>
    </row>
    <row r="9383">
      <c r="O9383" s="20"/>
      <c r="P9383" s="17"/>
      <c r="Q9383" s="22"/>
    </row>
    <row r="9384">
      <c r="O9384" s="20"/>
      <c r="P9384" s="17"/>
      <c r="Q9384" s="22"/>
    </row>
    <row r="9385">
      <c r="O9385" s="20"/>
      <c r="P9385" s="17"/>
      <c r="Q9385" s="22"/>
    </row>
    <row r="9386">
      <c r="O9386" s="20"/>
      <c r="P9386" s="17"/>
      <c r="Q9386" s="22"/>
    </row>
    <row r="9387">
      <c r="O9387" s="20"/>
      <c r="P9387" s="17"/>
      <c r="Q9387" s="22"/>
    </row>
    <row r="9388">
      <c r="O9388" s="20"/>
      <c r="P9388" s="17"/>
      <c r="Q9388" s="22"/>
    </row>
    <row r="9389">
      <c r="O9389" s="20"/>
      <c r="P9389" s="17"/>
      <c r="Q9389" s="22"/>
    </row>
    <row r="9390">
      <c r="O9390" s="20"/>
      <c r="P9390" s="17"/>
      <c r="Q9390" s="22"/>
    </row>
    <row r="9391">
      <c r="O9391" s="20"/>
      <c r="P9391" s="17"/>
      <c r="Q9391" s="22"/>
    </row>
    <row r="9392">
      <c r="O9392" s="20"/>
      <c r="P9392" s="17"/>
      <c r="Q9392" s="22"/>
    </row>
    <row r="9393">
      <c r="O9393" s="20"/>
      <c r="P9393" s="17"/>
      <c r="Q9393" s="22"/>
    </row>
    <row r="9394">
      <c r="O9394" s="20"/>
      <c r="P9394" s="17"/>
      <c r="Q9394" s="22"/>
    </row>
    <row r="9395">
      <c r="O9395" s="20"/>
      <c r="P9395" s="17"/>
      <c r="Q9395" s="22"/>
    </row>
    <row r="9396">
      <c r="O9396" s="20"/>
      <c r="P9396" s="17"/>
      <c r="Q9396" s="22"/>
    </row>
    <row r="9397">
      <c r="O9397" s="20"/>
      <c r="P9397" s="17"/>
      <c r="Q9397" s="22"/>
    </row>
    <row r="9398">
      <c r="O9398" s="20"/>
      <c r="P9398" s="17"/>
      <c r="Q9398" s="22"/>
    </row>
    <row r="9399">
      <c r="O9399" s="20"/>
      <c r="P9399" s="17"/>
      <c r="Q9399" s="22"/>
    </row>
    <row r="9400">
      <c r="O9400" s="20"/>
      <c r="P9400" s="17"/>
      <c r="Q9400" s="22"/>
    </row>
    <row r="9401">
      <c r="O9401" s="20"/>
      <c r="P9401" s="17"/>
      <c r="Q9401" s="22"/>
    </row>
    <row r="9402">
      <c r="O9402" s="20"/>
      <c r="P9402" s="17"/>
      <c r="Q9402" s="22"/>
    </row>
    <row r="9403">
      <c r="O9403" s="20"/>
      <c r="P9403" s="17"/>
      <c r="Q9403" s="22"/>
    </row>
    <row r="9404">
      <c r="O9404" s="20"/>
      <c r="P9404" s="17"/>
      <c r="Q9404" s="22"/>
    </row>
    <row r="9405">
      <c r="O9405" s="20"/>
      <c r="P9405" s="17"/>
      <c r="Q9405" s="22"/>
    </row>
    <row r="9406">
      <c r="O9406" s="20"/>
      <c r="P9406" s="17"/>
      <c r="Q9406" s="22"/>
    </row>
    <row r="9407">
      <c r="O9407" s="20"/>
      <c r="P9407" s="17"/>
      <c r="Q9407" s="22"/>
    </row>
    <row r="9408">
      <c r="O9408" s="20"/>
      <c r="P9408" s="17"/>
      <c r="Q9408" s="22"/>
    </row>
    <row r="9409">
      <c r="O9409" s="20"/>
      <c r="P9409" s="17"/>
      <c r="Q9409" s="22"/>
    </row>
    <row r="9410">
      <c r="O9410" s="20"/>
      <c r="P9410" s="17"/>
      <c r="Q9410" s="22"/>
    </row>
    <row r="9411">
      <c r="O9411" s="20"/>
      <c r="P9411" s="17"/>
      <c r="Q9411" s="22"/>
    </row>
    <row r="9412">
      <c r="O9412" s="20"/>
      <c r="P9412" s="17"/>
      <c r="Q9412" s="22"/>
    </row>
    <row r="9413">
      <c r="O9413" s="20"/>
      <c r="P9413" s="17"/>
      <c r="Q9413" s="22"/>
    </row>
    <row r="9414">
      <c r="O9414" s="20"/>
      <c r="P9414" s="17"/>
      <c r="Q9414" s="22"/>
    </row>
    <row r="9415">
      <c r="O9415" s="20"/>
      <c r="P9415" s="17"/>
      <c r="Q9415" s="22"/>
    </row>
    <row r="9416">
      <c r="O9416" s="20"/>
      <c r="P9416" s="17"/>
      <c r="Q9416" s="22"/>
    </row>
    <row r="9417">
      <c r="O9417" s="20"/>
      <c r="P9417" s="17"/>
      <c r="Q9417" s="22"/>
    </row>
    <row r="9418">
      <c r="O9418" s="20"/>
      <c r="P9418" s="17"/>
      <c r="Q9418" s="22"/>
    </row>
    <row r="9419">
      <c r="O9419" s="20"/>
      <c r="P9419" s="17"/>
      <c r="Q9419" s="22"/>
    </row>
    <row r="9420">
      <c r="O9420" s="20"/>
      <c r="P9420" s="17"/>
      <c r="Q9420" s="22"/>
    </row>
    <row r="9421">
      <c r="O9421" s="20"/>
      <c r="P9421" s="17"/>
      <c r="Q9421" s="22"/>
    </row>
    <row r="9422">
      <c r="O9422" s="20"/>
      <c r="P9422" s="17"/>
      <c r="Q9422" s="22"/>
    </row>
    <row r="9423">
      <c r="O9423" s="20"/>
      <c r="P9423" s="17"/>
      <c r="Q9423" s="22"/>
    </row>
    <row r="9424">
      <c r="O9424" s="20"/>
      <c r="P9424" s="17"/>
      <c r="Q9424" s="22"/>
    </row>
    <row r="9425">
      <c r="O9425" s="20"/>
      <c r="P9425" s="17"/>
      <c r="Q9425" s="22"/>
    </row>
    <row r="9426">
      <c r="O9426" s="20"/>
      <c r="P9426" s="17"/>
      <c r="Q9426" s="22"/>
    </row>
    <row r="9427">
      <c r="O9427" s="20"/>
      <c r="P9427" s="17"/>
      <c r="Q9427" s="22"/>
    </row>
    <row r="9428">
      <c r="O9428" s="20"/>
      <c r="P9428" s="17"/>
      <c r="Q9428" s="22"/>
    </row>
    <row r="9429">
      <c r="O9429" s="20"/>
      <c r="P9429" s="17"/>
      <c r="Q9429" s="22"/>
    </row>
    <row r="9430">
      <c r="O9430" s="20"/>
      <c r="P9430" s="17"/>
      <c r="Q9430" s="22"/>
    </row>
    <row r="9431">
      <c r="O9431" s="20"/>
      <c r="P9431" s="17"/>
      <c r="Q9431" s="22"/>
    </row>
    <row r="9432">
      <c r="O9432" s="20"/>
      <c r="P9432" s="17"/>
      <c r="Q9432" s="22"/>
    </row>
    <row r="9433">
      <c r="O9433" s="20"/>
      <c r="P9433" s="17"/>
      <c r="Q9433" s="22"/>
    </row>
    <row r="9434">
      <c r="O9434" s="20"/>
      <c r="P9434" s="17"/>
      <c r="Q9434" s="22"/>
    </row>
    <row r="9435">
      <c r="O9435" s="20"/>
      <c r="P9435" s="17"/>
      <c r="Q9435" s="22"/>
    </row>
    <row r="9436">
      <c r="O9436" s="20"/>
      <c r="P9436" s="17"/>
      <c r="Q9436" s="22"/>
    </row>
    <row r="9437">
      <c r="O9437" s="20"/>
      <c r="P9437" s="17"/>
      <c r="Q9437" s="22"/>
    </row>
    <row r="9438">
      <c r="O9438" s="20"/>
      <c r="P9438" s="17"/>
      <c r="Q9438" s="22"/>
    </row>
    <row r="9439">
      <c r="O9439" s="20"/>
      <c r="P9439" s="17"/>
      <c r="Q9439" s="22"/>
    </row>
    <row r="9440">
      <c r="O9440" s="20"/>
      <c r="P9440" s="17"/>
      <c r="Q9440" s="22"/>
    </row>
    <row r="9441">
      <c r="O9441" s="20"/>
      <c r="P9441" s="17"/>
      <c r="Q9441" s="22"/>
    </row>
    <row r="9442">
      <c r="O9442" s="20"/>
      <c r="P9442" s="17"/>
      <c r="Q9442" s="22"/>
    </row>
    <row r="9443">
      <c r="O9443" s="20"/>
      <c r="P9443" s="17"/>
      <c r="Q9443" s="22"/>
    </row>
    <row r="9444">
      <c r="O9444" s="20"/>
      <c r="P9444" s="17"/>
      <c r="Q9444" s="22"/>
    </row>
    <row r="9445">
      <c r="O9445" s="20"/>
      <c r="P9445" s="17"/>
      <c r="Q9445" s="22"/>
    </row>
    <row r="9446">
      <c r="O9446" s="20"/>
      <c r="P9446" s="17"/>
      <c r="Q9446" s="22"/>
    </row>
    <row r="9447">
      <c r="O9447" s="20"/>
      <c r="P9447" s="17"/>
      <c r="Q9447" s="22"/>
    </row>
    <row r="9448">
      <c r="O9448" s="20"/>
      <c r="P9448" s="17"/>
      <c r="Q9448" s="22"/>
    </row>
    <row r="9449">
      <c r="O9449" s="20"/>
      <c r="P9449" s="17"/>
      <c r="Q9449" s="22"/>
    </row>
    <row r="9450">
      <c r="O9450" s="20"/>
      <c r="P9450" s="17"/>
      <c r="Q9450" s="22"/>
    </row>
    <row r="9451">
      <c r="O9451" s="20"/>
      <c r="P9451" s="17"/>
      <c r="Q9451" s="22"/>
    </row>
    <row r="9452">
      <c r="O9452" s="20"/>
      <c r="P9452" s="17"/>
      <c r="Q9452" s="22"/>
    </row>
    <row r="9453">
      <c r="O9453" s="20"/>
      <c r="P9453" s="17"/>
      <c r="Q9453" s="22"/>
    </row>
    <row r="9454">
      <c r="O9454" s="20"/>
      <c r="P9454" s="17"/>
      <c r="Q9454" s="22"/>
    </row>
    <row r="9455">
      <c r="O9455" s="20"/>
      <c r="P9455" s="17"/>
      <c r="Q9455" s="22"/>
    </row>
    <row r="9456">
      <c r="O9456" s="20"/>
      <c r="P9456" s="17"/>
      <c r="Q9456" s="22"/>
    </row>
    <row r="9457">
      <c r="O9457" s="20"/>
      <c r="P9457" s="17"/>
      <c r="Q9457" s="22"/>
    </row>
    <row r="9458">
      <c r="O9458" s="20"/>
      <c r="P9458" s="17"/>
      <c r="Q9458" s="22"/>
    </row>
    <row r="9459">
      <c r="O9459" s="20"/>
      <c r="P9459" s="17"/>
      <c r="Q9459" s="22"/>
    </row>
    <row r="9460">
      <c r="O9460" s="20"/>
      <c r="P9460" s="17"/>
      <c r="Q9460" s="22"/>
    </row>
    <row r="9461">
      <c r="O9461" s="20"/>
      <c r="P9461" s="17"/>
      <c r="Q9461" s="22"/>
    </row>
    <row r="9462">
      <c r="O9462" s="20"/>
      <c r="P9462" s="17"/>
      <c r="Q9462" s="22"/>
    </row>
    <row r="9463">
      <c r="O9463" s="20"/>
      <c r="P9463" s="17"/>
      <c r="Q9463" s="22"/>
    </row>
    <row r="9464">
      <c r="O9464" s="20"/>
      <c r="P9464" s="17"/>
      <c r="Q9464" s="22"/>
    </row>
    <row r="9465">
      <c r="O9465" s="20"/>
      <c r="P9465" s="17"/>
      <c r="Q9465" s="22"/>
    </row>
    <row r="9466">
      <c r="O9466" s="20"/>
      <c r="P9466" s="17"/>
      <c r="Q9466" s="22"/>
    </row>
    <row r="9467">
      <c r="O9467" s="20"/>
      <c r="P9467" s="17"/>
      <c r="Q9467" s="22"/>
    </row>
    <row r="9468">
      <c r="O9468" s="20"/>
      <c r="P9468" s="17"/>
      <c r="Q9468" s="22"/>
    </row>
    <row r="9469">
      <c r="O9469" s="20"/>
      <c r="P9469" s="17"/>
      <c r="Q9469" s="22"/>
    </row>
    <row r="9470">
      <c r="O9470" s="20"/>
      <c r="P9470" s="17"/>
      <c r="Q9470" s="22"/>
    </row>
    <row r="9471">
      <c r="O9471" s="20"/>
      <c r="P9471" s="17"/>
      <c r="Q9471" s="22"/>
    </row>
    <row r="9472">
      <c r="O9472" s="20"/>
      <c r="P9472" s="17"/>
      <c r="Q9472" s="22"/>
    </row>
    <row r="9473">
      <c r="O9473" s="20"/>
      <c r="P9473" s="17"/>
      <c r="Q9473" s="22"/>
    </row>
    <row r="9474">
      <c r="O9474" s="20"/>
      <c r="P9474" s="17"/>
      <c r="Q9474" s="22"/>
    </row>
    <row r="9475">
      <c r="O9475" s="20"/>
      <c r="P9475" s="17"/>
      <c r="Q9475" s="22"/>
    </row>
    <row r="9476">
      <c r="O9476" s="20"/>
      <c r="P9476" s="17"/>
      <c r="Q9476" s="22"/>
    </row>
    <row r="9477">
      <c r="O9477" s="20"/>
      <c r="P9477" s="17"/>
      <c r="Q9477" s="22"/>
    </row>
    <row r="9478">
      <c r="O9478" s="20"/>
      <c r="P9478" s="17"/>
      <c r="Q9478" s="22"/>
    </row>
    <row r="9479">
      <c r="O9479" s="20"/>
      <c r="P9479" s="17"/>
      <c r="Q9479" s="22"/>
    </row>
    <row r="9480">
      <c r="O9480" s="20"/>
      <c r="P9480" s="17"/>
      <c r="Q9480" s="22"/>
    </row>
    <row r="9481">
      <c r="O9481" s="20"/>
      <c r="P9481" s="17"/>
      <c r="Q9481" s="22"/>
    </row>
    <row r="9482">
      <c r="O9482" s="20"/>
      <c r="P9482" s="17"/>
      <c r="Q9482" s="22"/>
    </row>
    <row r="9483">
      <c r="O9483" s="20"/>
      <c r="P9483" s="17"/>
      <c r="Q9483" s="22"/>
    </row>
    <row r="9484">
      <c r="O9484" s="20"/>
      <c r="P9484" s="17"/>
      <c r="Q9484" s="22"/>
    </row>
    <row r="9485">
      <c r="O9485" s="20"/>
      <c r="P9485" s="17"/>
      <c r="Q9485" s="22"/>
    </row>
    <row r="9486">
      <c r="O9486" s="20"/>
      <c r="P9486" s="17"/>
      <c r="Q9486" s="22"/>
    </row>
    <row r="9487">
      <c r="O9487" s="20"/>
      <c r="P9487" s="17"/>
      <c r="Q9487" s="22"/>
    </row>
    <row r="9488">
      <c r="O9488" s="20"/>
      <c r="P9488" s="17"/>
      <c r="Q9488" s="22"/>
    </row>
    <row r="9489">
      <c r="O9489" s="20"/>
      <c r="P9489" s="17"/>
      <c r="Q9489" s="22"/>
    </row>
    <row r="9490">
      <c r="O9490" s="20"/>
      <c r="P9490" s="17"/>
      <c r="Q9490" s="22"/>
    </row>
    <row r="9491">
      <c r="O9491" s="20"/>
      <c r="P9491" s="17"/>
      <c r="Q9491" s="22"/>
    </row>
    <row r="9492">
      <c r="O9492" s="20"/>
      <c r="P9492" s="17"/>
      <c r="Q9492" s="22"/>
    </row>
    <row r="9493">
      <c r="O9493" s="20"/>
      <c r="P9493" s="17"/>
      <c r="Q9493" s="22"/>
    </row>
    <row r="9494">
      <c r="O9494" s="20"/>
      <c r="P9494" s="17"/>
      <c r="Q9494" s="22"/>
    </row>
    <row r="9495">
      <c r="O9495" s="20"/>
      <c r="P9495" s="17"/>
      <c r="Q9495" s="22"/>
    </row>
    <row r="9496">
      <c r="O9496" s="20"/>
      <c r="P9496" s="17"/>
      <c r="Q9496" s="22"/>
    </row>
    <row r="9497">
      <c r="O9497" s="20"/>
      <c r="P9497" s="17"/>
      <c r="Q9497" s="22"/>
    </row>
    <row r="9498">
      <c r="O9498" s="20"/>
      <c r="P9498" s="17"/>
      <c r="Q9498" s="22"/>
    </row>
    <row r="9499">
      <c r="O9499" s="20"/>
      <c r="P9499" s="17"/>
      <c r="Q9499" s="22"/>
    </row>
    <row r="9500">
      <c r="O9500" s="20"/>
      <c r="P9500" s="17"/>
      <c r="Q9500" s="22"/>
    </row>
    <row r="9501">
      <c r="O9501" s="20"/>
      <c r="P9501" s="17"/>
      <c r="Q9501" s="22"/>
    </row>
    <row r="9502">
      <c r="O9502" s="20"/>
      <c r="P9502" s="17"/>
      <c r="Q9502" s="22"/>
    </row>
    <row r="9503">
      <c r="O9503" s="20"/>
      <c r="P9503" s="17"/>
      <c r="Q9503" s="22"/>
    </row>
    <row r="9504">
      <c r="O9504" s="20"/>
      <c r="P9504" s="17"/>
      <c r="Q9504" s="22"/>
    </row>
    <row r="9505">
      <c r="O9505" s="20"/>
      <c r="P9505" s="17"/>
      <c r="Q9505" s="22"/>
    </row>
    <row r="9506">
      <c r="O9506" s="20"/>
      <c r="P9506" s="17"/>
      <c r="Q9506" s="22"/>
    </row>
    <row r="9507">
      <c r="O9507" s="20"/>
      <c r="P9507" s="17"/>
      <c r="Q9507" s="22"/>
    </row>
    <row r="9508">
      <c r="O9508" s="20"/>
      <c r="P9508" s="17"/>
      <c r="Q9508" s="22"/>
    </row>
    <row r="9509">
      <c r="O9509" s="20"/>
      <c r="P9509" s="17"/>
      <c r="Q9509" s="22"/>
    </row>
    <row r="9510">
      <c r="O9510" s="20"/>
      <c r="P9510" s="17"/>
      <c r="Q9510" s="22"/>
    </row>
    <row r="9511">
      <c r="O9511" s="20"/>
      <c r="P9511" s="17"/>
      <c r="Q9511" s="22"/>
    </row>
    <row r="9512">
      <c r="O9512" s="20"/>
      <c r="P9512" s="17"/>
      <c r="Q9512" s="22"/>
    </row>
    <row r="9513">
      <c r="O9513" s="20"/>
      <c r="P9513" s="17"/>
      <c r="Q9513" s="22"/>
    </row>
    <row r="9514">
      <c r="O9514" s="20"/>
      <c r="P9514" s="17"/>
      <c r="Q9514" s="22"/>
    </row>
    <row r="9515">
      <c r="O9515" s="20"/>
      <c r="P9515" s="17"/>
      <c r="Q9515" s="22"/>
    </row>
    <row r="9516">
      <c r="O9516" s="20"/>
      <c r="P9516" s="17"/>
      <c r="Q9516" s="22"/>
    </row>
    <row r="9517">
      <c r="O9517" s="20"/>
      <c r="P9517" s="17"/>
      <c r="Q9517" s="22"/>
    </row>
    <row r="9518">
      <c r="O9518" s="20"/>
      <c r="P9518" s="17"/>
      <c r="Q9518" s="22"/>
    </row>
    <row r="9519">
      <c r="O9519" s="20"/>
      <c r="P9519" s="17"/>
      <c r="Q9519" s="22"/>
    </row>
    <row r="9520">
      <c r="O9520" s="20"/>
      <c r="P9520" s="17"/>
      <c r="Q9520" s="22"/>
    </row>
    <row r="9521">
      <c r="O9521" s="20"/>
      <c r="P9521" s="17"/>
      <c r="Q9521" s="22"/>
    </row>
    <row r="9522">
      <c r="O9522" s="20"/>
      <c r="P9522" s="17"/>
      <c r="Q9522" s="22"/>
    </row>
    <row r="9523">
      <c r="O9523" s="20"/>
      <c r="P9523" s="17"/>
      <c r="Q9523" s="22"/>
    </row>
    <row r="9524">
      <c r="O9524" s="20"/>
      <c r="P9524" s="17"/>
      <c r="Q9524" s="22"/>
    </row>
    <row r="9525">
      <c r="O9525" s="20"/>
      <c r="P9525" s="17"/>
      <c r="Q9525" s="22"/>
    </row>
    <row r="9526">
      <c r="O9526" s="20"/>
      <c r="P9526" s="17"/>
      <c r="Q9526" s="22"/>
    </row>
    <row r="9527">
      <c r="O9527" s="20"/>
      <c r="P9527" s="17"/>
      <c r="Q9527" s="22"/>
    </row>
    <row r="9528">
      <c r="O9528" s="20"/>
      <c r="P9528" s="17"/>
      <c r="Q9528" s="22"/>
    </row>
    <row r="9529">
      <c r="O9529" s="20"/>
      <c r="P9529" s="17"/>
      <c r="Q9529" s="22"/>
    </row>
    <row r="9530">
      <c r="O9530" s="20"/>
      <c r="P9530" s="17"/>
      <c r="Q9530" s="22"/>
    </row>
    <row r="9531">
      <c r="O9531" s="20"/>
      <c r="P9531" s="17"/>
      <c r="Q9531" s="22"/>
    </row>
    <row r="9532">
      <c r="O9532" s="20"/>
      <c r="P9532" s="17"/>
      <c r="Q9532" s="22"/>
    </row>
    <row r="9533">
      <c r="O9533" s="20"/>
      <c r="P9533" s="17"/>
      <c r="Q9533" s="22"/>
    </row>
    <row r="9534">
      <c r="O9534" s="20"/>
      <c r="P9534" s="17"/>
      <c r="Q9534" s="22"/>
    </row>
    <row r="9535">
      <c r="O9535" s="20"/>
      <c r="P9535" s="17"/>
      <c r="Q9535" s="22"/>
    </row>
    <row r="9536">
      <c r="O9536" s="20"/>
      <c r="P9536" s="17"/>
      <c r="Q9536" s="22"/>
    </row>
    <row r="9537">
      <c r="O9537" s="20"/>
      <c r="P9537" s="17"/>
      <c r="Q9537" s="22"/>
    </row>
    <row r="9538">
      <c r="O9538" s="20"/>
      <c r="P9538" s="17"/>
      <c r="Q9538" s="22"/>
    </row>
    <row r="9539">
      <c r="O9539" s="20"/>
      <c r="P9539" s="17"/>
      <c r="Q9539" s="22"/>
    </row>
    <row r="9540">
      <c r="O9540" s="20"/>
      <c r="P9540" s="17"/>
      <c r="Q9540" s="22"/>
    </row>
    <row r="9541">
      <c r="O9541" s="20"/>
      <c r="P9541" s="17"/>
      <c r="Q9541" s="22"/>
    </row>
    <row r="9542">
      <c r="O9542" s="20"/>
      <c r="P9542" s="17"/>
      <c r="Q9542" s="22"/>
    </row>
    <row r="9543">
      <c r="O9543" s="20"/>
      <c r="P9543" s="17"/>
      <c r="Q9543" s="22"/>
    </row>
    <row r="9544">
      <c r="O9544" s="20"/>
      <c r="P9544" s="17"/>
      <c r="Q9544" s="22"/>
    </row>
    <row r="9545">
      <c r="O9545" s="20"/>
      <c r="P9545" s="17"/>
      <c r="Q9545" s="22"/>
    </row>
    <row r="9546">
      <c r="O9546" s="20"/>
      <c r="P9546" s="17"/>
      <c r="Q9546" s="22"/>
    </row>
    <row r="9547">
      <c r="O9547" s="20"/>
      <c r="P9547" s="17"/>
      <c r="Q9547" s="22"/>
    </row>
    <row r="9548">
      <c r="O9548" s="20"/>
      <c r="P9548" s="17"/>
      <c r="Q9548" s="22"/>
    </row>
    <row r="9549">
      <c r="O9549" s="20"/>
      <c r="P9549" s="17"/>
      <c r="Q9549" s="22"/>
    </row>
    <row r="9550">
      <c r="O9550" s="20"/>
      <c r="P9550" s="17"/>
      <c r="Q9550" s="22"/>
    </row>
    <row r="9551">
      <c r="O9551" s="20"/>
      <c r="P9551" s="17"/>
      <c r="Q9551" s="22"/>
    </row>
    <row r="9552">
      <c r="O9552" s="20"/>
      <c r="P9552" s="17"/>
      <c r="Q9552" s="22"/>
    </row>
    <row r="9553">
      <c r="O9553" s="20"/>
      <c r="P9553" s="17"/>
      <c r="Q9553" s="22"/>
    </row>
    <row r="9554">
      <c r="O9554" s="20"/>
      <c r="P9554" s="17"/>
      <c r="Q9554" s="22"/>
    </row>
    <row r="9555">
      <c r="O9555" s="20"/>
      <c r="P9555" s="17"/>
      <c r="Q9555" s="22"/>
    </row>
    <row r="9556">
      <c r="O9556" s="20"/>
      <c r="P9556" s="17"/>
      <c r="Q9556" s="22"/>
    </row>
    <row r="9557">
      <c r="O9557" s="20"/>
      <c r="P9557" s="17"/>
      <c r="Q9557" s="22"/>
    </row>
    <row r="9558">
      <c r="O9558" s="20"/>
      <c r="P9558" s="17"/>
      <c r="Q9558" s="22"/>
    </row>
    <row r="9559">
      <c r="O9559" s="20"/>
      <c r="P9559" s="17"/>
      <c r="Q9559" s="22"/>
    </row>
    <row r="9560">
      <c r="O9560" s="20"/>
      <c r="P9560" s="17"/>
      <c r="Q9560" s="22"/>
    </row>
    <row r="9561">
      <c r="O9561" s="20"/>
      <c r="P9561" s="17"/>
      <c r="Q9561" s="22"/>
    </row>
    <row r="9562">
      <c r="O9562" s="20"/>
      <c r="P9562" s="17"/>
      <c r="Q9562" s="22"/>
    </row>
    <row r="9563">
      <c r="O9563" s="20"/>
      <c r="P9563" s="17"/>
      <c r="Q9563" s="22"/>
    </row>
    <row r="9564">
      <c r="O9564" s="20"/>
      <c r="P9564" s="17"/>
      <c r="Q9564" s="22"/>
    </row>
    <row r="9565">
      <c r="O9565" s="20"/>
      <c r="P9565" s="17"/>
      <c r="Q9565" s="22"/>
    </row>
    <row r="9566">
      <c r="O9566" s="20"/>
      <c r="P9566" s="17"/>
      <c r="Q9566" s="22"/>
    </row>
    <row r="9567">
      <c r="O9567" s="20"/>
      <c r="P9567" s="17"/>
      <c r="Q9567" s="22"/>
    </row>
    <row r="9568">
      <c r="O9568" s="20"/>
      <c r="P9568" s="17"/>
      <c r="Q9568" s="22"/>
    </row>
    <row r="9569">
      <c r="O9569" s="20"/>
      <c r="P9569" s="17"/>
      <c r="Q9569" s="22"/>
    </row>
    <row r="9570">
      <c r="O9570" s="20"/>
      <c r="P9570" s="17"/>
      <c r="Q9570" s="22"/>
    </row>
    <row r="9571">
      <c r="O9571" s="20"/>
      <c r="P9571" s="17"/>
      <c r="Q9571" s="22"/>
    </row>
    <row r="9572">
      <c r="O9572" s="20"/>
      <c r="P9572" s="17"/>
      <c r="Q9572" s="22"/>
    </row>
    <row r="9573">
      <c r="O9573" s="20"/>
      <c r="P9573" s="17"/>
      <c r="Q9573" s="22"/>
    </row>
    <row r="9574">
      <c r="O9574" s="20"/>
      <c r="P9574" s="17"/>
      <c r="Q9574" s="22"/>
    </row>
    <row r="9575">
      <c r="O9575" s="20"/>
      <c r="P9575" s="17"/>
      <c r="Q9575" s="22"/>
    </row>
    <row r="9576">
      <c r="O9576" s="20"/>
      <c r="P9576" s="17"/>
      <c r="Q9576" s="22"/>
    </row>
    <row r="9577">
      <c r="O9577" s="20"/>
      <c r="P9577" s="17"/>
      <c r="Q9577" s="22"/>
    </row>
    <row r="9578">
      <c r="O9578" s="20"/>
      <c r="P9578" s="17"/>
      <c r="Q9578" s="22"/>
    </row>
    <row r="9579">
      <c r="O9579" s="20"/>
      <c r="P9579" s="17"/>
      <c r="Q9579" s="22"/>
    </row>
    <row r="9580">
      <c r="O9580" s="20"/>
      <c r="P9580" s="17"/>
      <c r="Q9580" s="22"/>
    </row>
    <row r="9581">
      <c r="O9581" s="20"/>
      <c r="P9581" s="17"/>
      <c r="Q9581" s="22"/>
    </row>
    <row r="9582">
      <c r="O9582" s="20"/>
      <c r="P9582" s="17"/>
      <c r="Q9582" s="22"/>
    </row>
    <row r="9583">
      <c r="O9583" s="20"/>
      <c r="P9583" s="17"/>
      <c r="Q9583" s="22"/>
    </row>
    <row r="9584">
      <c r="O9584" s="20"/>
      <c r="P9584" s="17"/>
      <c r="Q9584" s="22"/>
    </row>
    <row r="9585">
      <c r="O9585" s="20"/>
      <c r="P9585" s="17"/>
      <c r="Q9585" s="22"/>
    </row>
    <row r="9586">
      <c r="O9586" s="20"/>
      <c r="P9586" s="17"/>
      <c r="Q9586" s="22"/>
    </row>
    <row r="9587">
      <c r="O9587" s="20"/>
      <c r="P9587" s="17"/>
      <c r="Q9587" s="22"/>
    </row>
    <row r="9588">
      <c r="O9588" s="20"/>
      <c r="P9588" s="17"/>
      <c r="Q9588" s="22"/>
    </row>
    <row r="9589">
      <c r="O9589" s="20"/>
      <c r="P9589" s="17"/>
      <c r="Q9589" s="22"/>
    </row>
    <row r="9590">
      <c r="O9590" s="20"/>
      <c r="P9590" s="17"/>
      <c r="Q9590" s="22"/>
    </row>
    <row r="9591">
      <c r="O9591" s="20"/>
      <c r="P9591" s="17"/>
      <c r="Q9591" s="22"/>
    </row>
    <row r="9592">
      <c r="O9592" s="20"/>
      <c r="P9592" s="17"/>
      <c r="Q9592" s="22"/>
    </row>
    <row r="9593">
      <c r="O9593" s="20"/>
      <c r="P9593" s="17"/>
      <c r="Q9593" s="22"/>
    </row>
    <row r="9594">
      <c r="O9594" s="20"/>
      <c r="P9594" s="17"/>
      <c r="Q9594" s="22"/>
    </row>
    <row r="9595">
      <c r="O9595" s="20"/>
      <c r="P9595" s="17"/>
      <c r="Q9595" s="22"/>
    </row>
    <row r="9596">
      <c r="O9596" s="20"/>
      <c r="P9596" s="17"/>
      <c r="Q9596" s="22"/>
    </row>
    <row r="9597">
      <c r="O9597" s="20"/>
      <c r="P9597" s="17"/>
      <c r="Q9597" s="22"/>
    </row>
    <row r="9598">
      <c r="O9598" s="20"/>
      <c r="P9598" s="17"/>
      <c r="Q9598" s="22"/>
    </row>
    <row r="9599">
      <c r="O9599" s="20"/>
      <c r="P9599" s="17"/>
      <c r="Q9599" s="22"/>
    </row>
    <row r="9600">
      <c r="O9600" s="20"/>
      <c r="P9600" s="17"/>
      <c r="Q9600" s="22"/>
    </row>
    <row r="9601">
      <c r="O9601" s="20"/>
      <c r="P9601" s="17"/>
      <c r="Q9601" s="22"/>
    </row>
    <row r="9602">
      <c r="O9602" s="20"/>
      <c r="P9602" s="17"/>
      <c r="Q9602" s="22"/>
    </row>
    <row r="9603">
      <c r="O9603" s="20"/>
      <c r="P9603" s="17"/>
      <c r="Q9603" s="22"/>
    </row>
    <row r="9604">
      <c r="O9604" s="20"/>
      <c r="P9604" s="17"/>
      <c r="Q9604" s="22"/>
    </row>
    <row r="9605">
      <c r="O9605" s="20"/>
      <c r="P9605" s="17"/>
      <c r="Q9605" s="22"/>
    </row>
    <row r="9606">
      <c r="O9606" s="20"/>
      <c r="P9606" s="17"/>
      <c r="Q9606" s="22"/>
    </row>
    <row r="9607">
      <c r="O9607" s="20"/>
      <c r="P9607" s="17"/>
      <c r="Q9607" s="22"/>
    </row>
    <row r="9608">
      <c r="O9608" s="20"/>
      <c r="P9608" s="17"/>
      <c r="Q9608" s="22"/>
    </row>
    <row r="9609">
      <c r="O9609" s="20"/>
      <c r="P9609" s="17"/>
      <c r="Q9609" s="22"/>
    </row>
    <row r="9610">
      <c r="O9610" s="20"/>
      <c r="P9610" s="17"/>
      <c r="Q9610" s="22"/>
    </row>
    <row r="9611">
      <c r="O9611" s="20"/>
      <c r="P9611" s="17"/>
      <c r="Q9611" s="22"/>
    </row>
    <row r="9612">
      <c r="O9612" s="20"/>
      <c r="P9612" s="17"/>
      <c r="Q9612" s="22"/>
    </row>
    <row r="9613">
      <c r="O9613" s="20"/>
      <c r="P9613" s="17"/>
      <c r="Q9613" s="22"/>
    </row>
    <row r="9614">
      <c r="O9614" s="20"/>
      <c r="P9614" s="17"/>
      <c r="Q9614" s="22"/>
    </row>
    <row r="9615">
      <c r="O9615" s="20"/>
      <c r="P9615" s="17"/>
      <c r="Q9615" s="22"/>
    </row>
    <row r="9616">
      <c r="O9616" s="20"/>
      <c r="P9616" s="17"/>
      <c r="Q9616" s="22"/>
    </row>
    <row r="9617">
      <c r="O9617" s="20"/>
      <c r="P9617" s="17"/>
      <c r="Q9617" s="22"/>
    </row>
    <row r="9618">
      <c r="O9618" s="20"/>
      <c r="P9618" s="17"/>
      <c r="Q9618" s="22"/>
    </row>
    <row r="9619">
      <c r="O9619" s="20"/>
      <c r="P9619" s="17"/>
      <c r="Q9619" s="22"/>
    </row>
    <row r="9620">
      <c r="O9620" s="20"/>
      <c r="P9620" s="17"/>
      <c r="Q9620" s="22"/>
    </row>
    <row r="9621">
      <c r="O9621" s="20"/>
      <c r="P9621" s="17"/>
      <c r="Q9621" s="22"/>
    </row>
    <row r="9622">
      <c r="O9622" s="20"/>
      <c r="P9622" s="17"/>
      <c r="Q9622" s="22"/>
    </row>
    <row r="9623">
      <c r="O9623" s="20"/>
      <c r="P9623" s="17"/>
      <c r="Q9623" s="22"/>
    </row>
    <row r="9624">
      <c r="O9624" s="20"/>
      <c r="P9624" s="17"/>
      <c r="Q9624" s="22"/>
    </row>
    <row r="9625">
      <c r="O9625" s="20"/>
      <c r="P9625" s="17"/>
      <c r="Q9625" s="22"/>
    </row>
    <row r="9626">
      <c r="O9626" s="20"/>
      <c r="P9626" s="17"/>
      <c r="Q9626" s="22"/>
    </row>
    <row r="9627">
      <c r="O9627" s="20"/>
      <c r="P9627" s="17"/>
      <c r="Q9627" s="22"/>
    </row>
    <row r="9628">
      <c r="O9628" s="20"/>
      <c r="P9628" s="17"/>
      <c r="Q9628" s="22"/>
    </row>
    <row r="9629">
      <c r="O9629" s="20"/>
      <c r="P9629" s="17"/>
      <c r="Q9629" s="22"/>
    </row>
    <row r="9630">
      <c r="O9630" s="20"/>
      <c r="P9630" s="17"/>
      <c r="Q9630" s="22"/>
    </row>
    <row r="9631">
      <c r="O9631" s="20"/>
      <c r="P9631" s="17"/>
      <c r="Q9631" s="22"/>
    </row>
    <row r="9632">
      <c r="O9632" s="20"/>
      <c r="P9632" s="17"/>
      <c r="Q9632" s="22"/>
    </row>
    <row r="9633">
      <c r="O9633" s="20"/>
      <c r="P9633" s="17"/>
      <c r="Q9633" s="22"/>
    </row>
    <row r="9634">
      <c r="O9634" s="20"/>
      <c r="P9634" s="17"/>
      <c r="Q9634" s="22"/>
    </row>
    <row r="9635">
      <c r="O9635" s="20"/>
      <c r="P9635" s="17"/>
      <c r="Q9635" s="22"/>
    </row>
    <row r="9636">
      <c r="O9636" s="20"/>
      <c r="P9636" s="17"/>
      <c r="Q9636" s="22"/>
    </row>
    <row r="9637">
      <c r="O9637" s="20"/>
      <c r="P9637" s="17"/>
      <c r="Q9637" s="22"/>
    </row>
    <row r="9638">
      <c r="O9638" s="20"/>
      <c r="P9638" s="17"/>
      <c r="Q9638" s="22"/>
    </row>
    <row r="9639">
      <c r="O9639" s="20"/>
      <c r="P9639" s="17"/>
      <c r="Q9639" s="22"/>
    </row>
    <row r="9640">
      <c r="O9640" s="20"/>
      <c r="P9640" s="17"/>
      <c r="Q9640" s="22"/>
    </row>
    <row r="9641">
      <c r="O9641" s="20"/>
      <c r="P9641" s="17"/>
      <c r="Q9641" s="22"/>
    </row>
    <row r="9642">
      <c r="O9642" s="20"/>
      <c r="P9642" s="17"/>
      <c r="Q9642" s="22"/>
    </row>
    <row r="9643">
      <c r="O9643" s="20"/>
      <c r="P9643" s="17"/>
      <c r="Q9643" s="22"/>
    </row>
    <row r="9644">
      <c r="O9644" s="20"/>
      <c r="P9644" s="17"/>
      <c r="Q9644" s="22"/>
    </row>
    <row r="9645">
      <c r="O9645" s="20"/>
      <c r="P9645" s="17"/>
      <c r="Q9645" s="22"/>
    </row>
    <row r="9646">
      <c r="O9646" s="20"/>
      <c r="P9646" s="17"/>
      <c r="Q9646" s="22"/>
    </row>
    <row r="9647">
      <c r="O9647" s="20"/>
      <c r="P9647" s="17"/>
      <c r="Q9647" s="22"/>
    </row>
    <row r="9648">
      <c r="O9648" s="20"/>
      <c r="P9648" s="17"/>
      <c r="Q9648" s="22"/>
    </row>
    <row r="9649">
      <c r="O9649" s="20"/>
      <c r="P9649" s="17"/>
      <c r="Q9649" s="22"/>
    </row>
    <row r="9650">
      <c r="O9650" s="20"/>
      <c r="P9650" s="17"/>
      <c r="Q9650" s="22"/>
    </row>
    <row r="9651">
      <c r="O9651" s="20"/>
      <c r="P9651" s="17"/>
      <c r="Q9651" s="22"/>
    </row>
    <row r="9652">
      <c r="O9652" s="20"/>
      <c r="P9652" s="17"/>
      <c r="Q9652" s="22"/>
    </row>
    <row r="9653">
      <c r="O9653" s="20"/>
      <c r="P9653" s="17"/>
      <c r="Q9653" s="22"/>
    </row>
    <row r="9654">
      <c r="O9654" s="20"/>
      <c r="P9654" s="17"/>
      <c r="Q9654" s="22"/>
    </row>
    <row r="9655">
      <c r="O9655" s="20"/>
      <c r="P9655" s="17"/>
      <c r="Q9655" s="22"/>
    </row>
    <row r="9656">
      <c r="O9656" s="20"/>
      <c r="P9656" s="17"/>
      <c r="Q9656" s="22"/>
    </row>
    <row r="9657">
      <c r="O9657" s="20"/>
      <c r="P9657" s="17"/>
      <c r="Q9657" s="22"/>
    </row>
    <row r="9658">
      <c r="O9658" s="20"/>
      <c r="P9658" s="17"/>
      <c r="Q9658" s="22"/>
    </row>
    <row r="9659">
      <c r="O9659" s="20"/>
      <c r="P9659" s="17"/>
      <c r="Q9659" s="22"/>
    </row>
    <row r="9660">
      <c r="O9660" s="20"/>
      <c r="P9660" s="17"/>
      <c r="Q9660" s="22"/>
    </row>
    <row r="9661">
      <c r="O9661" s="20"/>
      <c r="P9661" s="17"/>
      <c r="Q9661" s="22"/>
    </row>
    <row r="9662">
      <c r="O9662" s="20"/>
      <c r="P9662" s="17"/>
      <c r="Q9662" s="22"/>
    </row>
    <row r="9663">
      <c r="O9663" s="20"/>
      <c r="P9663" s="17"/>
      <c r="Q9663" s="22"/>
    </row>
    <row r="9664">
      <c r="O9664" s="20"/>
      <c r="P9664" s="17"/>
      <c r="Q9664" s="22"/>
    </row>
    <row r="9665">
      <c r="O9665" s="20"/>
      <c r="P9665" s="17"/>
      <c r="Q9665" s="22"/>
    </row>
    <row r="9666">
      <c r="O9666" s="20"/>
      <c r="P9666" s="17"/>
      <c r="Q9666" s="22"/>
    </row>
    <row r="9667">
      <c r="O9667" s="20"/>
      <c r="P9667" s="17"/>
      <c r="Q9667" s="22"/>
    </row>
    <row r="9668">
      <c r="O9668" s="20"/>
      <c r="P9668" s="17"/>
      <c r="Q9668" s="22"/>
    </row>
    <row r="9669">
      <c r="O9669" s="20"/>
      <c r="P9669" s="17"/>
      <c r="Q9669" s="22"/>
    </row>
    <row r="9670">
      <c r="O9670" s="20"/>
      <c r="P9670" s="17"/>
      <c r="Q9670" s="22"/>
    </row>
    <row r="9671">
      <c r="O9671" s="20"/>
      <c r="P9671" s="17"/>
      <c r="Q9671" s="22"/>
    </row>
    <row r="9672">
      <c r="O9672" s="20"/>
      <c r="P9672" s="17"/>
      <c r="Q9672" s="22"/>
    </row>
    <row r="9673">
      <c r="O9673" s="20"/>
      <c r="P9673" s="17"/>
      <c r="Q9673" s="22"/>
    </row>
    <row r="9674">
      <c r="O9674" s="20"/>
      <c r="P9674" s="17"/>
      <c r="Q9674" s="22"/>
    </row>
    <row r="9675">
      <c r="O9675" s="20"/>
      <c r="P9675" s="17"/>
      <c r="Q9675" s="22"/>
    </row>
    <row r="9676">
      <c r="O9676" s="20"/>
      <c r="P9676" s="17"/>
      <c r="Q9676" s="22"/>
    </row>
    <row r="9677">
      <c r="O9677" s="20"/>
      <c r="P9677" s="17"/>
      <c r="Q9677" s="22"/>
    </row>
    <row r="9678">
      <c r="O9678" s="20"/>
      <c r="P9678" s="17"/>
      <c r="Q9678" s="22"/>
    </row>
    <row r="9679">
      <c r="O9679" s="20"/>
      <c r="P9679" s="17"/>
      <c r="Q9679" s="22"/>
    </row>
    <row r="9680">
      <c r="O9680" s="20"/>
      <c r="P9680" s="17"/>
      <c r="Q9680" s="22"/>
    </row>
    <row r="9681">
      <c r="O9681" s="20"/>
      <c r="P9681" s="17"/>
      <c r="Q9681" s="22"/>
    </row>
    <row r="9682">
      <c r="O9682" s="20"/>
      <c r="P9682" s="17"/>
      <c r="Q9682" s="22"/>
    </row>
    <row r="9683">
      <c r="O9683" s="20"/>
      <c r="P9683" s="17"/>
      <c r="Q9683" s="22"/>
    </row>
    <row r="9684">
      <c r="O9684" s="20"/>
      <c r="P9684" s="17"/>
      <c r="Q9684" s="22"/>
    </row>
    <row r="9685">
      <c r="O9685" s="20"/>
      <c r="P9685" s="17"/>
      <c r="Q9685" s="22"/>
    </row>
    <row r="9686">
      <c r="O9686" s="20"/>
      <c r="P9686" s="17"/>
      <c r="Q9686" s="22"/>
    </row>
    <row r="9687">
      <c r="O9687" s="20"/>
      <c r="P9687" s="17"/>
      <c r="Q9687" s="22"/>
    </row>
    <row r="9688">
      <c r="O9688" s="20"/>
      <c r="P9688" s="17"/>
      <c r="Q9688" s="22"/>
    </row>
    <row r="9689">
      <c r="O9689" s="20"/>
      <c r="P9689" s="17"/>
      <c r="Q9689" s="22"/>
    </row>
    <row r="9690">
      <c r="O9690" s="20"/>
      <c r="P9690" s="17"/>
      <c r="Q9690" s="22"/>
    </row>
    <row r="9691">
      <c r="O9691" s="20"/>
      <c r="P9691" s="17"/>
      <c r="Q9691" s="22"/>
    </row>
    <row r="9692">
      <c r="O9692" s="20"/>
      <c r="P9692" s="17"/>
      <c r="Q9692" s="22"/>
    </row>
    <row r="9693">
      <c r="O9693" s="20"/>
      <c r="P9693" s="17"/>
      <c r="Q9693" s="22"/>
    </row>
    <row r="9694">
      <c r="O9694" s="20"/>
      <c r="P9694" s="17"/>
      <c r="Q9694" s="22"/>
    </row>
    <row r="9695">
      <c r="O9695" s="20"/>
      <c r="P9695" s="17"/>
      <c r="Q9695" s="22"/>
    </row>
    <row r="9696">
      <c r="O9696" s="20"/>
      <c r="P9696" s="17"/>
      <c r="Q9696" s="22"/>
    </row>
    <row r="9697">
      <c r="O9697" s="20"/>
      <c r="P9697" s="17"/>
      <c r="Q9697" s="22"/>
    </row>
    <row r="9698">
      <c r="O9698" s="20"/>
      <c r="P9698" s="17"/>
      <c r="Q9698" s="22"/>
    </row>
    <row r="9699">
      <c r="O9699" s="20"/>
      <c r="P9699" s="17"/>
      <c r="Q9699" s="22"/>
    </row>
    <row r="9700">
      <c r="O9700" s="20"/>
      <c r="P9700" s="17"/>
      <c r="Q9700" s="22"/>
    </row>
    <row r="9701">
      <c r="O9701" s="20"/>
      <c r="P9701" s="17"/>
      <c r="Q9701" s="22"/>
    </row>
    <row r="9702">
      <c r="O9702" s="20"/>
      <c r="P9702" s="17"/>
      <c r="Q9702" s="22"/>
    </row>
    <row r="9703">
      <c r="O9703" s="20"/>
      <c r="P9703" s="17"/>
      <c r="Q9703" s="22"/>
    </row>
    <row r="9704">
      <c r="O9704" s="20"/>
      <c r="P9704" s="17"/>
      <c r="Q9704" s="22"/>
    </row>
    <row r="9705">
      <c r="O9705" s="20"/>
      <c r="P9705" s="17"/>
      <c r="Q9705" s="22"/>
    </row>
    <row r="9706">
      <c r="O9706" s="20"/>
      <c r="P9706" s="17"/>
      <c r="Q9706" s="22"/>
    </row>
    <row r="9707">
      <c r="O9707" s="20"/>
      <c r="P9707" s="17"/>
      <c r="Q9707" s="22"/>
    </row>
    <row r="9708">
      <c r="O9708" s="20"/>
      <c r="P9708" s="17"/>
      <c r="Q9708" s="22"/>
    </row>
    <row r="9709">
      <c r="O9709" s="20"/>
      <c r="P9709" s="17"/>
      <c r="Q9709" s="22"/>
    </row>
    <row r="9710">
      <c r="O9710" s="20"/>
      <c r="P9710" s="17"/>
      <c r="Q9710" s="22"/>
    </row>
    <row r="9711">
      <c r="O9711" s="20"/>
      <c r="P9711" s="17"/>
      <c r="Q9711" s="22"/>
    </row>
    <row r="9712">
      <c r="O9712" s="20"/>
      <c r="P9712" s="17"/>
      <c r="Q9712" s="22"/>
    </row>
    <row r="9713">
      <c r="O9713" s="20"/>
      <c r="P9713" s="17"/>
      <c r="Q9713" s="22"/>
    </row>
    <row r="9714">
      <c r="O9714" s="20"/>
      <c r="P9714" s="17"/>
      <c r="Q9714" s="22"/>
    </row>
    <row r="9715">
      <c r="O9715" s="20"/>
      <c r="P9715" s="17"/>
      <c r="Q9715" s="22"/>
    </row>
    <row r="9716">
      <c r="O9716" s="20"/>
      <c r="P9716" s="17"/>
      <c r="Q9716" s="22"/>
    </row>
    <row r="9717">
      <c r="O9717" s="20"/>
      <c r="P9717" s="17"/>
      <c r="Q9717" s="22"/>
    </row>
    <row r="9718">
      <c r="O9718" s="20"/>
      <c r="P9718" s="17"/>
      <c r="Q9718" s="22"/>
    </row>
    <row r="9719">
      <c r="O9719" s="20"/>
      <c r="P9719" s="17"/>
      <c r="Q9719" s="22"/>
    </row>
    <row r="9720">
      <c r="O9720" s="20"/>
      <c r="P9720" s="17"/>
      <c r="Q9720" s="22"/>
    </row>
    <row r="9721">
      <c r="O9721" s="20"/>
      <c r="P9721" s="17"/>
      <c r="Q9721" s="22"/>
    </row>
    <row r="9722">
      <c r="O9722" s="20"/>
      <c r="P9722" s="17"/>
      <c r="Q9722" s="22"/>
    </row>
    <row r="9723">
      <c r="O9723" s="20"/>
      <c r="P9723" s="17"/>
      <c r="Q9723" s="22"/>
    </row>
    <row r="9724">
      <c r="O9724" s="20"/>
      <c r="P9724" s="17"/>
      <c r="Q9724" s="22"/>
    </row>
    <row r="9725">
      <c r="O9725" s="20"/>
      <c r="P9725" s="17"/>
      <c r="Q9725" s="22"/>
    </row>
    <row r="9726">
      <c r="O9726" s="20"/>
      <c r="P9726" s="17"/>
      <c r="Q9726" s="22"/>
    </row>
    <row r="9727">
      <c r="O9727" s="20"/>
      <c r="P9727" s="17"/>
      <c r="Q9727" s="22"/>
    </row>
    <row r="9728">
      <c r="O9728" s="20"/>
      <c r="P9728" s="17"/>
      <c r="Q9728" s="22"/>
    </row>
    <row r="9729">
      <c r="O9729" s="20"/>
      <c r="P9729" s="17"/>
      <c r="Q9729" s="22"/>
    </row>
    <row r="9730">
      <c r="O9730" s="20"/>
      <c r="P9730" s="17"/>
      <c r="Q9730" s="22"/>
    </row>
    <row r="9731">
      <c r="O9731" s="20"/>
      <c r="P9731" s="17"/>
      <c r="Q9731" s="22"/>
    </row>
    <row r="9732">
      <c r="O9732" s="20"/>
      <c r="P9732" s="17"/>
      <c r="Q9732" s="22"/>
    </row>
    <row r="9733">
      <c r="O9733" s="20"/>
      <c r="P9733" s="17"/>
      <c r="Q9733" s="22"/>
    </row>
    <row r="9734">
      <c r="O9734" s="20"/>
      <c r="P9734" s="17"/>
      <c r="Q9734" s="22"/>
    </row>
    <row r="9735">
      <c r="O9735" s="20"/>
      <c r="P9735" s="17"/>
      <c r="Q9735" s="22"/>
    </row>
    <row r="9736">
      <c r="O9736" s="20"/>
      <c r="P9736" s="17"/>
      <c r="Q9736" s="22"/>
    </row>
    <row r="9737">
      <c r="O9737" s="20"/>
      <c r="P9737" s="17"/>
      <c r="Q9737" s="22"/>
    </row>
    <row r="9738">
      <c r="O9738" s="20"/>
      <c r="P9738" s="17"/>
      <c r="Q9738" s="22"/>
    </row>
    <row r="9739">
      <c r="O9739" s="20"/>
      <c r="P9739" s="17"/>
      <c r="Q9739" s="22"/>
    </row>
    <row r="9740">
      <c r="O9740" s="20"/>
      <c r="P9740" s="17"/>
      <c r="Q9740" s="22"/>
    </row>
    <row r="9741">
      <c r="O9741" s="20"/>
      <c r="P9741" s="17"/>
      <c r="Q9741" s="22"/>
    </row>
    <row r="9742">
      <c r="O9742" s="20"/>
      <c r="P9742" s="17"/>
      <c r="Q9742" s="22"/>
    </row>
    <row r="9743">
      <c r="O9743" s="20"/>
      <c r="P9743" s="17"/>
      <c r="Q9743" s="22"/>
    </row>
    <row r="9744">
      <c r="O9744" s="20"/>
      <c r="P9744" s="17"/>
      <c r="Q9744" s="22"/>
    </row>
    <row r="9745">
      <c r="O9745" s="20"/>
      <c r="P9745" s="17"/>
      <c r="Q9745" s="22"/>
    </row>
    <row r="9746">
      <c r="O9746" s="20"/>
      <c r="P9746" s="17"/>
      <c r="Q9746" s="22"/>
    </row>
    <row r="9747">
      <c r="O9747" s="20"/>
      <c r="P9747" s="17"/>
      <c r="Q9747" s="22"/>
    </row>
    <row r="9748">
      <c r="O9748" s="20"/>
      <c r="P9748" s="17"/>
      <c r="Q9748" s="22"/>
    </row>
    <row r="9749">
      <c r="O9749" s="20"/>
      <c r="P9749" s="17"/>
      <c r="Q9749" s="22"/>
    </row>
    <row r="9750">
      <c r="O9750" s="20"/>
      <c r="P9750" s="17"/>
      <c r="Q9750" s="22"/>
    </row>
    <row r="9751">
      <c r="O9751" s="20"/>
      <c r="P9751" s="17"/>
      <c r="Q9751" s="22"/>
    </row>
    <row r="9752">
      <c r="O9752" s="20"/>
      <c r="P9752" s="17"/>
      <c r="Q9752" s="22"/>
    </row>
    <row r="9753">
      <c r="O9753" s="20"/>
      <c r="P9753" s="17"/>
      <c r="Q9753" s="22"/>
    </row>
    <row r="9754">
      <c r="O9754" s="20"/>
      <c r="P9754" s="17"/>
      <c r="Q9754" s="22"/>
    </row>
    <row r="9755">
      <c r="O9755" s="20"/>
      <c r="P9755" s="17"/>
      <c r="Q9755" s="22"/>
    </row>
    <row r="9756">
      <c r="O9756" s="20"/>
      <c r="P9756" s="17"/>
      <c r="Q9756" s="22"/>
    </row>
    <row r="9757">
      <c r="O9757" s="20"/>
      <c r="P9757" s="17"/>
      <c r="Q9757" s="22"/>
    </row>
    <row r="9758">
      <c r="O9758" s="20"/>
      <c r="P9758" s="17"/>
      <c r="Q9758" s="22"/>
    </row>
    <row r="9759">
      <c r="O9759" s="20"/>
      <c r="P9759" s="17"/>
      <c r="Q9759" s="22"/>
    </row>
    <row r="9760">
      <c r="O9760" s="20"/>
      <c r="P9760" s="17"/>
      <c r="Q9760" s="22"/>
    </row>
    <row r="9761">
      <c r="O9761" s="20"/>
      <c r="P9761" s="17"/>
      <c r="Q9761" s="22"/>
    </row>
    <row r="9762">
      <c r="O9762" s="20"/>
      <c r="P9762" s="17"/>
      <c r="Q9762" s="22"/>
    </row>
    <row r="9763">
      <c r="O9763" s="20"/>
      <c r="P9763" s="17"/>
      <c r="Q9763" s="22"/>
    </row>
    <row r="9764">
      <c r="O9764" s="20"/>
      <c r="P9764" s="17"/>
      <c r="Q9764" s="22"/>
    </row>
    <row r="9765">
      <c r="O9765" s="20"/>
      <c r="P9765" s="17"/>
      <c r="Q9765" s="22"/>
    </row>
    <row r="9766">
      <c r="O9766" s="20"/>
      <c r="P9766" s="17"/>
      <c r="Q9766" s="22"/>
    </row>
    <row r="9767">
      <c r="O9767" s="20"/>
      <c r="P9767" s="17"/>
      <c r="Q9767" s="22"/>
    </row>
    <row r="9768">
      <c r="O9768" s="20"/>
      <c r="P9768" s="17"/>
      <c r="Q9768" s="22"/>
    </row>
    <row r="9769">
      <c r="O9769" s="20"/>
      <c r="P9769" s="17"/>
      <c r="Q9769" s="22"/>
    </row>
    <row r="9770">
      <c r="O9770" s="20"/>
      <c r="P9770" s="17"/>
      <c r="Q9770" s="22"/>
    </row>
    <row r="9771">
      <c r="O9771" s="20"/>
      <c r="P9771" s="17"/>
      <c r="Q9771" s="22"/>
    </row>
    <row r="9772">
      <c r="O9772" s="20"/>
      <c r="P9772" s="17"/>
      <c r="Q9772" s="22"/>
    </row>
    <row r="9773">
      <c r="O9773" s="20"/>
      <c r="P9773" s="17"/>
      <c r="Q9773" s="22"/>
    </row>
    <row r="9774">
      <c r="O9774" s="20"/>
      <c r="P9774" s="17"/>
      <c r="Q9774" s="22"/>
    </row>
    <row r="9775">
      <c r="O9775" s="20"/>
      <c r="P9775" s="17"/>
      <c r="Q9775" s="22"/>
    </row>
    <row r="9776">
      <c r="O9776" s="20"/>
      <c r="P9776" s="17"/>
      <c r="Q9776" s="22"/>
    </row>
    <row r="9777">
      <c r="O9777" s="20"/>
      <c r="P9777" s="17"/>
      <c r="Q9777" s="22"/>
    </row>
    <row r="9778">
      <c r="O9778" s="20"/>
      <c r="P9778" s="17"/>
      <c r="Q9778" s="22"/>
    </row>
    <row r="9779">
      <c r="O9779" s="20"/>
      <c r="P9779" s="17"/>
      <c r="Q9779" s="22"/>
    </row>
    <row r="9780">
      <c r="O9780" s="20"/>
      <c r="P9780" s="17"/>
      <c r="Q9780" s="22"/>
    </row>
    <row r="9781">
      <c r="O9781" s="20"/>
      <c r="P9781" s="17"/>
      <c r="Q9781" s="22"/>
    </row>
    <row r="9782">
      <c r="O9782" s="20"/>
      <c r="P9782" s="17"/>
      <c r="Q9782" s="22"/>
    </row>
    <row r="9783">
      <c r="O9783" s="20"/>
      <c r="P9783" s="17"/>
      <c r="Q9783" s="22"/>
    </row>
    <row r="9784">
      <c r="O9784" s="20"/>
      <c r="P9784" s="17"/>
      <c r="Q9784" s="22"/>
    </row>
    <row r="9785">
      <c r="O9785" s="20"/>
      <c r="P9785" s="17"/>
      <c r="Q9785" s="22"/>
    </row>
    <row r="9786">
      <c r="O9786" s="20"/>
      <c r="P9786" s="17"/>
      <c r="Q9786" s="22"/>
    </row>
    <row r="9787">
      <c r="O9787" s="20"/>
      <c r="P9787" s="17"/>
      <c r="Q9787" s="22"/>
    </row>
    <row r="9788">
      <c r="O9788" s="20"/>
      <c r="P9788" s="17"/>
      <c r="Q9788" s="22"/>
    </row>
    <row r="9789">
      <c r="O9789" s="20"/>
      <c r="P9789" s="17"/>
      <c r="Q9789" s="22"/>
    </row>
    <row r="9790">
      <c r="O9790" s="20"/>
      <c r="P9790" s="17"/>
      <c r="Q9790" s="22"/>
    </row>
    <row r="9791">
      <c r="O9791" s="20"/>
      <c r="P9791" s="17"/>
      <c r="Q9791" s="22"/>
    </row>
    <row r="9792">
      <c r="O9792" s="20"/>
      <c r="P9792" s="17"/>
      <c r="Q9792" s="22"/>
    </row>
    <row r="9793">
      <c r="O9793" s="20"/>
      <c r="P9793" s="17"/>
      <c r="Q9793" s="22"/>
    </row>
    <row r="9794">
      <c r="O9794" s="20"/>
      <c r="P9794" s="17"/>
      <c r="Q9794" s="22"/>
    </row>
    <row r="9795">
      <c r="O9795" s="20"/>
      <c r="P9795" s="17"/>
      <c r="Q9795" s="22"/>
    </row>
    <row r="9796">
      <c r="O9796" s="20"/>
      <c r="P9796" s="17"/>
      <c r="Q9796" s="22"/>
    </row>
    <row r="9797">
      <c r="O9797" s="20"/>
      <c r="P9797" s="17"/>
      <c r="Q9797" s="22"/>
    </row>
    <row r="9798">
      <c r="O9798" s="20"/>
      <c r="P9798" s="17"/>
      <c r="Q9798" s="22"/>
    </row>
    <row r="9799">
      <c r="O9799" s="20"/>
      <c r="P9799" s="17"/>
      <c r="Q9799" s="22"/>
    </row>
    <row r="9800">
      <c r="O9800" s="20"/>
      <c r="P9800" s="17"/>
      <c r="Q9800" s="22"/>
    </row>
    <row r="9801">
      <c r="O9801" s="20"/>
      <c r="P9801" s="17"/>
      <c r="Q9801" s="22"/>
    </row>
    <row r="9802">
      <c r="O9802" s="20"/>
      <c r="P9802" s="17"/>
      <c r="Q9802" s="22"/>
    </row>
    <row r="9803">
      <c r="O9803" s="20"/>
      <c r="P9803" s="17"/>
      <c r="Q9803" s="22"/>
    </row>
    <row r="9804">
      <c r="O9804" s="20"/>
      <c r="P9804" s="17"/>
      <c r="Q9804" s="22"/>
    </row>
    <row r="9805">
      <c r="O9805" s="20"/>
      <c r="P9805" s="17"/>
      <c r="Q9805" s="22"/>
    </row>
    <row r="9806">
      <c r="O9806" s="20"/>
      <c r="P9806" s="17"/>
      <c r="Q9806" s="22"/>
    </row>
    <row r="9807">
      <c r="O9807" s="20"/>
      <c r="P9807" s="17"/>
      <c r="Q9807" s="22"/>
    </row>
    <row r="9808">
      <c r="O9808" s="20"/>
      <c r="P9808" s="17"/>
      <c r="Q9808" s="22"/>
    </row>
    <row r="9809">
      <c r="O9809" s="20"/>
      <c r="P9809" s="17"/>
      <c r="Q9809" s="22"/>
    </row>
    <row r="9810">
      <c r="O9810" s="20"/>
      <c r="P9810" s="17"/>
      <c r="Q9810" s="22"/>
    </row>
    <row r="9811">
      <c r="O9811" s="20"/>
      <c r="P9811" s="17"/>
      <c r="Q9811" s="22"/>
    </row>
    <row r="9812">
      <c r="O9812" s="20"/>
      <c r="P9812" s="17"/>
      <c r="Q9812" s="22"/>
    </row>
    <row r="9813">
      <c r="O9813" s="20"/>
      <c r="P9813" s="17"/>
      <c r="Q9813" s="22"/>
    </row>
    <row r="9814">
      <c r="O9814" s="20"/>
      <c r="P9814" s="17"/>
      <c r="Q9814" s="22"/>
    </row>
    <row r="9815">
      <c r="O9815" s="20"/>
      <c r="P9815" s="17"/>
      <c r="Q9815" s="22"/>
    </row>
    <row r="9816">
      <c r="O9816" s="20"/>
      <c r="P9816" s="17"/>
      <c r="Q9816" s="22"/>
    </row>
    <row r="9817">
      <c r="O9817" s="20"/>
      <c r="P9817" s="17"/>
      <c r="Q9817" s="22"/>
    </row>
    <row r="9818">
      <c r="O9818" s="20"/>
      <c r="P9818" s="17"/>
      <c r="Q9818" s="22"/>
    </row>
    <row r="9819">
      <c r="O9819" s="20"/>
      <c r="P9819" s="17"/>
      <c r="Q9819" s="22"/>
    </row>
    <row r="9820">
      <c r="O9820" s="20"/>
      <c r="P9820" s="17"/>
      <c r="Q9820" s="22"/>
    </row>
    <row r="9821">
      <c r="O9821" s="20"/>
      <c r="P9821" s="17"/>
      <c r="Q9821" s="22"/>
    </row>
    <row r="9822">
      <c r="O9822" s="20"/>
      <c r="P9822" s="17"/>
      <c r="Q9822" s="22"/>
    </row>
    <row r="9823">
      <c r="O9823" s="20"/>
      <c r="P9823" s="17"/>
      <c r="Q9823" s="22"/>
    </row>
    <row r="9824">
      <c r="O9824" s="20"/>
      <c r="P9824" s="17"/>
      <c r="Q9824" s="22"/>
    </row>
    <row r="9825">
      <c r="O9825" s="20"/>
      <c r="P9825" s="17"/>
      <c r="Q9825" s="22"/>
    </row>
    <row r="9826">
      <c r="O9826" s="20"/>
      <c r="P9826" s="17"/>
      <c r="Q9826" s="22"/>
    </row>
    <row r="9827">
      <c r="O9827" s="20"/>
      <c r="P9827" s="17"/>
      <c r="Q9827" s="22"/>
    </row>
    <row r="9828">
      <c r="O9828" s="20"/>
      <c r="P9828" s="17"/>
      <c r="Q9828" s="22"/>
    </row>
    <row r="9829">
      <c r="O9829" s="20"/>
      <c r="P9829" s="17"/>
      <c r="Q9829" s="22"/>
    </row>
    <row r="9830">
      <c r="O9830" s="20"/>
      <c r="P9830" s="17"/>
      <c r="Q9830" s="22"/>
    </row>
    <row r="9831">
      <c r="O9831" s="20"/>
      <c r="P9831" s="17"/>
      <c r="Q9831" s="22"/>
    </row>
    <row r="9832">
      <c r="O9832" s="20"/>
      <c r="P9832" s="17"/>
      <c r="Q9832" s="22"/>
    </row>
    <row r="9833">
      <c r="O9833" s="20"/>
      <c r="P9833" s="17"/>
      <c r="Q9833" s="22"/>
    </row>
    <row r="9834">
      <c r="O9834" s="20"/>
      <c r="P9834" s="17"/>
      <c r="Q9834" s="22"/>
    </row>
    <row r="9835">
      <c r="O9835" s="20"/>
      <c r="P9835" s="17"/>
      <c r="Q9835" s="22"/>
    </row>
    <row r="9836">
      <c r="O9836" s="20"/>
      <c r="P9836" s="17"/>
      <c r="Q9836" s="22"/>
    </row>
    <row r="9837">
      <c r="O9837" s="20"/>
      <c r="P9837" s="17"/>
      <c r="Q9837" s="22"/>
    </row>
    <row r="9838">
      <c r="O9838" s="20"/>
      <c r="P9838" s="17"/>
      <c r="Q9838" s="22"/>
    </row>
    <row r="9839">
      <c r="O9839" s="20"/>
      <c r="P9839" s="17"/>
      <c r="Q9839" s="22"/>
    </row>
    <row r="9840">
      <c r="O9840" s="20"/>
      <c r="P9840" s="17"/>
      <c r="Q9840" s="22"/>
    </row>
    <row r="9841">
      <c r="O9841" s="20"/>
      <c r="P9841" s="17"/>
      <c r="Q9841" s="22"/>
    </row>
    <row r="9842">
      <c r="O9842" s="20"/>
      <c r="P9842" s="17"/>
      <c r="Q9842" s="22"/>
    </row>
    <row r="9843">
      <c r="O9843" s="20"/>
      <c r="P9843" s="17"/>
      <c r="Q9843" s="22"/>
    </row>
    <row r="9844">
      <c r="O9844" s="20"/>
      <c r="P9844" s="17"/>
      <c r="Q9844" s="22"/>
    </row>
    <row r="9845">
      <c r="O9845" s="20"/>
      <c r="P9845" s="17"/>
      <c r="Q9845" s="22"/>
    </row>
    <row r="9846">
      <c r="O9846" s="20"/>
      <c r="P9846" s="17"/>
      <c r="Q9846" s="22"/>
    </row>
    <row r="9847">
      <c r="O9847" s="20"/>
      <c r="P9847" s="17"/>
      <c r="Q9847" s="22"/>
    </row>
    <row r="9848">
      <c r="O9848" s="20"/>
      <c r="P9848" s="17"/>
      <c r="Q9848" s="22"/>
    </row>
    <row r="9849">
      <c r="O9849" s="20"/>
      <c r="P9849" s="17"/>
      <c r="Q9849" s="22"/>
    </row>
    <row r="9850">
      <c r="O9850" s="20"/>
      <c r="P9850" s="17"/>
      <c r="Q9850" s="22"/>
    </row>
    <row r="9851">
      <c r="O9851" s="20"/>
      <c r="P9851" s="17"/>
      <c r="Q9851" s="22"/>
    </row>
    <row r="9852">
      <c r="O9852" s="20"/>
      <c r="P9852" s="17"/>
      <c r="Q9852" s="22"/>
    </row>
    <row r="9853">
      <c r="O9853" s="20"/>
      <c r="P9853" s="17"/>
      <c r="Q9853" s="22"/>
    </row>
    <row r="9854">
      <c r="O9854" s="20"/>
      <c r="P9854" s="17"/>
      <c r="Q9854" s="22"/>
    </row>
    <row r="9855">
      <c r="O9855" s="20"/>
      <c r="P9855" s="17"/>
      <c r="Q9855" s="22"/>
    </row>
    <row r="9856">
      <c r="O9856" s="20"/>
      <c r="P9856" s="17"/>
      <c r="Q9856" s="22"/>
    </row>
    <row r="9857">
      <c r="O9857" s="20"/>
      <c r="P9857" s="17"/>
      <c r="Q9857" s="22"/>
    </row>
    <row r="9858">
      <c r="O9858" s="20"/>
      <c r="P9858" s="17"/>
      <c r="Q9858" s="22"/>
    </row>
    <row r="9859">
      <c r="O9859" s="20"/>
      <c r="P9859" s="17"/>
      <c r="Q9859" s="22"/>
    </row>
    <row r="9860">
      <c r="O9860" s="20"/>
      <c r="P9860" s="17"/>
      <c r="Q9860" s="22"/>
    </row>
    <row r="9861">
      <c r="O9861" s="20"/>
      <c r="P9861" s="17"/>
      <c r="Q9861" s="22"/>
    </row>
    <row r="9862">
      <c r="O9862" s="20"/>
      <c r="P9862" s="17"/>
      <c r="Q9862" s="22"/>
    </row>
    <row r="9863">
      <c r="O9863" s="20"/>
      <c r="P9863" s="17"/>
      <c r="Q9863" s="22"/>
    </row>
    <row r="9864">
      <c r="O9864" s="20"/>
      <c r="P9864" s="17"/>
      <c r="Q9864" s="22"/>
    </row>
    <row r="9865">
      <c r="O9865" s="20"/>
      <c r="P9865" s="17"/>
      <c r="Q9865" s="22"/>
    </row>
    <row r="9866">
      <c r="O9866" s="20"/>
      <c r="P9866" s="17"/>
      <c r="Q9866" s="22"/>
    </row>
    <row r="9867">
      <c r="O9867" s="20"/>
      <c r="P9867" s="17"/>
      <c r="Q9867" s="22"/>
    </row>
    <row r="9868">
      <c r="O9868" s="20"/>
      <c r="P9868" s="17"/>
      <c r="Q9868" s="22"/>
    </row>
    <row r="9869">
      <c r="O9869" s="20"/>
      <c r="P9869" s="17"/>
      <c r="Q9869" s="22"/>
    </row>
    <row r="9870">
      <c r="O9870" s="20"/>
      <c r="P9870" s="17"/>
      <c r="Q9870" s="22"/>
    </row>
    <row r="9871">
      <c r="O9871" s="20"/>
      <c r="P9871" s="17"/>
      <c r="Q9871" s="22"/>
    </row>
    <row r="9872">
      <c r="O9872" s="20"/>
      <c r="P9872" s="17"/>
      <c r="Q9872" s="22"/>
    </row>
    <row r="9873">
      <c r="O9873" s="20"/>
      <c r="P9873" s="17"/>
      <c r="Q9873" s="22"/>
    </row>
    <row r="9874">
      <c r="O9874" s="20"/>
      <c r="P9874" s="17"/>
      <c r="Q9874" s="22"/>
    </row>
    <row r="9875">
      <c r="O9875" s="20"/>
      <c r="P9875" s="17"/>
      <c r="Q9875" s="22"/>
    </row>
    <row r="9876">
      <c r="O9876" s="20"/>
      <c r="P9876" s="17"/>
      <c r="Q9876" s="22"/>
    </row>
    <row r="9877">
      <c r="O9877" s="20"/>
      <c r="P9877" s="17"/>
      <c r="Q9877" s="22"/>
    </row>
    <row r="9878">
      <c r="O9878" s="20"/>
      <c r="P9878" s="17"/>
      <c r="Q9878" s="22"/>
    </row>
    <row r="9879">
      <c r="O9879" s="20"/>
      <c r="P9879" s="17"/>
      <c r="Q9879" s="22"/>
    </row>
    <row r="9880">
      <c r="O9880" s="20"/>
      <c r="P9880" s="17"/>
      <c r="Q9880" s="22"/>
    </row>
    <row r="9881">
      <c r="O9881" s="20"/>
      <c r="P9881" s="17"/>
      <c r="Q9881" s="22"/>
    </row>
    <row r="9882">
      <c r="O9882" s="20"/>
      <c r="P9882" s="17"/>
      <c r="Q9882" s="22"/>
    </row>
    <row r="9883">
      <c r="O9883" s="20"/>
      <c r="P9883" s="17"/>
      <c r="Q9883" s="22"/>
    </row>
    <row r="9884">
      <c r="O9884" s="20"/>
      <c r="P9884" s="17"/>
      <c r="Q9884" s="22"/>
    </row>
    <row r="9885">
      <c r="O9885" s="20"/>
      <c r="P9885" s="17"/>
      <c r="Q9885" s="22"/>
    </row>
    <row r="9886">
      <c r="O9886" s="20"/>
      <c r="P9886" s="17"/>
      <c r="Q9886" s="22"/>
    </row>
    <row r="9887">
      <c r="O9887" s="20"/>
      <c r="P9887" s="17"/>
      <c r="Q9887" s="22"/>
    </row>
    <row r="9888">
      <c r="O9888" s="20"/>
      <c r="P9888" s="17"/>
      <c r="Q9888" s="22"/>
    </row>
    <row r="9889">
      <c r="O9889" s="20"/>
      <c r="P9889" s="17"/>
      <c r="Q9889" s="22"/>
    </row>
    <row r="9890">
      <c r="O9890" s="20"/>
      <c r="P9890" s="17"/>
      <c r="Q9890" s="22"/>
    </row>
    <row r="9891">
      <c r="O9891" s="20"/>
      <c r="P9891" s="17"/>
      <c r="Q9891" s="22"/>
    </row>
    <row r="9892">
      <c r="O9892" s="20"/>
      <c r="P9892" s="17"/>
      <c r="Q9892" s="22"/>
    </row>
    <row r="9893">
      <c r="O9893" s="20"/>
      <c r="P9893" s="17"/>
      <c r="Q9893" s="22"/>
    </row>
    <row r="9894">
      <c r="O9894" s="20"/>
      <c r="P9894" s="17"/>
      <c r="Q9894" s="22"/>
    </row>
    <row r="9895">
      <c r="O9895" s="20"/>
      <c r="P9895" s="17"/>
      <c r="Q9895" s="22"/>
    </row>
    <row r="9896">
      <c r="O9896" s="20"/>
      <c r="P9896" s="17"/>
      <c r="Q9896" s="22"/>
    </row>
    <row r="9897">
      <c r="O9897" s="20"/>
      <c r="P9897" s="17"/>
      <c r="Q9897" s="22"/>
    </row>
    <row r="9898">
      <c r="O9898" s="20"/>
      <c r="P9898" s="17"/>
      <c r="Q9898" s="22"/>
    </row>
    <row r="9899">
      <c r="O9899" s="20"/>
      <c r="P9899" s="17"/>
      <c r="Q9899" s="22"/>
    </row>
    <row r="9900">
      <c r="O9900" s="20"/>
      <c r="P9900" s="17"/>
      <c r="Q9900" s="22"/>
    </row>
    <row r="9901">
      <c r="O9901" s="20"/>
      <c r="P9901" s="17"/>
      <c r="Q9901" s="22"/>
    </row>
    <row r="9902">
      <c r="O9902" s="20"/>
      <c r="P9902" s="17"/>
      <c r="Q9902" s="22"/>
    </row>
    <row r="9903">
      <c r="O9903" s="20"/>
      <c r="P9903" s="17"/>
      <c r="Q9903" s="22"/>
    </row>
    <row r="9904">
      <c r="O9904" s="20"/>
      <c r="P9904" s="17"/>
      <c r="Q9904" s="22"/>
    </row>
    <row r="9905">
      <c r="O9905" s="20"/>
      <c r="P9905" s="17"/>
      <c r="Q9905" s="22"/>
    </row>
    <row r="9906">
      <c r="O9906" s="20"/>
      <c r="P9906" s="17"/>
      <c r="Q9906" s="22"/>
    </row>
    <row r="9907">
      <c r="O9907" s="20"/>
      <c r="P9907" s="17"/>
      <c r="Q9907" s="22"/>
    </row>
    <row r="9908">
      <c r="O9908" s="20"/>
      <c r="P9908" s="17"/>
      <c r="Q9908" s="22"/>
    </row>
    <row r="9909">
      <c r="O9909" s="20"/>
      <c r="P9909" s="17"/>
      <c r="Q9909" s="22"/>
    </row>
    <row r="9910">
      <c r="O9910" s="20"/>
      <c r="P9910" s="17"/>
      <c r="Q9910" s="22"/>
    </row>
    <row r="9911">
      <c r="O9911" s="20"/>
      <c r="P9911" s="17"/>
      <c r="Q9911" s="22"/>
    </row>
    <row r="9912">
      <c r="O9912" s="20"/>
      <c r="P9912" s="17"/>
      <c r="Q9912" s="22"/>
    </row>
    <row r="9913">
      <c r="O9913" s="20"/>
      <c r="P9913" s="17"/>
      <c r="Q9913" s="22"/>
    </row>
    <row r="9914">
      <c r="O9914" s="20"/>
      <c r="P9914" s="17"/>
      <c r="Q9914" s="22"/>
    </row>
    <row r="9915">
      <c r="O9915" s="20"/>
      <c r="P9915" s="17"/>
      <c r="Q9915" s="22"/>
    </row>
    <row r="9916">
      <c r="O9916" s="20"/>
      <c r="P9916" s="17"/>
      <c r="Q9916" s="22"/>
    </row>
    <row r="9917">
      <c r="O9917" s="20"/>
      <c r="P9917" s="17"/>
      <c r="Q9917" s="22"/>
    </row>
    <row r="9918">
      <c r="O9918" s="20"/>
      <c r="P9918" s="17"/>
      <c r="Q9918" s="22"/>
    </row>
    <row r="9919">
      <c r="O9919" s="20"/>
      <c r="P9919" s="17"/>
      <c r="Q9919" s="22"/>
    </row>
    <row r="9920">
      <c r="O9920" s="20"/>
      <c r="P9920" s="17"/>
      <c r="Q9920" s="22"/>
    </row>
    <row r="9921">
      <c r="O9921" s="20"/>
      <c r="P9921" s="17"/>
      <c r="Q9921" s="22"/>
    </row>
    <row r="9922">
      <c r="O9922" s="20"/>
      <c r="P9922" s="17"/>
      <c r="Q9922" s="22"/>
    </row>
    <row r="9923">
      <c r="O9923" s="20"/>
      <c r="P9923" s="17"/>
      <c r="Q9923" s="22"/>
    </row>
    <row r="9924">
      <c r="O9924" s="20"/>
      <c r="P9924" s="17"/>
      <c r="Q9924" s="22"/>
    </row>
    <row r="9925">
      <c r="O9925" s="20"/>
      <c r="P9925" s="17"/>
      <c r="Q9925" s="22"/>
    </row>
    <row r="9926">
      <c r="O9926" s="20"/>
      <c r="P9926" s="17"/>
      <c r="Q9926" s="22"/>
    </row>
    <row r="9927">
      <c r="O9927" s="20"/>
      <c r="P9927" s="17"/>
      <c r="Q9927" s="22"/>
    </row>
    <row r="9928">
      <c r="O9928" s="20"/>
      <c r="P9928" s="17"/>
      <c r="Q9928" s="22"/>
    </row>
    <row r="9929">
      <c r="O9929" s="20"/>
      <c r="P9929" s="17"/>
      <c r="Q9929" s="22"/>
    </row>
    <row r="9930">
      <c r="O9930" s="20"/>
      <c r="P9930" s="17"/>
      <c r="Q9930" s="22"/>
    </row>
    <row r="9931">
      <c r="O9931" s="20"/>
      <c r="P9931" s="17"/>
      <c r="Q9931" s="22"/>
    </row>
    <row r="9932">
      <c r="O9932" s="20"/>
      <c r="P9932" s="17"/>
      <c r="Q9932" s="22"/>
    </row>
    <row r="9933">
      <c r="O9933" s="20"/>
      <c r="P9933" s="17"/>
      <c r="Q9933" s="22"/>
    </row>
    <row r="9934">
      <c r="O9934" s="20"/>
      <c r="P9934" s="17"/>
      <c r="Q9934" s="22"/>
    </row>
    <row r="9935">
      <c r="O9935" s="20"/>
      <c r="P9935" s="17"/>
      <c r="Q9935" s="22"/>
    </row>
    <row r="9936">
      <c r="O9936" s="20"/>
      <c r="P9936" s="17"/>
      <c r="Q9936" s="22"/>
    </row>
    <row r="9937">
      <c r="O9937" s="20"/>
      <c r="P9937" s="17"/>
      <c r="Q9937" s="22"/>
    </row>
    <row r="9938">
      <c r="O9938" s="20"/>
      <c r="P9938" s="17"/>
      <c r="Q9938" s="22"/>
    </row>
    <row r="9939">
      <c r="O9939" s="20"/>
      <c r="P9939" s="17"/>
      <c r="Q9939" s="22"/>
    </row>
    <row r="9940">
      <c r="O9940" s="20"/>
      <c r="P9940" s="17"/>
      <c r="Q9940" s="22"/>
    </row>
    <row r="9941">
      <c r="O9941" s="20"/>
      <c r="P9941" s="17"/>
      <c r="Q9941" s="22"/>
    </row>
    <row r="9942">
      <c r="O9942" s="20"/>
      <c r="P9942" s="17"/>
      <c r="Q9942" s="22"/>
    </row>
    <row r="9943">
      <c r="O9943" s="20"/>
      <c r="P9943" s="17"/>
      <c r="Q9943" s="22"/>
    </row>
    <row r="9944">
      <c r="O9944" s="20"/>
      <c r="P9944" s="17"/>
      <c r="Q9944" s="22"/>
    </row>
    <row r="9945">
      <c r="O9945" s="20"/>
      <c r="P9945" s="17"/>
      <c r="Q9945" s="22"/>
    </row>
    <row r="9946">
      <c r="O9946" s="20"/>
      <c r="P9946" s="17"/>
      <c r="Q9946" s="22"/>
    </row>
    <row r="9947">
      <c r="O9947" s="20"/>
      <c r="P9947" s="17"/>
      <c r="Q9947" s="22"/>
    </row>
    <row r="9948">
      <c r="O9948" s="20"/>
      <c r="P9948" s="17"/>
      <c r="Q9948" s="22"/>
    </row>
    <row r="9949">
      <c r="O9949" s="20"/>
      <c r="P9949" s="17"/>
      <c r="Q9949" s="22"/>
    </row>
    <row r="9950">
      <c r="O9950" s="20"/>
      <c r="P9950" s="17"/>
      <c r="Q9950" s="22"/>
    </row>
    <row r="9951">
      <c r="O9951" s="20"/>
      <c r="P9951" s="17"/>
      <c r="Q9951" s="22"/>
    </row>
    <row r="9952">
      <c r="O9952" s="20"/>
      <c r="P9952" s="17"/>
      <c r="Q9952" s="22"/>
    </row>
    <row r="9953">
      <c r="O9953" s="20"/>
      <c r="P9953" s="17"/>
      <c r="Q9953" s="22"/>
    </row>
    <row r="9954">
      <c r="O9954" s="20"/>
      <c r="P9954" s="17"/>
      <c r="Q9954" s="22"/>
    </row>
    <row r="9955">
      <c r="O9955" s="20"/>
      <c r="P9955" s="17"/>
      <c r="Q9955" s="22"/>
    </row>
    <row r="9956">
      <c r="O9956" s="20"/>
      <c r="P9956" s="17"/>
      <c r="Q9956" s="22"/>
    </row>
    <row r="9957">
      <c r="O9957" s="20"/>
      <c r="P9957" s="17"/>
      <c r="Q9957" s="22"/>
    </row>
    <row r="9958">
      <c r="O9958" s="20"/>
      <c r="P9958" s="17"/>
      <c r="Q9958" s="22"/>
    </row>
    <row r="9959">
      <c r="O9959" s="20"/>
      <c r="P9959" s="17"/>
      <c r="Q9959" s="22"/>
    </row>
    <row r="9960">
      <c r="O9960" s="20"/>
      <c r="P9960" s="17"/>
      <c r="Q9960" s="22"/>
    </row>
    <row r="9961">
      <c r="O9961" s="20"/>
      <c r="P9961" s="17"/>
      <c r="Q9961" s="22"/>
    </row>
    <row r="9962">
      <c r="O9962" s="20"/>
      <c r="P9962" s="17"/>
      <c r="Q9962" s="22"/>
    </row>
    <row r="9963">
      <c r="O9963" s="20"/>
      <c r="P9963" s="17"/>
      <c r="Q9963" s="22"/>
    </row>
    <row r="9964">
      <c r="O9964" s="20"/>
      <c r="P9964" s="17"/>
      <c r="Q9964" s="22"/>
    </row>
    <row r="9965">
      <c r="O9965" s="20"/>
      <c r="P9965" s="17"/>
      <c r="Q9965" s="22"/>
    </row>
    <row r="9966">
      <c r="O9966" s="20"/>
      <c r="P9966" s="17"/>
      <c r="Q9966" s="22"/>
    </row>
    <row r="9967">
      <c r="O9967" s="20"/>
      <c r="P9967" s="17"/>
      <c r="Q9967" s="22"/>
    </row>
    <row r="9968">
      <c r="O9968" s="20"/>
      <c r="P9968" s="17"/>
      <c r="Q9968" s="22"/>
    </row>
    <row r="9969">
      <c r="O9969" s="20"/>
      <c r="P9969" s="17"/>
      <c r="Q9969" s="22"/>
    </row>
    <row r="9970">
      <c r="O9970" s="20"/>
      <c r="P9970" s="17"/>
      <c r="Q9970" s="22"/>
    </row>
    <row r="9971">
      <c r="O9971" s="20"/>
      <c r="P9971" s="17"/>
      <c r="Q9971" s="22"/>
    </row>
    <row r="9972">
      <c r="O9972" s="20"/>
      <c r="P9972" s="17"/>
      <c r="Q9972" s="22"/>
    </row>
    <row r="9973">
      <c r="O9973" s="20"/>
      <c r="P9973" s="17"/>
      <c r="Q9973" s="22"/>
    </row>
    <row r="9974">
      <c r="O9974" s="20"/>
      <c r="P9974" s="17"/>
      <c r="Q9974" s="22"/>
    </row>
    <row r="9975">
      <c r="O9975" s="20"/>
      <c r="P9975" s="17"/>
      <c r="Q9975" s="22"/>
    </row>
    <row r="9976">
      <c r="O9976" s="20"/>
      <c r="P9976" s="17"/>
      <c r="Q9976" s="22"/>
    </row>
    <row r="9977">
      <c r="O9977" s="20"/>
      <c r="P9977" s="17"/>
      <c r="Q9977" s="22"/>
    </row>
    <row r="9978">
      <c r="O9978" s="20"/>
      <c r="P9978" s="17"/>
      <c r="Q9978" s="22"/>
    </row>
    <row r="9979">
      <c r="O9979" s="20"/>
      <c r="P9979" s="17"/>
      <c r="Q9979" s="22"/>
    </row>
    <row r="9980">
      <c r="O9980" s="20"/>
      <c r="P9980" s="17"/>
      <c r="Q9980" s="22"/>
    </row>
    <row r="9981">
      <c r="O9981" s="20"/>
      <c r="P9981" s="17"/>
      <c r="Q9981" s="22"/>
    </row>
    <row r="9982">
      <c r="O9982" s="20"/>
      <c r="P9982" s="17"/>
      <c r="Q9982" s="22"/>
    </row>
    <row r="9983">
      <c r="O9983" s="20"/>
      <c r="P9983" s="17"/>
      <c r="Q9983" s="22"/>
    </row>
    <row r="9984">
      <c r="O9984" s="20"/>
      <c r="P9984" s="17"/>
      <c r="Q9984" s="22"/>
    </row>
    <row r="9985">
      <c r="O9985" s="20"/>
      <c r="P9985" s="17"/>
      <c r="Q9985" s="22"/>
    </row>
    <row r="9986">
      <c r="O9986" s="20"/>
      <c r="P9986" s="17"/>
      <c r="Q9986" s="22"/>
    </row>
    <row r="9987">
      <c r="O9987" s="20"/>
      <c r="P9987" s="17"/>
      <c r="Q9987" s="22"/>
    </row>
    <row r="9988">
      <c r="O9988" s="20"/>
      <c r="P9988" s="17"/>
      <c r="Q9988" s="22"/>
    </row>
    <row r="9989">
      <c r="O9989" s="20"/>
      <c r="P9989" s="17"/>
      <c r="Q9989" s="22"/>
    </row>
    <row r="9990">
      <c r="O9990" s="20"/>
      <c r="P9990" s="17"/>
      <c r="Q9990" s="22"/>
    </row>
    <row r="9991">
      <c r="O9991" s="20"/>
      <c r="P9991" s="17"/>
      <c r="Q9991" s="22"/>
    </row>
    <row r="9992">
      <c r="O9992" s="20"/>
      <c r="P9992" s="17"/>
      <c r="Q9992" s="22"/>
    </row>
    <row r="9993">
      <c r="O9993" s="20"/>
      <c r="P9993" s="17"/>
      <c r="Q9993" s="22"/>
    </row>
    <row r="9994">
      <c r="O9994" s="20"/>
      <c r="P9994" s="17"/>
      <c r="Q9994" s="22"/>
    </row>
    <row r="9995">
      <c r="O9995" s="20"/>
      <c r="P9995" s="17"/>
      <c r="Q9995" s="22"/>
    </row>
    <row r="9996">
      <c r="O9996" s="20"/>
      <c r="P9996" s="17"/>
      <c r="Q9996" s="22"/>
    </row>
    <row r="9997">
      <c r="O9997" s="20"/>
      <c r="P9997" s="17"/>
      <c r="Q9997" s="22"/>
    </row>
    <row r="9998">
      <c r="O9998" s="20"/>
      <c r="P9998" s="17"/>
      <c r="Q9998" s="22"/>
    </row>
    <row r="9999">
      <c r="O9999" s="20"/>
      <c r="P9999" s="17"/>
      <c r="Q9999" s="22"/>
    </row>
    <row r="10000">
      <c r="O10000" s="20"/>
      <c r="P10000" s="17"/>
      <c r="Q10000" s="22"/>
    </row>
    <row r="10001">
      <c r="O10001" s="20"/>
      <c r="P10001" s="17"/>
      <c r="Q10001" s="22"/>
    </row>
    <row r="10002">
      <c r="O10002" s="20"/>
      <c r="P10002" s="17"/>
      <c r="Q10002" s="22"/>
    </row>
    <row r="10003">
      <c r="O10003" s="20"/>
      <c r="P10003" s="17"/>
      <c r="Q10003" s="22"/>
    </row>
    <row r="10004">
      <c r="O10004" s="20"/>
      <c r="P10004" s="17"/>
      <c r="Q10004" s="22"/>
    </row>
    <row r="10005">
      <c r="O10005" s="20"/>
      <c r="P10005" s="17"/>
      <c r="Q10005" s="22"/>
    </row>
    <row r="10006">
      <c r="O10006" s="20"/>
      <c r="P10006" s="17"/>
      <c r="Q10006" s="22"/>
    </row>
    <row r="10007">
      <c r="O10007" s="20"/>
      <c r="P10007" s="17"/>
      <c r="Q10007" s="22"/>
    </row>
    <row r="10008">
      <c r="O10008" s="20"/>
      <c r="P10008" s="17"/>
      <c r="Q10008" s="22"/>
    </row>
    <row r="10009">
      <c r="O10009" s="20"/>
      <c r="P10009" s="17"/>
      <c r="Q10009" s="22"/>
    </row>
    <row r="10010">
      <c r="O10010" s="20"/>
      <c r="P10010" s="17"/>
      <c r="Q10010" s="22"/>
    </row>
    <row r="10011">
      <c r="O10011" s="20"/>
      <c r="P10011" s="17"/>
      <c r="Q10011" s="22"/>
    </row>
    <row r="10012">
      <c r="O10012" s="20"/>
      <c r="P10012" s="17"/>
      <c r="Q10012" s="22"/>
    </row>
    <row r="10013">
      <c r="O10013" s="20"/>
      <c r="P10013" s="17"/>
      <c r="Q10013" s="22"/>
    </row>
    <row r="10014">
      <c r="O10014" s="20"/>
      <c r="P10014" s="17"/>
      <c r="Q10014" s="22"/>
    </row>
    <row r="10015">
      <c r="O10015" s="20"/>
      <c r="P10015" s="17"/>
      <c r="Q10015" s="22"/>
    </row>
    <row r="10016">
      <c r="O10016" s="20"/>
      <c r="P10016" s="17"/>
      <c r="Q10016" s="22"/>
    </row>
    <row r="10017">
      <c r="O10017" s="20"/>
      <c r="P10017" s="17"/>
      <c r="Q10017" s="22"/>
    </row>
    <row r="10018">
      <c r="O10018" s="20"/>
      <c r="P10018" s="17"/>
      <c r="Q10018" s="22"/>
    </row>
    <row r="10019">
      <c r="O10019" s="20"/>
      <c r="P10019" s="17"/>
      <c r="Q10019" s="22"/>
    </row>
    <row r="10020">
      <c r="O10020" s="20"/>
      <c r="P10020" s="17"/>
      <c r="Q10020" s="22"/>
    </row>
    <row r="10021">
      <c r="O10021" s="20"/>
      <c r="P10021" s="17"/>
      <c r="Q10021" s="22"/>
    </row>
    <row r="10022">
      <c r="O10022" s="20"/>
      <c r="P10022" s="17"/>
      <c r="Q10022" s="22"/>
    </row>
    <row r="10023">
      <c r="O10023" s="20"/>
      <c r="P10023" s="17"/>
      <c r="Q10023" s="22"/>
    </row>
    <row r="10024">
      <c r="O10024" s="20"/>
      <c r="P10024" s="17"/>
      <c r="Q10024" s="22"/>
    </row>
    <row r="10025">
      <c r="O10025" s="20"/>
      <c r="P10025" s="17"/>
      <c r="Q10025" s="22"/>
    </row>
    <row r="10026">
      <c r="O10026" s="20"/>
      <c r="P10026" s="17"/>
      <c r="Q10026" s="22"/>
    </row>
    <row r="10027">
      <c r="O10027" s="20"/>
      <c r="P10027" s="17"/>
      <c r="Q10027" s="22"/>
    </row>
    <row r="10028">
      <c r="O10028" s="20"/>
      <c r="P10028" s="17"/>
      <c r="Q10028" s="22"/>
    </row>
    <row r="10029">
      <c r="O10029" s="20"/>
      <c r="P10029" s="17"/>
      <c r="Q10029" s="22"/>
    </row>
    <row r="10030">
      <c r="O10030" s="20"/>
      <c r="P10030" s="17"/>
      <c r="Q10030" s="22"/>
    </row>
    <row r="10031">
      <c r="O10031" s="20"/>
      <c r="P10031" s="17"/>
      <c r="Q10031" s="22"/>
    </row>
    <row r="10032">
      <c r="O10032" s="20"/>
      <c r="P10032" s="17"/>
      <c r="Q10032" s="22"/>
    </row>
    <row r="10033">
      <c r="O10033" s="20"/>
      <c r="P10033" s="17"/>
      <c r="Q10033" s="22"/>
    </row>
    <row r="10034">
      <c r="O10034" s="20"/>
      <c r="P10034" s="17"/>
      <c r="Q10034" s="22"/>
    </row>
    <row r="10035">
      <c r="O10035" s="20"/>
      <c r="P10035" s="17"/>
      <c r="Q10035" s="22"/>
    </row>
    <row r="10036">
      <c r="O10036" s="20"/>
      <c r="P10036" s="17"/>
      <c r="Q10036" s="22"/>
    </row>
    <row r="10037">
      <c r="O10037" s="20"/>
      <c r="P10037" s="17"/>
      <c r="Q10037" s="22"/>
    </row>
    <row r="10038">
      <c r="O10038" s="20"/>
      <c r="P10038" s="17"/>
      <c r="Q10038" s="22"/>
    </row>
    <row r="10039">
      <c r="O10039" s="20"/>
      <c r="P10039" s="17"/>
      <c r="Q10039" s="22"/>
    </row>
    <row r="10040">
      <c r="O10040" s="20"/>
      <c r="P10040" s="17"/>
      <c r="Q10040" s="22"/>
    </row>
    <row r="10041">
      <c r="O10041" s="20"/>
      <c r="P10041" s="17"/>
      <c r="Q10041" s="22"/>
    </row>
    <row r="10042">
      <c r="O10042" s="20"/>
      <c r="P10042" s="17"/>
      <c r="Q10042" s="22"/>
    </row>
    <row r="10043">
      <c r="O10043" s="20"/>
      <c r="P10043" s="17"/>
      <c r="Q10043" s="22"/>
    </row>
    <row r="10044">
      <c r="O10044" s="20"/>
      <c r="P10044" s="17"/>
      <c r="Q10044" s="22"/>
    </row>
    <row r="10045">
      <c r="O10045" s="20"/>
      <c r="P10045" s="17"/>
      <c r="Q10045" s="22"/>
    </row>
    <row r="10046">
      <c r="O10046" s="20"/>
      <c r="P10046" s="17"/>
      <c r="Q10046" s="22"/>
    </row>
    <row r="10047">
      <c r="O10047" s="20"/>
      <c r="P10047" s="17"/>
      <c r="Q10047" s="22"/>
    </row>
    <row r="10048">
      <c r="O10048" s="20"/>
      <c r="P10048" s="17"/>
      <c r="Q10048" s="22"/>
    </row>
    <row r="10049">
      <c r="O10049" s="20"/>
      <c r="P10049" s="17"/>
      <c r="Q10049" s="22"/>
    </row>
    <row r="10050">
      <c r="O10050" s="20"/>
      <c r="P10050" s="17"/>
      <c r="Q10050" s="22"/>
    </row>
    <row r="10051">
      <c r="O10051" s="20"/>
      <c r="P10051" s="17"/>
      <c r="Q10051" s="22"/>
    </row>
    <row r="10052">
      <c r="O10052" s="20"/>
      <c r="P10052" s="17"/>
      <c r="Q10052" s="22"/>
    </row>
    <row r="10053">
      <c r="O10053" s="20"/>
      <c r="P10053" s="17"/>
      <c r="Q10053" s="22"/>
    </row>
    <row r="10054">
      <c r="O10054" s="20"/>
      <c r="P10054" s="17"/>
      <c r="Q10054" s="22"/>
    </row>
    <row r="10055">
      <c r="O10055" s="20"/>
      <c r="P10055" s="17"/>
      <c r="Q10055" s="22"/>
    </row>
    <row r="10056">
      <c r="O10056" s="20"/>
      <c r="P10056" s="17"/>
      <c r="Q10056" s="22"/>
    </row>
    <row r="10057">
      <c r="O10057" s="20"/>
      <c r="P10057" s="17"/>
      <c r="Q10057" s="22"/>
    </row>
    <row r="10058">
      <c r="O10058" s="20"/>
      <c r="P10058" s="17"/>
      <c r="Q10058" s="22"/>
    </row>
    <row r="10059">
      <c r="O10059" s="20"/>
      <c r="P10059" s="17"/>
      <c r="Q10059" s="22"/>
    </row>
    <row r="10060">
      <c r="O10060" s="20"/>
      <c r="P10060" s="17"/>
      <c r="Q10060" s="22"/>
    </row>
    <row r="10061">
      <c r="O10061" s="20"/>
      <c r="P10061" s="17"/>
      <c r="Q10061" s="22"/>
    </row>
    <row r="10062">
      <c r="O10062" s="20"/>
      <c r="P10062" s="17"/>
      <c r="Q10062" s="22"/>
    </row>
    <row r="10063">
      <c r="O10063" s="20"/>
      <c r="P10063" s="17"/>
      <c r="Q10063" s="22"/>
    </row>
    <row r="10064">
      <c r="O10064" s="20"/>
      <c r="P10064" s="17"/>
      <c r="Q10064" s="22"/>
    </row>
    <row r="10065">
      <c r="O10065" s="20"/>
      <c r="P10065" s="17"/>
      <c r="Q10065" s="22"/>
    </row>
    <row r="10066">
      <c r="O10066" s="20"/>
      <c r="P10066" s="17"/>
      <c r="Q10066" s="22"/>
    </row>
    <row r="10067">
      <c r="O10067" s="20"/>
      <c r="P10067" s="17"/>
      <c r="Q10067" s="22"/>
    </row>
    <row r="10068">
      <c r="O10068" s="20"/>
      <c r="P10068" s="17"/>
      <c r="Q10068" s="22"/>
    </row>
    <row r="10069">
      <c r="O10069" s="20"/>
      <c r="P10069" s="17"/>
      <c r="Q10069" s="22"/>
    </row>
    <row r="10070">
      <c r="O10070" s="20"/>
      <c r="P10070" s="17"/>
      <c r="Q10070" s="22"/>
    </row>
    <row r="10071">
      <c r="O10071" s="20"/>
      <c r="P10071" s="17"/>
      <c r="Q10071" s="22"/>
    </row>
    <row r="10072">
      <c r="O10072" s="20"/>
      <c r="P10072" s="17"/>
      <c r="Q10072" s="22"/>
    </row>
    <row r="10073">
      <c r="O10073" s="20"/>
      <c r="P10073" s="17"/>
      <c r="Q10073" s="22"/>
    </row>
    <row r="10074">
      <c r="O10074" s="20"/>
      <c r="P10074" s="17"/>
      <c r="Q10074" s="22"/>
    </row>
    <row r="10075">
      <c r="O10075" s="20"/>
      <c r="P10075" s="17"/>
      <c r="Q10075" s="22"/>
    </row>
    <row r="10076">
      <c r="O10076" s="20"/>
      <c r="P10076" s="17"/>
      <c r="Q10076" s="22"/>
    </row>
    <row r="10077">
      <c r="O10077" s="20"/>
      <c r="P10077" s="17"/>
      <c r="Q10077" s="22"/>
    </row>
    <row r="10078">
      <c r="O10078" s="20"/>
      <c r="P10078" s="17"/>
      <c r="Q10078" s="22"/>
    </row>
    <row r="10079">
      <c r="O10079" s="20"/>
      <c r="P10079" s="17"/>
      <c r="Q10079" s="22"/>
    </row>
    <row r="10080">
      <c r="O10080" s="20"/>
      <c r="P10080" s="17"/>
      <c r="Q10080" s="22"/>
    </row>
    <row r="10081">
      <c r="O10081" s="20"/>
      <c r="P10081" s="17"/>
      <c r="Q10081" s="22"/>
    </row>
    <row r="10082">
      <c r="O10082" s="20"/>
      <c r="P10082" s="17"/>
      <c r="Q10082" s="22"/>
    </row>
    <row r="10083">
      <c r="O10083" s="20"/>
      <c r="P10083" s="17"/>
      <c r="Q10083" s="22"/>
    </row>
    <row r="10084">
      <c r="O10084" s="20"/>
      <c r="P10084" s="17"/>
      <c r="Q10084" s="22"/>
    </row>
    <row r="10085">
      <c r="O10085" s="20"/>
      <c r="P10085" s="17"/>
      <c r="Q10085" s="22"/>
    </row>
    <row r="10086">
      <c r="O10086" s="20"/>
      <c r="P10086" s="17"/>
      <c r="Q10086" s="22"/>
    </row>
    <row r="10087">
      <c r="O10087" s="20"/>
      <c r="P10087" s="17"/>
      <c r="Q10087" s="22"/>
    </row>
    <row r="10088">
      <c r="O10088" s="20"/>
      <c r="P10088" s="17"/>
      <c r="Q10088" s="22"/>
    </row>
    <row r="10089">
      <c r="O10089" s="20"/>
      <c r="P10089" s="17"/>
      <c r="Q10089" s="22"/>
    </row>
    <row r="10090">
      <c r="O10090" s="20"/>
      <c r="P10090" s="17"/>
      <c r="Q10090" s="22"/>
    </row>
    <row r="10091">
      <c r="O10091" s="20"/>
      <c r="P10091" s="17"/>
      <c r="Q10091" s="22"/>
    </row>
    <row r="10092">
      <c r="O10092" s="20"/>
      <c r="P10092" s="17"/>
      <c r="Q10092" s="22"/>
    </row>
    <row r="10093">
      <c r="O10093" s="20"/>
      <c r="P10093" s="17"/>
      <c r="Q10093" s="22"/>
    </row>
    <row r="10094">
      <c r="O10094" s="20"/>
      <c r="P10094" s="17"/>
      <c r="Q10094" s="22"/>
    </row>
    <row r="10095">
      <c r="O10095" s="20"/>
      <c r="P10095" s="17"/>
      <c r="Q10095" s="22"/>
    </row>
    <row r="10096">
      <c r="O10096" s="20"/>
      <c r="P10096" s="17"/>
      <c r="Q10096" s="22"/>
    </row>
    <row r="10097">
      <c r="O10097" s="20"/>
      <c r="P10097" s="17"/>
      <c r="Q10097" s="22"/>
    </row>
    <row r="10098">
      <c r="O10098" s="20"/>
      <c r="P10098" s="17"/>
      <c r="Q10098" s="22"/>
    </row>
    <row r="10099">
      <c r="O10099" s="20"/>
      <c r="P10099" s="17"/>
      <c r="Q10099" s="22"/>
    </row>
    <row r="10100">
      <c r="O10100" s="20"/>
      <c r="P10100" s="17"/>
      <c r="Q10100" s="22"/>
    </row>
    <row r="10101">
      <c r="O10101" s="20"/>
      <c r="P10101" s="17"/>
      <c r="Q10101" s="22"/>
    </row>
    <row r="10102">
      <c r="O10102" s="20"/>
      <c r="P10102" s="17"/>
      <c r="Q10102" s="22"/>
    </row>
    <row r="10103">
      <c r="O10103" s="20"/>
      <c r="P10103" s="17"/>
      <c r="Q10103" s="22"/>
    </row>
    <row r="10104">
      <c r="O10104" s="20"/>
      <c r="P10104" s="17"/>
      <c r="Q10104" s="22"/>
    </row>
    <row r="10105">
      <c r="O10105" s="20"/>
      <c r="P10105" s="17"/>
      <c r="Q10105" s="22"/>
    </row>
    <row r="10106">
      <c r="O10106" s="20"/>
      <c r="P10106" s="17"/>
      <c r="Q10106" s="22"/>
    </row>
    <row r="10107">
      <c r="O10107" s="20"/>
      <c r="P10107" s="17"/>
      <c r="Q10107" s="22"/>
    </row>
    <row r="10108">
      <c r="O10108" s="20"/>
      <c r="P10108" s="17"/>
      <c r="Q10108" s="22"/>
    </row>
    <row r="10109">
      <c r="O10109" s="20"/>
      <c r="P10109" s="17"/>
      <c r="Q10109" s="22"/>
    </row>
    <row r="10110">
      <c r="O10110" s="20"/>
      <c r="P10110" s="17"/>
      <c r="Q10110" s="22"/>
    </row>
    <row r="10111">
      <c r="O10111" s="20"/>
      <c r="P10111" s="17"/>
      <c r="Q10111" s="22"/>
    </row>
    <row r="10112">
      <c r="O10112" s="20"/>
      <c r="P10112" s="17"/>
      <c r="Q10112" s="22"/>
    </row>
    <row r="10113">
      <c r="O10113" s="20"/>
      <c r="P10113" s="17"/>
      <c r="Q10113" s="22"/>
    </row>
    <row r="10114">
      <c r="O10114" s="20"/>
      <c r="P10114" s="17"/>
      <c r="Q10114" s="22"/>
    </row>
    <row r="10115">
      <c r="O10115" s="20"/>
      <c r="P10115" s="17"/>
      <c r="Q10115" s="22"/>
    </row>
    <row r="10116">
      <c r="O10116" s="20"/>
      <c r="P10116" s="17"/>
      <c r="Q10116" s="22"/>
    </row>
    <row r="10117">
      <c r="O10117" s="20"/>
      <c r="P10117" s="17"/>
      <c r="Q10117" s="22"/>
    </row>
    <row r="10118">
      <c r="O10118" s="20"/>
      <c r="P10118" s="17"/>
      <c r="Q10118" s="22"/>
    </row>
    <row r="10119">
      <c r="O10119" s="20"/>
      <c r="P10119" s="17"/>
      <c r="Q10119" s="22"/>
    </row>
    <row r="10120">
      <c r="O10120" s="20"/>
      <c r="P10120" s="17"/>
      <c r="Q10120" s="22"/>
    </row>
    <row r="10121">
      <c r="O10121" s="20"/>
      <c r="P10121" s="17"/>
      <c r="Q10121" s="22"/>
    </row>
    <row r="10122">
      <c r="O10122" s="20"/>
      <c r="P10122" s="17"/>
      <c r="Q10122" s="22"/>
    </row>
    <row r="10123">
      <c r="O10123" s="20"/>
      <c r="P10123" s="17"/>
      <c r="Q10123" s="22"/>
    </row>
    <row r="10124">
      <c r="O10124" s="20"/>
      <c r="P10124" s="17"/>
      <c r="Q10124" s="22"/>
    </row>
    <row r="10125">
      <c r="O10125" s="20"/>
      <c r="P10125" s="17"/>
      <c r="Q10125" s="22"/>
    </row>
    <row r="10126">
      <c r="O10126" s="20"/>
      <c r="P10126" s="17"/>
      <c r="Q10126" s="22"/>
    </row>
    <row r="10127">
      <c r="O10127" s="20"/>
      <c r="P10127" s="17"/>
      <c r="Q10127" s="22"/>
    </row>
    <row r="10128">
      <c r="O10128" s="20"/>
      <c r="P10128" s="17"/>
      <c r="Q10128" s="22"/>
    </row>
    <row r="10129">
      <c r="O10129" s="20"/>
      <c r="P10129" s="17"/>
      <c r="Q10129" s="22"/>
    </row>
    <row r="10130">
      <c r="O10130" s="20"/>
      <c r="P10130" s="17"/>
      <c r="Q10130" s="22"/>
    </row>
    <row r="10131">
      <c r="O10131" s="20"/>
      <c r="P10131" s="17"/>
      <c r="Q10131" s="22"/>
    </row>
    <row r="10132">
      <c r="O10132" s="20"/>
      <c r="P10132" s="17"/>
      <c r="Q10132" s="22"/>
    </row>
    <row r="10133">
      <c r="O10133" s="20"/>
      <c r="P10133" s="17"/>
      <c r="Q10133" s="22"/>
    </row>
    <row r="10134">
      <c r="O10134" s="20"/>
      <c r="P10134" s="17"/>
      <c r="Q10134" s="22"/>
    </row>
    <row r="10135">
      <c r="O10135" s="20"/>
      <c r="P10135" s="17"/>
      <c r="Q10135" s="22"/>
    </row>
    <row r="10136">
      <c r="O10136" s="20"/>
      <c r="P10136" s="17"/>
      <c r="Q10136" s="22"/>
    </row>
    <row r="10137">
      <c r="O10137" s="20"/>
      <c r="P10137" s="17"/>
      <c r="Q10137" s="22"/>
    </row>
    <row r="10138">
      <c r="O10138" s="20"/>
      <c r="P10138" s="17"/>
      <c r="Q10138" s="22"/>
    </row>
    <row r="10139">
      <c r="O10139" s="20"/>
      <c r="P10139" s="17"/>
      <c r="Q10139" s="22"/>
    </row>
    <row r="10140">
      <c r="O10140" s="20"/>
      <c r="P10140" s="17"/>
      <c r="Q10140" s="22"/>
    </row>
    <row r="10141">
      <c r="O10141" s="20"/>
      <c r="P10141" s="17"/>
      <c r="Q10141" s="22"/>
    </row>
    <row r="10142">
      <c r="O10142" s="20"/>
      <c r="P10142" s="17"/>
      <c r="Q10142" s="22"/>
    </row>
    <row r="10143">
      <c r="O10143" s="20"/>
      <c r="P10143" s="17"/>
      <c r="Q10143" s="22"/>
    </row>
    <row r="10144">
      <c r="O10144" s="20"/>
      <c r="P10144" s="17"/>
      <c r="Q10144" s="22"/>
    </row>
    <row r="10145">
      <c r="O10145" s="20"/>
      <c r="P10145" s="17"/>
      <c r="Q10145" s="22"/>
    </row>
    <row r="10146">
      <c r="O10146" s="20"/>
      <c r="P10146" s="17"/>
      <c r="Q10146" s="22"/>
    </row>
    <row r="10147">
      <c r="O10147" s="20"/>
      <c r="P10147" s="17"/>
      <c r="Q10147" s="22"/>
    </row>
    <row r="10148">
      <c r="O10148" s="20"/>
      <c r="P10148" s="17"/>
      <c r="Q10148" s="22"/>
    </row>
    <row r="10149">
      <c r="O10149" s="20"/>
      <c r="P10149" s="17"/>
      <c r="Q10149" s="22"/>
    </row>
    <row r="10150">
      <c r="O10150" s="20"/>
      <c r="P10150" s="17"/>
      <c r="Q10150" s="22"/>
    </row>
    <row r="10151">
      <c r="O10151" s="20"/>
      <c r="P10151" s="17"/>
      <c r="Q10151" s="22"/>
    </row>
    <row r="10152">
      <c r="O10152" s="20"/>
      <c r="P10152" s="17"/>
      <c r="Q10152" s="22"/>
    </row>
    <row r="10153">
      <c r="O10153" s="20"/>
      <c r="P10153" s="17"/>
      <c r="Q10153" s="22"/>
    </row>
    <row r="10154">
      <c r="O10154" s="20"/>
      <c r="P10154" s="17"/>
      <c r="Q10154" s="22"/>
    </row>
    <row r="10155">
      <c r="O10155" s="20"/>
      <c r="P10155" s="17"/>
      <c r="Q10155" s="22"/>
    </row>
    <row r="10156">
      <c r="O10156" s="20"/>
      <c r="P10156" s="17"/>
      <c r="Q10156" s="22"/>
    </row>
    <row r="10157">
      <c r="O10157" s="20"/>
      <c r="P10157" s="17"/>
      <c r="Q10157" s="22"/>
    </row>
    <row r="10158">
      <c r="O10158" s="20"/>
      <c r="P10158" s="17"/>
      <c r="Q10158" s="22"/>
    </row>
    <row r="10159">
      <c r="O10159" s="20"/>
      <c r="P10159" s="17"/>
      <c r="Q10159" s="22"/>
    </row>
    <row r="10160">
      <c r="O10160" s="20"/>
      <c r="P10160" s="17"/>
      <c r="Q10160" s="22"/>
    </row>
    <row r="10161">
      <c r="O10161" s="20"/>
      <c r="P10161" s="17"/>
      <c r="Q10161" s="22"/>
    </row>
    <row r="10162">
      <c r="O10162" s="20"/>
      <c r="P10162" s="17"/>
      <c r="Q10162" s="22"/>
    </row>
    <row r="10163">
      <c r="O10163" s="20"/>
      <c r="P10163" s="17"/>
      <c r="Q10163" s="22"/>
    </row>
    <row r="10164">
      <c r="O10164" s="20"/>
      <c r="P10164" s="17"/>
      <c r="Q10164" s="22"/>
    </row>
    <row r="10165">
      <c r="O10165" s="20"/>
      <c r="P10165" s="17"/>
      <c r="Q10165" s="22"/>
    </row>
    <row r="10166">
      <c r="O10166" s="20"/>
      <c r="P10166" s="17"/>
      <c r="Q10166" s="22"/>
    </row>
    <row r="10167">
      <c r="O10167" s="20"/>
      <c r="P10167" s="17"/>
      <c r="Q10167" s="22"/>
    </row>
    <row r="10168">
      <c r="O10168" s="20"/>
      <c r="P10168" s="17"/>
      <c r="Q10168" s="22"/>
    </row>
    <row r="10169">
      <c r="O10169" s="20"/>
      <c r="P10169" s="17"/>
      <c r="Q10169" s="22"/>
    </row>
    <row r="10170">
      <c r="O10170" s="20"/>
      <c r="P10170" s="17"/>
      <c r="Q10170" s="22"/>
    </row>
    <row r="10171">
      <c r="O10171" s="20"/>
      <c r="P10171" s="17"/>
      <c r="Q10171" s="22"/>
    </row>
    <row r="10172">
      <c r="O10172" s="20"/>
      <c r="P10172" s="17"/>
      <c r="Q10172" s="22"/>
    </row>
    <row r="10173">
      <c r="O10173" s="20"/>
      <c r="P10173" s="17"/>
      <c r="Q10173" s="22"/>
    </row>
    <row r="10174">
      <c r="O10174" s="20"/>
      <c r="P10174" s="17"/>
      <c r="Q10174" s="22"/>
    </row>
    <row r="10175">
      <c r="O10175" s="20"/>
      <c r="P10175" s="17"/>
      <c r="Q10175" s="22"/>
    </row>
    <row r="10176">
      <c r="O10176" s="20"/>
      <c r="P10176" s="17"/>
      <c r="Q10176" s="22"/>
    </row>
    <row r="10177">
      <c r="O10177" s="20"/>
      <c r="P10177" s="17"/>
      <c r="Q10177" s="22"/>
    </row>
    <row r="10178">
      <c r="O10178" s="20"/>
      <c r="P10178" s="17"/>
      <c r="Q10178" s="22"/>
    </row>
    <row r="10179">
      <c r="O10179" s="20"/>
      <c r="P10179" s="17"/>
      <c r="Q10179" s="22"/>
    </row>
    <row r="10180">
      <c r="O10180" s="20"/>
      <c r="P10180" s="17"/>
      <c r="Q10180" s="22"/>
    </row>
    <row r="10181">
      <c r="O10181" s="20"/>
      <c r="P10181" s="17"/>
      <c r="Q10181" s="22"/>
    </row>
    <row r="10182">
      <c r="O10182" s="20"/>
      <c r="P10182" s="17"/>
      <c r="Q10182" s="22"/>
    </row>
    <row r="10183">
      <c r="O10183" s="20"/>
      <c r="P10183" s="17"/>
      <c r="Q10183" s="22"/>
    </row>
    <row r="10184">
      <c r="O10184" s="20"/>
      <c r="P10184" s="17"/>
      <c r="Q10184" s="22"/>
    </row>
    <row r="10185">
      <c r="O10185" s="20"/>
      <c r="P10185" s="17"/>
      <c r="Q10185" s="22"/>
    </row>
    <row r="10186">
      <c r="O10186" s="20"/>
      <c r="P10186" s="17"/>
      <c r="Q10186" s="22"/>
    </row>
    <row r="10187">
      <c r="O10187" s="20"/>
      <c r="P10187" s="17"/>
      <c r="Q10187" s="22"/>
    </row>
    <row r="10188">
      <c r="O10188" s="20"/>
      <c r="P10188" s="17"/>
      <c r="Q10188" s="22"/>
    </row>
    <row r="10189">
      <c r="O10189" s="20"/>
      <c r="P10189" s="17"/>
      <c r="Q10189" s="22"/>
    </row>
    <row r="10190">
      <c r="O10190" s="20"/>
      <c r="P10190" s="17"/>
      <c r="Q10190" s="22"/>
    </row>
    <row r="10191">
      <c r="O10191" s="20"/>
      <c r="P10191" s="17"/>
      <c r="Q10191" s="22"/>
    </row>
    <row r="10192">
      <c r="O10192" s="20"/>
      <c r="P10192" s="17"/>
      <c r="Q10192" s="22"/>
    </row>
    <row r="10193">
      <c r="O10193" s="20"/>
      <c r="P10193" s="17"/>
      <c r="Q10193" s="22"/>
    </row>
    <row r="10194">
      <c r="O10194" s="20"/>
      <c r="P10194" s="17"/>
      <c r="Q10194" s="22"/>
    </row>
    <row r="10195">
      <c r="O10195" s="20"/>
      <c r="P10195" s="17"/>
      <c r="Q10195" s="22"/>
    </row>
    <row r="10196">
      <c r="O10196" s="20"/>
      <c r="P10196" s="17"/>
      <c r="Q10196" s="22"/>
    </row>
    <row r="10197">
      <c r="O10197" s="20"/>
      <c r="P10197" s="17"/>
      <c r="Q10197" s="22"/>
    </row>
    <row r="10198">
      <c r="O10198" s="20"/>
      <c r="P10198" s="17"/>
      <c r="Q10198" s="22"/>
    </row>
    <row r="10199">
      <c r="O10199" s="20"/>
      <c r="P10199" s="17"/>
      <c r="Q10199" s="22"/>
    </row>
    <row r="10200">
      <c r="O10200" s="20"/>
      <c r="P10200" s="17"/>
      <c r="Q10200" s="22"/>
    </row>
    <row r="10201">
      <c r="O10201" s="20"/>
      <c r="P10201" s="17"/>
      <c r="Q10201" s="22"/>
    </row>
    <row r="10202">
      <c r="O10202" s="20"/>
      <c r="P10202" s="17"/>
      <c r="Q10202" s="22"/>
    </row>
    <row r="10203">
      <c r="O10203" s="20"/>
      <c r="P10203" s="17"/>
      <c r="Q10203" s="22"/>
    </row>
    <row r="10204">
      <c r="O10204" s="20"/>
      <c r="P10204" s="17"/>
      <c r="Q10204" s="22"/>
    </row>
    <row r="10205">
      <c r="O10205" s="20"/>
      <c r="P10205" s="17"/>
      <c r="Q10205" s="22"/>
    </row>
    <row r="10206">
      <c r="O10206" s="20"/>
      <c r="P10206" s="17"/>
      <c r="Q10206" s="22"/>
    </row>
    <row r="10207">
      <c r="O10207" s="20"/>
      <c r="P10207" s="17"/>
      <c r="Q10207" s="22"/>
    </row>
    <row r="10208">
      <c r="O10208" s="20"/>
      <c r="P10208" s="17"/>
      <c r="Q10208" s="22"/>
    </row>
    <row r="10209">
      <c r="O10209" s="20"/>
      <c r="P10209" s="17"/>
      <c r="Q10209" s="22"/>
    </row>
    <row r="10210">
      <c r="O10210" s="20"/>
      <c r="P10210" s="17"/>
      <c r="Q10210" s="22"/>
    </row>
    <row r="10211">
      <c r="O10211" s="20"/>
      <c r="P10211" s="17"/>
      <c r="Q10211" s="22"/>
    </row>
    <row r="10212">
      <c r="O10212" s="20"/>
      <c r="P10212" s="17"/>
      <c r="Q10212" s="22"/>
    </row>
    <row r="10213">
      <c r="O10213" s="20"/>
      <c r="P10213" s="17"/>
      <c r="Q10213" s="22"/>
    </row>
    <row r="10214">
      <c r="O10214" s="20"/>
      <c r="P10214" s="17"/>
      <c r="Q10214" s="22"/>
    </row>
    <row r="10215">
      <c r="O10215" s="20"/>
      <c r="P10215" s="17"/>
      <c r="Q10215" s="22"/>
    </row>
    <row r="10216">
      <c r="O10216" s="20"/>
      <c r="P10216" s="17"/>
      <c r="Q10216" s="22"/>
    </row>
    <row r="10217">
      <c r="O10217" s="20"/>
      <c r="P10217" s="17"/>
      <c r="Q10217" s="22"/>
    </row>
    <row r="10218">
      <c r="O10218" s="20"/>
      <c r="P10218" s="17"/>
      <c r="Q10218" s="22"/>
    </row>
    <row r="10219">
      <c r="O10219" s="20"/>
      <c r="P10219" s="17"/>
      <c r="Q10219" s="22"/>
    </row>
    <row r="10220">
      <c r="O10220" s="20"/>
      <c r="P10220" s="17"/>
      <c r="Q10220" s="22"/>
    </row>
    <row r="10221">
      <c r="O10221" s="20"/>
      <c r="P10221" s="17"/>
      <c r="Q10221" s="22"/>
    </row>
    <row r="10222">
      <c r="O10222" s="20"/>
      <c r="P10222" s="17"/>
      <c r="Q10222" s="22"/>
    </row>
    <row r="10223">
      <c r="O10223" s="20"/>
      <c r="P10223" s="17"/>
      <c r="Q10223" s="22"/>
    </row>
    <row r="10224">
      <c r="O10224" s="20"/>
      <c r="P10224" s="17"/>
      <c r="Q10224" s="22"/>
    </row>
    <row r="10225">
      <c r="O10225" s="20"/>
      <c r="P10225" s="17"/>
      <c r="Q10225" s="22"/>
    </row>
    <row r="10226">
      <c r="O10226" s="20"/>
      <c r="P10226" s="17"/>
      <c r="Q10226" s="22"/>
    </row>
    <row r="10227">
      <c r="O10227" s="20"/>
      <c r="P10227" s="17"/>
      <c r="Q10227" s="22"/>
    </row>
    <row r="10228">
      <c r="O10228" s="20"/>
      <c r="P10228" s="17"/>
      <c r="Q10228" s="22"/>
    </row>
    <row r="10229">
      <c r="O10229" s="20"/>
      <c r="P10229" s="17"/>
      <c r="Q10229" s="22"/>
    </row>
    <row r="10230">
      <c r="O10230" s="20"/>
      <c r="P10230" s="17"/>
      <c r="Q10230" s="22"/>
    </row>
    <row r="10231">
      <c r="O10231" s="20"/>
      <c r="P10231" s="17"/>
      <c r="Q10231" s="22"/>
    </row>
    <row r="10232">
      <c r="O10232" s="20"/>
      <c r="P10232" s="17"/>
      <c r="Q10232" s="22"/>
    </row>
    <row r="10233">
      <c r="O10233" s="20"/>
      <c r="P10233" s="17"/>
      <c r="Q10233" s="22"/>
    </row>
    <row r="10234">
      <c r="O10234" s="20"/>
      <c r="P10234" s="17"/>
      <c r="Q10234" s="22"/>
    </row>
    <row r="10235">
      <c r="O10235" s="20"/>
      <c r="P10235" s="17"/>
      <c r="Q10235" s="22"/>
    </row>
    <row r="10236">
      <c r="O10236" s="20"/>
      <c r="P10236" s="17"/>
      <c r="Q10236" s="22"/>
    </row>
    <row r="10237">
      <c r="O10237" s="20"/>
      <c r="P10237" s="17"/>
      <c r="Q10237" s="22"/>
    </row>
    <row r="10238">
      <c r="O10238" s="20"/>
      <c r="P10238" s="17"/>
      <c r="Q10238" s="22"/>
    </row>
    <row r="10239">
      <c r="O10239" s="20"/>
      <c r="P10239" s="17"/>
      <c r="Q10239" s="22"/>
    </row>
    <row r="10240">
      <c r="O10240" s="20"/>
      <c r="P10240" s="17"/>
      <c r="Q10240" s="22"/>
    </row>
    <row r="10241">
      <c r="O10241" s="20"/>
      <c r="P10241" s="17"/>
      <c r="Q10241" s="22"/>
    </row>
    <row r="10242">
      <c r="O10242" s="20"/>
      <c r="P10242" s="17"/>
      <c r="Q10242" s="22"/>
    </row>
    <row r="10243">
      <c r="O10243" s="20"/>
      <c r="P10243" s="17"/>
      <c r="Q10243" s="22"/>
    </row>
    <row r="10244">
      <c r="O10244" s="20"/>
      <c r="P10244" s="17"/>
      <c r="Q10244" s="22"/>
    </row>
    <row r="10245">
      <c r="O10245" s="20"/>
      <c r="P10245" s="17"/>
      <c r="Q10245" s="22"/>
    </row>
    <row r="10246">
      <c r="O10246" s="20"/>
      <c r="P10246" s="17"/>
      <c r="Q10246" s="22"/>
    </row>
    <row r="10247">
      <c r="O10247" s="20"/>
      <c r="P10247" s="17"/>
      <c r="Q10247" s="22"/>
    </row>
    <row r="10248">
      <c r="O10248" s="20"/>
      <c r="P10248" s="17"/>
      <c r="Q10248" s="22"/>
    </row>
    <row r="10249">
      <c r="O10249" s="20"/>
      <c r="P10249" s="17"/>
      <c r="Q10249" s="22"/>
    </row>
    <row r="10250">
      <c r="O10250" s="20"/>
      <c r="P10250" s="17"/>
      <c r="Q10250" s="22"/>
    </row>
    <row r="10251">
      <c r="O10251" s="20"/>
      <c r="P10251" s="17"/>
      <c r="Q10251" s="22"/>
    </row>
    <row r="10252">
      <c r="O10252" s="20"/>
      <c r="P10252" s="17"/>
      <c r="Q10252" s="22"/>
    </row>
    <row r="10253">
      <c r="O10253" s="20"/>
      <c r="P10253" s="17"/>
      <c r="Q10253" s="22"/>
    </row>
    <row r="10254">
      <c r="O10254" s="20"/>
      <c r="P10254" s="17"/>
      <c r="Q10254" s="22"/>
    </row>
    <row r="10255">
      <c r="O10255" s="20"/>
      <c r="P10255" s="17"/>
      <c r="Q10255" s="22"/>
    </row>
    <row r="10256">
      <c r="O10256" s="20"/>
      <c r="P10256" s="17"/>
      <c r="Q10256" s="22"/>
    </row>
    <row r="10257">
      <c r="O10257" s="20"/>
      <c r="P10257" s="17"/>
      <c r="Q10257" s="22"/>
    </row>
    <row r="10258">
      <c r="O10258" s="20"/>
      <c r="P10258" s="17"/>
      <c r="Q10258" s="22"/>
    </row>
    <row r="10259">
      <c r="O10259" s="20"/>
      <c r="P10259" s="17"/>
      <c r="Q10259" s="22"/>
    </row>
    <row r="10260">
      <c r="O10260" s="20"/>
      <c r="P10260" s="17"/>
      <c r="Q10260" s="22"/>
    </row>
    <row r="10261">
      <c r="O10261" s="20"/>
      <c r="P10261" s="17"/>
      <c r="Q10261" s="22"/>
    </row>
    <row r="10262">
      <c r="O10262" s="20"/>
      <c r="P10262" s="17"/>
      <c r="Q10262" s="22"/>
    </row>
    <row r="10263">
      <c r="O10263" s="20"/>
      <c r="P10263" s="17"/>
      <c r="Q10263" s="22"/>
    </row>
    <row r="10264">
      <c r="O10264" s="20"/>
      <c r="P10264" s="17"/>
      <c r="Q10264" s="22"/>
    </row>
    <row r="10265">
      <c r="O10265" s="20"/>
      <c r="P10265" s="17"/>
      <c r="Q10265" s="22"/>
    </row>
    <row r="10266">
      <c r="O10266" s="20"/>
      <c r="P10266" s="17"/>
      <c r="Q10266" s="22"/>
    </row>
    <row r="10267">
      <c r="O10267" s="20"/>
      <c r="P10267" s="17"/>
      <c r="Q10267" s="22"/>
    </row>
    <row r="10268">
      <c r="O10268" s="20"/>
      <c r="P10268" s="17"/>
      <c r="Q10268" s="22"/>
    </row>
    <row r="10269">
      <c r="O10269" s="20"/>
      <c r="P10269" s="17"/>
      <c r="Q10269" s="22"/>
    </row>
    <row r="10270">
      <c r="O10270" s="20"/>
      <c r="P10270" s="17"/>
      <c r="Q10270" s="22"/>
    </row>
    <row r="10271">
      <c r="O10271" s="20"/>
      <c r="P10271" s="17"/>
      <c r="Q10271" s="22"/>
    </row>
    <row r="10272">
      <c r="O10272" s="20"/>
      <c r="P10272" s="17"/>
      <c r="Q10272" s="22"/>
    </row>
    <row r="10273">
      <c r="O10273" s="20"/>
      <c r="P10273" s="17"/>
      <c r="Q10273" s="22"/>
    </row>
    <row r="10274">
      <c r="O10274" s="20"/>
      <c r="P10274" s="17"/>
      <c r="Q10274" s="22"/>
    </row>
    <row r="10275">
      <c r="O10275" s="20"/>
      <c r="P10275" s="17"/>
      <c r="Q10275" s="22"/>
    </row>
    <row r="10276">
      <c r="O10276" s="20"/>
      <c r="P10276" s="17"/>
      <c r="Q10276" s="22"/>
    </row>
    <row r="10277">
      <c r="O10277" s="20"/>
      <c r="P10277" s="17"/>
      <c r="Q10277" s="22"/>
    </row>
    <row r="10278">
      <c r="O10278" s="20"/>
      <c r="P10278" s="17"/>
      <c r="Q10278" s="22"/>
    </row>
    <row r="10279">
      <c r="O10279" s="20"/>
      <c r="P10279" s="17"/>
      <c r="Q10279" s="22"/>
    </row>
    <row r="10280">
      <c r="O10280" s="20"/>
      <c r="P10280" s="17"/>
      <c r="Q10280" s="22"/>
    </row>
    <row r="10281">
      <c r="O10281" s="20"/>
      <c r="P10281" s="17"/>
      <c r="Q10281" s="22"/>
    </row>
    <row r="10282">
      <c r="O10282" s="20"/>
      <c r="P10282" s="17"/>
      <c r="Q10282" s="22"/>
    </row>
    <row r="10283">
      <c r="O10283" s="20"/>
      <c r="P10283" s="17"/>
      <c r="Q10283" s="22"/>
    </row>
    <row r="10284">
      <c r="O10284" s="20"/>
      <c r="P10284" s="17"/>
      <c r="Q10284" s="22"/>
    </row>
    <row r="10285">
      <c r="O10285" s="20"/>
      <c r="P10285" s="17"/>
      <c r="Q10285" s="22"/>
    </row>
    <row r="10286">
      <c r="O10286" s="20"/>
      <c r="P10286" s="17"/>
      <c r="Q10286" s="22"/>
    </row>
    <row r="10287">
      <c r="O10287" s="20"/>
      <c r="P10287" s="17"/>
      <c r="Q10287" s="22"/>
    </row>
    <row r="10288">
      <c r="O10288" s="20"/>
      <c r="P10288" s="17"/>
      <c r="Q10288" s="22"/>
    </row>
    <row r="10289">
      <c r="O10289" s="20"/>
      <c r="P10289" s="17"/>
      <c r="Q10289" s="22"/>
    </row>
    <row r="10290">
      <c r="O10290" s="20"/>
      <c r="P10290" s="17"/>
      <c r="Q10290" s="22"/>
    </row>
    <row r="10291">
      <c r="O10291" s="20"/>
      <c r="P10291" s="17"/>
      <c r="Q10291" s="22"/>
    </row>
    <row r="10292">
      <c r="O10292" s="20"/>
      <c r="P10292" s="17"/>
      <c r="Q10292" s="22"/>
    </row>
    <row r="10293">
      <c r="O10293" s="20"/>
      <c r="P10293" s="17"/>
      <c r="Q10293" s="22"/>
    </row>
    <row r="10294">
      <c r="O10294" s="20"/>
      <c r="P10294" s="17"/>
      <c r="Q10294" s="22"/>
    </row>
    <row r="10295">
      <c r="O10295" s="20"/>
      <c r="P10295" s="17"/>
      <c r="Q10295" s="22"/>
    </row>
    <row r="10296">
      <c r="O10296" s="20"/>
      <c r="P10296" s="17"/>
      <c r="Q10296" s="22"/>
    </row>
    <row r="10297">
      <c r="O10297" s="20"/>
      <c r="P10297" s="17"/>
      <c r="Q10297" s="22"/>
    </row>
    <row r="10298">
      <c r="O10298" s="20"/>
      <c r="P10298" s="17"/>
      <c r="Q10298" s="22"/>
    </row>
    <row r="10299">
      <c r="O10299" s="20"/>
      <c r="P10299" s="17"/>
      <c r="Q10299" s="22"/>
    </row>
    <row r="10300">
      <c r="O10300" s="20"/>
      <c r="P10300" s="17"/>
      <c r="Q10300" s="22"/>
    </row>
    <row r="10301">
      <c r="O10301" s="20"/>
      <c r="P10301" s="17"/>
      <c r="Q10301" s="22"/>
    </row>
    <row r="10302">
      <c r="O10302" s="20"/>
      <c r="P10302" s="17"/>
      <c r="Q10302" s="22"/>
    </row>
    <row r="10303">
      <c r="O10303" s="20"/>
      <c r="P10303" s="17"/>
      <c r="Q10303" s="22"/>
    </row>
    <row r="10304">
      <c r="O10304" s="20"/>
      <c r="P10304" s="17"/>
      <c r="Q10304" s="22"/>
    </row>
    <row r="10305">
      <c r="O10305" s="20"/>
      <c r="P10305" s="17"/>
      <c r="Q10305" s="22"/>
    </row>
    <row r="10306">
      <c r="O10306" s="20"/>
      <c r="P10306" s="17"/>
      <c r="Q10306" s="22"/>
    </row>
    <row r="10307">
      <c r="O10307" s="20"/>
      <c r="P10307" s="17"/>
      <c r="Q10307" s="22"/>
    </row>
    <row r="10308">
      <c r="O10308" s="20"/>
      <c r="P10308" s="17"/>
      <c r="Q10308" s="22"/>
    </row>
    <row r="10309">
      <c r="O10309" s="20"/>
      <c r="P10309" s="17"/>
      <c r="Q10309" s="22"/>
    </row>
    <row r="10310">
      <c r="O10310" s="20"/>
      <c r="P10310" s="17"/>
      <c r="Q10310" s="22"/>
    </row>
    <row r="10311">
      <c r="O10311" s="20"/>
      <c r="P10311" s="17"/>
      <c r="Q10311" s="22"/>
    </row>
    <row r="10312">
      <c r="O10312" s="20"/>
      <c r="P10312" s="17"/>
      <c r="Q10312" s="22"/>
    </row>
    <row r="10313">
      <c r="O10313" s="20"/>
      <c r="P10313" s="17"/>
      <c r="Q10313" s="22"/>
    </row>
    <row r="10314">
      <c r="O10314" s="20"/>
      <c r="P10314" s="17"/>
      <c r="Q10314" s="22"/>
    </row>
    <row r="10315">
      <c r="O10315" s="20"/>
      <c r="P10315" s="17"/>
      <c r="Q10315" s="22"/>
    </row>
    <row r="10316">
      <c r="O10316" s="20"/>
      <c r="P10316" s="17"/>
      <c r="Q10316" s="22"/>
    </row>
    <row r="10317">
      <c r="O10317" s="20"/>
      <c r="P10317" s="17"/>
      <c r="Q10317" s="22"/>
    </row>
    <row r="10318">
      <c r="O10318" s="20"/>
      <c r="P10318" s="17"/>
      <c r="Q10318" s="22"/>
    </row>
    <row r="10319">
      <c r="O10319" s="20"/>
      <c r="P10319" s="17"/>
      <c r="Q10319" s="22"/>
    </row>
    <row r="10320">
      <c r="O10320" s="20"/>
      <c r="P10320" s="17"/>
      <c r="Q10320" s="22"/>
    </row>
    <row r="10321">
      <c r="O10321" s="20"/>
      <c r="P10321" s="17"/>
      <c r="Q10321" s="22"/>
    </row>
    <row r="10322">
      <c r="O10322" s="20"/>
      <c r="P10322" s="17"/>
      <c r="Q10322" s="22"/>
    </row>
    <row r="10323">
      <c r="O10323" s="20"/>
      <c r="P10323" s="17"/>
      <c r="Q10323" s="22"/>
    </row>
    <row r="10324">
      <c r="O10324" s="20"/>
      <c r="P10324" s="17"/>
      <c r="Q10324" s="22"/>
    </row>
    <row r="10325">
      <c r="O10325" s="20"/>
      <c r="P10325" s="17"/>
      <c r="Q10325" s="22"/>
    </row>
    <row r="10326">
      <c r="O10326" s="20"/>
      <c r="P10326" s="17"/>
      <c r="Q10326" s="22"/>
    </row>
    <row r="10327">
      <c r="O10327" s="20"/>
      <c r="P10327" s="17"/>
      <c r="Q10327" s="22"/>
    </row>
    <row r="10328">
      <c r="O10328" s="20"/>
      <c r="P10328" s="17"/>
      <c r="Q10328" s="22"/>
    </row>
    <row r="10329">
      <c r="O10329" s="20"/>
      <c r="P10329" s="17"/>
      <c r="Q10329" s="22"/>
    </row>
    <row r="10330">
      <c r="O10330" s="20"/>
      <c r="P10330" s="17"/>
      <c r="Q10330" s="22"/>
    </row>
    <row r="10331">
      <c r="O10331" s="20"/>
      <c r="P10331" s="17"/>
      <c r="Q10331" s="22"/>
    </row>
    <row r="10332">
      <c r="O10332" s="20"/>
      <c r="P10332" s="17"/>
      <c r="Q10332" s="22"/>
    </row>
    <row r="10333">
      <c r="O10333" s="20"/>
      <c r="P10333" s="17"/>
      <c r="Q10333" s="22"/>
    </row>
    <row r="10334">
      <c r="O10334" s="20"/>
      <c r="P10334" s="17"/>
      <c r="Q10334" s="22"/>
    </row>
    <row r="10335">
      <c r="O10335" s="20"/>
      <c r="P10335" s="17"/>
      <c r="Q10335" s="22"/>
    </row>
    <row r="10336">
      <c r="O10336" s="20"/>
      <c r="P10336" s="17"/>
      <c r="Q10336" s="22"/>
    </row>
    <row r="10337">
      <c r="O10337" s="20"/>
      <c r="P10337" s="17"/>
      <c r="Q10337" s="22"/>
    </row>
    <row r="10338">
      <c r="O10338" s="20"/>
      <c r="P10338" s="17"/>
      <c r="Q10338" s="22"/>
    </row>
    <row r="10339">
      <c r="O10339" s="20"/>
      <c r="P10339" s="17"/>
      <c r="Q10339" s="22"/>
    </row>
    <row r="10340">
      <c r="O10340" s="20"/>
      <c r="P10340" s="17"/>
      <c r="Q10340" s="22"/>
    </row>
    <row r="10341">
      <c r="O10341" s="20"/>
      <c r="P10341" s="17"/>
      <c r="Q10341" s="22"/>
    </row>
    <row r="10342">
      <c r="O10342" s="20"/>
      <c r="P10342" s="17"/>
      <c r="Q10342" s="22"/>
    </row>
    <row r="10343">
      <c r="O10343" s="20"/>
      <c r="P10343" s="17"/>
      <c r="Q10343" s="22"/>
    </row>
    <row r="10344">
      <c r="O10344" s="20"/>
      <c r="P10344" s="17"/>
      <c r="Q10344" s="22"/>
    </row>
    <row r="10345">
      <c r="O10345" s="20"/>
      <c r="P10345" s="17"/>
      <c r="Q10345" s="22"/>
    </row>
    <row r="10346">
      <c r="O10346" s="20"/>
      <c r="P10346" s="17"/>
      <c r="Q10346" s="22"/>
    </row>
    <row r="10347">
      <c r="O10347" s="20"/>
      <c r="P10347" s="17"/>
      <c r="Q10347" s="22"/>
    </row>
    <row r="10348">
      <c r="O10348" s="20"/>
      <c r="P10348" s="17"/>
      <c r="Q10348" s="22"/>
    </row>
    <row r="10349">
      <c r="O10349" s="20"/>
      <c r="P10349" s="17"/>
      <c r="Q10349" s="22"/>
    </row>
    <row r="10350">
      <c r="O10350" s="20"/>
      <c r="P10350" s="17"/>
      <c r="Q10350" s="22"/>
    </row>
    <row r="10351">
      <c r="O10351" s="20"/>
      <c r="P10351" s="17"/>
      <c r="Q10351" s="22"/>
    </row>
    <row r="10352">
      <c r="O10352" s="20"/>
      <c r="P10352" s="17"/>
      <c r="Q10352" s="22"/>
    </row>
    <row r="10353">
      <c r="O10353" s="20"/>
      <c r="P10353" s="17"/>
      <c r="Q10353" s="22"/>
    </row>
    <row r="10354">
      <c r="O10354" s="20"/>
      <c r="P10354" s="17"/>
      <c r="Q10354" s="22"/>
    </row>
    <row r="10355">
      <c r="O10355" s="20"/>
      <c r="P10355" s="17"/>
      <c r="Q10355" s="22"/>
    </row>
    <row r="10356">
      <c r="O10356" s="20"/>
      <c r="P10356" s="17"/>
      <c r="Q10356" s="22"/>
    </row>
    <row r="10357">
      <c r="O10357" s="20"/>
      <c r="P10357" s="17"/>
      <c r="Q10357" s="22"/>
    </row>
    <row r="10358">
      <c r="O10358" s="20"/>
      <c r="P10358" s="17"/>
      <c r="Q10358" s="22"/>
    </row>
    <row r="10359">
      <c r="O10359" s="20"/>
      <c r="P10359" s="17"/>
      <c r="Q10359" s="22"/>
    </row>
    <row r="10360">
      <c r="O10360" s="20"/>
      <c r="P10360" s="17"/>
      <c r="Q10360" s="22"/>
    </row>
    <row r="10361">
      <c r="O10361" s="20"/>
      <c r="P10361" s="17"/>
      <c r="Q10361" s="22"/>
    </row>
    <row r="10362">
      <c r="O10362" s="20"/>
      <c r="P10362" s="17"/>
      <c r="Q10362" s="22"/>
    </row>
    <row r="10363">
      <c r="O10363" s="20"/>
      <c r="P10363" s="17"/>
      <c r="Q10363" s="22"/>
    </row>
    <row r="10364">
      <c r="O10364" s="20"/>
      <c r="P10364" s="17"/>
      <c r="Q10364" s="22"/>
    </row>
    <row r="10365">
      <c r="O10365" s="20"/>
      <c r="P10365" s="17"/>
      <c r="Q10365" s="22"/>
    </row>
    <row r="10366">
      <c r="O10366" s="20"/>
      <c r="P10366" s="17"/>
      <c r="Q10366" s="22"/>
    </row>
    <row r="10367">
      <c r="O10367" s="20"/>
      <c r="P10367" s="17"/>
      <c r="Q10367" s="22"/>
    </row>
    <row r="10368">
      <c r="O10368" s="20"/>
      <c r="P10368" s="17"/>
      <c r="Q10368" s="22"/>
    </row>
    <row r="10369">
      <c r="O10369" s="20"/>
      <c r="P10369" s="17"/>
      <c r="Q10369" s="22"/>
    </row>
    <row r="10370">
      <c r="O10370" s="20"/>
      <c r="P10370" s="17"/>
      <c r="Q10370" s="22"/>
    </row>
    <row r="10371">
      <c r="O10371" s="20"/>
      <c r="P10371" s="17"/>
      <c r="Q10371" s="22"/>
    </row>
    <row r="10372">
      <c r="O10372" s="20"/>
      <c r="P10372" s="17"/>
      <c r="Q10372" s="22"/>
    </row>
    <row r="10373">
      <c r="O10373" s="20"/>
      <c r="P10373" s="17"/>
      <c r="Q10373" s="22"/>
    </row>
    <row r="10374">
      <c r="O10374" s="20"/>
      <c r="P10374" s="17"/>
      <c r="Q10374" s="22"/>
    </row>
    <row r="10375">
      <c r="O10375" s="20"/>
      <c r="P10375" s="17"/>
      <c r="Q10375" s="22"/>
    </row>
    <row r="10376">
      <c r="O10376" s="20"/>
      <c r="P10376" s="17"/>
      <c r="Q10376" s="22"/>
    </row>
    <row r="10377">
      <c r="O10377" s="20"/>
      <c r="P10377" s="17"/>
      <c r="Q10377" s="22"/>
    </row>
    <row r="10378">
      <c r="O10378" s="20"/>
      <c r="P10378" s="17"/>
      <c r="Q10378" s="22"/>
    </row>
    <row r="10379">
      <c r="O10379" s="20"/>
      <c r="P10379" s="17"/>
      <c r="Q10379" s="22"/>
    </row>
    <row r="10380">
      <c r="O10380" s="20"/>
      <c r="P10380" s="17"/>
      <c r="Q10380" s="22"/>
    </row>
    <row r="10381">
      <c r="O10381" s="20"/>
      <c r="P10381" s="17"/>
      <c r="Q10381" s="22"/>
    </row>
    <row r="10382">
      <c r="O10382" s="20"/>
      <c r="P10382" s="17"/>
      <c r="Q10382" s="22"/>
    </row>
    <row r="10383">
      <c r="O10383" s="20"/>
      <c r="P10383" s="17"/>
      <c r="Q10383" s="22"/>
    </row>
    <row r="10384">
      <c r="O10384" s="20"/>
      <c r="P10384" s="17"/>
      <c r="Q10384" s="22"/>
    </row>
    <row r="10385">
      <c r="O10385" s="20"/>
      <c r="P10385" s="17"/>
      <c r="Q10385" s="22"/>
    </row>
    <row r="10386">
      <c r="O10386" s="20"/>
      <c r="P10386" s="17"/>
      <c r="Q10386" s="22"/>
    </row>
    <row r="10387">
      <c r="O10387" s="20"/>
      <c r="P10387" s="17"/>
      <c r="Q10387" s="22"/>
    </row>
    <row r="10388">
      <c r="O10388" s="20"/>
      <c r="P10388" s="17"/>
      <c r="Q10388" s="22"/>
    </row>
    <row r="10389">
      <c r="O10389" s="20"/>
      <c r="P10389" s="17"/>
      <c r="Q10389" s="22"/>
    </row>
    <row r="10390">
      <c r="O10390" s="20"/>
      <c r="P10390" s="17"/>
      <c r="Q10390" s="22"/>
    </row>
    <row r="10391">
      <c r="O10391" s="20"/>
      <c r="P10391" s="17"/>
      <c r="Q10391" s="22"/>
    </row>
    <row r="10392">
      <c r="O10392" s="20"/>
      <c r="P10392" s="17"/>
      <c r="Q10392" s="22"/>
    </row>
    <row r="10393">
      <c r="O10393" s="20"/>
      <c r="P10393" s="17"/>
      <c r="Q10393" s="22"/>
    </row>
    <row r="10394">
      <c r="O10394" s="20"/>
      <c r="P10394" s="17"/>
      <c r="Q10394" s="22"/>
    </row>
    <row r="10395">
      <c r="O10395" s="20"/>
      <c r="P10395" s="17"/>
      <c r="Q10395" s="22"/>
    </row>
    <row r="10396">
      <c r="O10396" s="20"/>
      <c r="P10396" s="17"/>
      <c r="Q10396" s="22"/>
    </row>
    <row r="10397">
      <c r="O10397" s="20"/>
      <c r="P10397" s="17"/>
      <c r="Q10397" s="22"/>
    </row>
    <row r="10398">
      <c r="O10398" s="20"/>
      <c r="P10398" s="17"/>
      <c r="Q10398" s="22"/>
    </row>
    <row r="10399">
      <c r="O10399" s="20"/>
      <c r="P10399" s="17"/>
      <c r="Q10399" s="22"/>
    </row>
    <row r="10400">
      <c r="O10400" s="20"/>
      <c r="P10400" s="17"/>
      <c r="Q10400" s="22"/>
    </row>
    <row r="10401">
      <c r="O10401" s="20"/>
      <c r="P10401" s="17"/>
      <c r="Q10401" s="22"/>
    </row>
    <row r="10402">
      <c r="O10402" s="20"/>
      <c r="P10402" s="17"/>
      <c r="Q10402" s="22"/>
    </row>
    <row r="10403">
      <c r="O10403" s="20"/>
      <c r="P10403" s="17"/>
      <c r="Q10403" s="22"/>
    </row>
    <row r="10404">
      <c r="O10404" s="20"/>
      <c r="P10404" s="17"/>
      <c r="Q10404" s="22"/>
    </row>
    <row r="10405">
      <c r="O10405" s="20"/>
      <c r="P10405" s="17"/>
      <c r="Q10405" s="22"/>
    </row>
    <row r="10406">
      <c r="O10406" s="20"/>
      <c r="P10406" s="17"/>
      <c r="Q10406" s="22"/>
    </row>
    <row r="10407">
      <c r="O10407" s="20"/>
      <c r="P10407" s="17"/>
      <c r="Q10407" s="22"/>
    </row>
    <row r="10408">
      <c r="O10408" s="20"/>
      <c r="P10408" s="17"/>
      <c r="Q10408" s="22"/>
    </row>
    <row r="10409">
      <c r="O10409" s="20"/>
      <c r="P10409" s="17"/>
      <c r="Q10409" s="22"/>
    </row>
    <row r="10410">
      <c r="O10410" s="20"/>
      <c r="P10410" s="17"/>
      <c r="Q10410" s="22"/>
    </row>
    <row r="10411">
      <c r="O10411" s="20"/>
      <c r="P10411" s="17"/>
      <c r="Q10411" s="22"/>
    </row>
    <row r="10412">
      <c r="O10412" s="20"/>
      <c r="P10412" s="17"/>
      <c r="Q10412" s="22"/>
    </row>
    <row r="10413">
      <c r="O10413" s="20"/>
      <c r="P10413" s="17"/>
      <c r="Q10413" s="22"/>
    </row>
    <row r="10414">
      <c r="O10414" s="20"/>
      <c r="P10414" s="17"/>
      <c r="Q10414" s="22"/>
    </row>
    <row r="10415">
      <c r="O10415" s="20"/>
      <c r="P10415" s="17"/>
      <c r="Q10415" s="22"/>
    </row>
    <row r="10416">
      <c r="O10416" s="20"/>
      <c r="P10416" s="17"/>
      <c r="Q10416" s="22"/>
    </row>
    <row r="10417">
      <c r="O10417" s="20"/>
      <c r="P10417" s="17"/>
      <c r="Q10417" s="22"/>
    </row>
    <row r="10418">
      <c r="O10418" s="20"/>
      <c r="P10418" s="17"/>
      <c r="Q10418" s="22"/>
    </row>
    <row r="10419">
      <c r="O10419" s="20"/>
      <c r="P10419" s="17"/>
      <c r="Q10419" s="22"/>
    </row>
    <row r="10420">
      <c r="O10420" s="20"/>
      <c r="P10420" s="17"/>
      <c r="Q10420" s="22"/>
    </row>
    <row r="10421">
      <c r="O10421" s="20"/>
      <c r="P10421" s="17"/>
      <c r="Q10421" s="22"/>
    </row>
    <row r="10422">
      <c r="O10422" s="20"/>
      <c r="P10422" s="17"/>
      <c r="Q10422" s="22"/>
    </row>
    <row r="10423">
      <c r="O10423" s="20"/>
      <c r="P10423" s="17"/>
      <c r="Q10423" s="22"/>
    </row>
    <row r="10424">
      <c r="O10424" s="20"/>
      <c r="P10424" s="17"/>
      <c r="Q10424" s="22"/>
    </row>
    <row r="10425">
      <c r="O10425" s="20"/>
      <c r="P10425" s="17"/>
      <c r="Q10425" s="22"/>
    </row>
    <row r="10426">
      <c r="O10426" s="20"/>
      <c r="P10426" s="17"/>
      <c r="Q10426" s="22"/>
    </row>
    <row r="10427">
      <c r="O10427" s="20"/>
      <c r="P10427" s="17"/>
      <c r="Q10427" s="22"/>
    </row>
    <row r="10428">
      <c r="O10428" s="20"/>
      <c r="P10428" s="17"/>
      <c r="Q10428" s="22"/>
    </row>
    <row r="10429">
      <c r="O10429" s="20"/>
      <c r="P10429" s="17"/>
      <c r="Q10429" s="22"/>
    </row>
    <row r="10430">
      <c r="O10430" s="20"/>
      <c r="P10430" s="17"/>
      <c r="Q10430" s="22"/>
    </row>
    <row r="10431">
      <c r="O10431" s="20"/>
      <c r="P10431" s="17"/>
      <c r="Q10431" s="22"/>
    </row>
    <row r="10432">
      <c r="O10432" s="20"/>
      <c r="P10432" s="17"/>
      <c r="Q10432" s="22"/>
    </row>
    <row r="10433">
      <c r="O10433" s="20"/>
      <c r="P10433" s="17"/>
      <c r="Q10433" s="22"/>
    </row>
    <row r="10434">
      <c r="O10434" s="20"/>
      <c r="P10434" s="17"/>
      <c r="Q10434" s="22"/>
    </row>
    <row r="10435">
      <c r="O10435" s="20"/>
      <c r="P10435" s="17"/>
      <c r="Q10435" s="22"/>
    </row>
    <row r="10436">
      <c r="O10436" s="20"/>
      <c r="P10436" s="17"/>
      <c r="Q10436" s="22"/>
    </row>
    <row r="10437">
      <c r="O10437" s="20"/>
      <c r="P10437" s="17"/>
      <c r="Q10437" s="22"/>
    </row>
    <row r="10438">
      <c r="O10438" s="20"/>
      <c r="P10438" s="17"/>
      <c r="Q10438" s="22"/>
    </row>
    <row r="10439">
      <c r="O10439" s="20"/>
      <c r="P10439" s="17"/>
      <c r="Q10439" s="22"/>
    </row>
    <row r="10440">
      <c r="O10440" s="20"/>
      <c r="P10440" s="17"/>
      <c r="Q10440" s="22"/>
    </row>
    <row r="10441">
      <c r="O10441" s="20"/>
      <c r="P10441" s="17"/>
      <c r="Q10441" s="22"/>
    </row>
    <row r="10442">
      <c r="O10442" s="20"/>
      <c r="P10442" s="17"/>
      <c r="Q10442" s="22"/>
    </row>
    <row r="10443">
      <c r="O10443" s="20"/>
      <c r="P10443" s="17"/>
      <c r="Q10443" s="22"/>
    </row>
    <row r="10444">
      <c r="O10444" s="20"/>
      <c r="P10444" s="17"/>
      <c r="Q10444" s="22"/>
    </row>
    <row r="10445">
      <c r="O10445" s="20"/>
      <c r="P10445" s="17"/>
      <c r="Q10445" s="22"/>
    </row>
    <row r="10446">
      <c r="O10446" s="20"/>
      <c r="P10446" s="17"/>
      <c r="Q10446" s="22"/>
    </row>
    <row r="10447">
      <c r="O10447" s="20"/>
      <c r="P10447" s="17"/>
      <c r="Q10447" s="22"/>
    </row>
    <row r="10448">
      <c r="O10448" s="20"/>
      <c r="P10448" s="17"/>
      <c r="Q10448" s="22"/>
    </row>
    <row r="10449">
      <c r="O10449" s="20"/>
      <c r="P10449" s="17"/>
      <c r="Q10449" s="22"/>
    </row>
    <row r="10450">
      <c r="O10450" s="20"/>
      <c r="P10450" s="17"/>
      <c r="Q10450" s="22"/>
    </row>
    <row r="10451">
      <c r="O10451" s="20"/>
      <c r="P10451" s="17"/>
      <c r="Q10451" s="22"/>
    </row>
    <row r="10452">
      <c r="O10452" s="20"/>
      <c r="P10452" s="17"/>
      <c r="Q10452" s="22"/>
    </row>
    <row r="10453">
      <c r="O10453" s="20"/>
      <c r="P10453" s="17"/>
      <c r="Q10453" s="22"/>
    </row>
    <row r="10454">
      <c r="O10454" s="20"/>
      <c r="P10454" s="17"/>
      <c r="Q10454" s="22"/>
    </row>
    <row r="10455">
      <c r="O10455" s="20"/>
      <c r="P10455" s="17"/>
      <c r="Q10455" s="22"/>
    </row>
    <row r="10456">
      <c r="O10456" s="20"/>
      <c r="P10456" s="17"/>
      <c r="Q10456" s="22"/>
    </row>
    <row r="10457">
      <c r="O10457" s="20"/>
      <c r="P10457" s="17"/>
      <c r="Q10457" s="22"/>
    </row>
    <row r="10458">
      <c r="O10458" s="20"/>
      <c r="P10458" s="17"/>
      <c r="Q10458" s="22"/>
    </row>
    <row r="10459">
      <c r="O10459" s="20"/>
      <c r="P10459" s="17"/>
      <c r="Q10459" s="22"/>
    </row>
    <row r="10460">
      <c r="O10460" s="20"/>
      <c r="P10460" s="17"/>
      <c r="Q10460" s="22"/>
    </row>
    <row r="10461">
      <c r="O10461" s="20"/>
      <c r="P10461" s="17"/>
      <c r="Q10461" s="22"/>
    </row>
    <row r="10462">
      <c r="O10462" s="20"/>
      <c r="P10462" s="17"/>
      <c r="Q10462" s="22"/>
    </row>
    <row r="10463">
      <c r="O10463" s="20"/>
      <c r="P10463" s="17"/>
      <c r="Q10463" s="22"/>
    </row>
    <row r="10464">
      <c r="O10464" s="20"/>
      <c r="P10464" s="17"/>
      <c r="Q10464" s="22"/>
    </row>
    <row r="10465">
      <c r="O10465" s="20"/>
      <c r="P10465" s="17"/>
      <c r="Q10465" s="22"/>
    </row>
    <row r="10466">
      <c r="O10466" s="20"/>
      <c r="P10466" s="17"/>
      <c r="Q10466" s="22"/>
    </row>
    <row r="10467">
      <c r="O10467" s="20"/>
      <c r="P10467" s="17"/>
      <c r="Q10467" s="22"/>
    </row>
    <row r="10468">
      <c r="O10468" s="20"/>
      <c r="P10468" s="17"/>
      <c r="Q10468" s="22"/>
    </row>
    <row r="10469">
      <c r="O10469" s="20"/>
      <c r="P10469" s="17"/>
      <c r="Q10469" s="22"/>
    </row>
    <row r="10470">
      <c r="O10470" s="20"/>
      <c r="P10470" s="17"/>
      <c r="Q10470" s="22"/>
    </row>
    <row r="10471">
      <c r="O10471" s="20"/>
      <c r="P10471" s="17"/>
      <c r="Q10471" s="22"/>
    </row>
    <row r="10472">
      <c r="O10472" s="20"/>
      <c r="P10472" s="17"/>
      <c r="Q10472" s="22"/>
    </row>
    <row r="10473">
      <c r="O10473" s="20"/>
      <c r="P10473" s="17"/>
      <c r="Q10473" s="22"/>
    </row>
    <row r="10474">
      <c r="O10474" s="20"/>
      <c r="P10474" s="17"/>
      <c r="Q10474" s="22"/>
    </row>
    <row r="10475">
      <c r="O10475" s="20"/>
      <c r="P10475" s="17"/>
      <c r="Q10475" s="22"/>
    </row>
    <row r="10476">
      <c r="O10476" s="20"/>
      <c r="P10476" s="17"/>
      <c r="Q10476" s="22"/>
    </row>
    <row r="10477">
      <c r="O10477" s="20"/>
      <c r="P10477" s="17"/>
      <c r="Q10477" s="22"/>
    </row>
    <row r="10478">
      <c r="O10478" s="20"/>
      <c r="P10478" s="17"/>
      <c r="Q10478" s="22"/>
    </row>
    <row r="10479">
      <c r="O10479" s="20"/>
      <c r="P10479" s="17"/>
      <c r="Q10479" s="22"/>
    </row>
    <row r="10480">
      <c r="O10480" s="20"/>
      <c r="P10480" s="17"/>
      <c r="Q10480" s="22"/>
    </row>
    <row r="10481">
      <c r="O10481" s="20"/>
      <c r="P10481" s="17"/>
      <c r="Q10481" s="22"/>
    </row>
    <row r="10482">
      <c r="O10482" s="20"/>
      <c r="P10482" s="17"/>
      <c r="Q10482" s="22"/>
    </row>
    <row r="10483">
      <c r="O10483" s="20"/>
      <c r="P10483" s="17"/>
      <c r="Q10483" s="22"/>
    </row>
    <row r="10484">
      <c r="O10484" s="20"/>
      <c r="P10484" s="17"/>
      <c r="Q10484" s="22"/>
    </row>
    <row r="10485">
      <c r="O10485" s="20"/>
      <c r="P10485" s="17"/>
      <c r="Q10485" s="22"/>
    </row>
    <row r="10486">
      <c r="O10486" s="20"/>
      <c r="P10486" s="17"/>
      <c r="Q10486" s="22"/>
    </row>
    <row r="10487">
      <c r="O10487" s="20"/>
      <c r="P10487" s="17"/>
      <c r="Q10487" s="22"/>
    </row>
    <row r="10488">
      <c r="O10488" s="20"/>
      <c r="P10488" s="17"/>
      <c r="Q10488" s="22"/>
    </row>
    <row r="10489">
      <c r="O10489" s="20"/>
      <c r="P10489" s="17"/>
      <c r="Q10489" s="22"/>
    </row>
    <row r="10490">
      <c r="O10490" s="20"/>
      <c r="P10490" s="17"/>
      <c r="Q10490" s="22"/>
    </row>
    <row r="10491">
      <c r="O10491" s="20"/>
      <c r="P10491" s="17"/>
      <c r="Q10491" s="22"/>
    </row>
    <row r="10492">
      <c r="O10492" s="20"/>
      <c r="P10492" s="17"/>
      <c r="Q10492" s="22"/>
    </row>
    <row r="10493">
      <c r="O10493" s="20"/>
      <c r="P10493" s="17"/>
      <c r="Q10493" s="22"/>
    </row>
    <row r="10494">
      <c r="O10494" s="20"/>
      <c r="P10494" s="17"/>
      <c r="Q10494" s="22"/>
    </row>
    <row r="10495">
      <c r="O10495" s="20"/>
      <c r="P10495" s="17"/>
      <c r="Q10495" s="22"/>
    </row>
    <row r="10496">
      <c r="O10496" s="20"/>
      <c r="P10496" s="17"/>
      <c r="Q10496" s="22"/>
    </row>
    <row r="10497">
      <c r="O10497" s="20"/>
      <c r="P10497" s="17"/>
      <c r="Q10497" s="22"/>
    </row>
    <row r="10498">
      <c r="O10498" s="20"/>
      <c r="P10498" s="17"/>
      <c r="Q10498" s="22"/>
    </row>
    <row r="10499">
      <c r="O10499" s="20"/>
      <c r="P10499" s="17"/>
      <c r="Q10499" s="22"/>
    </row>
    <row r="10500">
      <c r="O10500" s="20"/>
      <c r="P10500" s="17"/>
      <c r="Q10500" s="22"/>
    </row>
    <row r="10501">
      <c r="O10501" s="20"/>
      <c r="P10501" s="17"/>
      <c r="Q10501" s="22"/>
    </row>
    <row r="10502">
      <c r="O10502" s="20"/>
      <c r="P10502" s="17"/>
      <c r="Q10502" s="22"/>
    </row>
    <row r="10503">
      <c r="O10503" s="20"/>
      <c r="P10503" s="17"/>
      <c r="Q10503" s="22"/>
    </row>
    <row r="10504">
      <c r="O10504" s="20"/>
      <c r="P10504" s="17"/>
      <c r="Q10504" s="22"/>
    </row>
    <row r="10505">
      <c r="O10505" s="20"/>
      <c r="P10505" s="17"/>
      <c r="Q10505" s="22"/>
    </row>
    <row r="10506">
      <c r="O10506" s="20"/>
      <c r="P10506" s="17"/>
      <c r="Q10506" s="22"/>
    </row>
    <row r="10507">
      <c r="O10507" s="20"/>
      <c r="P10507" s="17"/>
      <c r="Q10507" s="22"/>
    </row>
    <row r="10508">
      <c r="O10508" s="20"/>
      <c r="P10508" s="17"/>
      <c r="Q10508" s="22"/>
    </row>
    <row r="10509">
      <c r="O10509" s="20"/>
      <c r="P10509" s="17"/>
      <c r="Q10509" s="22"/>
    </row>
    <row r="10510">
      <c r="O10510" s="20"/>
      <c r="P10510" s="17"/>
      <c r="Q10510" s="22"/>
    </row>
    <row r="10511">
      <c r="O10511" s="20"/>
      <c r="P10511" s="17"/>
      <c r="Q10511" s="22"/>
    </row>
    <row r="10512">
      <c r="O10512" s="20"/>
      <c r="P10512" s="17"/>
      <c r="Q10512" s="22"/>
    </row>
    <row r="10513">
      <c r="O10513" s="20"/>
      <c r="P10513" s="17"/>
      <c r="Q10513" s="22"/>
    </row>
    <row r="10514">
      <c r="O10514" s="20"/>
      <c r="P10514" s="17"/>
      <c r="Q10514" s="22"/>
    </row>
    <row r="10515">
      <c r="O10515" s="20"/>
      <c r="P10515" s="17"/>
      <c r="Q10515" s="22"/>
    </row>
    <row r="10516">
      <c r="O10516" s="20"/>
      <c r="P10516" s="17"/>
      <c r="Q10516" s="22"/>
    </row>
    <row r="10517">
      <c r="O10517" s="20"/>
      <c r="P10517" s="17"/>
      <c r="Q10517" s="22"/>
    </row>
    <row r="10518">
      <c r="O10518" s="20"/>
      <c r="P10518" s="17"/>
      <c r="Q10518" s="22"/>
    </row>
    <row r="10519">
      <c r="O10519" s="20"/>
      <c r="P10519" s="17"/>
      <c r="Q10519" s="22"/>
    </row>
    <row r="10520">
      <c r="O10520" s="20"/>
      <c r="P10520" s="17"/>
      <c r="Q10520" s="22"/>
    </row>
    <row r="10521">
      <c r="O10521" s="20"/>
      <c r="P10521" s="17"/>
      <c r="Q10521" s="22"/>
    </row>
    <row r="10522">
      <c r="O10522" s="20"/>
      <c r="P10522" s="17"/>
      <c r="Q10522" s="22"/>
    </row>
    <row r="10523">
      <c r="O10523" s="20"/>
      <c r="P10523" s="17"/>
      <c r="Q10523" s="22"/>
    </row>
    <row r="10524">
      <c r="O10524" s="20"/>
      <c r="P10524" s="17"/>
      <c r="Q10524" s="22"/>
    </row>
    <row r="10525">
      <c r="O10525" s="20"/>
      <c r="P10525" s="17"/>
      <c r="Q10525" s="22"/>
    </row>
    <row r="10526">
      <c r="O10526" s="20"/>
      <c r="P10526" s="17"/>
      <c r="Q10526" s="22"/>
    </row>
    <row r="10527">
      <c r="O10527" s="20"/>
      <c r="P10527" s="17"/>
      <c r="Q10527" s="22"/>
    </row>
    <row r="10528">
      <c r="O10528" s="20"/>
      <c r="P10528" s="17"/>
      <c r="Q10528" s="22"/>
    </row>
    <row r="10529">
      <c r="O10529" s="20"/>
      <c r="P10529" s="17"/>
      <c r="Q10529" s="22"/>
    </row>
    <row r="10530">
      <c r="O10530" s="20"/>
      <c r="P10530" s="17"/>
      <c r="Q10530" s="22"/>
    </row>
    <row r="10531">
      <c r="O10531" s="20"/>
      <c r="P10531" s="17"/>
      <c r="Q10531" s="22"/>
    </row>
    <row r="10532">
      <c r="O10532" s="20"/>
      <c r="P10532" s="17"/>
      <c r="Q10532" s="22"/>
    </row>
    <row r="10533">
      <c r="O10533" s="20"/>
      <c r="P10533" s="17"/>
      <c r="Q10533" s="22"/>
    </row>
    <row r="10534">
      <c r="O10534" s="20"/>
      <c r="P10534" s="17"/>
      <c r="Q10534" s="22"/>
    </row>
    <row r="10535">
      <c r="O10535" s="20"/>
      <c r="P10535" s="17"/>
      <c r="Q10535" s="22"/>
    </row>
    <row r="10536">
      <c r="O10536" s="20"/>
      <c r="P10536" s="17"/>
      <c r="Q10536" s="22"/>
    </row>
    <row r="10537">
      <c r="O10537" s="20"/>
      <c r="P10537" s="17"/>
      <c r="Q10537" s="22"/>
    </row>
    <row r="10538">
      <c r="O10538" s="20"/>
      <c r="P10538" s="17"/>
      <c r="Q10538" s="22"/>
    </row>
    <row r="10539">
      <c r="O10539" s="20"/>
      <c r="P10539" s="17"/>
      <c r="Q10539" s="22"/>
    </row>
    <row r="10540">
      <c r="O10540" s="20"/>
      <c r="P10540" s="17"/>
      <c r="Q10540" s="22"/>
    </row>
    <row r="10541">
      <c r="O10541" s="20"/>
      <c r="P10541" s="17"/>
      <c r="Q10541" s="22"/>
    </row>
    <row r="10542">
      <c r="O10542" s="20"/>
      <c r="P10542" s="17"/>
      <c r="Q10542" s="22"/>
    </row>
    <row r="10543">
      <c r="O10543" s="20"/>
      <c r="P10543" s="17"/>
      <c r="Q10543" s="22"/>
    </row>
    <row r="10544">
      <c r="O10544" s="20"/>
      <c r="P10544" s="17"/>
      <c r="Q10544" s="22"/>
    </row>
    <row r="10545">
      <c r="O10545" s="20"/>
      <c r="P10545" s="17"/>
      <c r="Q10545" s="22"/>
    </row>
    <row r="10546">
      <c r="O10546" s="20"/>
      <c r="P10546" s="17"/>
      <c r="Q10546" s="22"/>
    </row>
    <row r="10547">
      <c r="O10547" s="20"/>
      <c r="P10547" s="17"/>
      <c r="Q10547" s="22"/>
    </row>
    <row r="10548">
      <c r="O10548" s="20"/>
      <c r="P10548" s="17"/>
      <c r="Q10548" s="22"/>
    </row>
    <row r="10549">
      <c r="O10549" s="20"/>
      <c r="P10549" s="17"/>
      <c r="Q10549" s="22"/>
    </row>
    <row r="10550">
      <c r="O10550" s="20"/>
      <c r="P10550" s="17"/>
      <c r="Q10550" s="22"/>
    </row>
    <row r="10551">
      <c r="O10551" s="20"/>
      <c r="P10551" s="17"/>
      <c r="Q10551" s="22"/>
    </row>
    <row r="10552">
      <c r="O10552" s="20"/>
      <c r="P10552" s="17"/>
      <c r="Q10552" s="22"/>
    </row>
    <row r="10553">
      <c r="O10553" s="20"/>
      <c r="P10553" s="17"/>
      <c r="Q10553" s="22"/>
    </row>
    <row r="10554">
      <c r="O10554" s="20"/>
      <c r="P10554" s="17"/>
      <c r="Q10554" s="22"/>
    </row>
    <row r="10555">
      <c r="O10555" s="20"/>
      <c r="P10555" s="17"/>
      <c r="Q10555" s="22"/>
    </row>
    <row r="10556">
      <c r="O10556" s="20"/>
      <c r="P10556" s="17"/>
      <c r="Q10556" s="22"/>
    </row>
    <row r="10557">
      <c r="O10557" s="20"/>
      <c r="P10557" s="17"/>
      <c r="Q10557" s="22"/>
    </row>
    <row r="10558">
      <c r="O10558" s="20"/>
      <c r="P10558" s="17"/>
      <c r="Q10558" s="22"/>
    </row>
    <row r="10559">
      <c r="O10559" s="20"/>
      <c r="P10559" s="17"/>
      <c r="Q10559" s="22"/>
    </row>
    <row r="10560">
      <c r="O10560" s="20"/>
      <c r="P10560" s="17"/>
      <c r="Q10560" s="22"/>
    </row>
    <row r="10561">
      <c r="O10561" s="20"/>
      <c r="P10561" s="17"/>
      <c r="Q10561" s="22"/>
    </row>
    <row r="10562">
      <c r="O10562" s="20"/>
      <c r="P10562" s="17"/>
      <c r="Q10562" s="22"/>
    </row>
    <row r="10563">
      <c r="O10563" s="20"/>
      <c r="P10563" s="17"/>
      <c r="Q10563" s="22"/>
    </row>
    <row r="10564">
      <c r="O10564" s="20"/>
      <c r="P10564" s="17"/>
      <c r="Q10564" s="22"/>
    </row>
    <row r="10565">
      <c r="O10565" s="20"/>
      <c r="P10565" s="17"/>
      <c r="Q10565" s="22"/>
    </row>
    <row r="10566">
      <c r="O10566" s="20"/>
      <c r="P10566" s="17"/>
      <c r="Q10566" s="22"/>
    </row>
    <row r="10567">
      <c r="O10567" s="20"/>
      <c r="P10567" s="17"/>
      <c r="Q10567" s="22"/>
    </row>
    <row r="10568">
      <c r="O10568" s="20"/>
      <c r="P10568" s="17"/>
      <c r="Q10568" s="22"/>
    </row>
    <row r="10569">
      <c r="O10569" s="20"/>
      <c r="P10569" s="17"/>
      <c r="Q10569" s="22"/>
    </row>
    <row r="10570">
      <c r="O10570" s="20"/>
      <c r="P10570" s="17"/>
      <c r="Q10570" s="22"/>
    </row>
    <row r="10571">
      <c r="O10571" s="20"/>
      <c r="P10571" s="17"/>
      <c r="Q10571" s="22"/>
    </row>
    <row r="10572">
      <c r="O10572" s="20"/>
      <c r="P10572" s="17"/>
      <c r="Q10572" s="22"/>
    </row>
    <row r="10573">
      <c r="O10573" s="20"/>
      <c r="P10573" s="17"/>
      <c r="Q10573" s="22"/>
    </row>
    <row r="10574">
      <c r="O10574" s="20"/>
      <c r="P10574" s="17"/>
      <c r="Q10574" s="22"/>
    </row>
    <row r="10575">
      <c r="O10575" s="20"/>
      <c r="P10575" s="17"/>
      <c r="Q10575" s="22"/>
    </row>
    <row r="10576">
      <c r="O10576" s="20"/>
      <c r="P10576" s="17"/>
      <c r="Q10576" s="22"/>
    </row>
    <row r="10577">
      <c r="O10577" s="20"/>
      <c r="P10577" s="17"/>
      <c r="Q10577" s="22"/>
    </row>
    <row r="10578">
      <c r="O10578" s="20"/>
      <c r="P10578" s="17"/>
      <c r="Q10578" s="22"/>
    </row>
    <row r="10579">
      <c r="O10579" s="20"/>
      <c r="P10579" s="17"/>
      <c r="Q10579" s="22"/>
    </row>
    <row r="10580">
      <c r="O10580" s="20"/>
      <c r="P10580" s="17"/>
      <c r="Q10580" s="22"/>
    </row>
    <row r="10581">
      <c r="O10581" s="20"/>
      <c r="P10581" s="17"/>
      <c r="Q10581" s="22"/>
    </row>
    <row r="10582">
      <c r="O10582" s="20"/>
      <c r="P10582" s="17"/>
      <c r="Q10582" s="22"/>
    </row>
    <row r="10583">
      <c r="O10583" s="20"/>
      <c r="P10583" s="17"/>
      <c r="Q10583" s="22"/>
    </row>
    <row r="10584">
      <c r="O10584" s="20"/>
      <c r="P10584" s="17"/>
      <c r="Q10584" s="22"/>
    </row>
    <row r="10585">
      <c r="O10585" s="20"/>
      <c r="P10585" s="17"/>
      <c r="Q10585" s="22"/>
    </row>
    <row r="10586">
      <c r="O10586" s="20"/>
      <c r="P10586" s="17"/>
      <c r="Q10586" s="22"/>
    </row>
    <row r="10587">
      <c r="O10587" s="20"/>
      <c r="P10587" s="17"/>
      <c r="Q10587" s="22"/>
    </row>
    <row r="10588">
      <c r="O10588" s="20"/>
      <c r="P10588" s="17"/>
      <c r="Q10588" s="22"/>
    </row>
    <row r="10589">
      <c r="O10589" s="20"/>
      <c r="P10589" s="17"/>
      <c r="Q10589" s="22"/>
    </row>
    <row r="10590">
      <c r="O10590" s="20"/>
      <c r="P10590" s="17"/>
      <c r="Q10590" s="22"/>
    </row>
    <row r="10591">
      <c r="O10591" s="20"/>
      <c r="P10591" s="17"/>
      <c r="Q10591" s="22"/>
    </row>
    <row r="10592">
      <c r="O10592" s="20"/>
      <c r="P10592" s="17"/>
      <c r="Q10592" s="22"/>
    </row>
    <row r="10593">
      <c r="O10593" s="20"/>
      <c r="P10593" s="17"/>
      <c r="Q10593" s="22"/>
    </row>
    <row r="10594">
      <c r="O10594" s="20"/>
      <c r="P10594" s="17"/>
      <c r="Q10594" s="22"/>
    </row>
    <row r="10595">
      <c r="O10595" s="20"/>
      <c r="P10595" s="17"/>
      <c r="Q10595" s="22"/>
    </row>
    <row r="10596">
      <c r="O10596" s="20"/>
      <c r="P10596" s="17"/>
      <c r="Q10596" s="22"/>
    </row>
    <row r="10597">
      <c r="O10597" s="20"/>
      <c r="P10597" s="17"/>
      <c r="Q10597" s="22"/>
    </row>
    <row r="10598">
      <c r="O10598" s="20"/>
      <c r="P10598" s="17"/>
      <c r="Q10598" s="22"/>
    </row>
    <row r="10599">
      <c r="O10599" s="20"/>
      <c r="P10599" s="17"/>
      <c r="Q10599" s="22"/>
    </row>
    <row r="10600">
      <c r="O10600" s="20"/>
      <c r="P10600" s="17"/>
      <c r="Q10600" s="22"/>
    </row>
    <row r="10601">
      <c r="O10601" s="20"/>
      <c r="P10601" s="17"/>
      <c r="Q10601" s="22"/>
    </row>
    <row r="10602">
      <c r="O10602" s="20"/>
      <c r="P10602" s="17"/>
      <c r="Q10602" s="22"/>
    </row>
    <row r="10603">
      <c r="O10603" s="20"/>
      <c r="P10603" s="17"/>
      <c r="Q10603" s="22"/>
    </row>
    <row r="10604">
      <c r="O10604" s="20"/>
      <c r="P10604" s="17"/>
      <c r="Q10604" s="22"/>
    </row>
    <row r="10605">
      <c r="O10605" s="20"/>
      <c r="P10605" s="17"/>
      <c r="Q10605" s="22"/>
    </row>
    <row r="10606">
      <c r="O10606" s="20"/>
      <c r="P10606" s="17"/>
      <c r="Q10606" s="22"/>
    </row>
    <row r="10607">
      <c r="O10607" s="20"/>
      <c r="P10607" s="17"/>
      <c r="Q10607" s="22"/>
    </row>
    <row r="10608">
      <c r="O10608" s="20"/>
      <c r="P10608" s="17"/>
      <c r="Q10608" s="22"/>
    </row>
    <row r="10609">
      <c r="O10609" s="20"/>
      <c r="P10609" s="17"/>
      <c r="Q10609" s="22"/>
    </row>
    <row r="10610">
      <c r="O10610" s="20"/>
      <c r="P10610" s="17"/>
      <c r="Q10610" s="22"/>
    </row>
    <row r="10611">
      <c r="O10611" s="20"/>
      <c r="P10611" s="17"/>
      <c r="Q10611" s="22"/>
    </row>
    <row r="10612">
      <c r="O10612" s="20"/>
      <c r="P10612" s="17"/>
      <c r="Q10612" s="22"/>
    </row>
    <row r="10613">
      <c r="O10613" s="20"/>
      <c r="P10613" s="17"/>
      <c r="Q10613" s="22"/>
    </row>
    <row r="10614">
      <c r="O10614" s="20"/>
      <c r="P10614" s="17"/>
      <c r="Q10614" s="22"/>
    </row>
    <row r="10615">
      <c r="O10615" s="20"/>
      <c r="P10615" s="17"/>
      <c r="Q10615" s="22"/>
    </row>
    <row r="10616">
      <c r="O10616" s="20"/>
      <c r="P10616" s="17"/>
      <c r="Q10616" s="22"/>
    </row>
    <row r="10617">
      <c r="O10617" s="20"/>
      <c r="P10617" s="17"/>
      <c r="Q10617" s="22"/>
    </row>
    <row r="10618">
      <c r="O10618" s="20"/>
      <c r="P10618" s="17"/>
      <c r="Q10618" s="22"/>
    </row>
    <row r="10619">
      <c r="O10619" s="20"/>
      <c r="P10619" s="17"/>
      <c r="Q10619" s="22"/>
    </row>
    <row r="10620">
      <c r="O10620" s="20"/>
      <c r="P10620" s="17"/>
      <c r="Q10620" s="22"/>
    </row>
    <row r="10621">
      <c r="O10621" s="20"/>
      <c r="P10621" s="17"/>
      <c r="Q10621" s="22"/>
    </row>
    <row r="10622">
      <c r="O10622" s="20"/>
      <c r="P10622" s="17"/>
      <c r="Q10622" s="22"/>
    </row>
    <row r="10623">
      <c r="O10623" s="20"/>
      <c r="P10623" s="17"/>
      <c r="Q10623" s="22"/>
    </row>
    <row r="10624">
      <c r="O10624" s="20"/>
      <c r="P10624" s="17"/>
      <c r="Q10624" s="22"/>
    </row>
    <row r="10625">
      <c r="O10625" s="20"/>
      <c r="P10625" s="17"/>
      <c r="Q10625" s="22"/>
    </row>
    <row r="10626">
      <c r="O10626" s="20"/>
      <c r="P10626" s="17"/>
      <c r="Q10626" s="22"/>
    </row>
    <row r="10627">
      <c r="O10627" s="20"/>
      <c r="P10627" s="17"/>
      <c r="Q10627" s="22"/>
    </row>
    <row r="10628">
      <c r="O10628" s="20"/>
      <c r="P10628" s="17"/>
      <c r="Q10628" s="22"/>
    </row>
    <row r="10629">
      <c r="O10629" s="20"/>
      <c r="P10629" s="17"/>
      <c r="Q10629" s="22"/>
    </row>
    <row r="10630">
      <c r="O10630" s="20"/>
      <c r="P10630" s="17"/>
      <c r="Q10630" s="22"/>
    </row>
    <row r="10631">
      <c r="O10631" s="20"/>
      <c r="P10631" s="17"/>
      <c r="Q10631" s="22"/>
    </row>
    <row r="10632">
      <c r="O10632" s="20"/>
      <c r="P10632" s="17"/>
      <c r="Q10632" s="22"/>
    </row>
    <row r="10633">
      <c r="O10633" s="20"/>
      <c r="P10633" s="17"/>
      <c r="Q10633" s="22"/>
    </row>
    <row r="10634">
      <c r="O10634" s="20"/>
      <c r="P10634" s="17"/>
      <c r="Q10634" s="22"/>
    </row>
    <row r="10635">
      <c r="O10635" s="20"/>
      <c r="P10635" s="17"/>
      <c r="Q10635" s="22"/>
    </row>
    <row r="10636">
      <c r="O10636" s="20"/>
      <c r="P10636" s="17"/>
      <c r="Q10636" s="22"/>
    </row>
    <row r="10637">
      <c r="O10637" s="20"/>
      <c r="P10637" s="17"/>
      <c r="Q10637" s="22"/>
    </row>
    <row r="10638">
      <c r="O10638" s="20"/>
      <c r="P10638" s="17"/>
      <c r="Q10638" s="22"/>
    </row>
    <row r="10639">
      <c r="O10639" s="20"/>
      <c r="P10639" s="17"/>
      <c r="Q10639" s="22"/>
    </row>
    <row r="10640">
      <c r="O10640" s="20"/>
      <c r="P10640" s="17"/>
      <c r="Q10640" s="22"/>
    </row>
    <row r="10641">
      <c r="O10641" s="20"/>
      <c r="P10641" s="17"/>
      <c r="Q10641" s="22"/>
    </row>
    <row r="10642">
      <c r="O10642" s="20"/>
      <c r="P10642" s="17"/>
      <c r="Q10642" s="22"/>
    </row>
    <row r="10643">
      <c r="O10643" s="20"/>
      <c r="P10643" s="17"/>
      <c r="Q10643" s="22"/>
    </row>
    <row r="10644">
      <c r="O10644" s="20"/>
      <c r="P10644" s="17"/>
      <c r="Q10644" s="22"/>
    </row>
    <row r="10645">
      <c r="O10645" s="20"/>
      <c r="P10645" s="17"/>
      <c r="Q10645" s="22"/>
    </row>
    <row r="10646">
      <c r="O10646" s="20"/>
      <c r="P10646" s="17"/>
      <c r="Q10646" s="22"/>
    </row>
    <row r="10647">
      <c r="O10647" s="20"/>
      <c r="P10647" s="17"/>
      <c r="Q10647" s="22"/>
    </row>
    <row r="10648">
      <c r="O10648" s="20"/>
      <c r="P10648" s="17"/>
      <c r="Q10648" s="22"/>
    </row>
    <row r="10649">
      <c r="O10649" s="20"/>
      <c r="P10649" s="17"/>
      <c r="Q10649" s="22"/>
    </row>
    <row r="10650">
      <c r="O10650" s="20"/>
      <c r="P10650" s="17"/>
      <c r="Q10650" s="22"/>
    </row>
    <row r="10651">
      <c r="O10651" s="20"/>
      <c r="P10651" s="17"/>
      <c r="Q10651" s="22"/>
    </row>
    <row r="10652">
      <c r="O10652" s="20"/>
      <c r="P10652" s="17"/>
      <c r="Q10652" s="22"/>
    </row>
    <row r="10653">
      <c r="O10653" s="20"/>
      <c r="P10653" s="17"/>
      <c r="Q10653" s="22"/>
    </row>
    <row r="10654">
      <c r="O10654" s="20"/>
      <c r="P10654" s="17"/>
      <c r="Q10654" s="22"/>
    </row>
    <row r="10655">
      <c r="O10655" s="20"/>
      <c r="P10655" s="17"/>
      <c r="Q10655" s="22"/>
    </row>
    <row r="10656">
      <c r="O10656" s="20"/>
      <c r="P10656" s="17"/>
      <c r="Q10656" s="22"/>
    </row>
    <row r="10657">
      <c r="O10657" s="20"/>
      <c r="P10657" s="17"/>
      <c r="Q10657" s="22"/>
    </row>
    <row r="10658">
      <c r="O10658" s="20"/>
      <c r="P10658" s="17"/>
      <c r="Q10658" s="22"/>
    </row>
    <row r="10659">
      <c r="O10659" s="20"/>
      <c r="P10659" s="17"/>
      <c r="Q10659" s="22"/>
    </row>
    <row r="10660">
      <c r="O10660" s="20"/>
      <c r="P10660" s="17"/>
      <c r="Q10660" s="22"/>
    </row>
    <row r="10661">
      <c r="O10661" s="20"/>
      <c r="P10661" s="17"/>
      <c r="Q10661" s="22"/>
    </row>
    <row r="10662">
      <c r="O10662" s="20"/>
      <c r="P10662" s="17"/>
      <c r="Q10662" s="22"/>
    </row>
    <row r="10663">
      <c r="O10663" s="20"/>
      <c r="P10663" s="17"/>
      <c r="Q10663" s="22"/>
    </row>
    <row r="10664">
      <c r="O10664" s="20"/>
      <c r="P10664" s="17"/>
      <c r="Q10664" s="22"/>
    </row>
    <row r="10665">
      <c r="O10665" s="20"/>
      <c r="P10665" s="17"/>
      <c r="Q10665" s="22"/>
    </row>
    <row r="10666">
      <c r="O10666" s="20"/>
      <c r="P10666" s="17"/>
      <c r="Q10666" s="22"/>
    </row>
    <row r="10667">
      <c r="O10667" s="20"/>
      <c r="P10667" s="17"/>
      <c r="Q10667" s="22"/>
    </row>
    <row r="10668">
      <c r="O10668" s="20"/>
      <c r="P10668" s="17"/>
      <c r="Q10668" s="22"/>
    </row>
    <row r="10669">
      <c r="O10669" s="20"/>
      <c r="P10669" s="17"/>
      <c r="Q10669" s="22"/>
    </row>
    <row r="10670">
      <c r="O10670" s="20"/>
      <c r="P10670" s="17"/>
      <c r="Q10670" s="22"/>
    </row>
    <row r="10671">
      <c r="O10671" s="20"/>
      <c r="P10671" s="17"/>
      <c r="Q10671" s="22"/>
    </row>
    <row r="10672">
      <c r="O10672" s="20"/>
      <c r="P10672" s="17"/>
      <c r="Q10672" s="22"/>
    </row>
    <row r="10673">
      <c r="O10673" s="20"/>
      <c r="P10673" s="17"/>
      <c r="Q10673" s="22"/>
    </row>
    <row r="10674">
      <c r="O10674" s="20"/>
      <c r="P10674" s="17"/>
      <c r="Q10674" s="22"/>
    </row>
    <row r="10675">
      <c r="O10675" s="20"/>
      <c r="P10675" s="17"/>
      <c r="Q10675" s="22"/>
    </row>
    <row r="10676">
      <c r="O10676" s="20"/>
      <c r="P10676" s="17"/>
      <c r="Q10676" s="22"/>
    </row>
    <row r="10677">
      <c r="O10677" s="20"/>
      <c r="P10677" s="17"/>
      <c r="Q10677" s="22"/>
    </row>
    <row r="10678">
      <c r="O10678" s="20"/>
      <c r="P10678" s="17"/>
      <c r="Q10678" s="22"/>
    </row>
    <row r="10679">
      <c r="O10679" s="20"/>
      <c r="P10679" s="17"/>
      <c r="Q10679" s="22"/>
    </row>
    <row r="10680">
      <c r="O10680" s="20"/>
      <c r="P10680" s="17"/>
      <c r="Q10680" s="22"/>
    </row>
    <row r="10681">
      <c r="O10681" s="20"/>
      <c r="P10681" s="17"/>
      <c r="Q10681" s="22"/>
    </row>
    <row r="10682">
      <c r="O10682" s="20"/>
      <c r="P10682" s="17"/>
      <c r="Q10682" s="22"/>
    </row>
    <row r="10683">
      <c r="O10683" s="20"/>
      <c r="P10683" s="17"/>
      <c r="Q10683" s="22"/>
    </row>
    <row r="10684">
      <c r="O10684" s="20"/>
      <c r="P10684" s="17"/>
      <c r="Q10684" s="22"/>
    </row>
    <row r="10685">
      <c r="O10685" s="20"/>
      <c r="P10685" s="17"/>
      <c r="Q10685" s="22"/>
    </row>
    <row r="10686">
      <c r="O10686" s="20"/>
      <c r="P10686" s="17"/>
      <c r="Q10686" s="22"/>
    </row>
    <row r="10687">
      <c r="O10687" s="20"/>
      <c r="P10687" s="17"/>
      <c r="Q10687" s="22"/>
    </row>
    <row r="10688">
      <c r="O10688" s="20"/>
      <c r="P10688" s="17"/>
      <c r="Q10688" s="22"/>
    </row>
    <row r="10689">
      <c r="O10689" s="20"/>
      <c r="P10689" s="17"/>
      <c r="Q10689" s="22"/>
    </row>
    <row r="10690">
      <c r="O10690" s="20"/>
      <c r="P10690" s="17"/>
      <c r="Q10690" s="22"/>
    </row>
    <row r="10691">
      <c r="O10691" s="20"/>
      <c r="P10691" s="17"/>
      <c r="Q10691" s="22"/>
    </row>
    <row r="10692">
      <c r="O10692" s="20"/>
      <c r="P10692" s="17"/>
      <c r="Q10692" s="22"/>
    </row>
    <row r="10693">
      <c r="O10693" s="20"/>
      <c r="P10693" s="17"/>
      <c r="Q10693" s="22"/>
    </row>
    <row r="10694">
      <c r="O10694" s="20"/>
      <c r="P10694" s="17"/>
      <c r="Q10694" s="22"/>
    </row>
    <row r="10695">
      <c r="O10695" s="20"/>
      <c r="P10695" s="17"/>
      <c r="Q10695" s="22"/>
    </row>
    <row r="10696">
      <c r="O10696" s="20"/>
      <c r="P10696" s="17"/>
      <c r="Q10696" s="22"/>
    </row>
    <row r="10697">
      <c r="O10697" s="20"/>
      <c r="P10697" s="17"/>
      <c r="Q10697" s="22"/>
    </row>
    <row r="10698">
      <c r="O10698" s="20"/>
      <c r="P10698" s="17"/>
      <c r="Q10698" s="22"/>
    </row>
    <row r="10699">
      <c r="O10699" s="20"/>
      <c r="P10699" s="17"/>
      <c r="Q10699" s="22"/>
    </row>
    <row r="10700">
      <c r="O10700" s="20"/>
      <c r="P10700" s="17"/>
      <c r="Q10700" s="22"/>
    </row>
    <row r="10701">
      <c r="O10701" s="20"/>
      <c r="P10701" s="17"/>
      <c r="Q10701" s="22"/>
    </row>
    <row r="10702">
      <c r="O10702" s="20"/>
      <c r="P10702" s="17"/>
      <c r="Q10702" s="22"/>
    </row>
    <row r="10703">
      <c r="O10703" s="20"/>
      <c r="P10703" s="17"/>
      <c r="Q10703" s="22"/>
    </row>
    <row r="10704">
      <c r="O10704" s="20"/>
      <c r="P10704" s="17"/>
      <c r="Q10704" s="22"/>
    </row>
    <row r="10705">
      <c r="O10705" s="20"/>
      <c r="P10705" s="17"/>
      <c r="Q10705" s="22"/>
    </row>
    <row r="10706">
      <c r="O10706" s="20"/>
      <c r="P10706" s="17"/>
      <c r="Q10706" s="22"/>
    </row>
    <row r="10707">
      <c r="O10707" s="20"/>
      <c r="P10707" s="17"/>
      <c r="Q10707" s="22"/>
    </row>
    <row r="10708">
      <c r="O10708" s="20"/>
      <c r="P10708" s="17"/>
      <c r="Q10708" s="22"/>
    </row>
    <row r="10709">
      <c r="O10709" s="20"/>
      <c r="P10709" s="17"/>
      <c r="Q10709" s="22"/>
    </row>
    <row r="10710">
      <c r="O10710" s="20"/>
      <c r="P10710" s="17"/>
      <c r="Q10710" s="22"/>
    </row>
    <row r="10711">
      <c r="O10711" s="20"/>
      <c r="P10711" s="17"/>
      <c r="Q10711" s="22"/>
    </row>
    <row r="10712">
      <c r="O10712" s="20"/>
      <c r="P10712" s="17"/>
      <c r="Q10712" s="22"/>
    </row>
    <row r="10713">
      <c r="O10713" s="20"/>
      <c r="P10713" s="17"/>
      <c r="Q10713" s="22"/>
    </row>
    <row r="10714">
      <c r="O10714" s="20"/>
      <c r="P10714" s="17"/>
      <c r="Q10714" s="22"/>
    </row>
    <row r="10715">
      <c r="O10715" s="20"/>
      <c r="P10715" s="17"/>
      <c r="Q10715" s="22"/>
    </row>
    <row r="10716">
      <c r="O10716" s="20"/>
      <c r="P10716" s="17"/>
      <c r="Q10716" s="22"/>
    </row>
    <row r="10717">
      <c r="O10717" s="20"/>
      <c r="P10717" s="17"/>
      <c r="Q10717" s="22"/>
    </row>
    <row r="10718">
      <c r="O10718" s="20"/>
      <c r="P10718" s="17"/>
      <c r="Q10718" s="22"/>
    </row>
    <row r="10719">
      <c r="O10719" s="20"/>
      <c r="P10719" s="17"/>
      <c r="Q10719" s="22"/>
    </row>
    <row r="10720">
      <c r="O10720" s="20"/>
      <c r="P10720" s="17"/>
      <c r="Q10720" s="22"/>
    </row>
    <row r="10721">
      <c r="O10721" s="20"/>
      <c r="P10721" s="17"/>
      <c r="Q10721" s="22"/>
    </row>
    <row r="10722">
      <c r="O10722" s="20"/>
      <c r="P10722" s="17"/>
      <c r="Q10722" s="22"/>
    </row>
    <row r="10723">
      <c r="O10723" s="20"/>
      <c r="P10723" s="17"/>
      <c r="Q10723" s="22"/>
    </row>
    <row r="10724">
      <c r="O10724" s="20"/>
      <c r="P10724" s="17"/>
      <c r="Q10724" s="22"/>
    </row>
    <row r="10725">
      <c r="O10725" s="20"/>
      <c r="P10725" s="17"/>
      <c r="Q10725" s="22"/>
    </row>
    <row r="10726">
      <c r="O10726" s="20"/>
      <c r="P10726" s="17"/>
      <c r="Q10726" s="22"/>
    </row>
    <row r="10727">
      <c r="O10727" s="20"/>
      <c r="P10727" s="17"/>
      <c r="Q10727" s="22"/>
    </row>
    <row r="10728">
      <c r="O10728" s="20"/>
      <c r="P10728" s="17"/>
      <c r="Q10728" s="22"/>
    </row>
    <row r="10729">
      <c r="O10729" s="20"/>
      <c r="P10729" s="17"/>
      <c r="Q10729" s="22"/>
    </row>
    <row r="10730">
      <c r="O10730" s="20"/>
      <c r="P10730" s="17"/>
      <c r="Q10730" s="22"/>
    </row>
    <row r="10731">
      <c r="O10731" s="20"/>
      <c r="P10731" s="17"/>
      <c r="Q10731" s="22"/>
    </row>
    <row r="10732">
      <c r="O10732" s="20"/>
      <c r="P10732" s="17"/>
      <c r="Q10732" s="22"/>
    </row>
    <row r="10733">
      <c r="O10733" s="20"/>
      <c r="P10733" s="17"/>
      <c r="Q10733" s="22"/>
    </row>
    <row r="10734">
      <c r="O10734" s="20"/>
      <c r="P10734" s="17"/>
      <c r="Q10734" s="22"/>
    </row>
    <row r="10735">
      <c r="O10735" s="20"/>
      <c r="P10735" s="17"/>
      <c r="Q10735" s="22"/>
    </row>
    <row r="10736">
      <c r="O10736" s="20"/>
      <c r="P10736" s="17"/>
      <c r="Q10736" s="22"/>
    </row>
    <row r="10737">
      <c r="O10737" s="20"/>
      <c r="P10737" s="17"/>
      <c r="Q10737" s="22"/>
    </row>
    <row r="10738">
      <c r="O10738" s="20"/>
      <c r="P10738" s="17"/>
      <c r="Q10738" s="22"/>
    </row>
    <row r="10739">
      <c r="O10739" s="20"/>
      <c r="P10739" s="17"/>
      <c r="Q10739" s="22"/>
    </row>
    <row r="10740">
      <c r="O10740" s="20"/>
      <c r="P10740" s="17"/>
      <c r="Q10740" s="22"/>
    </row>
    <row r="10741">
      <c r="O10741" s="20"/>
      <c r="P10741" s="17"/>
      <c r="Q10741" s="22"/>
    </row>
    <row r="10742">
      <c r="O10742" s="20"/>
      <c r="P10742" s="17"/>
      <c r="Q10742" s="22"/>
    </row>
    <row r="10743">
      <c r="O10743" s="20"/>
      <c r="P10743" s="17"/>
      <c r="Q10743" s="22"/>
    </row>
    <row r="10744">
      <c r="O10744" s="20"/>
      <c r="P10744" s="17"/>
      <c r="Q10744" s="22"/>
    </row>
    <row r="10745">
      <c r="O10745" s="20"/>
      <c r="P10745" s="17"/>
      <c r="Q10745" s="22"/>
    </row>
    <row r="10746">
      <c r="O10746" s="20"/>
      <c r="P10746" s="17"/>
      <c r="Q10746" s="22"/>
    </row>
    <row r="10747">
      <c r="O10747" s="20"/>
      <c r="P10747" s="17"/>
      <c r="Q10747" s="22"/>
    </row>
    <row r="10748">
      <c r="O10748" s="20"/>
      <c r="P10748" s="17"/>
      <c r="Q10748" s="22"/>
    </row>
    <row r="10749">
      <c r="O10749" s="20"/>
      <c r="P10749" s="17"/>
      <c r="Q10749" s="22"/>
    </row>
    <row r="10750">
      <c r="O10750" s="20"/>
      <c r="P10750" s="17"/>
      <c r="Q10750" s="22"/>
    </row>
    <row r="10751">
      <c r="O10751" s="20"/>
      <c r="P10751" s="17"/>
      <c r="Q10751" s="22"/>
    </row>
    <row r="10752">
      <c r="O10752" s="20"/>
      <c r="P10752" s="17"/>
      <c r="Q10752" s="22"/>
    </row>
    <row r="10753">
      <c r="O10753" s="20"/>
      <c r="P10753" s="17"/>
      <c r="Q10753" s="22"/>
    </row>
    <row r="10754">
      <c r="O10754" s="20"/>
      <c r="P10754" s="17"/>
      <c r="Q10754" s="22"/>
    </row>
    <row r="10755">
      <c r="O10755" s="20"/>
      <c r="P10755" s="17"/>
      <c r="Q10755" s="22"/>
    </row>
    <row r="10756">
      <c r="O10756" s="20"/>
      <c r="P10756" s="17"/>
      <c r="Q10756" s="22"/>
    </row>
    <row r="10757">
      <c r="O10757" s="20"/>
      <c r="P10757" s="17"/>
      <c r="Q10757" s="22"/>
    </row>
    <row r="10758">
      <c r="O10758" s="20"/>
      <c r="P10758" s="17"/>
      <c r="Q10758" s="22"/>
    </row>
    <row r="10759">
      <c r="O10759" s="20"/>
      <c r="P10759" s="17"/>
      <c r="Q10759" s="22"/>
    </row>
    <row r="10760">
      <c r="O10760" s="20"/>
      <c r="P10760" s="17"/>
      <c r="Q10760" s="22"/>
    </row>
    <row r="10761">
      <c r="O10761" s="20"/>
      <c r="P10761" s="17"/>
      <c r="Q10761" s="22"/>
    </row>
    <row r="10762">
      <c r="O10762" s="20"/>
      <c r="P10762" s="17"/>
      <c r="Q10762" s="22"/>
    </row>
    <row r="10763">
      <c r="O10763" s="20"/>
      <c r="P10763" s="17"/>
      <c r="Q10763" s="22"/>
    </row>
    <row r="10764">
      <c r="O10764" s="20"/>
      <c r="P10764" s="17"/>
      <c r="Q10764" s="22"/>
    </row>
    <row r="10765">
      <c r="O10765" s="20"/>
      <c r="P10765" s="17"/>
      <c r="Q10765" s="22"/>
    </row>
    <row r="10766">
      <c r="O10766" s="20"/>
      <c r="P10766" s="17"/>
      <c r="Q10766" s="22"/>
    </row>
    <row r="10767">
      <c r="O10767" s="20"/>
      <c r="P10767" s="17"/>
      <c r="Q10767" s="22"/>
    </row>
    <row r="10768">
      <c r="O10768" s="20"/>
      <c r="P10768" s="17"/>
      <c r="Q10768" s="22"/>
    </row>
    <row r="10769">
      <c r="O10769" s="20"/>
      <c r="P10769" s="17"/>
      <c r="Q10769" s="22"/>
    </row>
    <row r="10770">
      <c r="O10770" s="20"/>
      <c r="P10770" s="17"/>
      <c r="Q10770" s="22"/>
    </row>
    <row r="10771">
      <c r="O10771" s="20"/>
      <c r="P10771" s="17"/>
      <c r="Q10771" s="22"/>
    </row>
    <row r="10772">
      <c r="O10772" s="20"/>
      <c r="P10772" s="17"/>
      <c r="Q10772" s="22"/>
    </row>
    <row r="10773">
      <c r="O10773" s="20"/>
      <c r="P10773" s="17"/>
      <c r="Q10773" s="22"/>
    </row>
    <row r="10774">
      <c r="O10774" s="20"/>
      <c r="P10774" s="17"/>
      <c r="Q10774" s="22"/>
    </row>
    <row r="10775">
      <c r="O10775" s="20"/>
      <c r="P10775" s="17"/>
      <c r="Q10775" s="22"/>
    </row>
    <row r="10776">
      <c r="O10776" s="20"/>
      <c r="P10776" s="17"/>
      <c r="Q10776" s="22"/>
    </row>
    <row r="10777">
      <c r="O10777" s="20"/>
      <c r="P10777" s="17"/>
      <c r="Q10777" s="22"/>
    </row>
    <row r="10778">
      <c r="O10778" s="20"/>
      <c r="P10778" s="17"/>
      <c r="Q10778" s="22"/>
    </row>
    <row r="10779">
      <c r="O10779" s="20"/>
      <c r="P10779" s="17"/>
      <c r="Q10779" s="22"/>
    </row>
    <row r="10780">
      <c r="O10780" s="20"/>
      <c r="P10780" s="17"/>
      <c r="Q10780" s="22"/>
    </row>
    <row r="10781">
      <c r="O10781" s="20"/>
      <c r="P10781" s="17"/>
      <c r="Q10781" s="22"/>
    </row>
    <row r="10782">
      <c r="O10782" s="20"/>
      <c r="P10782" s="17"/>
      <c r="Q10782" s="22"/>
    </row>
    <row r="10783">
      <c r="O10783" s="20"/>
      <c r="P10783" s="17"/>
      <c r="Q10783" s="22"/>
    </row>
    <row r="10784">
      <c r="O10784" s="20"/>
      <c r="P10784" s="17"/>
      <c r="Q10784" s="22"/>
    </row>
    <row r="10785">
      <c r="O10785" s="20"/>
      <c r="P10785" s="17"/>
      <c r="Q10785" s="22"/>
    </row>
    <row r="10786">
      <c r="O10786" s="20"/>
      <c r="P10786" s="17"/>
      <c r="Q10786" s="22"/>
    </row>
    <row r="10787">
      <c r="O10787" s="20"/>
      <c r="P10787" s="17"/>
      <c r="Q10787" s="22"/>
    </row>
    <row r="10788">
      <c r="O10788" s="20"/>
      <c r="P10788" s="17"/>
      <c r="Q10788" s="22"/>
    </row>
    <row r="10789">
      <c r="O10789" s="20"/>
      <c r="P10789" s="17"/>
      <c r="Q10789" s="22"/>
    </row>
    <row r="10790">
      <c r="O10790" s="20"/>
      <c r="P10790" s="17"/>
      <c r="Q10790" s="22"/>
    </row>
    <row r="10791">
      <c r="O10791" s="20"/>
      <c r="P10791" s="17"/>
      <c r="Q10791" s="22"/>
    </row>
    <row r="10792">
      <c r="O10792" s="20"/>
      <c r="P10792" s="17"/>
      <c r="Q10792" s="22"/>
    </row>
    <row r="10793">
      <c r="O10793" s="20"/>
      <c r="P10793" s="17"/>
      <c r="Q10793" s="22"/>
    </row>
    <row r="10794">
      <c r="O10794" s="20"/>
      <c r="P10794" s="17"/>
      <c r="Q10794" s="22"/>
    </row>
    <row r="10795">
      <c r="O10795" s="20"/>
      <c r="P10795" s="17"/>
      <c r="Q10795" s="22"/>
    </row>
    <row r="10796">
      <c r="O10796" s="20"/>
      <c r="P10796" s="17"/>
      <c r="Q10796" s="22"/>
    </row>
    <row r="10797">
      <c r="O10797" s="20"/>
      <c r="P10797" s="17"/>
      <c r="Q10797" s="22"/>
    </row>
    <row r="10798">
      <c r="O10798" s="20"/>
      <c r="P10798" s="17"/>
      <c r="Q10798" s="22"/>
    </row>
    <row r="10799">
      <c r="O10799" s="20"/>
      <c r="P10799" s="17"/>
      <c r="Q10799" s="22"/>
    </row>
    <row r="10800">
      <c r="O10800" s="20"/>
      <c r="P10800" s="17"/>
      <c r="Q10800" s="22"/>
    </row>
    <row r="10801">
      <c r="O10801" s="20"/>
      <c r="P10801" s="17"/>
      <c r="Q10801" s="22"/>
    </row>
    <row r="10802">
      <c r="O10802" s="20"/>
      <c r="P10802" s="17"/>
      <c r="Q10802" s="22"/>
    </row>
    <row r="10803">
      <c r="O10803" s="20"/>
      <c r="P10803" s="17"/>
      <c r="Q10803" s="22"/>
    </row>
    <row r="10804">
      <c r="O10804" s="20"/>
      <c r="P10804" s="17"/>
      <c r="Q10804" s="22"/>
    </row>
    <row r="10805">
      <c r="O10805" s="20"/>
      <c r="P10805" s="17"/>
      <c r="Q10805" s="22"/>
    </row>
    <row r="10806">
      <c r="O10806" s="20"/>
      <c r="P10806" s="17"/>
      <c r="Q10806" s="22"/>
    </row>
    <row r="10807">
      <c r="O10807" s="20"/>
      <c r="P10807" s="17"/>
      <c r="Q10807" s="22"/>
    </row>
    <row r="10808">
      <c r="O10808" s="20"/>
      <c r="P10808" s="17"/>
      <c r="Q10808" s="22"/>
    </row>
    <row r="10809">
      <c r="O10809" s="20"/>
      <c r="P10809" s="17"/>
      <c r="Q10809" s="22"/>
    </row>
    <row r="10810">
      <c r="O10810" s="20"/>
      <c r="P10810" s="17"/>
      <c r="Q10810" s="22"/>
    </row>
    <row r="10811">
      <c r="O10811" s="20"/>
      <c r="P10811" s="17"/>
      <c r="Q10811" s="22"/>
    </row>
    <row r="10812">
      <c r="O10812" s="20"/>
      <c r="P10812" s="17"/>
      <c r="Q10812" s="22"/>
    </row>
    <row r="10813">
      <c r="O10813" s="20"/>
      <c r="P10813" s="17"/>
      <c r="Q10813" s="22"/>
    </row>
    <row r="10814">
      <c r="O10814" s="20"/>
      <c r="P10814" s="17"/>
      <c r="Q10814" s="22"/>
    </row>
    <row r="10815">
      <c r="O10815" s="20"/>
      <c r="P10815" s="17"/>
      <c r="Q10815" s="22"/>
    </row>
    <row r="10816">
      <c r="O10816" s="20"/>
      <c r="P10816" s="17"/>
      <c r="Q10816" s="22"/>
    </row>
    <row r="10817">
      <c r="O10817" s="20"/>
      <c r="P10817" s="17"/>
      <c r="Q10817" s="22"/>
    </row>
    <row r="10818">
      <c r="O10818" s="20"/>
      <c r="P10818" s="17"/>
      <c r="Q10818" s="22"/>
    </row>
    <row r="10819">
      <c r="O10819" s="20"/>
      <c r="P10819" s="17"/>
      <c r="Q10819" s="22"/>
    </row>
    <row r="10820">
      <c r="O10820" s="20"/>
      <c r="P10820" s="17"/>
      <c r="Q10820" s="22"/>
    </row>
    <row r="10821">
      <c r="O10821" s="20"/>
      <c r="P10821" s="17"/>
      <c r="Q10821" s="22"/>
    </row>
    <row r="10822">
      <c r="O10822" s="20"/>
      <c r="P10822" s="17"/>
      <c r="Q10822" s="22"/>
    </row>
    <row r="10823">
      <c r="O10823" s="20"/>
      <c r="P10823" s="17"/>
      <c r="Q10823" s="22"/>
    </row>
    <row r="10824">
      <c r="O10824" s="20"/>
      <c r="P10824" s="17"/>
      <c r="Q10824" s="22"/>
    </row>
    <row r="10825">
      <c r="O10825" s="20"/>
      <c r="P10825" s="17"/>
      <c r="Q10825" s="22"/>
    </row>
    <row r="10826">
      <c r="O10826" s="20"/>
      <c r="P10826" s="17"/>
      <c r="Q10826" s="22"/>
    </row>
    <row r="10827">
      <c r="O10827" s="20"/>
      <c r="P10827" s="17"/>
      <c r="Q10827" s="22"/>
    </row>
    <row r="10828">
      <c r="O10828" s="20"/>
      <c r="P10828" s="17"/>
      <c r="Q10828" s="22"/>
    </row>
    <row r="10829">
      <c r="O10829" s="20"/>
      <c r="P10829" s="17"/>
      <c r="Q10829" s="22"/>
    </row>
    <row r="10830">
      <c r="O10830" s="20"/>
      <c r="P10830" s="17"/>
      <c r="Q10830" s="22"/>
    </row>
    <row r="10831">
      <c r="O10831" s="20"/>
      <c r="P10831" s="17"/>
      <c r="Q10831" s="22"/>
    </row>
    <row r="10832">
      <c r="O10832" s="20"/>
      <c r="P10832" s="17"/>
      <c r="Q10832" s="22"/>
    </row>
    <row r="10833">
      <c r="O10833" s="20"/>
      <c r="P10833" s="17"/>
      <c r="Q10833" s="22"/>
    </row>
    <row r="10834">
      <c r="O10834" s="20"/>
      <c r="P10834" s="17"/>
      <c r="Q10834" s="22"/>
    </row>
    <row r="10835">
      <c r="O10835" s="20"/>
      <c r="P10835" s="17"/>
      <c r="Q10835" s="22"/>
    </row>
    <row r="10836">
      <c r="O10836" s="20"/>
      <c r="P10836" s="17"/>
      <c r="Q10836" s="22"/>
    </row>
    <row r="10837">
      <c r="O10837" s="20"/>
      <c r="P10837" s="17"/>
      <c r="Q10837" s="22"/>
    </row>
    <row r="10838">
      <c r="O10838" s="20"/>
      <c r="P10838" s="17"/>
      <c r="Q10838" s="22"/>
    </row>
    <row r="10839">
      <c r="O10839" s="20"/>
      <c r="P10839" s="17"/>
      <c r="Q10839" s="22"/>
    </row>
    <row r="10840">
      <c r="O10840" s="20"/>
      <c r="P10840" s="17"/>
      <c r="Q10840" s="22"/>
    </row>
    <row r="10841">
      <c r="O10841" s="20"/>
      <c r="P10841" s="17"/>
      <c r="Q10841" s="22"/>
    </row>
    <row r="10842">
      <c r="O10842" s="20"/>
      <c r="P10842" s="17"/>
      <c r="Q10842" s="22"/>
    </row>
    <row r="10843">
      <c r="O10843" s="20"/>
      <c r="P10843" s="17"/>
      <c r="Q10843" s="22"/>
    </row>
    <row r="10844">
      <c r="O10844" s="20"/>
      <c r="P10844" s="17"/>
      <c r="Q10844" s="22"/>
    </row>
    <row r="10845">
      <c r="O10845" s="20"/>
      <c r="P10845" s="17"/>
      <c r="Q10845" s="22"/>
    </row>
    <row r="10846">
      <c r="O10846" s="20"/>
      <c r="P10846" s="17"/>
      <c r="Q10846" s="22"/>
    </row>
    <row r="10847">
      <c r="O10847" s="20"/>
      <c r="P10847" s="17"/>
      <c r="Q10847" s="22"/>
    </row>
    <row r="10848">
      <c r="O10848" s="20"/>
      <c r="P10848" s="17"/>
      <c r="Q10848" s="22"/>
    </row>
    <row r="10849">
      <c r="O10849" s="20"/>
      <c r="P10849" s="17"/>
      <c r="Q10849" s="22"/>
    </row>
    <row r="10850">
      <c r="O10850" s="20"/>
      <c r="P10850" s="17"/>
      <c r="Q10850" s="22"/>
    </row>
    <row r="10851">
      <c r="O10851" s="20"/>
      <c r="P10851" s="17"/>
      <c r="Q10851" s="22"/>
    </row>
    <row r="10852">
      <c r="O10852" s="20"/>
      <c r="P10852" s="17"/>
      <c r="Q10852" s="22"/>
    </row>
    <row r="10853">
      <c r="O10853" s="20"/>
      <c r="P10853" s="17"/>
      <c r="Q10853" s="22"/>
    </row>
    <row r="10854">
      <c r="O10854" s="20"/>
      <c r="P10854" s="17"/>
      <c r="Q10854" s="22"/>
    </row>
    <row r="10855">
      <c r="O10855" s="20"/>
      <c r="P10855" s="17"/>
      <c r="Q10855" s="22"/>
    </row>
    <row r="10856">
      <c r="O10856" s="20"/>
      <c r="P10856" s="17"/>
      <c r="Q10856" s="22"/>
    </row>
    <row r="10857">
      <c r="O10857" s="20"/>
      <c r="P10857" s="17"/>
      <c r="Q10857" s="22"/>
    </row>
    <row r="10858">
      <c r="O10858" s="20"/>
      <c r="P10858" s="17"/>
      <c r="Q10858" s="22"/>
    </row>
    <row r="10859">
      <c r="O10859" s="20"/>
      <c r="P10859" s="17"/>
      <c r="Q10859" s="22"/>
    </row>
    <row r="10860">
      <c r="O10860" s="20"/>
      <c r="P10860" s="17"/>
      <c r="Q10860" s="22"/>
    </row>
    <row r="10861">
      <c r="O10861" s="20"/>
      <c r="P10861" s="17"/>
      <c r="Q10861" s="22"/>
    </row>
    <row r="10862">
      <c r="O10862" s="20"/>
      <c r="P10862" s="17"/>
      <c r="Q10862" s="22"/>
    </row>
    <row r="10863">
      <c r="O10863" s="20"/>
      <c r="P10863" s="17"/>
      <c r="Q10863" s="22"/>
    </row>
    <row r="10864">
      <c r="O10864" s="20"/>
      <c r="P10864" s="17"/>
      <c r="Q10864" s="22"/>
    </row>
    <row r="10865">
      <c r="O10865" s="20"/>
      <c r="P10865" s="17"/>
      <c r="Q10865" s="22"/>
    </row>
    <row r="10866">
      <c r="O10866" s="20"/>
      <c r="P10866" s="17"/>
      <c r="Q10866" s="22"/>
    </row>
    <row r="10867">
      <c r="O10867" s="20"/>
      <c r="P10867" s="17"/>
      <c r="Q10867" s="22"/>
    </row>
    <row r="10868">
      <c r="O10868" s="20"/>
      <c r="P10868" s="17"/>
      <c r="Q10868" s="22"/>
    </row>
    <row r="10869">
      <c r="O10869" s="20"/>
      <c r="P10869" s="17"/>
      <c r="Q10869" s="22"/>
    </row>
    <row r="10870">
      <c r="O10870" s="20"/>
      <c r="P10870" s="17"/>
      <c r="Q10870" s="22"/>
    </row>
    <row r="10871">
      <c r="O10871" s="20"/>
      <c r="P10871" s="17"/>
      <c r="Q10871" s="22"/>
    </row>
    <row r="10872">
      <c r="O10872" s="20"/>
      <c r="P10872" s="17"/>
      <c r="Q10872" s="22"/>
    </row>
    <row r="10873">
      <c r="O10873" s="20"/>
      <c r="P10873" s="17"/>
      <c r="Q10873" s="22"/>
    </row>
    <row r="10874">
      <c r="O10874" s="20"/>
      <c r="P10874" s="17"/>
      <c r="Q10874" s="22"/>
    </row>
    <row r="10875">
      <c r="O10875" s="20"/>
      <c r="P10875" s="17"/>
      <c r="Q10875" s="22"/>
    </row>
    <row r="10876">
      <c r="O10876" s="20"/>
      <c r="P10876" s="17"/>
      <c r="Q10876" s="22"/>
    </row>
    <row r="10877">
      <c r="O10877" s="20"/>
      <c r="P10877" s="17"/>
      <c r="Q10877" s="22"/>
    </row>
    <row r="10878">
      <c r="O10878" s="20"/>
      <c r="P10878" s="17"/>
      <c r="Q10878" s="22"/>
    </row>
    <row r="10879">
      <c r="O10879" s="20"/>
      <c r="P10879" s="17"/>
      <c r="Q10879" s="22"/>
    </row>
    <row r="10880">
      <c r="O10880" s="20"/>
      <c r="P10880" s="17"/>
      <c r="Q10880" s="22"/>
    </row>
    <row r="10881">
      <c r="O10881" s="20"/>
      <c r="P10881" s="17"/>
      <c r="Q10881" s="22"/>
    </row>
    <row r="10882">
      <c r="O10882" s="20"/>
      <c r="P10882" s="17"/>
      <c r="Q10882" s="22"/>
    </row>
    <row r="10883">
      <c r="O10883" s="20"/>
      <c r="P10883" s="17"/>
      <c r="Q10883" s="22"/>
    </row>
    <row r="10884">
      <c r="O10884" s="20"/>
      <c r="P10884" s="17"/>
      <c r="Q10884" s="22"/>
    </row>
    <row r="10885">
      <c r="O10885" s="20"/>
      <c r="P10885" s="17"/>
      <c r="Q10885" s="22"/>
    </row>
    <row r="10886">
      <c r="O10886" s="20"/>
      <c r="P10886" s="17"/>
      <c r="Q10886" s="22"/>
    </row>
    <row r="10887">
      <c r="O10887" s="20"/>
      <c r="P10887" s="17"/>
      <c r="Q10887" s="22"/>
    </row>
    <row r="10888">
      <c r="O10888" s="20"/>
      <c r="P10888" s="17"/>
      <c r="Q10888" s="22"/>
    </row>
    <row r="10889">
      <c r="O10889" s="20"/>
      <c r="P10889" s="17"/>
      <c r="Q10889" s="22"/>
    </row>
    <row r="10890">
      <c r="O10890" s="20"/>
      <c r="P10890" s="17"/>
      <c r="Q10890" s="22"/>
    </row>
    <row r="10891">
      <c r="O10891" s="20"/>
      <c r="P10891" s="17"/>
      <c r="Q10891" s="22"/>
    </row>
    <row r="10892">
      <c r="O10892" s="20"/>
      <c r="P10892" s="17"/>
      <c r="Q10892" s="22"/>
    </row>
    <row r="10893">
      <c r="O10893" s="20"/>
      <c r="P10893" s="17"/>
      <c r="Q10893" s="22"/>
    </row>
    <row r="10894">
      <c r="O10894" s="20"/>
      <c r="P10894" s="17"/>
      <c r="Q10894" s="22"/>
    </row>
    <row r="10895">
      <c r="O10895" s="20"/>
      <c r="P10895" s="17"/>
      <c r="Q10895" s="22"/>
    </row>
    <row r="10896">
      <c r="O10896" s="20"/>
      <c r="P10896" s="17"/>
      <c r="Q10896" s="22"/>
    </row>
    <row r="10897">
      <c r="O10897" s="20"/>
      <c r="P10897" s="17"/>
      <c r="Q10897" s="22"/>
    </row>
    <row r="10898">
      <c r="O10898" s="20"/>
      <c r="P10898" s="17"/>
      <c r="Q10898" s="22"/>
    </row>
    <row r="10899">
      <c r="O10899" s="20"/>
      <c r="P10899" s="17"/>
      <c r="Q10899" s="22"/>
    </row>
    <row r="10900">
      <c r="O10900" s="20"/>
      <c r="P10900" s="17"/>
      <c r="Q10900" s="22"/>
    </row>
    <row r="10901">
      <c r="O10901" s="20"/>
      <c r="P10901" s="17"/>
      <c r="Q10901" s="22"/>
    </row>
    <row r="10902">
      <c r="O10902" s="20"/>
      <c r="P10902" s="17"/>
      <c r="Q10902" s="22"/>
    </row>
    <row r="10903">
      <c r="O10903" s="20"/>
      <c r="P10903" s="17"/>
      <c r="Q10903" s="22"/>
    </row>
    <row r="10904">
      <c r="O10904" s="20"/>
      <c r="P10904" s="17"/>
      <c r="Q10904" s="22"/>
    </row>
    <row r="10905">
      <c r="O10905" s="20"/>
      <c r="P10905" s="17"/>
      <c r="Q10905" s="22"/>
    </row>
    <row r="10906">
      <c r="O10906" s="20"/>
      <c r="P10906" s="17"/>
      <c r="Q10906" s="22"/>
    </row>
    <row r="10907">
      <c r="O10907" s="20"/>
      <c r="P10907" s="17"/>
      <c r="Q10907" s="22"/>
    </row>
    <row r="10908">
      <c r="O10908" s="20"/>
      <c r="P10908" s="17"/>
      <c r="Q10908" s="22"/>
    </row>
    <row r="10909">
      <c r="O10909" s="20"/>
      <c r="P10909" s="17"/>
      <c r="Q10909" s="22"/>
    </row>
    <row r="10910">
      <c r="O10910" s="20"/>
      <c r="P10910" s="17"/>
      <c r="Q10910" s="22"/>
    </row>
    <row r="10911">
      <c r="O10911" s="20"/>
      <c r="P10911" s="17"/>
      <c r="Q10911" s="22"/>
    </row>
    <row r="10912">
      <c r="O10912" s="20"/>
      <c r="P10912" s="17"/>
      <c r="Q10912" s="22"/>
    </row>
    <row r="10913">
      <c r="O10913" s="20"/>
      <c r="P10913" s="17"/>
      <c r="Q10913" s="22"/>
    </row>
    <row r="10914">
      <c r="O10914" s="20"/>
      <c r="P10914" s="17"/>
      <c r="Q10914" s="22"/>
    </row>
    <row r="10915">
      <c r="O10915" s="20"/>
      <c r="P10915" s="17"/>
      <c r="Q10915" s="22"/>
    </row>
    <row r="10916">
      <c r="O10916" s="20"/>
      <c r="P10916" s="17"/>
      <c r="Q10916" s="22"/>
    </row>
    <row r="10917">
      <c r="O10917" s="20"/>
      <c r="P10917" s="17"/>
      <c r="Q10917" s="22"/>
    </row>
    <row r="10918">
      <c r="O10918" s="20"/>
      <c r="P10918" s="17"/>
      <c r="Q10918" s="22"/>
    </row>
    <row r="10919">
      <c r="O10919" s="20"/>
      <c r="P10919" s="17"/>
      <c r="Q10919" s="22"/>
    </row>
    <row r="10920">
      <c r="O10920" s="20"/>
      <c r="P10920" s="17"/>
      <c r="Q10920" s="22"/>
    </row>
    <row r="10921">
      <c r="O10921" s="20"/>
      <c r="P10921" s="17"/>
      <c r="Q10921" s="22"/>
    </row>
    <row r="10922">
      <c r="O10922" s="20"/>
      <c r="P10922" s="17"/>
      <c r="Q10922" s="22"/>
    </row>
    <row r="10923">
      <c r="O10923" s="20"/>
      <c r="P10923" s="17"/>
      <c r="Q10923" s="22"/>
    </row>
    <row r="10924">
      <c r="O10924" s="20"/>
      <c r="P10924" s="17"/>
      <c r="Q10924" s="22"/>
    </row>
    <row r="10925">
      <c r="O10925" s="20"/>
      <c r="P10925" s="17"/>
      <c r="Q10925" s="22"/>
    </row>
    <row r="10926">
      <c r="O10926" s="20"/>
      <c r="P10926" s="17"/>
      <c r="Q10926" s="22"/>
    </row>
    <row r="10927">
      <c r="O10927" s="20"/>
      <c r="P10927" s="17"/>
      <c r="Q10927" s="22"/>
    </row>
    <row r="10928">
      <c r="O10928" s="20"/>
      <c r="P10928" s="17"/>
      <c r="Q10928" s="22"/>
    </row>
    <row r="10929">
      <c r="O10929" s="20"/>
      <c r="P10929" s="17"/>
      <c r="Q10929" s="22"/>
    </row>
    <row r="10930">
      <c r="O10930" s="20"/>
      <c r="P10930" s="17"/>
      <c r="Q10930" s="22"/>
    </row>
    <row r="10931">
      <c r="O10931" s="20"/>
      <c r="P10931" s="17"/>
      <c r="Q10931" s="22"/>
    </row>
    <row r="10932">
      <c r="O10932" s="20"/>
      <c r="P10932" s="17"/>
      <c r="Q10932" s="22"/>
    </row>
    <row r="10933">
      <c r="O10933" s="20"/>
      <c r="P10933" s="17"/>
      <c r="Q10933" s="22"/>
    </row>
    <row r="10934">
      <c r="O10934" s="20"/>
      <c r="P10934" s="17"/>
      <c r="Q10934" s="22"/>
    </row>
    <row r="10935">
      <c r="O10935" s="20"/>
      <c r="P10935" s="17"/>
      <c r="Q10935" s="22"/>
    </row>
    <row r="10936">
      <c r="O10936" s="20"/>
      <c r="P10936" s="17"/>
      <c r="Q10936" s="22"/>
    </row>
    <row r="10937">
      <c r="O10937" s="20"/>
      <c r="P10937" s="17"/>
      <c r="Q10937" s="22"/>
    </row>
    <row r="10938">
      <c r="O10938" s="20"/>
      <c r="P10938" s="17"/>
      <c r="Q10938" s="22"/>
    </row>
    <row r="10939">
      <c r="O10939" s="20"/>
      <c r="P10939" s="17"/>
      <c r="Q10939" s="22"/>
    </row>
    <row r="10940">
      <c r="O10940" s="20"/>
      <c r="P10940" s="17"/>
      <c r="Q10940" s="22"/>
    </row>
    <row r="10941">
      <c r="O10941" s="20"/>
      <c r="P10941" s="17"/>
      <c r="Q10941" s="22"/>
    </row>
    <row r="10942">
      <c r="O10942" s="20"/>
      <c r="P10942" s="17"/>
      <c r="Q10942" s="22"/>
    </row>
    <row r="10943">
      <c r="O10943" s="20"/>
      <c r="P10943" s="17"/>
      <c r="Q10943" s="22"/>
    </row>
    <row r="10944">
      <c r="O10944" s="20"/>
      <c r="P10944" s="17"/>
      <c r="Q10944" s="22"/>
    </row>
    <row r="10945">
      <c r="O10945" s="20"/>
      <c r="P10945" s="17"/>
      <c r="Q10945" s="22"/>
    </row>
    <row r="10946">
      <c r="O10946" s="20"/>
      <c r="P10946" s="17"/>
      <c r="Q10946" s="22"/>
    </row>
    <row r="10947">
      <c r="O10947" s="20"/>
      <c r="P10947" s="17"/>
      <c r="Q10947" s="22"/>
    </row>
    <row r="10948">
      <c r="O10948" s="20"/>
      <c r="P10948" s="17"/>
      <c r="Q10948" s="22"/>
    </row>
    <row r="10949">
      <c r="O10949" s="20"/>
      <c r="P10949" s="17"/>
      <c r="Q10949" s="22"/>
    </row>
    <row r="10950">
      <c r="O10950" s="20"/>
      <c r="P10950" s="17"/>
      <c r="Q10950" s="22"/>
    </row>
    <row r="10951">
      <c r="O10951" s="20"/>
      <c r="P10951" s="17"/>
      <c r="Q10951" s="22"/>
    </row>
    <row r="10952">
      <c r="O10952" s="20"/>
      <c r="P10952" s="17"/>
      <c r="Q10952" s="22"/>
    </row>
    <row r="10953">
      <c r="O10953" s="20"/>
      <c r="P10953" s="17"/>
      <c r="Q10953" s="22"/>
    </row>
    <row r="10954">
      <c r="O10954" s="20"/>
      <c r="P10954" s="17"/>
      <c r="Q10954" s="22"/>
    </row>
    <row r="10955">
      <c r="O10955" s="20"/>
      <c r="P10955" s="17"/>
      <c r="Q10955" s="22"/>
    </row>
    <row r="10956">
      <c r="O10956" s="20"/>
      <c r="P10956" s="17"/>
      <c r="Q10956" s="22"/>
    </row>
    <row r="10957">
      <c r="O10957" s="20"/>
      <c r="P10957" s="17"/>
      <c r="Q10957" s="22"/>
    </row>
    <row r="10958">
      <c r="O10958" s="20"/>
      <c r="P10958" s="17"/>
      <c r="Q10958" s="22"/>
    </row>
    <row r="10959">
      <c r="O10959" s="20"/>
      <c r="P10959" s="17"/>
      <c r="Q10959" s="22"/>
    </row>
    <row r="10960">
      <c r="O10960" s="20"/>
      <c r="P10960" s="17"/>
      <c r="Q10960" s="22"/>
    </row>
    <row r="10961">
      <c r="O10961" s="20"/>
      <c r="P10961" s="17"/>
      <c r="Q10961" s="22"/>
    </row>
    <row r="10962">
      <c r="O10962" s="20"/>
      <c r="P10962" s="17"/>
      <c r="Q10962" s="22"/>
    </row>
    <row r="10963">
      <c r="O10963" s="20"/>
      <c r="P10963" s="17"/>
      <c r="Q10963" s="22"/>
    </row>
    <row r="10964">
      <c r="O10964" s="20"/>
      <c r="P10964" s="17"/>
      <c r="Q10964" s="22"/>
    </row>
    <row r="10965">
      <c r="O10965" s="20"/>
      <c r="P10965" s="17"/>
      <c r="Q10965" s="22"/>
    </row>
    <row r="10966">
      <c r="O10966" s="20"/>
      <c r="P10966" s="17"/>
      <c r="Q10966" s="22"/>
    </row>
    <row r="10967">
      <c r="O10967" s="20"/>
      <c r="P10967" s="17"/>
      <c r="Q10967" s="22"/>
    </row>
    <row r="10968">
      <c r="O10968" s="20"/>
      <c r="P10968" s="17"/>
      <c r="Q10968" s="22"/>
    </row>
    <row r="10969">
      <c r="O10969" s="20"/>
      <c r="P10969" s="17"/>
      <c r="Q10969" s="22"/>
    </row>
    <row r="10970">
      <c r="O10970" s="20"/>
      <c r="P10970" s="17"/>
      <c r="Q10970" s="22"/>
    </row>
    <row r="10971">
      <c r="O10971" s="20"/>
      <c r="P10971" s="17"/>
      <c r="Q10971" s="22"/>
    </row>
    <row r="10972">
      <c r="O10972" s="20"/>
      <c r="P10972" s="17"/>
      <c r="Q10972" s="22"/>
    </row>
    <row r="10973">
      <c r="O10973" s="20"/>
      <c r="P10973" s="17"/>
      <c r="Q10973" s="22"/>
    </row>
    <row r="10974">
      <c r="O10974" s="20"/>
      <c r="P10974" s="17"/>
      <c r="Q10974" s="22"/>
    </row>
    <row r="10975">
      <c r="O10975" s="20"/>
      <c r="P10975" s="17"/>
      <c r="Q10975" s="22"/>
    </row>
    <row r="10976">
      <c r="O10976" s="20"/>
      <c r="P10976" s="17"/>
      <c r="Q10976" s="22"/>
    </row>
    <row r="10977">
      <c r="O10977" s="20"/>
      <c r="P10977" s="17"/>
      <c r="Q10977" s="22"/>
    </row>
    <row r="10978">
      <c r="O10978" s="20"/>
      <c r="P10978" s="17"/>
      <c r="Q10978" s="22"/>
    </row>
    <row r="10979">
      <c r="O10979" s="20"/>
      <c r="P10979" s="17"/>
      <c r="Q10979" s="22"/>
    </row>
    <row r="10980">
      <c r="O10980" s="20"/>
      <c r="P10980" s="17"/>
      <c r="Q10980" s="22"/>
    </row>
    <row r="10981">
      <c r="O10981" s="20"/>
      <c r="P10981" s="17"/>
      <c r="Q10981" s="22"/>
    </row>
    <row r="10982">
      <c r="O10982" s="20"/>
      <c r="P10982" s="17"/>
      <c r="Q10982" s="22"/>
    </row>
    <row r="10983">
      <c r="O10983" s="20"/>
      <c r="P10983" s="17"/>
      <c r="Q10983" s="22"/>
    </row>
    <row r="10984">
      <c r="O10984" s="20"/>
      <c r="P10984" s="17"/>
      <c r="Q10984" s="22"/>
    </row>
    <row r="10985">
      <c r="O10985" s="20"/>
      <c r="P10985" s="17"/>
      <c r="Q10985" s="22"/>
    </row>
    <row r="10986">
      <c r="O10986" s="20"/>
      <c r="P10986" s="17"/>
      <c r="Q10986" s="22"/>
    </row>
    <row r="10987">
      <c r="O10987" s="20"/>
      <c r="P10987" s="17"/>
      <c r="Q10987" s="22"/>
    </row>
    <row r="10988">
      <c r="O10988" s="20"/>
      <c r="P10988" s="17"/>
      <c r="Q10988" s="22"/>
    </row>
    <row r="10989">
      <c r="O10989" s="20"/>
      <c r="P10989" s="17"/>
      <c r="Q10989" s="22"/>
    </row>
    <row r="10990">
      <c r="O10990" s="20"/>
      <c r="P10990" s="17"/>
      <c r="Q10990" s="22"/>
    </row>
    <row r="10991">
      <c r="O10991" s="20"/>
      <c r="P10991" s="17"/>
      <c r="Q10991" s="22"/>
    </row>
    <row r="10992">
      <c r="O10992" s="20"/>
      <c r="P10992" s="17"/>
      <c r="Q10992" s="22"/>
    </row>
    <row r="10993">
      <c r="O10993" s="20"/>
      <c r="P10993" s="17"/>
      <c r="Q10993" s="22"/>
    </row>
    <row r="10994">
      <c r="O10994" s="20"/>
      <c r="P10994" s="17"/>
      <c r="Q10994" s="22"/>
    </row>
    <row r="10995">
      <c r="O10995" s="20"/>
      <c r="P10995" s="17"/>
      <c r="Q10995" s="22"/>
    </row>
    <row r="10996">
      <c r="O10996" s="20"/>
      <c r="P10996" s="17"/>
      <c r="Q10996" s="22"/>
    </row>
    <row r="10997">
      <c r="O10997" s="20"/>
      <c r="P10997" s="17"/>
      <c r="Q10997" s="22"/>
    </row>
    <row r="10998">
      <c r="O10998" s="20"/>
      <c r="P10998" s="17"/>
      <c r="Q10998" s="22"/>
    </row>
    <row r="10999">
      <c r="O10999" s="20"/>
      <c r="P10999" s="17"/>
      <c r="Q10999" s="22"/>
    </row>
    <row r="11000">
      <c r="O11000" s="20"/>
      <c r="P11000" s="17"/>
      <c r="Q11000" s="22"/>
    </row>
    <row r="11001">
      <c r="O11001" s="20"/>
      <c r="P11001" s="17"/>
      <c r="Q11001" s="22"/>
    </row>
    <row r="11002">
      <c r="O11002" s="20"/>
      <c r="P11002" s="17"/>
      <c r="Q11002" s="22"/>
    </row>
    <row r="11003">
      <c r="O11003" s="20"/>
      <c r="P11003" s="17"/>
      <c r="Q11003" s="22"/>
    </row>
    <row r="11004">
      <c r="O11004" s="20"/>
      <c r="P11004" s="17"/>
      <c r="Q11004" s="22"/>
    </row>
    <row r="11005">
      <c r="O11005" s="20"/>
      <c r="P11005" s="17"/>
      <c r="Q11005" s="22"/>
    </row>
    <row r="11006">
      <c r="O11006" s="20"/>
      <c r="P11006" s="17"/>
      <c r="Q11006" s="22"/>
    </row>
    <row r="11007">
      <c r="O11007" s="20"/>
      <c r="P11007" s="17"/>
      <c r="Q11007" s="22"/>
    </row>
    <row r="11008">
      <c r="O11008" s="20"/>
      <c r="P11008" s="17"/>
      <c r="Q11008" s="22"/>
    </row>
    <row r="11009">
      <c r="O11009" s="20"/>
      <c r="P11009" s="17"/>
      <c r="Q11009" s="22"/>
    </row>
    <row r="11010">
      <c r="O11010" s="20"/>
      <c r="P11010" s="17"/>
      <c r="Q11010" s="22"/>
    </row>
    <row r="11011">
      <c r="O11011" s="20"/>
      <c r="P11011" s="17"/>
      <c r="Q11011" s="22"/>
    </row>
    <row r="11012">
      <c r="O11012" s="20"/>
      <c r="P11012" s="17"/>
      <c r="Q11012" s="22"/>
    </row>
    <row r="11013">
      <c r="O11013" s="20"/>
      <c r="P11013" s="17"/>
      <c r="Q11013" s="22"/>
    </row>
    <row r="11014">
      <c r="O11014" s="20"/>
      <c r="P11014" s="17"/>
      <c r="Q11014" s="22"/>
    </row>
    <row r="11015">
      <c r="O11015" s="20"/>
      <c r="P11015" s="17"/>
      <c r="Q11015" s="22"/>
    </row>
    <row r="11016">
      <c r="O11016" s="20"/>
      <c r="P11016" s="17"/>
      <c r="Q11016" s="22"/>
    </row>
    <row r="11017">
      <c r="O11017" s="20"/>
      <c r="P11017" s="17"/>
      <c r="Q11017" s="22"/>
    </row>
    <row r="11018">
      <c r="O11018" s="20"/>
      <c r="P11018" s="17"/>
      <c r="Q11018" s="22"/>
    </row>
    <row r="11019">
      <c r="O11019" s="20"/>
      <c r="P11019" s="17"/>
      <c r="Q11019" s="22"/>
    </row>
    <row r="11020">
      <c r="O11020" s="20"/>
      <c r="P11020" s="17"/>
      <c r="Q11020" s="22"/>
    </row>
    <row r="11021">
      <c r="O11021" s="20"/>
      <c r="P11021" s="17"/>
      <c r="Q11021" s="22"/>
    </row>
    <row r="11022">
      <c r="O11022" s="20"/>
      <c r="P11022" s="17"/>
      <c r="Q11022" s="22"/>
    </row>
    <row r="11023">
      <c r="O11023" s="20"/>
      <c r="P11023" s="17"/>
      <c r="Q11023" s="22"/>
    </row>
    <row r="11024">
      <c r="O11024" s="20"/>
      <c r="P11024" s="17"/>
      <c r="Q11024" s="22"/>
    </row>
    <row r="11025">
      <c r="O11025" s="20"/>
      <c r="P11025" s="17"/>
      <c r="Q11025" s="22"/>
    </row>
    <row r="11026">
      <c r="O11026" s="20"/>
      <c r="P11026" s="17"/>
      <c r="Q11026" s="22"/>
    </row>
    <row r="11027">
      <c r="O11027" s="20"/>
      <c r="P11027" s="17"/>
      <c r="Q11027" s="22"/>
    </row>
    <row r="11028">
      <c r="O11028" s="20"/>
      <c r="P11028" s="17"/>
      <c r="Q11028" s="22"/>
    </row>
    <row r="11029">
      <c r="O11029" s="20"/>
      <c r="P11029" s="17"/>
      <c r="Q11029" s="22"/>
    </row>
    <row r="11030">
      <c r="O11030" s="20"/>
      <c r="P11030" s="17"/>
      <c r="Q11030" s="22"/>
    </row>
    <row r="11031">
      <c r="O11031" s="20"/>
      <c r="P11031" s="17"/>
      <c r="Q11031" s="22"/>
    </row>
    <row r="11032">
      <c r="O11032" s="20"/>
      <c r="P11032" s="17"/>
      <c r="Q11032" s="22"/>
    </row>
    <row r="11033">
      <c r="O11033" s="20"/>
      <c r="P11033" s="17"/>
      <c r="Q11033" s="22"/>
    </row>
    <row r="11034">
      <c r="O11034" s="20"/>
      <c r="P11034" s="17"/>
      <c r="Q11034" s="22"/>
    </row>
    <row r="11035">
      <c r="O11035" s="20"/>
      <c r="P11035" s="17"/>
      <c r="Q11035" s="22"/>
    </row>
    <row r="11036">
      <c r="O11036" s="20"/>
      <c r="P11036" s="17"/>
      <c r="Q11036" s="22"/>
    </row>
    <row r="11037">
      <c r="O11037" s="20"/>
      <c r="P11037" s="17"/>
      <c r="Q11037" s="22"/>
    </row>
    <row r="11038">
      <c r="O11038" s="20"/>
      <c r="P11038" s="17"/>
      <c r="Q11038" s="22"/>
    </row>
    <row r="11039">
      <c r="O11039" s="20"/>
      <c r="P11039" s="17"/>
      <c r="Q11039" s="22"/>
    </row>
    <row r="11040">
      <c r="O11040" s="20"/>
      <c r="P11040" s="17"/>
      <c r="Q11040" s="22"/>
    </row>
    <row r="11041">
      <c r="O11041" s="20"/>
      <c r="P11041" s="17"/>
      <c r="Q11041" s="22"/>
    </row>
    <row r="11042">
      <c r="O11042" s="20"/>
      <c r="P11042" s="17"/>
      <c r="Q11042" s="22"/>
    </row>
    <row r="11043">
      <c r="O11043" s="20"/>
      <c r="P11043" s="17"/>
      <c r="Q11043" s="22"/>
    </row>
    <row r="11044">
      <c r="O11044" s="20"/>
      <c r="P11044" s="17"/>
      <c r="Q11044" s="22"/>
    </row>
    <row r="11045">
      <c r="O11045" s="20"/>
      <c r="P11045" s="17"/>
      <c r="Q11045" s="22"/>
    </row>
    <row r="11046">
      <c r="O11046" s="20"/>
      <c r="P11046" s="17"/>
      <c r="Q11046" s="22"/>
    </row>
    <row r="11047">
      <c r="O11047" s="20"/>
      <c r="P11047" s="17"/>
      <c r="Q11047" s="22"/>
    </row>
    <row r="11048">
      <c r="O11048" s="20"/>
      <c r="P11048" s="17"/>
      <c r="Q11048" s="22"/>
    </row>
    <row r="11049">
      <c r="O11049" s="20"/>
      <c r="P11049" s="17"/>
      <c r="Q11049" s="22"/>
    </row>
    <row r="11050">
      <c r="O11050" s="20"/>
      <c r="P11050" s="17"/>
      <c r="Q11050" s="22"/>
    </row>
    <row r="11051">
      <c r="O11051" s="20"/>
      <c r="P11051" s="17"/>
      <c r="Q11051" s="22"/>
    </row>
    <row r="11052">
      <c r="O11052" s="20"/>
      <c r="P11052" s="17"/>
      <c r="Q11052" s="22"/>
    </row>
    <row r="11053">
      <c r="O11053" s="20"/>
      <c r="P11053" s="17"/>
      <c r="Q11053" s="22"/>
    </row>
    <row r="11054">
      <c r="O11054" s="20"/>
      <c r="P11054" s="17"/>
      <c r="Q11054" s="22"/>
    </row>
    <row r="11055">
      <c r="O11055" s="20"/>
      <c r="P11055" s="17"/>
      <c r="Q11055" s="22"/>
    </row>
    <row r="11056">
      <c r="O11056" s="20"/>
      <c r="P11056" s="17"/>
      <c r="Q11056" s="22"/>
    </row>
    <row r="11057">
      <c r="O11057" s="20"/>
      <c r="P11057" s="17"/>
      <c r="Q11057" s="22"/>
    </row>
    <row r="11058">
      <c r="O11058" s="20"/>
      <c r="P11058" s="17"/>
      <c r="Q11058" s="22"/>
    </row>
    <row r="11059">
      <c r="O11059" s="20"/>
      <c r="P11059" s="17"/>
      <c r="Q11059" s="22"/>
    </row>
    <row r="11060">
      <c r="O11060" s="20"/>
      <c r="P11060" s="17"/>
      <c r="Q11060" s="22"/>
    </row>
    <row r="11061">
      <c r="O11061" s="20"/>
      <c r="P11061" s="17"/>
      <c r="Q11061" s="22"/>
    </row>
    <row r="11062">
      <c r="O11062" s="20"/>
      <c r="P11062" s="17"/>
      <c r="Q11062" s="22"/>
    </row>
    <row r="11063">
      <c r="O11063" s="20"/>
      <c r="P11063" s="17"/>
      <c r="Q11063" s="22"/>
    </row>
    <row r="11064">
      <c r="O11064" s="20"/>
      <c r="P11064" s="17"/>
      <c r="Q11064" s="22"/>
    </row>
    <row r="11065">
      <c r="O11065" s="20"/>
      <c r="P11065" s="17"/>
      <c r="Q11065" s="22"/>
    </row>
    <row r="11066">
      <c r="O11066" s="20"/>
      <c r="P11066" s="17"/>
      <c r="Q11066" s="22"/>
    </row>
    <row r="11067">
      <c r="O11067" s="20"/>
      <c r="P11067" s="17"/>
      <c r="Q11067" s="22"/>
    </row>
    <row r="11068">
      <c r="O11068" s="20"/>
      <c r="P11068" s="17"/>
      <c r="Q11068" s="22"/>
    </row>
    <row r="11069">
      <c r="O11069" s="20"/>
      <c r="P11069" s="17"/>
      <c r="Q11069" s="22"/>
    </row>
    <row r="11070">
      <c r="O11070" s="20"/>
      <c r="P11070" s="17"/>
      <c r="Q11070" s="22"/>
    </row>
    <row r="11071">
      <c r="O11071" s="20"/>
      <c r="P11071" s="17"/>
      <c r="Q11071" s="22"/>
    </row>
    <row r="11072">
      <c r="O11072" s="20"/>
      <c r="P11072" s="17"/>
      <c r="Q11072" s="22"/>
    </row>
    <row r="11073">
      <c r="O11073" s="20"/>
      <c r="P11073" s="17"/>
      <c r="Q11073" s="22"/>
    </row>
    <row r="11074">
      <c r="O11074" s="20"/>
      <c r="P11074" s="17"/>
      <c r="Q11074" s="22"/>
    </row>
    <row r="11075">
      <c r="O11075" s="20"/>
      <c r="P11075" s="17"/>
      <c r="Q11075" s="22"/>
    </row>
    <row r="11076">
      <c r="O11076" s="20"/>
      <c r="P11076" s="17"/>
      <c r="Q11076" s="22"/>
    </row>
    <row r="11077">
      <c r="O11077" s="20"/>
      <c r="P11077" s="17"/>
      <c r="Q11077" s="22"/>
    </row>
    <row r="11078">
      <c r="O11078" s="20"/>
      <c r="P11078" s="17"/>
      <c r="Q11078" s="22"/>
    </row>
    <row r="11079">
      <c r="O11079" s="20"/>
      <c r="P11079" s="17"/>
      <c r="Q11079" s="22"/>
    </row>
    <row r="11080">
      <c r="O11080" s="20"/>
      <c r="P11080" s="17"/>
      <c r="Q11080" s="22"/>
    </row>
    <row r="11081">
      <c r="O11081" s="20"/>
      <c r="P11081" s="17"/>
      <c r="Q11081" s="22"/>
    </row>
    <row r="11082">
      <c r="O11082" s="20"/>
      <c r="P11082" s="17"/>
      <c r="Q11082" s="22"/>
    </row>
    <row r="11083">
      <c r="O11083" s="20"/>
      <c r="P11083" s="17"/>
      <c r="Q11083" s="22"/>
    </row>
    <row r="11084">
      <c r="O11084" s="20"/>
      <c r="P11084" s="17"/>
      <c r="Q11084" s="22"/>
    </row>
    <row r="11085">
      <c r="O11085" s="20"/>
      <c r="P11085" s="17"/>
      <c r="Q11085" s="22"/>
    </row>
    <row r="11086">
      <c r="O11086" s="20"/>
      <c r="P11086" s="17"/>
      <c r="Q11086" s="22"/>
    </row>
    <row r="11087">
      <c r="O11087" s="20"/>
      <c r="P11087" s="17"/>
      <c r="Q11087" s="22"/>
    </row>
    <row r="11088">
      <c r="O11088" s="20"/>
      <c r="P11088" s="17"/>
      <c r="Q11088" s="22"/>
    </row>
    <row r="11089">
      <c r="O11089" s="20"/>
      <c r="P11089" s="17"/>
      <c r="Q11089" s="22"/>
    </row>
    <row r="11090">
      <c r="O11090" s="20"/>
      <c r="P11090" s="17"/>
      <c r="Q11090" s="22"/>
    </row>
    <row r="11091">
      <c r="O11091" s="20"/>
      <c r="P11091" s="17"/>
      <c r="Q11091" s="22"/>
    </row>
    <row r="11092">
      <c r="O11092" s="20"/>
      <c r="P11092" s="17"/>
      <c r="Q11092" s="22"/>
    </row>
    <row r="11093">
      <c r="O11093" s="20"/>
      <c r="P11093" s="17"/>
      <c r="Q11093" s="22"/>
    </row>
    <row r="11094">
      <c r="O11094" s="20"/>
      <c r="P11094" s="17"/>
      <c r="Q11094" s="22"/>
    </row>
    <row r="11095">
      <c r="O11095" s="20"/>
      <c r="P11095" s="17"/>
      <c r="Q11095" s="22"/>
    </row>
    <row r="11096">
      <c r="O11096" s="20"/>
      <c r="P11096" s="17"/>
      <c r="Q11096" s="22"/>
    </row>
    <row r="11097">
      <c r="O11097" s="20"/>
      <c r="P11097" s="17"/>
      <c r="Q11097" s="22"/>
    </row>
    <row r="11098">
      <c r="O11098" s="20"/>
      <c r="P11098" s="17"/>
      <c r="Q11098" s="22"/>
    </row>
    <row r="11099">
      <c r="O11099" s="20"/>
      <c r="P11099" s="17"/>
      <c r="Q11099" s="22"/>
    </row>
    <row r="11100">
      <c r="O11100" s="20"/>
      <c r="P11100" s="17"/>
      <c r="Q11100" s="22"/>
    </row>
    <row r="11101">
      <c r="O11101" s="20"/>
      <c r="P11101" s="17"/>
      <c r="Q11101" s="22"/>
    </row>
    <row r="11102">
      <c r="O11102" s="20"/>
      <c r="P11102" s="17"/>
      <c r="Q11102" s="22"/>
    </row>
    <row r="11103">
      <c r="O11103" s="20"/>
      <c r="P11103" s="17"/>
      <c r="Q11103" s="22"/>
    </row>
    <row r="11104">
      <c r="O11104" s="20"/>
      <c r="P11104" s="17"/>
      <c r="Q11104" s="22"/>
    </row>
    <row r="11105">
      <c r="O11105" s="20"/>
      <c r="P11105" s="17"/>
      <c r="Q11105" s="22"/>
    </row>
    <row r="11106">
      <c r="O11106" s="20"/>
      <c r="P11106" s="17"/>
      <c r="Q11106" s="22"/>
    </row>
    <row r="11107">
      <c r="O11107" s="20"/>
      <c r="P11107" s="17"/>
      <c r="Q11107" s="22"/>
    </row>
    <row r="11108">
      <c r="O11108" s="20"/>
      <c r="P11108" s="17"/>
      <c r="Q11108" s="22"/>
    </row>
    <row r="11109">
      <c r="O11109" s="20"/>
      <c r="P11109" s="17"/>
      <c r="Q11109" s="22"/>
    </row>
    <row r="11110">
      <c r="O11110" s="20"/>
      <c r="P11110" s="17"/>
      <c r="Q11110" s="22"/>
    </row>
    <row r="11111">
      <c r="O11111" s="20"/>
      <c r="P11111" s="17"/>
      <c r="Q11111" s="22"/>
    </row>
    <row r="11112">
      <c r="O11112" s="20"/>
      <c r="P11112" s="17"/>
      <c r="Q11112" s="22"/>
    </row>
    <row r="11113">
      <c r="O11113" s="20"/>
      <c r="P11113" s="17"/>
      <c r="Q11113" s="22"/>
    </row>
    <row r="11114">
      <c r="O11114" s="20"/>
      <c r="P11114" s="17"/>
      <c r="Q11114" s="22"/>
    </row>
    <row r="11115">
      <c r="O11115" s="20"/>
      <c r="P11115" s="17"/>
      <c r="Q11115" s="22"/>
    </row>
    <row r="11116">
      <c r="O11116" s="20"/>
      <c r="P11116" s="17"/>
      <c r="Q11116" s="22"/>
    </row>
    <row r="11117">
      <c r="O11117" s="20"/>
      <c r="P11117" s="17"/>
      <c r="Q11117" s="22"/>
    </row>
    <row r="11118">
      <c r="O11118" s="20"/>
      <c r="P11118" s="17"/>
      <c r="Q11118" s="22"/>
    </row>
    <row r="11119">
      <c r="O11119" s="20"/>
      <c r="P11119" s="17"/>
      <c r="Q11119" s="22"/>
    </row>
    <row r="11120">
      <c r="O11120" s="20"/>
      <c r="P11120" s="17"/>
      <c r="Q11120" s="22"/>
    </row>
    <row r="11121">
      <c r="O11121" s="20"/>
      <c r="P11121" s="17"/>
      <c r="Q11121" s="22"/>
    </row>
    <row r="11122">
      <c r="O11122" s="20"/>
      <c r="P11122" s="17"/>
      <c r="Q11122" s="22"/>
    </row>
    <row r="11123">
      <c r="O11123" s="20"/>
      <c r="P11123" s="17"/>
      <c r="Q11123" s="22"/>
    </row>
    <row r="11124">
      <c r="O11124" s="20"/>
      <c r="P11124" s="17"/>
      <c r="Q11124" s="22"/>
    </row>
    <row r="11125">
      <c r="O11125" s="20"/>
      <c r="P11125" s="17"/>
      <c r="Q11125" s="22"/>
    </row>
    <row r="11126">
      <c r="O11126" s="20"/>
      <c r="P11126" s="17"/>
      <c r="Q11126" s="22"/>
    </row>
    <row r="11127">
      <c r="O11127" s="20"/>
      <c r="P11127" s="17"/>
      <c r="Q11127" s="22"/>
    </row>
    <row r="11128">
      <c r="O11128" s="20"/>
      <c r="P11128" s="17"/>
      <c r="Q11128" s="22"/>
    </row>
    <row r="11129">
      <c r="O11129" s="20"/>
      <c r="P11129" s="17"/>
      <c r="Q11129" s="22"/>
    </row>
    <row r="11130">
      <c r="O11130" s="20"/>
      <c r="P11130" s="17"/>
      <c r="Q11130" s="22"/>
    </row>
    <row r="11131">
      <c r="O11131" s="20"/>
      <c r="P11131" s="17"/>
      <c r="Q11131" s="22"/>
    </row>
    <row r="11132">
      <c r="O11132" s="20"/>
      <c r="P11132" s="17"/>
      <c r="Q11132" s="22"/>
    </row>
    <row r="11133">
      <c r="O11133" s="20"/>
      <c r="P11133" s="17"/>
      <c r="Q11133" s="22"/>
    </row>
    <row r="11134">
      <c r="O11134" s="20"/>
      <c r="P11134" s="17"/>
      <c r="Q11134" s="22"/>
    </row>
    <row r="11135">
      <c r="O11135" s="20"/>
      <c r="P11135" s="17"/>
      <c r="Q11135" s="22"/>
    </row>
    <row r="11136">
      <c r="O11136" s="20"/>
      <c r="P11136" s="17"/>
      <c r="Q11136" s="22"/>
    </row>
    <row r="11137">
      <c r="O11137" s="20"/>
      <c r="P11137" s="17"/>
      <c r="Q11137" s="22"/>
    </row>
    <row r="11138">
      <c r="O11138" s="20"/>
      <c r="P11138" s="17"/>
      <c r="Q11138" s="22"/>
    </row>
    <row r="11139">
      <c r="O11139" s="20"/>
      <c r="P11139" s="17"/>
      <c r="Q11139" s="22"/>
    </row>
    <row r="11140">
      <c r="O11140" s="20"/>
      <c r="P11140" s="17"/>
      <c r="Q11140" s="22"/>
    </row>
    <row r="11141">
      <c r="O11141" s="20"/>
      <c r="P11141" s="17"/>
      <c r="Q11141" s="22"/>
    </row>
    <row r="11142">
      <c r="O11142" s="20"/>
      <c r="P11142" s="17"/>
      <c r="Q11142" s="22"/>
    </row>
    <row r="11143">
      <c r="O11143" s="20"/>
      <c r="P11143" s="17"/>
      <c r="Q11143" s="22"/>
    </row>
    <row r="11144">
      <c r="O11144" s="20"/>
      <c r="P11144" s="17"/>
      <c r="Q11144" s="22"/>
    </row>
    <row r="11145">
      <c r="O11145" s="20"/>
      <c r="P11145" s="17"/>
      <c r="Q11145" s="22"/>
    </row>
    <row r="11146">
      <c r="O11146" s="20"/>
      <c r="P11146" s="17"/>
      <c r="Q11146" s="22"/>
    </row>
    <row r="11147">
      <c r="O11147" s="20"/>
      <c r="P11147" s="17"/>
      <c r="Q11147" s="22"/>
    </row>
    <row r="11148">
      <c r="O11148" s="20"/>
      <c r="P11148" s="17"/>
      <c r="Q11148" s="22"/>
    </row>
    <row r="11149">
      <c r="O11149" s="20"/>
      <c r="P11149" s="17"/>
      <c r="Q11149" s="22"/>
    </row>
    <row r="11150">
      <c r="O11150" s="20"/>
      <c r="P11150" s="17"/>
      <c r="Q11150" s="22"/>
    </row>
    <row r="11151">
      <c r="O11151" s="20"/>
      <c r="P11151" s="17"/>
      <c r="Q11151" s="22"/>
    </row>
    <row r="11152">
      <c r="O11152" s="20"/>
      <c r="P11152" s="17"/>
      <c r="Q11152" s="22"/>
    </row>
    <row r="11153">
      <c r="O11153" s="20"/>
      <c r="P11153" s="17"/>
      <c r="Q11153" s="22"/>
    </row>
    <row r="11154">
      <c r="O11154" s="20"/>
      <c r="P11154" s="17"/>
      <c r="Q11154" s="22"/>
    </row>
    <row r="11155">
      <c r="O11155" s="20"/>
      <c r="P11155" s="17"/>
      <c r="Q11155" s="22"/>
    </row>
    <row r="11156">
      <c r="O11156" s="20"/>
      <c r="P11156" s="17"/>
      <c r="Q11156" s="22"/>
    </row>
    <row r="11157">
      <c r="O11157" s="20"/>
      <c r="P11157" s="17"/>
      <c r="Q11157" s="22"/>
    </row>
    <row r="11158">
      <c r="O11158" s="20"/>
      <c r="P11158" s="17"/>
      <c r="Q11158" s="22"/>
    </row>
    <row r="11159">
      <c r="O11159" s="20"/>
      <c r="P11159" s="17"/>
      <c r="Q11159" s="22"/>
    </row>
    <row r="11160">
      <c r="O11160" s="20"/>
      <c r="P11160" s="17"/>
      <c r="Q11160" s="22"/>
    </row>
    <row r="11161">
      <c r="O11161" s="20"/>
      <c r="P11161" s="17"/>
      <c r="Q11161" s="22"/>
    </row>
    <row r="11162">
      <c r="O11162" s="20"/>
      <c r="P11162" s="17"/>
      <c r="Q11162" s="22"/>
    </row>
    <row r="11163">
      <c r="O11163" s="20"/>
      <c r="P11163" s="17"/>
      <c r="Q11163" s="22"/>
    </row>
    <row r="11164">
      <c r="O11164" s="20"/>
      <c r="P11164" s="17"/>
      <c r="Q11164" s="22"/>
    </row>
    <row r="11165">
      <c r="O11165" s="20"/>
      <c r="P11165" s="17"/>
      <c r="Q11165" s="22"/>
    </row>
    <row r="11166">
      <c r="O11166" s="20"/>
      <c r="P11166" s="17"/>
      <c r="Q11166" s="22"/>
    </row>
    <row r="11167">
      <c r="O11167" s="20"/>
      <c r="P11167" s="17"/>
      <c r="Q11167" s="22"/>
    </row>
    <row r="11168">
      <c r="O11168" s="20"/>
      <c r="P11168" s="17"/>
      <c r="Q11168" s="22"/>
    </row>
    <row r="11169">
      <c r="O11169" s="20"/>
      <c r="P11169" s="17"/>
      <c r="Q11169" s="22"/>
    </row>
    <row r="11170">
      <c r="O11170" s="20"/>
      <c r="P11170" s="17"/>
      <c r="Q11170" s="22"/>
    </row>
    <row r="11171">
      <c r="O11171" s="20"/>
      <c r="P11171" s="17"/>
      <c r="Q11171" s="22"/>
    </row>
    <row r="11172">
      <c r="O11172" s="20"/>
      <c r="P11172" s="17"/>
      <c r="Q11172" s="22"/>
    </row>
    <row r="11173">
      <c r="O11173" s="20"/>
      <c r="P11173" s="17"/>
      <c r="Q11173" s="22"/>
    </row>
    <row r="11174">
      <c r="O11174" s="20"/>
      <c r="P11174" s="17"/>
      <c r="Q11174" s="22"/>
    </row>
    <row r="11175">
      <c r="O11175" s="20"/>
      <c r="P11175" s="17"/>
      <c r="Q11175" s="22"/>
    </row>
    <row r="11176">
      <c r="O11176" s="20"/>
      <c r="P11176" s="17"/>
      <c r="Q11176" s="22"/>
    </row>
    <row r="11177">
      <c r="O11177" s="20"/>
      <c r="P11177" s="17"/>
      <c r="Q11177" s="22"/>
    </row>
    <row r="11178">
      <c r="O11178" s="20"/>
      <c r="P11178" s="17"/>
      <c r="Q11178" s="22"/>
    </row>
    <row r="11179">
      <c r="O11179" s="20"/>
      <c r="P11179" s="17"/>
      <c r="Q11179" s="22"/>
    </row>
    <row r="11180">
      <c r="O11180" s="20"/>
      <c r="P11180" s="17"/>
      <c r="Q11180" s="22"/>
    </row>
    <row r="11181">
      <c r="O11181" s="20"/>
      <c r="P11181" s="17"/>
      <c r="Q11181" s="22"/>
    </row>
    <row r="11182">
      <c r="O11182" s="20"/>
      <c r="P11182" s="17"/>
      <c r="Q11182" s="22"/>
    </row>
    <row r="11183">
      <c r="O11183" s="20"/>
      <c r="P11183" s="17"/>
      <c r="Q11183" s="22"/>
    </row>
    <row r="11184">
      <c r="O11184" s="20"/>
      <c r="P11184" s="17"/>
      <c r="Q11184" s="22"/>
    </row>
    <row r="11185">
      <c r="O11185" s="20"/>
      <c r="P11185" s="17"/>
      <c r="Q11185" s="22"/>
    </row>
    <row r="11186">
      <c r="O11186" s="20"/>
      <c r="P11186" s="17"/>
      <c r="Q11186" s="22"/>
    </row>
    <row r="11187">
      <c r="O11187" s="20"/>
      <c r="P11187" s="17"/>
      <c r="Q11187" s="22"/>
    </row>
    <row r="11188">
      <c r="O11188" s="20"/>
      <c r="P11188" s="17"/>
      <c r="Q11188" s="22"/>
    </row>
    <row r="11189">
      <c r="O11189" s="20"/>
      <c r="P11189" s="17"/>
      <c r="Q11189" s="22"/>
    </row>
    <row r="11190">
      <c r="O11190" s="20"/>
      <c r="P11190" s="17"/>
      <c r="Q11190" s="22"/>
    </row>
    <row r="11191">
      <c r="O11191" s="20"/>
      <c r="P11191" s="17"/>
      <c r="Q11191" s="22"/>
    </row>
    <row r="11192">
      <c r="O11192" s="20"/>
      <c r="P11192" s="17"/>
      <c r="Q11192" s="22"/>
    </row>
    <row r="11193">
      <c r="O11193" s="20"/>
      <c r="P11193" s="17"/>
      <c r="Q11193" s="22"/>
    </row>
    <row r="11194">
      <c r="O11194" s="20"/>
      <c r="P11194" s="17"/>
      <c r="Q11194" s="22"/>
    </row>
    <row r="11195">
      <c r="O11195" s="20"/>
      <c r="P11195" s="17"/>
      <c r="Q11195" s="22"/>
    </row>
    <row r="11196">
      <c r="O11196" s="20"/>
      <c r="P11196" s="17"/>
      <c r="Q11196" s="22"/>
    </row>
    <row r="11197">
      <c r="O11197" s="20"/>
      <c r="P11197" s="17"/>
      <c r="Q11197" s="22"/>
    </row>
    <row r="11198">
      <c r="O11198" s="20"/>
      <c r="P11198" s="17"/>
      <c r="Q11198" s="22"/>
    </row>
    <row r="11199">
      <c r="O11199" s="20"/>
      <c r="P11199" s="17"/>
      <c r="Q11199" s="22"/>
    </row>
    <row r="11200">
      <c r="O11200" s="20"/>
      <c r="P11200" s="17"/>
      <c r="Q11200" s="22"/>
    </row>
    <row r="11201">
      <c r="O11201" s="20"/>
      <c r="P11201" s="17"/>
      <c r="Q11201" s="22"/>
    </row>
    <row r="11202">
      <c r="O11202" s="20"/>
      <c r="P11202" s="17"/>
      <c r="Q11202" s="22"/>
    </row>
    <row r="11203">
      <c r="O11203" s="20"/>
      <c r="P11203" s="17"/>
      <c r="Q11203" s="22"/>
    </row>
    <row r="11204">
      <c r="O11204" s="20"/>
      <c r="P11204" s="17"/>
      <c r="Q11204" s="22"/>
    </row>
    <row r="11205">
      <c r="O11205" s="20"/>
      <c r="P11205" s="17"/>
      <c r="Q11205" s="22"/>
    </row>
    <row r="11206">
      <c r="O11206" s="20"/>
      <c r="P11206" s="17"/>
      <c r="Q11206" s="22"/>
    </row>
    <row r="11207">
      <c r="O11207" s="20"/>
      <c r="P11207" s="17"/>
      <c r="Q11207" s="22"/>
    </row>
    <row r="11208">
      <c r="O11208" s="20"/>
      <c r="P11208" s="17"/>
      <c r="Q11208" s="22"/>
    </row>
    <row r="11209">
      <c r="O11209" s="20"/>
      <c r="P11209" s="17"/>
      <c r="Q11209" s="22"/>
    </row>
    <row r="11210">
      <c r="O11210" s="20"/>
      <c r="P11210" s="17"/>
      <c r="Q11210" s="22"/>
    </row>
    <row r="11211">
      <c r="O11211" s="20"/>
      <c r="P11211" s="17"/>
      <c r="Q11211" s="22"/>
    </row>
    <row r="11212">
      <c r="O11212" s="20"/>
      <c r="P11212" s="17"/>
      <c r="Q11212" s="22"/>
    </row>
    <row r="11213">
      <c r="O11213" s="20"/>
      <c r="P11213" s="17"/>
      <c r="Q11213" s="22"/>
    </row>
    <row r="11214">
      <c r="O11214" s="20"/>
      <c r="P11214" s="17"/>
      <c r="Q11214" s="22"/>
    </row>
    <row r="11215">
      <c r="O11215" s="20"/>
      <c r="P11215" s="17"/>
      <c r="Q11215" s="22"/>
    </row>
    <row r="11216">
      <c r="O11216" s="20"/>
      <c r="P11216" s="17"/>
      <c r="Q11216" s="22"/>
    </row>
    <row r="11217">
      <c r="O11217" s="20"/>
      <c r="P11217" s="17"/>
      <c r="Q11217" s="22"/>
    </row>
    <row r="11218">
      <c r="O11218" s="20"/>
      <c r="P11218" s="17"/>
      <c r="Q11218" s="22"/>
    </row>
    <row r="11219">
      <c r="O11219" s="20"/>
      <c r="P11219" s="17"/>
      <c r="Q11219" s="22"/>
    </row>
    <row r="11220">
      <c r="O11220" s="20"/>
      <c r="P11220" s="17"/>
      <c r="Q11220" s="22"/>
    </row>
    <row r="11221">
      <c r="O11221" s="20"/>
      <c r="P11221" s="17"/>
      <c r="Q11221" s="22"/>
    </row>
    <row r="11222">
      <c r="O11222" s="20"/>
      <c r="P11222" s="17"/>
      <c r="Q11222" s="22"/>
    </row>
    <row r="11223">
      <c r="O11223" s="20"/>
      <c r="P11223" s="17"/>
      <c r="Q11223" s="22"/>
    </row>
    <row r="11224">
      <c r="O11224" s="20"/>
      <c r="P11224" s="17"/>
      <c r="Q11224" s="22"/>
    </row>
    <row r="11225">
      <c r="O11225" s="20"/>
      <c r="P11225" s="17"/>
      <c r="Q11225" s="22"/>
    </row>
    <row r="11226">
      <c r="O11226" s="20"/>
      <c r="P11226" s="17"/>
      <c r="Q11226" s="22"/>
    </row>
    <row r="11227">
      <c r="O11227" s="20"/>
      <c r="P11227" s="17"/>
      <c r="Q11227" s="22"/>
    </row>
    <row r="11228">
      <c r="O11228" s="20"/>
      <c r="P11228" s="17"/>
      <c r="Q11228" s="22"/>
    </row>
    <row r="11229">
      <c r="O11229" s="20"/>
      <c r="P11229" s="17"/>
      <c r="Q11229" s="22"/>
    </row>
    <row r="11230">
      <c r="O11230" s="20"/>
      <c r="P11230" s="17"/>
      <c r="Q11230" s="22"/>
    </row>
    <row r="11231">
      <c r="O11231" s="20"/>
      <c r="P11231" s="17"/>
      <c r="Q11231" s="22"/>
    </row>
    <row r="11232">
      <c r="O11232" s="20"/>
      <c r="P11232" s="17"/>
      <c r="Q11232" s="22"/>
    </row>
    <row r="11233">
      <c r="O11233" s="20"/>
      <c r="P11233" s="17"/>
      <c r="Q11233" s="22"/>
    </row>
    <row r="11234">
      <c r="O11234" s="20"/>
      <c r="P11234" s="17"/>
      <c r="Q11234" s="22"/>
    </row>
    <row r="11235">
      <c r="O11235" s="20"/>
      <c r="P11235" s="17"/>
      <c r="Q11235" s="22"/>
    </row>
    <row r="11236">
      <c r="O11236" s="20"/>
      <c r="P11236" s="17"/>
      <c r="Q11236" s="22"/>
    </row>
    <row r="11237">
      <c r="O11237" s="20"/>
      <c r="P11237" s="17"/>
      <c r="Q11237" s="22"/>
    </row>
    <row r="11238">
      <c r="O11238" s="20"/>
      <c r="P11238" s="17"/>
      <c r="Q11238" s="22"/>
    </row>
    <row r="11239">
      <c r="O11239" s="20"/>
      <c r="P11239" s="17"/>
      <c r="Q11239" s="22"/>
    </row>
    <row r="11240">
      <c r="O11240" s="20"/>
      <c r="P11240" s="17"/>
      <c r="Q11240" s="22"/>
    </row>
    <row r="11241">
      <c r="O11241" s="20"/>
      <c r="P11241" s="17"/>
      <c r="Q11241" s="22"/>
    </row>
    <row r="11242">
      <c r="O11242" s="20"/>
      <c r="P11242" s="17"/>
      <c r="Q11242" s="22"/>
    </row>
    <row r="11243">
      <c r="O11243" s="20"/>
      <c r="P11243" s="17"/>
      <c r="Q11243" s="22"/>
    </row>
    <row r="11244">
      <c r="O11244" s="20"/>
      <c r="P11244" s="17"/>
      <c r="Q11244" s="22"/>
    </row>
    <row r="11245">
      <c r="O11245" s="20"/>
      <c r="P11245" s="17"/>
      <c r="Q11245" s="22"/>
    </row>
    <row r="11246">
      <c r="O11246" s="20"/>
      <c r="P11246" s="17"/>
      <c r="Q11246" s="22"/>
    </row>
    <row r="11247">
      <c r="O11247" s="20"/>
      <c r="P11247" s="17"/>
      <c r="Q11247" s="22"/>
    </row>
    <row r="11248">
      <c r="O11248" s="20"/>
      <c r="P11248" s="17"/>
      <c r="Q11248" s="22"/>
    </row>
    <row r="11249">
      <c r="O11249" s="20"/>
      <c r="P11249" s="17"/>
      <c r="Q11249" s="22"/>
    </row>
    <row r="11250">
      <c r="O11250" s="20"/>
      <c r="P11250" s="17"/>
      <c r="Q11250" s="22"/>
    </row>
    <row r="11251">
      <c r="O11251" s="20"/>
      <c r="P11251" s="17"/>
      <c r="Q11251" s="22"/>
    </row>
    <row r="11252">
      <c r="O11252" s="20"/>
      <c r="P11252" s="17"/>
      <c r="Q11252" s="22"/>
    </row>
    <row r="11253">
      <c r="O11253" s="20"/>
      <c r="P11253" s="17"/>
      <c r="Q11253" s="22"/>
    </row>
    <row r="11254">
      <c r="O11254" s="20"/>
      <c r="P11254" s="17"/>
      <c r="Q11254" s="22"/>
    </row>
    <row r="11255">
      <c r="O11255" s="20"/>
      <c r="P11255" s="17"/>
      <c r="Q11255" s="22"/>
    </row>
    <row r="11256">
      <c r="O11256" s="20"/>
      <c r="P11256" s="17"/>
      <c r="Q11256" s="22"/>
    </row>
    <row r="11257">
      <c r="O11257" s="20"/>
      <c r="P11257" s="17"/>
      <c r="Q11257" s="22"/>
    </row>
    <row r="11258">
      <c r="O11258" s="20"/>
      <c r="P11258" s="17"/>
      <c r="Q11258" s="22"/>
    </row>
    <row r="11259">
      <c r="O11259" s="20"/>
      <c r="P11259" s="17"/>
      <c r="Q11259" s="22"/>
    </row>
    <row r="11260">
      <c r="O11260" s="20"/>
      <c r="P11260" s="17"/>
      <c r="Q11260" s="22"/>
    </row>
    <row r="11261">
      <c r="O11261" s="20"/>
      <c r="P11261" s="17"/>
      <c r="Q11261" s="22"/>
    </row>
    <row r="11262">
      <c r="O11262" s="20"/>
      <c r="P11262" s="17"/>
      <c r="Q11262" s="22"/>
    </row>
    <row r="11263">
      <c r="O11263" s="20"/>
      <c r="P11263" s="17"/>
      <c r="Q11263" s="22"/>
    </row>
    <row r="11264">
      <c r="O11264" s="20"/>
      <c r="P11264" s="17"/>
      <c r="Q11264" s="22"/>
    </row>
    <row r="11265">
      <c r="O11265" s="20"/>
      <c r="P11265" s="17"/>
      <c r="Q11265" s="22"/>
    </row>
    <row r="11266">
      <c r="O11266" s="20"/>
      <c r="P11266" s="17"/>
      <c r="Q11266" s="22"/>
    </row>
    <row r="11267">
      <c r="O11267" s="20"/>
      <c r="P11267" s="17"/>
      <c r="Q11267" s="22"/>
    </row>
    <row r="11268">
      <c r="O11268" s="20"/>
      <c r="P11268" s="17"/>
      <c r="Q11268" s="22"/>
    </row>
    <row r="11269">
      <c r="O11269" s="20"/>
      <c r="P11269" s="17"/>
      <c r="Q11269" s="22"/>
    </row>
    <row r="11270">
      <c r="O11270" s="20"/>
      <c r="P11270" s="17"/>
      <c r="Q11270" s="22"/>
    </row>
    <row r="11271">
      <c r="O11271" s="20"/>
      <c r="P11271" s="17"/>
      <c r="Q11271" s="22"/>
    </row>
    <row r="11272">
      <c r="O11272" s="20"/>
      <c r="P11272" s="17"/>
      <c r="Q11272" s="22"/>
    </row>
    <row r="11273">
      <c r="O11273" s="20"/>
      <c r="P11273" s="17"/>
      <c r="Q11273" s="22"/>
    </row>
    <row r="11274">
      <c r="O11274" s="20"/>
      <c r="P11274" s="17"/>
      <c r="Q11274" s="22"/>
    </row>
    <row r="11275">
      <c r="O11275" s="20"/>
      <c r="P11275" s="17"/>
      <c r="Q11275" s="22"/>
    </row>
    <row r="11276">
      <c r="O11276" s="20"/>
      <c r="P11276" s="17"/>
      <c r="Q11276" s="22"/>
    </row>
    <row r="11277">
      <c r="O11277" s="20"/>
      <c r="P11277" s="17"/>
      <c r="Q11277" s="22"/>
    </row>
    <row r="11278">
      <c r="O11278" s="20"/>
      <c r="P11278" s="17"/>
      <c r="Q11278" s="22"/>
    </row>
    <row r="11279">
      <c r="O11279" s="20"/>
      <c r="P11279" s="17"/>
      <c r="Q11279" s="22"/>
    </row>
    <row r="11280">
      <c r="O11280" s="20"/>
      <c r="P11280" s="17"/>
      <c r="Q11280" s="22"/>
    </row>
    <row r="11281">
      <c r="O11281" s="20"/>
      <c r="P11281" s="17"/>
      <c r="Q11281" s="22"/>
    </row>
    <row r="11282">
      <c r="O11282" s="20"/>
      <c r="P11282" s="17"/>
      <c r="Q11282" s="22"/>
    </row>
    <row r="11283">
      <c r="O11283" s="20"/>
      <c r="P11283" s="17"/>
      <c r="Q11283" s="22"/>
    </row>
    <row r="11284">
      <c r="O11284" s="20"/>
      <c r="P11284" s="17"/>
      <c r="Q11284" s="22"/>
    </row>
    <row r="11285">
      <c r="O11285" s="20"/>
      <c r="P11285" s="17"/>
      <c r="Q11285" s="22"/>
    </row>
    <row r="11286">
      <c r="O11286" s="20"/>
      <c r="P11286" s="17"/>
      <c r="Q11286" s="22"/>
    </row>
    <row r="11287">
      <c r="O11287" s="20"/>
      <c r="P11287" s="17"/>
      <c r="Q11287" s="22"/>
    </row>
    <row r="11288">
      <c r="O11288" s="20"/>
      <c r="P11288" s="17"/>
      <c r="Q11288" s="22"/>
    </row>
    <row r="11289">
      <c r="O11289" s="20"/>
      <c r="P11289" s="17"/>
      <c r="Q11289" s="22"/>
    </row>
    <row r="11290">
      <c r="O11290" s="20"/>
      <c r="P11290" s="17"/>
      <c r="Q11290" s="22"/>
    </row>
    <row r="11291">
      <c r="O11291" s="20"/>
      <c r="P11291" s="17"/>
      <c r="Q11291" s="22"/>
    </row>
    <row r="11292">
      <c r="O11292" s="20"/>
      <c r="P11292" s="17"/>
      <c r="Q11292" s="22"/>
    </row>
    <row r="11293">
      <c r="O11293" s="20"/>
      <c r="P11293" s="17"/>
      <c r="Q11293" s="22"/>
    </row>
    <row r="11294">
      <c r="O11294" s="20"/>
      <c r="P11294" s="17"/>
      <c r="Q11294" s="22"/>
    </row>
    <row r="11295">
      <c r="O11295" s="20"/>
      <c r="P11295" s="17"/>
      <c r="Q11295" s="22"/>
    </row>
    <row r="11296">
      <c r="O11296" s="20"/>
      <c r="P11296" s="17"/>
      <c r="Q11296" s="22"/>
    </row>
    <row r="11297">
      <c r="O11297" s="20"/>
      <c r="P11297" s="17"/>
      <c r="Q11297" s="22"/>
    </row>
    <row r="11298">
      <c r="O11298" s="20"/>
      <c r="P11298" s="17"/>
      <c r="Q11298" s="22"/>
    </row>
    <row r="11299">
      <c r="O11299" s="20"/>
      <c r="P11299" s="17"/>
      <c r="Q11299" s="22"/>
    </row>
    <row r="11300">
      <c r="O11300" s="20"/>
      <c r="P11300" s="17"/>
      <c r="Q11300" s="22"/>
    </row>
    <row r="11301">
      <c r="O11301" s="20"/>
      <c r="P11301" s="17"/>
      <c r="Q11301" s="22"/>
    </row>
    <row r="11302">
      <c r="O11302" s="20"/>
      <c r="P11302" s="17"/>
      <c r="Q11302" s="22"/>
    </row>
    <row r="11303">
      <c r="O11303" s="20"/>
      <c r="P11303" s="17"/>
      <c r="Q11303" s="22"/>
    </row>
    <row r="11304">
      <c r="O11304" s="20"/>
      <c r="P11304" s="17"/>
      <c r="Q11304" s="22"/>
    </row>
    <row r="11305">
      <c r="O11305" s="20"/>
      <c r="P11305" s="17"/>
      <c r="Q11305" s="22"/>
    </row>
    <row r="11306">
      <c r="O11306" s="20"/>
      <c r="P11306" s="17"/>
      <c r="Q11306" s="22"/>
    </row>
    <row r="11307">
      <c r="O11307" s="20"/>
      <c r="P11307" s="17"/>
      <c r="Q11307" s="22"/>
    </row>
    <row r="11308">
      <c r="O11308" s="20"/>
      <c r="P11308" s="17"/>
      <c r="Q11308" s="22"/>
    </row>
    <row r="11309">
      <c r="O11309" s="20"/>
      <c r="P11309" s="17"/>
      <c r="Q11309" s="22"/>
    </row>
    <row r="11310">
      <c r="O11310" s="20"/>
      <c r="P11310" s="17"/>
      <c r="Q11310" s="22"/>
    </row>
    <row r="11311">
      <c r="O11311" s="20"/>
      <c r="P11311" s="17"/>
      <c r="Q11311" s="22"/>
    </row>
    <row r="11312">
      <c r="O11312" s="20"/>
      <c r="P11312" s="17"/>
      <c r="Q11312" s="22"/>
    </row>
    <row r="11313">
      <c r="O11313" s="20"/>
      <c r="P11313" s="17"/>
      <c r="Q11313" s="22"/>
    </row>
    <row r="11314">
      <c r="O11314" s="20"/>
      <c r="P11314" s="17"/>
      <c r="Q11314" s="22"/>
    </row>
    <row r="11315">
      <c r="O11315" s="20"/>
      <c r="P11315" s="17"/>
      <c r="Q11315" s="22"/>
    </row>
    <row r="11316">
      <c r="O11316" s="20"/>
      <c r="P11316" s="17"/>
      <c r="Q11316" s="22"/>
    </row>
    <row r="11317">
      <c r="O11317" s="20"/>
      <c r="P11317" s="17"/>
      <c r="Q11317" s="22"/>
    </row>
    <row r="11318">
      <c r="O11318" s="20"/>
      <c r="P11318" s="17"/>
      <c r="Q11318" s="22"/>
    </row>
    <row r="11319">
      <c r="O11319" s="20"/>
      <c r="P11319" s="17"/>
      <c r="Q11319" s="22"/>
    </row>
    <row r="11320">
      <c r="O11320" s="20"/>
      <c r="P11320" s="17"/>
      <c r="Q11320" s="22"/>
    </row>
    <row r="11321">
      <c r="O11321" s="20"/>
      <c r="P11321" s="17"/>
      <c r="Q11321" s="22"/>
    </row>
    <row r="11322">
      <c r="O11322" s="20"/>
      <c r="P11322" s="17"/>
      <c r="Q11322" s="22"/>
    </row>
    <row r="11323">
      <c r="O11323" s="20"/>
      <c r="P11323" s="17"/>
      <c r="Q11323" s="22"/>
    </row>
    <row r="11324">
      <c r="O11324" s="20"/>
      <c r="P11324" s="17"/>
      <c r="Q11324" s="22"/>
    </row>
    <row r="11325">
      <c r="O11325" s="20"/>
      <c r="P11325" s="17"/>
      <c r="Q11325" s="22"/>
    </row>
    <row r="11326">
      <c r="O11326" s="20"/>
      <c r="P11326" s="17"/>
      <c r="Q11326" s="22"/>
    </row>
    <row r="11327">
      <c r="O11327" s="20"/>
      <c r="P11327" s="17"/>
      <c r="Q11327" s="22"/>
    </row>
    <row r="11328">
      <c r="O11328" s="20"/>
      <c r="P11328" s="17"/>
      <c r="Q11328" s="22"/>
    </row>
    <row r="11329">
      <c r="O11329" s="20"/>
      <c r="P11329" s="17"/>
      <c r="Q11329" s="22"/>
    </row>
    <row r="11330">
      <c r="O11330" s="20"/>
      <c r="P11330" s="17"/>
      <c r="Q11330" s="22"/>
    </row>
    <row r="11331">
      <c r="O11331" s="20"/>
      <c r="P11331" s="17"/>
      <c r="Q11331" s="22"/>
    </row>
    <row r="11332">
      <c r="O11332" s="20"/>
      <c r="P11332" s="17"/>
      <c r="Q11332" s="22"/>
    </row>
    <row r="11333">
      <c r="O11333" s="20"/>
      <c r="P11333" s="17"/>
      <c r="Q11333" s="22"/>
    </row>
    <row r="11334">
      <c r="O11334" s="20"/>
      <c r="P11334" s="17"/>
      <c r="Q11334" s="22"/>
    </row>
    <row r="11335">
      <c r="O11335" s="20"/>
      <c r="P11335" s="17"/>
      <c r="Q11335" s="22"/>
    </row>
    <row r="11336">
      <c r="O11336" s="20"/>
      <c r="P11336" s="17"/>
      <c r="Q11336" s="22"/>
    </row>
    <row r="11337">
      <c r="O11337" s="20"/>
      <c r="P11337" s="17"/>
      <c r="Q11337" s="22"/>
    </row>
    <row r="11338">
      <c r="O11338" s="20"/>
      <c r="P11338" s="17"/>
      <c r="Q11338" s="22"/>
    </row>
    <row r="11339">
      <c r="O11339" s="20"/>
      <c r="P11339" s="17"/>
      <c r="Q11339" s="22"/>
    </row>
    <row r="11340">
      <c r="O11340" s="20"/>
      <c r="P11340" s="17"/>
      <c r="Q11340" s="22"/>
    </row>
    <row r="11341">
      <c r="O11341" s="20"/>
      <c r="P11341" s="17"/>
      <c r="Q11341" s="22"/>
    </row>
    <row r="11342">
      <c r="O11342" s="20"/>
      <c r="P11342" s="17"/>
      <c r="Q11342" s="22"/>
    </row>
    <row r="11343">
      <c r="O11343" s="20"/>
      <c r="P11343" s="17"/>
      <c r="Q11343" s="22"/>
    </row>
    <row r="11344">
      <c r="O11344" s="20"/>
      <c r="P11344" s="17"/>
      <c r="Q11344" s="22"/>
    </row>
    <row r="11345">
      <c r="O11345" s="20"/>
      <c r="P11345" s="17"/>
      <c r="Q11345" s="22"/>
    </row>
    <row r="11346">
      <c r="O11346" s="20"/>
      <c r="P11346" s="17"/>
      <c r="Q11346" s="22"/>
    </row>
    <row r="11347">
      <c r="O11347" s="20"/>
      <c r="P11347" s="17"/>
      <c r="Q11347" s="22"/>
    </row>
    <row r="11348">
      <c r="O11348" s="20"/>
      <c r="P11348" s="17"/>
      <c r="Q11348" s="22"/>
    </row>
    <row r="11349">
      <c r="O11349" s="20"/>
      <c r="P11349" s="17"/>
      <c r="Q11349" s="22"/>
    </row>
    <row r="11350">
      <c r="O11350" s="20"/>
      <c r="P11350" s="17"/>
      <c r="Q11350" s="22"/>
    </row>
    <row r="11351">
      <c r="O11351" s="20"/>
      <c r="P11351" s="17"/>
      <c r="Q11351" s="22"/>
    </row>
    <row r="11352">
      <c r="O11352" s="20"/>
      <c r="P11352" s="17"/>
      <c r="Q11352" s="22"/>
    </row>
    <row r="11353">
      <c r="O11353" s="20"/>
      <c r="P11353" s="17"/>
      <c r="Q11353" s="22"/>
    </row>
    <row r="11354">
      <c r="O11354" s="20"/>
      <c r="P11354" s="17"/>
      <c r="Q11354" s="22"/>
    </row>
    <row r="11355">
      <c r="O11355" s="20"/>
      <c r="P11355" s="17"/>
      <c r="Q11355" s="22"/>
    </row>
    <row r="11356">
      <c r="O11356" s="20"/>
      <c r="P11356" s="17"/>
      <c r="Q11356" s="22"/>
    </row>
    <row r="11357">
      <c r="O11357" s="20"/>
      <c r="P11357" s="17"/>
      <c r="Q11357" s="22"/>
    </row>
    <row r="11358">
      <c r="O11358" s="20"/>
      <c r="P11358" s="17"/>
      <c r="Q11358" s="22"/>
    </row>
    <row r="11359">
      <c r="O11359" s="20"/>
      <c r="P11359" s="17"/>
      <c r="Q11359" s="22"/>
    </row>
    <row r="11360">
      <c r="O11360" s="20"/>
      <c r="P11360" s="17"/>
      <c r="Q11360" s="22"/>
    </row>
    <row r="11361">
      <c r="O11361" s="20"/>
      <c r="P11361" s="17"/>
      <c r="Q11361" s="22"/>
    </row>
    <row r="11362">
      <c r="O11362" s="20"/>
      <c r="P11362" s="17"/>
      <c r="Q11362" s="22"/>
    </row>
    <row r="11363">
      <c r="O11363" s="20"/>
      <c r="P11363" s="17"/>
      <c r="Q11363" s="22"/>
    </row>
    <row r="11364">
      <c r="O11364" s="20"/>
      <c r="P11364" s="17"/>
      <c r="Q11364" s="22"/>
    </row>
    <row r="11365">
      <c r="O11365" s="20"/>
      <c r="P11365" s="17"/>
      <c r="Q11365" s="22"/>
    </row>
    <row r="11366">
      <c r="O11366" s="20"/>
      <c r="P11366" s="17"/>
      <c r="Q11366" s="22"/>
    </row>
    <row r="11367">
      <c r="O11367" s="20"/>
      <c r="P11367" s="17"/>
      <c r="Q11367" s="22"/>
    </row>
    <row r="11368">
      <c r="O11368" s="20"/>
      <c r="P11368" s="17"/>
      <c r="Q11368" s="22"/>
    </row>
    <row r="11369">
      <c r="O11369" s="20"/>
      <c r="P11369" s="17"/>
      <c r="Q11369" s="22"/>
    </row>
    <row r="11370">
      <c r="O11370" s="20"/>
      <c r="P11370" s="17"/>
      <c r="Q11370" s="22"/>
    </row>
    <row r="11371">
      <c r="O11371" s="20"/>
      <c r="P11371" s="17"/>
      <c r="Q11371" s="22"/>
    </row>
    <row r="11372">
      <c r="O11372" s="20"/>
      <c r="P11372" s="17"/>
      <c r="Q11372" s="22"/>
    </row>
    <row r="11373">
      <c r="O11373" s="20"/>
      <c r="P11373" s="17"/>
      <c r="Q11373" s="22"/>
    </row>
    <row r="11374">
      <c r="O11374" s="20"/>
      <c r="P11374" s="17"/>
      <c r="Q11374" s="22"/>
    </row>
    <row r="11375">
      <c r="O11375" s="20"/>
      <c r="P11375" s="17"/>
      <c r="Q11375" s="22"/>
    </row>
    <row r="11376">
      <c r="O11376" s="20"/>
      <c r="P11376" s="17"/>
      <c r="Q11376" s="22"/>
    </row>
    <row r="11377">
      <c r="O11377" s="20"/>
      <c r="P11377" s="17"/>
      <c r="Q11377" s="22"/>
    </row>
    <row r="11378">
      <c r="O11378" s="20"/>
      <c r="P11378" s="17"/>
      <c r="Q11378" s="22"/>
    </row>
    <row r="11379">
      <c r="O11379" s="20"/>
      <c r="P11379" s="17"/>
      <c r="Q11379" s="22"/>
    </row>
    <row r="11380">
      <c r="O11380" s="20"/>
      <c r="P11380" s="17"/>
      <c r="Q11380" s="22"/>
    </row>
    <row r="11381">
      <c r="O11381" s="20"/>
      <c r="P11381" s="17"/>
      <c r="Q11381" s="22"/>
    </row>
    <row r="11382">
      <c r="O11382" s="20"/>
      <c r="P11382" s="17"/>
      <c r="Q11382" s="22"/>
    </row>
    <row r="11383">
      <c r="O11383" s="20"/>
      <c r="P11383" s="17"/>
      <c r="Q11383" s="22"/>
    </row>
    <row r="11384">
      <c r="O11384" s="20"/>
      <c r="P11384" s="17"/>
      <c r="Q11384" s="22"/>
    </row>
    <row r="11385">
      <c r="O11385" s="20"/>
      <c r="P11385" s="17"/>
      <c r="Q11385" s="22"/>
    </row>
    <row r="11386">
      <c r="O11386" s="20"/>
      <c r="P11386" s="17"/>
      <c r="Q11386" s="22"/>
    </row>
    <row r="11387">
      <c r="O11387" s="20"/>
      <c r="P11387" s="17"/>
      <c r="Q11387" s="22"/>
    </row>
    <row r="11388">
      <c r="O11388" s="20"/>
      <c r="P11388" s="17"/>
      <c r="Q11388" s="22"/>
    </row>
    <row r="11389">
      <c r="O11389" s="20"/>
      <c r="P11389" s="17"/>
      <c r="Q11389" s="22"/>
    </row>
    <row r="11390">
      <c r="O11390" s="20"/>
      <c r="P11390" s="17"/>
      <c r="Q11390" s="22"/>
    </row>
    <row r="11391">
      <c r="O11391" s="20"/>
      <c r="P11391" s="17"/>
      <c r="Q11391" s="22"/>
    </row>
    <row r="11392">
      <c r="O11392" s="20"/>
      <c r="P11392" s="17"/>
      <c r="Q11392" s="22"/>
    </row>
    <row r="11393">
      <c r="O11393" s="20"/>
      <c r="P11393" s="17"/>
      <c r="Q11393" s="22"/>
    </row>
    <row r="11394">
      <c r="O11394" s="20"/>
      <c r="P11394" s="17"/>
      <c r="Q11394" s="22"/>
    </row>
    <row r="11395">
      <c r="O11395" s="20"/>
      <c r="P11395" s="17"/>
      <c r="Q11395" s="22"/>
    </row>
    <row r="11396">
      <c r="O11396" s="20"/>
      <c r="P11396" s="17"/>
      <c r="Q11396" s="22"/>
    </row>
    <row r="11397">
      <c r="O11397" s="20"/>
      <c r="P11397" s="17"/>
      <c r="Q11397" s="22"/>
    </row>
    <row r="11398">
      <c r="O11398" s="20"/>
      <c r="P11398" s="17"/>
      <c r="Q11398" s="22"/>
    </row>
    <row r="11399">
      <c r="O11399" s="20"/>
      <c r="P11399" s="17"/>
      <c r="Q11399" s="22"/>
    </row>
    <row r="11400">
      <c r="O11400" s="20"/>
      <c r="P11400" s="17"/>
      <c r="Q11400" s="22"/>
    </row>
    <row r="11401">
      <c r="O11401" s="20"/>
      <c r="P11401" s="17"/>
      <c r="Q11401" s="22"/>
    </row>
    <row r="11402">
      <c r="O11402" s="20"/>
      <c r="P11402" s="17"/>
      <c r="Q11402" s="22"/>
    </row>
    <row r="11403">
      <c r="O11403" s="20"/>
      <c r="P11403" s="17"/>
      <c r="Q11403" s="22"/>
    </row>
    <row r="11404">
      <c r="O11404" s="20"/>
      <c r="P11404" s="17"/>
      <c r="Q11404" s="22"/>
    </row>
    <row r="11405">
      <c r="O11405" s="20"/>
      <c r="P11405" s="17"/>
      <c r="Q11405" s="22"/>
    </row>
    <row r="11406">
      <c r="O11406" s="20"/>
      <c r="P11406" s="17"/>
      <c r="Q11406" s="22"/>
    </row>
    <row r="11407">
      <c r="O11407" s="20"/>
      <c r="P11407" s="17"/>
      <c r="Q11407" s="22"/>
    </row>
    <row r="11408">
      <c r="O11408" s="20"/>
      <c r="P11408" s="17"/>
      <c r="Q11408" s="22"/>
    </row>
    <row r="11409">
      <c r="O11409" s="20"/>
      <c r="P11409" s="17"/>
      <c r="Q11409" s="22"/>
    </row>
    <row r="11410">
      <c r="O11410" s="20"/>
      <c r="P11410" s="17"/>
      <c r="Q11410" s="22"/>
    </row>
    <row r="11411">
      <c r="O11411" s="20"/>
      <c r="P11411" s="17"/>
      <c r="Q11411" s="22"/>
    </row>
    <row r="11412">
      <c r="O11412" s="20"/>
      <c r="P11412" s="17"/>
      <c r="Q11412" s="22"/>
    </row>
    <row r="11413">
      <c r="O11413" s="20"/>
      <c r="P11413" s="17"/>
      <c r="Q11413" s="22"/>
    </row>
    <row r="11414">
      <c r="O11414" s="20"/>
      <c r="P11414" s="17"/>
      <c r="Q11414" s="22"/>
    </row>
    <row r="11415">
      <c r="O11415" s="20"/>
      <c r="P11415" s="17"/>
      <c r="Q11415" s="22"/>
    </row>
    <row r="11416">
      <c r="O11416" s="20"/>
      <c r="P11416" s="17"/>
      <c r="Q11416" s="22"/>
    </row>
    <row r="11417">
      <c r="O11417" s="20"/>
      <c r="P11417" s="17"/>
      <c r="Q11417" s="22"/>
    </row>
    <row r="11418">
      <c r="O11418" s="20"/>
      <c r="P11418" s="17"/>
      <c r="Q11418" s="22"/>
    </row>
    <row r="11419">
      <c r="O11419" s="20"/>
      <c r="P11419" s="17"/>
      <c r="Q11419" s="22"/>
    </row>
    <row r="11420">
      <c r="O11420" s="20"/>
      <c r="P11420" s="17"/>
      <c r="Q11420" s="22"/>
    </row>
    <row r="11421">
      <c r="O11421" s="20"/>
      <c r="P11421" s="17"/>
      <c r="Q11421" s="22"/>
    </row>
    <row r="11422">
      <c r="O11422" s="20"/>
      <c r="P11422" s="17"/>
      <c r="Q11422" s="22"/>
    </row>
    <row r="11423">
      <c r="O11423" s="20"/>
      <c r="P11423" s="17"/>
      <c r="Q11423" s="22"/>
    </row>
    <row r="11424">
      <c r="O11424" s="20"/>
      <c r="P11424" s="17"/>
      <c r="Q11424" s="22"/>
    </row>
    <row r="11425">
      <c r="O11425" s="20"/>
      <c r="P11425" s="17"/>
      <c r="Q11425" s="22"/>
    </row>
    <row r="11426">
      <c r="O11426" s="20"/>
      <c r="P11426" s="17"/>
      <c r="Q11426" s="22"/>
    </row>
    <row r="11427">
      <c r="O11427" s="20"/>
      <c r="P11427" s="17"/>
      <c r="Q11427" s="22"/>
    </row>
    <row r="11428">
      <c r="O11428" s="20"/>
      <c r="P11428" s="17"/>
      <c r="Q11428" s="22"/>
    </row>
    <row r="11429">
      <c r="O11429" s="20"/>
      <c r="P11429" s="17"/>
      <c r="Q11429" s="22"/>
    </row>
    <row r="11430">
      <c r="O11430" s="20"/>
      <c r="P11430" s="17"/>
      <c r="Q11430" s="22"/>
    </row>
    <row r="11431">
      <c r="O11431" s="20"/>
      <c r="P11431" s="17"/>
      <c r="Q11431" s="22"/>
    </row>
    <row r="11432">
      <c r="O11432" s="20"/>
      <c r="P11432" s="17"/>
      <c r="Q11432" s="22"/>
    </row>
    <row r="11433">
      <c r="O11433" s="20"/>
      <c r="P11433" s="17"/>
      <c r="Q11433" s="22"/>
    </row>
    <row r="11434">
      <c r="O11434" s="20"/>
      <c r="P11434" s="17"/>
      <c r="Q11434" s="22"/>
    </row>
    <row r="11435">
      <c r="O11435" s="20"/>
      <c r="P11435" s="17"/>
      <c r="Q11435" s="22"/>
    </row>
    <row r="11436">
      <c r="O11436" s="20"/>
      <c r="P11436" s="17"/>
      <c r="Q11436" s="22"/>
    </row>
    <row r="11437">
      <c r="O11437" s="20"/>
      <c r="P11437" s="17"/>
      <c r="Q11437" s="22"/>
    </row>
    <row r="11438">
      <c r="O11438" s="20"/>
      <c r="P11438" s="17"/>
      <c r="Q11438" s="22"/>
    </row>
    <row r="11439">
      <c r="O11439" s="20"/>
      <c r="P11439" s="17"/>
      <c r="Q11439" s="22"/>
    </row>
    <row r="11440">
      <c r="O11440" s="20"/>
      <c r="P11440" s="17"/>
      <c r="Q11440" s="22"/>
    </row>
    <row r="11441">
      <c r="O11441" s="20"/>
      <c r="P11441" s="17"/>
      <c r="Q11441" s="22"/>
    </row>
    <row r="11442">
      <c r="O11442" s="20"/>
      <c r="P11442" s="17"/>
      <c r="Q11442" s="22"/>
    </row>
    <row r="11443">
      <c r="O11443" s="20"/>
      <c r="P11443" s="17"/>
      <c r="Q11443" s="22"/>
    </row>
    <row r="11444">
      <c r="O11444" s="20"/>
      <c r="P11444" s="17"/>
      <c r="Q11444" s="22"/>
    </row>
    <row r="11445">
      <c r="O11445" s="20"/>
      <c r="P11445" s="17"/>
      <c r="Q11445" s="22"/>
    </row>
    <row r="11446">
      <c r="O11446" s="20"/>
      <c r="P11446" s="17"/>
      <c r="Q11446" s="22"/>
    </row>
    <row r="11447">
      <c r="O11447" s="20"/>
      <c r="P11447" s="17"/>
      <c r="Q11447" s="22"/>
    </row>
    <row r="11448">
      <c r="O11448" s="20"/>
      <c r="P11448" s="17"/>
      <c r="Q11448" s="22"/>
    </row>
    <row r="11449">
      <c r="O11449" s="20"/>
      <c r="P11449" s="17"/>
      <c r="Q11449" s="22"/>
    </row>
    <row r="11450">
      <c r="O11450" s="20"/>
      <c r="P11450" s="17"/>
      <c r="Q11450" s="22"/>
    </row>
    <row r="11451">
      <c r="O11451" s="20"/>
      <c r="P11451" s="17"/>
      <c r="Q11451" s="22"/>
    </row>
    <row r="11452">
      <c r="O11452" s="20"/>
      <c r="P11452" s="17"/>
      <c r="Q11452" s="22"/>
    </row>
    <row r="11453">
      <c r="O11453" s="20"/>
      <c r="P11453" s="17"/>
      <c r="Q11453" s="22"/>
    </row>
    <row r="11454">
      <c r="O11454" s="20"/>
      <c r="P11454" s="17"/>
      <c r="Q11454" s="22"/>
    </row>
    <row r="11455">
      <c r="O11455" s="20"/>
      <c r="P11455" s="17"/>
      <c r="Q11455" s="22"/>
    </row>
    <row r="11456">
      <c r="O11456" s="20"/>
      <c r="P11456" s="17"/>
      <c r="Q11456" s="22"/>
    </row>
    <row r="11457">
      <c r="O11457" s="20"/>
      <c r="P11457" s="17"/>
      <c r="Q11457" s="22"/>
    </row>
    <row r="11458">
      <c r="O11458" s="20"/>
      <c r="P11458" s="17"/>
      <c r="Q11458" s="22"/>
    </row>
    <row r="11459">
      <c r="O11459" s="20"/>
      <c r="P11459" s="17"/>
      <c r="Q11459" s="22"/>
    </row>
    <row r="11460">
      <c r="O11460" s="20"/>
      <c r="P11460" s="17"/>
      <c r="Q11460" s="22"/>
    </row>
    <row r="11461">
      <c r="O11461" s="20"/>
      <c r="P11461" s="17"/>
      <c r="Q11461" s="22"/>
    </row>
    <row r="11462">
      <c r="O11462" s="20"/>
      <c r="P11462" s="17"/>
      <c r="Q11462" s="22"/>
    </row>
    <row r="11463">
      <c r="O11463" s="20"/>
      <c r="P11463" s="17"/>
      <c r="Q11463" s="22"/>
    </row>
    <row r="11464">
      <c r="O11464" s="20"/>
      <c r="P11464" s="17"/>
      <c r="Q11464" s="22"/>
    </row>
    <row r="11465">
      <c r="O11465" s="20"/>
      <c r="P11465" s="17"/>
      <c r="Q11465" s="22"/>
    </row>
    <row r="11466">
      <c r="O11466" s="20"/>
      <c r="P11466" s="17"/>
      <c r="Q11466" s="22"/>
    </row>
    <row r="11467">
      <c r="O11467" s="20"/>
      <c r="P11467" s="17"/>
      <c r="Q11467" s="22"/>
    </row>
    <row r="11468">
      <c r="O11468" s="20"/>
      <c r="P11468" s="17"/>
      <c r="Q11468" s="22"/>
    </row>
    <row r="11469">
      <c r="O11469" s="20"/>
      <c r="P11469" s="17"/>
      <c r="Q11469" s="22"/>
    </row>
    <row r="11470">
      <c r="O11470" s="20"/>
      <c r="P11470" s="17"/>
      <c r="Q11470" s="22"/>
    </row>
    <row r="11471">
      <c r="O11471" s="20"/>
      <c r="P11471" s="17"/>
      <c r="Q11471" s="22"/>
    </row>
    <row r="11472">
      <c r="O11472" s="20"/>
      <c r="P11472" s="17"/>
      <c r="Q11472" s="22"/>
    </row>
    <row r="11473">
      <c r="O11473" s="20"/>
      <c r="P11473" s="17"/>
      <c r="Q11473" s="22"/>
    </row>
    <row r="11474">
      <c r="O11474" s="20"/>
      <c r="P11474" s="17"/>
      <c r="Q11474" s="22"/>
    </row>
    <row r="11475">
      <c r="O11475" s="20"/>
      <c r="P11475" s="17"/>
      <c r="Q11475" s="22"/>
    </row>
    <row r="11476">
      <c r="O11476" s="20"/>
      <c r="P11476" s="17"/>
      <c r="Q11476" s="22"/>
    </row>
    <row r="11477">
      <c r="O11477" s="20"/>
      <c r="P11477" s="17"/>
      <c r="Q11477" s="22"/>
    </row>
    <row r="11478">
      <c r="O11478" s="20"/>
      <c r="P11478" s="17"/>
      <c r="Q11478" s="22"/>
    </row>
    <row r="11479">
      <c r="O11479" s="20"/>
      <c r="P11479" s="17"/>
      <c r="Q11479" s="22"/>
    </row>
    <row r="11480">
      <c r="O11480" s="20"/>
      <c r="P11480" s="17"/>
      <c r="Q11480" s="22"/>
    </row>
    <row r="11481">
      <c r="O11481" s="20"/>
      <c r="P11481" s="17"/>
      <c r="Q11481" s="22"/>
    </row>
    <row r="11482">
      <c r="O11482" s="20"/>
      <c r="P11482" s="17"/>
      <c r="Q11482" s="22"/>
    </row>
    <row r="11483">
      <c r="O11483" s="20"/>
      <c r="P11483" s="17"/>
      <c r="Q11483" s="22"/>
    </row>
    <row r="11484">
      <c r="O11484" s="20"/>
      <c r="P11484" s="17"/>
      <c r="Q11484" s="22"/>
    </row>
    <row r="11485">
      <c r="O11485" s="20"/>
      <c r="P11485" s="17"/>
      <c r="Q11485" s="22"/>
    </row>
    <row r="11486">
      <c r="O11486" s="20"/>
      <c r="P11486" s="17"/>
      <c r="Q11486" s="22"/>
    </row>
    <row r="11487">
      <c r="O11487" s="20"/>
      <c r="P11487" s="17"/>
      <c r="Q11487" s="22"/>
    </row>
    <row r="11488">
      <c r="O11488" s="20"/>
      <c r="P11488" s="17"/>
      <c r="Q11488" s="22"/>
    </row>
    <row r="11489">
      <c r="O11489" s="20"/>
      <c r="P11489" s="17"/>
      <c r="Q11489" s="22"/>
    </row>
    <row r="11490">
      <c r="O11490" s="20"/>
      <c r="P11490" s="17"/>
      <c r="Q11490" s="22"/>
    </row>
    <row r="11491">
      <c r="O11491" s="20"/>
      <c r="P11491" s="17"/>
      <c r="Q11491" s="22"/>
    </row>
    <row r="11492">
      <c r="O11492" s="20"/>
      <c r="P11492" s="17"/>
      <c r="Q11492" s="22"/>
    </row>
    <row r="11493">
      <c r="O11493" s="20"/>
      <c r="P11493" s="17"/>
      <c r="Q11493" s="22"/>
    </row>
    <row r="11494">
      <c r="O11494" s="20"/>
      <c r="P11494" s="17"/>
      <c r="Q11494" s="22"/>
    </row>
    <row r="11495">
      <c r="O11495" s="20"/>
      <c r="P11495" s="17"/>
      <c r="Q11495" s="22"/>
    </row>
    <row r="11496">
      <c r="O11496" s="20"/>
      <c r="P11496" s="17"/>
      <c r="Q11496" s="22"/>
    </row>
    <row r="11497">
      <c r="O11497" s="20"/>
      <c r="P11497" s="17"/>
      <c r="Q11497" s="22"/>
    </row>
    <row r="11498">
      <c r="O11498" s="20"/>
      <c r="P11498" s="17"/>
      <c r="Q11498" s="22"/>
    </row>
    <row r="11499">
      <c r="O11499" s="20"/>
      <c r="P11499" s="17"/>
      <c r="Q11499" s="22"/>
    </row>
    <row r="11500">
      <c r="O11500" s="20"/>
      <c r="P11500" s="17"/>
      <c r="Q11500" s="22"/>
    </row>
    <row r="11501">
      <c r="O11501" s="20"/>
      <c r="P11501" s="17"/>
      <c r="Q11501" s="22"/>
    </row>
    <row r="11502">
      <c r="O11502" s="20"/>
      <c r="P11502" s="17"/>
      <c r="Q11502" s="22"/>
    </row>
    <row r="11503">
      <c r="O11503" s="20"/>
      <c r="P11503" s="17"/>
      <c r="Q11503" s="22"/>
    </row>
    <row r="11504">
      <c r="O11504" s="20"/>
      <c r="P11504" s="17"/>
      <c r="Q11504" s="22"/>
    </row>
    <row r="11505">
      <c r="O11505" s="20"/>
      <c r="P11505" s="17"/>
      <c r="Q11505" s="22"/>
    </row>
    <row r="11506">
      <c r="O11506" s="20"/>
      <c r="P11506" s="17"/>
      <c r="Q11506" s="22"/>
    </row>
    <row r="11507">
      <c r="O11507" s="20"/>
      <c r="P11507" s="17"/>
      <c r="Q11507" s="22"/>
    </row>
    <row r="11508">
      <c r="O11508" s="20"/>
      <c r="P11508" s="17"/>
      <c r="Q11508" s="22"/>
    </row>
    <row r="11509">
      <c r="O11509" s="20"/>
      <c r="P11509" s="17"/>
      <c r="Q11509" s="22"/>
    </row>
    <row r="11510">
      <c r="O11510" s="20"/>
      <c r="P11510" s="17"/>
      <c r="Q11510" s="22"/>
    </row>
    <row r="11511">
      <c r="O11511" s="20"/>
      <c r="P11511" s="17"/>
      <c r="Q11511" s="22"/>
    </row>
    <row r="11512">
      <c r="O11512" s="20"/>
      <c r="P11512" s="17"/>
      <c r="Q11512" s="22"/>
    </row>
    <row r="11513">
      <c r="O11513" s="20"/>
      <c r="P11513" s="17"/>
      <c r="Q11513" s="22"/>
    </row>
    <row r="11514">
      <c r="O11514" s="20"/>
      <c r="P11514" s="17"/>
      <c r="Q11514" s="22"/>
    </row>
    <row r="11515">
      <c r="O11515" s="20"/>
      <c r="P11515" s="17"/>
      <c r="Q11515" s="22"/>
    </row>
    <row r="11516">
      <c r="O11516" s="20"/>
      <c r="P11516" s="17"/>
      <c r="Q11516" s="22"/>
    </row>
    <row r="11517">
      <c r="O11517" s="20"/>
      <c r="P11517" s="17"/>
      <c r="Q11517" s="22"/>
    </row>
    <row r="11518">
      <c r="O11518" s="20"/>
      <c r="P11518" s="17"/>
      <c r="Q11518" s="22"/>
    </row>
    <row r="11519">
      <c r="O11519" s="20"/>
      <c r="P11519" s="17"/>
      <c r="Q11519" s="22"/>
    </row>
    <row r="11520">
      <c r="O11520" s="20"/>
      <c r="P11520" s="17"/>
      <c r="Q11520" s="22"/>
    </row>
    <row r="11521">
      <c r="O11521" s="20"/>
      <c r="P11521" s="17"/>
      <c r="Q11521" s="22"/>
    </row>
    <row r="11522">
      <c r="O11522" s="20"/>
      <c r="P11522" s="17"/>
      <c r="Q11522" s="22"/>
    </row>
    <row r="11523">
      <c r="O11523" s="20"/>
      <c r="P11523" s="17"/>
      <c r="Q11523" s="22"/>
    </row>
    <row r="11524">
      <c r="O11524" s="20"/>
      <c r="P11524" s="17"/>
      <c r="Q11524" s="22"/>
    </row>
    <row r="11525">
      <c r="O11525" s="20"/>
      <c r="P11525" s="17"/>
      <c r="Q11525" s="22"/>
    </row>
    <row r="11526">
      <c r="O11526" s="20"/>
      <c r="P11526" s="17"/>
      <c r="Q11526" s="22"/>
    </row>
    <row r="11527">
      <c r="O11527" s="20"/>
      <c r="P11527" s="17"/>
      <c r="Q11527" s="22"/>
    </row>
    <row r="11528">
      <c r="O11528" s="20"/>
      <c r="P11528" s="17"/>
      <c r="Q11528" s="22"/>
    </row>
    <row r="11529">
      <c r="O11529" s="20"/>
      <c r="P11529" s="17"/>
      <c r="Q11529" s="22"/>
    </row>
    <row r="11530">
      <c r="O11530" s="20"/>
      <c r="P11530" s="17"/>
      <c r="Q11530" s="22"/>
    </row>
    <row r="11531">
      <c r="O11531" s="20"/>
      <c r="P11531" s="17"/>
      <c r="Q11531" s="22"/>
    </row>
    <row r="11532">
      <c r="O11532" s="20"/>
      <c r="P11532" s="17"/>
      <c r="Q11532" s="22"/>
    </row>
    <row r="11533">
      <c r="O11533" s="20"/>
      <c r="P11533" s="17"/>
      <c r="Q11533" s="22"/>
    </row>
    <row r="11534">
      <c r="O11534" s="20"/>
      <c r="P11534" s="17"/>
      <c r="Q11534" s="22"/>
    </row>
    <row r="11535">
      <c r="O11535" s="20"/>
      <c r="P11535" s="17"/>
      <c r="Q11535" s="22"/>
    </row>
    <row r="11536">
      <c r="O11536" s="20"/>
      <c r="P11536" s="17"/>
      <c r="Q11536" s="22"/>
    </row>
    <row r="11537">
      <c r="O11537" s="20"/>
      <c r="P11537" s="17"/>
      <c r="Q11537" s="22"/>
    </row>
    <row r="11538">
      <c r="O11538" s="20"/>
      <c r="P11538" s="17"/>
      <c r="Q11538" s="22"/>
    </row>
    <row r="11539">
      <c r="O11539" s="20"/>
      <c r="P11539" s="17"/>
      <c r="Q11539" s="22"/>
    </row>
    <row r="11540">
      <c r="O11540" s="20"/>
      <c r="P11540" s="17"/>
      <c r="Q11540" s="22"/>
    </row>
    <row r="11541">
      <c r="O11541" s="20"/>
      <c r="P11541" s="17"/>
      <c r="Q11541" s="22"/>
    </row>
    <row r="11542">
      <c r="O11542" s="20"/>
      <c r="P11542" s="17"/>
      <c r="Q11542" s="22"/>
    </row>
    <row r="11543">
      <c r="O11543" s="20"/>
      <c r="P11543" s="17"/>
      <c r="Q11543" s="22"/>
    </row>
    <row r="11544">
      <c r="O11544" s="20"/>
      <c r="P11544" s="17"/>
      <c r="Q11544" s="22"/>
    </row>
    <row r="11545">
      <c r="O11545" s="20"/>
      <c r="P11545" s="17"/>
      <c r="Q11545" s="22"/>
    </row>
    <row r="11546">
      <c r="O11546" s="20"/>
      <c r="P11546" s="17"/>
      <c r="Q11546" s="22"/>
    </row>
    <row r="11547">
      <c r="O11547" s="20"/>
      <c r="P11547" s="17"/>
      <c r="Q11547" s="22"/>
    </row>
    <row r="11548">
      <c r="O11548" s="20"/>
      <c r="P11548" s="17"/>
      <c r="Q11548" s="22"/>
    </row>
    <row r="11549">
      <c r="O11549" s="20"/>
      <c r="P11549" s="17"/>
      <c r="Q11549" s="22"/>
    </row>
    <row r="11550">
      <c r="O11550" s="20"/>
      <c r="P11550" s="17"/>
      <c r="Q11550" s="22"/>
    </row>
    <row r="11551">
      <c r="O11551" s="20"/>
      <c r="P11551" s="17"/>
      <c r="Q11551" s="22"/>
    </row>
    <row r="11552">
      <c r="O11552" s="20"/>
      <c r="P11552" s="17"/>
      <c r="Q11552" s="22"/>
    </row>
    <row r="11553">
      <c r="O11553" s="20"/>
      <c r="P11553" s="17"/>
      <c r="Q11553" s="22"/>
    </row>
    <row r="11554">
      <c r="O11554" s="20"/>
      <c r="P11554" s="17"/>
      <c r="Q11554" s="22"/>
    </row>
    <row r="11555">
      <c r="O11555" s="20"/>
      <c r="P11555" s="17"/>
      <c r="Q11555" s="22"/>
    </row>
    <row r="11556">
      <c r="O11556" s="20"/>
      <c r="P11556" s="17"/>
      <c r="Q11556" s="22"/>
    </row>
    <row r="11557">
      <c r="O11557" s="20"/>
      <c r="P11557" s="17"/>
      <c r="Q11557" s="22"/>
    </row>
    <row r="11558">
      <c r="O11558" s="20"/>
      <c r="P11558" s="17"/>
      <c r="Q11558" s="22"/>
    </row>
    <row r="11559">
      <c r="O11559" s="20"/>
      <c r="P11559" s="17"/>
      <c r="Q11559" s="22"/>
    </row>
    <row r="11560">
      <c r="O11560" s="20"/>
      <c r="P11560" s="17"/>
      <c r="Q11560" s="22"/>
    </row>
    <row r="11561">
      <c r="O11561" s="20"/>
      <c r="P11561" s="17"/>
      <c r="Q11561" s="22"/>
    </row>
    <row r="11562">
      <c r="O11562" s="20"/>
      <c r="P11562" s="17"/>
      <c r="Q11562" s="22"/>
    </row>
    <row r="11563">
      <c r="O11563" s="20"/>
      <c r="P11563" s="17"/>
      <c r="Q11563" s="22"/>
    </row>
    <row r="11564">
      <c r="O11564" s="20"/>
      <c r="P11564" s="17"/>
      <c r="Q11564" s="22"/>
    </row>
    <row r="11565">
      <c r="O11565" s="20"/>
      <c r="P11565" s="17"/>
      <c r="Q11565" s="22"/>
    </row>
    <row r="11566">
      <c r="O11566" s="20"/>
      <c r="P11566" s="17"/>
      <c r="Q11566" s="22"/>
    </row>
    <row r="11567">
      <c r="O11567" s="20"/>
      <c r="P11567" s="17"/>
      <c r="Q11567" s="22"/>
    </row>
    <row r="11568">
      <c r="O11568" s="20"/>
      <c r="P11568" s="17"/>
      <c r="Q11568" s="22"/>
    </row>
    <row r="11569">
      <c r="O11569" s="20"/>
      <c r="P11569" s="17"/>
      <c r="Q11569" s="22"/>
    </row>
    <row r="11570">
      <c r="O11570" s="20"/>
      <c r="P11570" s="17"/>
      <c r="Q11570" s="22"/>
    </row>
    <row r="11571">
      <c r="O11571" s="20"/>
      <c r="P11571" s="17"/>
      <c r="Q11571" s="22"/>
    </row>
    <row r="11572">
      <c r="O11572" s="20"/>
      <c r="P11572" s="17"/>
      <c r="Q11572" s="22"/>
    </row>
    <row r="11573">
      <c r="O11573" s="20"/>
      <c r="P11573" s="17"/>
      <c r="Q11573" s="22"/>
    </row>
    <row r="11574">
      <c r="O11574" s="20"/>
      <c r="P11574" s="17"/>
      <c r="Q11574" s="22"/>
    </row>
    <row r="11575">
      <c r="O11575" s="20"/>
      <c r="P11575" s="17"/>
      <c r="Q11575" s="22"/>
    </row>
    <row r="11576">
      <c r="O11576" s="20"/>
      <c r="P11576" s="17"/>
      <c r="Q11576" s="22"/>
    </row>
    <row r="11577">
      <c r="O11577" s="20"/>
      <c r="P11577" s="17"/>
      <c r="Q11577" s="22"/>
    </row>
    <row r="11578">
      <c r="O11578" s="20"/>
      <c r="P11578" s="17"/>
      <c r="Q11578" s="22"/>
    </row>
    <row r="11579">
      <c r="O11579" s="20"/>
      <c r="P11579" s="17"/>
      <c r="Q11579" s="22"/>
    </row>
    <row r="11580">
      <c r="O11580" s="20"/>
      <c r="P11580" s="17"/>
      <c r="Q11580" s="22"/>
    </row>
    <row r="11581">
      <c r="O11581" s="20"/>
      <c r="P11581" s="17"/>
      <c r="Q11581" s="22"/>
    </row>
    <row r="11582">
      <c r="O11582" s="20"/>
      <c r="P11582" s="17"/>
      <c r="Q11582" s="22"/>
    </row>
    <row r="11583">
      <c r="O11583" s="20"/>
      <c r="P11583" s="17"/>
      <c r="Q11583" s="22"/>
    </row>
    <row r="11584">
      <c r="O11584" s="20"/>
      <c r="P11584" s="17"/>
      <c r="Q11584" s="22"/>
    </row>
    <row r="11585">
      <c r="O11585" s="20"/>
      <c r="P11585" s="17"/>
      <c r="Q11585" s="22"/>
    </row>
    <row r="11586">
      <c r="O11586" s="20"/>
      <c r="P11586" s="17"/>
      <c r="Q11586" s="22"/>
    </row>
    <row r="11587">
      <c r="O11587" s="20"/>
      <c r="P11587" s="17"/>
      <c r="Q11587" s="22"/>
    </row>
    <row r="11588">
      <c r="O11588" s="20"/>
      <c r="P11588" s="17"/>
      <c r="Q11588" s="22"/>
    </row>
    <row r="11589">
      <c r="O11589" s="20"/>
      <c r="P11589" s="17"/>
      <c r="Q11589" s="22"/>
    </row>
    <row r="11590">
      <c r="O11590" s="20"/>
      <c r="P11590" s="17"/>
      <c r="Q11590" s="22"/>
    </row>
    <row r="11591">
      <c r="O11591" s="20"/>
      <c r="P11591" s="17"/>
      <c r="Q11591" s="22"/>
    </row>
    <row r="11592">
      <c r="O11592" s="20"/>
      <c r="P11592" s="17"/>
      <c r="Q11592" s="22"/>
    </row>
    <row r="11593">
      <c r="O11593" s="20"/>
      <c r="P11593" s="17"/>
      <c r="Q11593" s="22"/>
    </row>
    <row r="11594">
      <c r="O11594" s="20"/>
      <c r="P11594" s="17"/>
      <c r="Q11594" s="22"/>
    </row>
    <row r="11595">
      <c r="O11595" s="20"/>
      <c r="P11595" s="17"/>
      <c r="Q11595" s="22"/>
    </row>
    <row r="11596">
      <c r="O11596" s="20"/>
      <c r="P11596" s="17"/>
      <c r="Q11596" s="22"/>
    </row>
    <row r="11597">
      <c r="O11597" s="20"/>
      <c r="P11597" s="17"/>
      <c r="Q11597" s="22"/>
    </row>
    <row r="11598">
      <c r="O11598" s="20"/>
      <c r="P11598" s="17"/>
      <c r="Q11598" s="22"/>
    </row>
    <row r="11599">
      <c r="O11599" s="20"/>
      <c r="P11599" s="17"/>
      <c r="Q11599" s="22"/>
    </row>
    <row r="11600">
      <c r="O11600" s="20"/>
      <c r="P11600" s="17"/>
      <c r="Q11600" s="22"/>
    </row>
    <row r="11601">
      <c r="O11601" s="20"/>
      <c r="P11601" s="17"/>
      <c r="Q11601" s="22"/>
    </row>
    <row r="11602">
      <c r="O11602" s="20"/>
      <c r="P11602" s="17"/>
      <c r="Q11602" s="22"/>
    </row>
    <row r="11603">
      <c r="O11603" s="20"/>
      <c r="P11603" s="17"/>
      <c r="Q11603" s="22"/>
    </row>
    <row r="11604">
      <c r="O11604" s="20"/>
      <c r="P11604" s="17"/>
      <c r="Q11604" s="22"/>
    </row>
    <row r="11605">
      <c r="O11605" s="20"/>
      <c r="P11605" s="17"/>
      <c r="Q11605" s="22"/>
    </row>
    <row r="11606">
      <c r="O11606" s="20"/>
      <c r="P11606" s="17"/>
      <c r="Q11606" s="22"/>
    </row>
    <row r="11607">
      <c r="O11607" s="20"/>
      <c r="P11607" s="17"/>
      <c r="Q11607" s="22"/>
    </row>
    <row r="11608">
      <c r="O11608" s="20"/>
      <c r="P11608" s="17"/>
      <c r="Q11608" s="22"/>
    </row>
    <row r="11609">
      <c r="O11609" s="20"/>
      <c r="P11609" s="17"/>
      <c r="Q11609" s="22"/>
    </row>
    <row r="11610">
      <c r="O11610" s="20"/>
      <c r="P11610" s="17"/>
      <c r="Q11610" s="22"/>
    </row>
    <row r="11611">
      <c r="O11611" s="20"/>
      <c r="P11611" s="17"/>
      <c r="Q11611" s="22"/>
    </row>
    <row r="11612">
      <c r="O11612" s="20"/>
      <c r="P11612" s="17"/>
      <c r="Q11612" s="22"/>
    </row>
    <row r="11613">
      <c r="O11613" s="20"/>
      <c r="P11613" s="17"/>
      <c r="Q11613" s="22"/>
    </row>
    <row r="11614">
      <c r="O11614" s="20"/>
      <c r="P11614" s="17"/>
      <c r="Q11614" s="22"/>
    </row>
    <row r="11615">
      <c r="O11615" s="20"/>
      <c r="P11615" s="17"/>
      <c r="Q11615" s="22"/>
    </row>
    <row r="11616">
      <c r="O11616" s="20"/>
      <c r="P11616" s="17"/>
      <c r="Q11616" s="22"/>
    </row>
    <row r="11617">
      <c r="O11617" s="20"/>
      <c r="P11617" s="17"/>
      <c r="Q11617" s="22"/>
    </row>
    <row r="11618">
      <c r="O11618" s="20"/>
      <c r="P11618" s="17"/>
      <c r="Q11618" s="22"/>
    </row>
    <row r="11619">
      <c r="O11619" s="20"/>
      <c r="P11619" s="17"/>
      <c r="Q11619" s="22"/>
    </row>
    <row r="11620">
      <c r="O11620" s="20"/>
      <c r="P11620" s="17"/>
      <c r="Q11620" s="22"/>
    </row>
    <row r="11621">
      <c r="O11621" s="20"/>
      <c r="P11621" s="17"/>
      <c r="Q11621" s="22"/>
    </row>
    <row r="11622">
      <c r="O11622" s="20"/>
      <c r="P11622" s="17"/>
      <c r="Q11622" s="22"/>
    </row>
    <row r="11623">
      <c r="O11623" s="20"/>
      <c r="P11623" s="17"/>
      <c r="Q11623" s="22"/>
    </row>
    <row r="11624">
      <c r="O11624" s="20"/>
      <c r="P11624" s="17"/>
      <c r="Q11624" s="22"/>
    </row>
    <row r="11625">
      <c r="O11625" s="20"/>
      <c r="P11625" s="17"/>
      <c r="Q11625" s="22"/>
    </row>
    <row r="11626">
      <c r="O11626" s="20"/>
      <c r="P11626" s="17"/>
      <c r="Q11626" s="22"/>
    </row>
    <row r="11627">
      <c r="O11627" s="20"/>
      <c r="P11627" s="17"/>
      <c r="Q11627" s="22"/>
    </row>
    <row r="11628">
      <c r="O11628" s="20"/>
      <c r="P11628" s="17"/>
      <c r="Q11628" s="22"/>
    </row>
    <row r="11629">
      <c r="O11629" s="20"/>
      <c r="P11629" s="17"/>
      <c r="Q11629" s="22"/>
    </row>
    <row r="11630">
      <c r="O11630" s="20"/>
      <c r="P11630" s="17"/>
      <c r="Q11630" s="22"/>
    </row>
    <row r="11631">
      <c r="O11631" s="20"/>
      <c r="P11631" s="17"/>
      <c r="Q11631" s="22"/>
    </row>
    <row r="11632">
      <c r="O11632" s="20"/>
      <c r="P11632" s="17"/>
      <c r="Q11632" s="22"/>
    </row>
    <row r="11633">
      <c r="O11633" s="20"/>
      <c r="P11633" s="17"/>
      <c r="Q11633" s="22"/>
    </row>
    <row r="11634">
      <c r="O11634" s="20"/>
      <c r="P11634" s="17"/>
      <c r="Q11634" s="22"/>
    </row>
    <row r="11635">
      <c r="O11635" s="20"/>
      <c r="P11635" s="17"/>
      <c r="Q11635" s="22"/>
    </row>
    <row r="11636">
      <c r="O11636" s="20"/>
      <c r="P11636" s="17"/>
      <c r="Q11636" s="22"/>
    </row>
    <row r="11637">
      <c r="O11637" s="20"/>
      <c r="P11637" s="17"/>
      <c r="Q11637" s="22"/>
    </row>
    <row r="11638">
      <c r="O11638" s="20"/>
      <c r="P11638" s="17"/>
      <c r="Q11638" s="22"/>
    </row>
    <row r="11639">
      <c r="O11639" s="20"/>
      <c r="P11639" s="17"/>
      <c r="Q11639" s="22"/>
    </row>
    <row r="11640">
      <c r="O11640" s="20"/>
      <c r="P11640" s="17"/>
      <c r="Q11640" s="22"/>
    </row>
    <row r="11641">
      <c r="O11641" s="20"/>
      <c r="P11641" s="17"/>
      <c r="Q11641" s="22"/>
    </row>
    <row r="11642">
      <c r="O11642" s="20"/>
      <c r="P11642" s="17"/>
      <c r="Q11642" s="22"/>
    </row>
    <row r="11643">
      <c r="O11643" s="20"/>
      <c r="P11643" s="17"/>
      <c r="Q11643" s="22"/>
    </row>
    <row r="11644">
      <c r="O11644" s="20"/>
      <c r="P11644" s="17"/>
      <c r="Q11644" s="22"/>
    </row>
    <row r="11645">
      <c r="O11645" s="20"/>
      <c r="P11645" s="17"/>
      <c r="Q11645" s="22"/>
    </row>
    <row r="11646">
      <c r="O11646" s="20"/>
      <c r="P11646" s="17"/>
      <c r="Q11646" s="22"/>
    </row>
    <row r="11647">
      <c r="O11647" s="20"/>
      <c r="P11647" s="17"/>
      <c r="Q11647" s="22"/>
    </row>
    <row r="11648">
      <c r="O11648" s="20"/>
      <c r="P11648" s="17"/>
      <c r="Q11648" s="22"/>
    </row>
    <row r="11649">
      <c r="O11649" s="20"/>
      <c r="P11649" s="17"/>
      <c r="Q11649" s="22"/>
    </row>
    <row r="11650">
      <c r="O11650" s="20"/>
      <c r="P11650" s="17"/>
      <c r="Q11650" s="22"/>
    </row>
    <row r="11651">
      <c r="O11651" s="20"/>
      <c r="P11651" s="17"/>
      <c r="Q11651" s="22"/>
    </row>
    <row r="11652">
      <c r="O11652" s="20"/>
      <c r="P11652" s="17"/>
      <c r="Q11652" s="22"/>
    </row>
    <row r="11653">
      <c r="O11653" s="20"/>
      <c r="P11653" s="17"/>
      <c r="Q11653" s="22"/>
    </row>
    <row r="11654">
      <c r="O11654" s="20"/>
      <c r="P11654" s="17"/>
      <c r="Q11654" s="22"/>
    </row>
    <row r="11655">
      <c r="O11655" s="20"/>
      <c r="P11655" s="17"/>
      <c r="Q11655" s="22"/>
    </row>
    <row r="11656">
      <c r="O11656" s="20"/>
      <c r="P11656" s="17"/>
      <c r="Q11656" s="22"/>
    </row>
    <row r="11657">
      <c r="O11657" s="20"/>
      <c r="P11657" s="17"/>
      <c r="Q11657" s="22"/>
    </row>
    <row r="11658">
      <c r="O11658" s="20"/>
      <c r="P11658" s="17"/>
      <c r="Q11658" s="22"/>
    </row>
    <row r="11659">
      <c r="O11659" s="20"/>
      <c r="P11659" s="17"/>
      <c r="Q11659" s="22"/>
    </row>
    <row r="11660">
      <c r="O11660" s="20"/>
      <c r="P11660" s="17"/>
      <c r="Q11660" s="22"/>
    </row>
    <row r="11661">
      <c r="O11661" s="20"/>
      <c r="P11661" s="17"/>
      <c r="Q11661" s="22"/>
    </row>
    <row r="11662">
      <c r="O11662" s="20"/>
      <c r="P11662" s="17"/>
      <c r="Q11662" s="22"/>
    </row>
    <row r="11663">
      <c r="O11663" s="20"/>
      <c r="P11663" s="17"/>
      <c r="Q11663" s="22"/>
    </row>
    <row r="11664">
      <c r="O11664" s="20"/>
      <c r="P11664" s="17"/>
      <c r="Q11664" s="22"/>
    </row>
    <row r="11665">
      <c r="O11665" s="20"/>
      <c r="P11665" s="17"/>
      <c r="Q11665" s="22"/>
    </row>
    <row r="11666">
      <c r="O11666" s="20"/>
      <c r="P11666" s="17"/>
      <c r="Q11666" s="22"/>
    </row>
    <row r="11667">
      <c r="O11667" s="20"/>
      <c r="P11667" s="17"/>
      <c r="Q11667" s="22"/>
    </row>
    <row r="11668">
      <c r="O11668" s="20"/>
      <c r="P11668" s="17"/>
      <c r="Q11668" s="22"/>
    </row>
    <row r="11669">
      <c r="O11669" s="20"/>
      <c r="P11669" s="17"/>
      <c r="Q11669" s="22"/>
    </row>
    <row r="11670">
      <c r="O11670" s="20"/>
      <c r="P11670" s="17"/>
      <c r="Q11670" s="22"/>
    </row>
    <row r="11671">
      <c r="O11671" s="20"/>
      <c r="P11671" s="17"/>
      <c r="Q11671" s="22"/>
    </row>
    <row r="11672">
      <c r="O11672" s="20"/>
      <c r="P11672" s="17"/>
      <c r="Q11672" s="22"/>
    </row>
    <row r="11673">
      <c r="O11673" s="20"/>
      <c r="P11673" s="17"/>
      <c r="Q11673" s="22"/>
    </row>
    <row r="11674">
      <c r="O11674" s="20"/>
      <c r="P11674" s="17"/>
      <c r="Q11674" s="22"/>
    </row>
    <row r="11675">
      <c r="O11675" s="20"/>
      <c r="P11675" s="17"/>
      <c r="Q11675" s="22"/>
    </row>
    <row r="11676">
      <c r="O11676" s="20"/>
      <c r="P11676" s="17"/>
      <c r="Q11676" s="22"/>
    </row>
    <row r="11677">
      <c r="O11677" s="20"/>
      <c r="P11677" s="17"/>
      <c r="Q11677" s="22"/>
    </row>
    <row r="11678">
      <c r="O11678" s="20"/>
      <c r="P11678" s="17"/>
      <c r="Q11678" s="22"/>
    </row>
    <row r="11679">
      <c r="O11679" s="20"/>
      <c r="P11679" s="17"/>
      <c r="Q11679" s="22"/>
    </row>
    <row r="11680">
      <c r="O11680" s="20"/>
      <c r="P11680" s="17"/>
      <c r="Q11680" s="22"/>
    </row>
    <row r="11681">
      <c r="O11681" s="20"/>
      <c r="P11681" s="17"/>
      <c r="Q11681" s="22"/>
    </row>
    <row r="11682">
      <c r="O11682" s="20"/>
      <c r="P11682" s="17"/>
      <c r="Q11682" s="22"/>
    </row>
    <row r="11683">
      <c r="O11683" s="20"/>
      <c r="P11683" s="17"/>
      <c r="Q11683" s="22"/>
    </row>
    <row r="11684">
      <c r="O11684" s="20"/>
      <c r="P11684" s="17"/>
      <c r="Q11684" s="22"/>
    </row>
    <row r="11685">
      <c r="O11685" s="20"/>
      <c r="P11685" s="17"/>
      <c r="Q11685" s="22"/>
    </row>
    <row r="11686">
      <c r="O11686" s="20"/>
      <c r="P11686" s="17"/>
      <c r="Q11686" s="22"/>
    </row>
    <row r="11687">
      <c r="O11687" s="20"/>
      <c r="P11687" s="17"/>
      <c r="Q11687" s="22"/>
    </row>
    <row r="11688">
      <c r="O11688" s="20"/>
      <c r="P11688" s="17"/>
      <c r="Q11688" s="22"/>
    </row>
    <row r="11689">
      <c r="O11689" s="20"/>
      <c r="P11689" s="17"/>
      <c r="Q11689" s="22"/>
    </row>
    <row r="11690">
      <c r="O11690" s="20"/>
      <c r="P11690" s="17"/>
      <c r="Q11690" s="22"/>
    </row>
    <row r="11691">
      <c r="O11691" s="20"/>
      <c r="P11691" s="17"/>
      <c r="Q11691" s="22"/>
    </row>
    <row r="11692">
      <c r="O11692" s="20"/>
      <c r="P11692" s="17"/>
      <c r="Q11692" s="22"/>
    </row>
    <row r="11693">
      <c r="O11693" s="20"/>
      <c r="P11693" s="17"/>
      <c r="Q11693" s="22"/>
    </row>
    <row r="11694">
      <c r="O11694" s="20"/>
      <c r="P11694" s="17"/>
      <c r="Q11694" s="22"/>
    </row>
    <row r="11695">
      <c r="O11695" s="20"/>
      <c r="P11695" s="17"/>
      <c r="Q11695" s="22"/>
    </row>
    <row r="11696">
      <c r="O11696" s="20"/>
      <c r="P11696" s="17"/>
      <c r="Q11696" s="22"/>
    </row>
    <row r="11697">
      <c r="O11697" s="20"/>
      <c r="P11697" s="17"/>
      <c r="Q11697" s="22"/>
    </row>
    <row r="11698">
      <c r="O11698" s="20"/>
      <c r="P11698" s="17"/>
      <c r="Q11698" s="22"/>
    </row>
    <row r="11699">
      <c r="O11699" s="20"/>
      <c r="P11699" s="17"/>
      <c r="Q11699" s="22"/>
    </row>
    <row r="11700">
      <c r="O11700" s="20"/>
      <c r="P11700" s="17"/>
      <c r="Q11700" s="22"/>
    </row>
    <row r="11701">
      <c r="O11701" s="20"/>
      <c r="P11701" s="17"/>
      <c r="Q11701" s="22"/>
    </row>
    <row r="11702">
      <c r="O11702" s="20"/>
      <c r="P11702" s="17"/>
      <c r="Q11702" s="22"/>
    </row>
    <row r="11703">
      <c r="O11703" s="20"/>
      <c r="P11703" s="17"/>
      <c r="Q11703" s="22"/>
    </row>
    <row r="11704">
      <c r="O11704" s="20"/>
      <c r="P11704" s="17"/>
      <c r="Q11704" s="22"/>
    </row>
    <row r="11705">
      <c r="O11705" s="20"/>
      <c r="P11705" s="17"/>
      <c r="Q11705" s="22"/>
    </row>
    <row r="11706">
      <c r="O11706" s="20"/>
      <c r="P11706" s="17"/>
      <c r="Q11706" s="22"/>
    </row>
    <row r="11707">
      <c r="O11707" s="20"/>
      <c r="P11707" s="17"/>
      <c r="Q11707" s="22"/>
    </row>
    <row r="11708">
      <c r="O11708" s="20"/>
      <c r="P11708" s="17"/>
      <c r="Q11708" s="22"/>
    </row>
    <row r="11709">
      <c r="O11709" s="20"/>
      <c r="P11709" s="17"/>
      <c r="Q11709" s="22"/>
    </row>
    <row r="11710">
      <c r="O11710" s="20"/>
      <c r="P11710" s="17"/>
      <c r="Q11710" s="22"/>
    </row>
    <row r="11711">
      <c r="O11711" s="20"/>
      <c r="P11711" s="17"/>
      <c r="Q11711" s="22"/>
    </row>
    <row r="11712">
      <c r="O11712" s="20"/>
      <c r="P11712" s="17"/>
      <c r="Q11712" s="22"/>
    </row>
    <row r="11713">
      <c r="O11713" s="20"/>
      <c r="P11713" s="17"/>
      <c r="Q11713" s="22"/>
    </row>
    <row r="11714">
      <c r="O11714" s="20"/>
      <c r="P11714" s="17"/>
      <c r="Q11714" s="22"/>
    </row>
    <row r="11715">
      <c r="O11715" s="20"/>
      <c r="P11715" s="17"/>
      <c r="Q11715" s="22"/>
    </row>
    <row r="11716">
      <c r="O11716" s="20"/>
      <c r="P11716" s="17"/>
      <c r="Q11716" s="22"/>
    </row>
    <row r="11717">
      <c r="O11717" s="20"/>
      <c r="P11717" s="17"/>
      <c r="Q11717" s="22"/>
    </row>
    <row r="11718">
      <c r="O11718" s="20"/>
      <c r="P11718" s="17"/>
      <c r="Q11718" s="22"/>
    </row>
    <row r="11719">
      <c r="O11719" s="20"/>
      <c r="P11719" s="17"/>
      <c r="Q11719" s="22"/>
    </row>
    <row r="11720">
      <c r="O11720" s="20"/>
      <c r="P11720" s="17"/>
      <c r="Q11720" s="22"/>
    </row>
    <row r="11721">
      <c r="O11721" s="20"/>
      <c r="P11721" s="17"/>
      <c r="Q11721" s="22"/>
    </row>
    <row r="11722">
      <c r="O11722" s="20"/>
      <c r="P11722" s="17"/>
      <c r="Q11722" s="22"/>
    </row>
    <row r="11723">
      <c r="O11723" s="20"/>
      <c r="P11723" s="17"/>
      <c r="Q11723" s="22"/>
    </row>
    <row r="11724">
      <c r="O11724" s="20"/>
      <c r="P11724" s="17"/>
      <c r="Q11724" s="22"/>
    </row>
    <row r="11725">
      <c r="O11725" s="20"/>
      <c r="P11725" s="17"/>
      <c r="Q11725" s="22"/>
    </row>
    <row r="11726">
      <c r="O11726" s="20"/>
      <c r="P11726" s="17"/>
      <c r="Q11726" s="22"/>
    </row>
    <row r="11727">
      <c r="O11727" s="20"/>
      <c r="P11727" s="17"/>
      <c r="Q11727" s="22"/>
    </row>
    <row r="11728">
      <c r="O11728" s="20"/>
      <c r="P11728" s="17"/>
      <c r="Q11728" s="22"/>
    </row>
    <row r="11729">
      <c r="O11729" s="20"/>
      <c r="P11729" s="17"/>
      <c r="Q11729" s="22"/>
    </row>
    <row r="11730">
      <c r="O11730" s="20"/>
      <c r="P11730" s="17"/>
      <c r="Q11730" s="22"/>
    </row>
    <row r="11731">
      <c r="O11731" s="20"/>
      <c r="P11731" s="17"/>
      <c r="Q11731" s="22"/>
    </row>
    <row r="11732">
      <c r="O11732" s="20"/>
      <c r="P11732" s="17"/>
      <c r="Q11732" s="22"/>
    </row>
    <row r="11733">
      <c r="O11733" s="20"/>
      <c r="P11733" s="17"/>
      <c r="Q11733" s="22"/>
    </row>
    <row r="11734">
      <c r="O11734" s="20"/>
      <c r="P11734" s="17"/>
      <c r="Q11734" s="22"/>
    </row>
    <row r="11735">
      <c r="O11735" s="20"/>
      <c r="P11735" s="17"/>
      <c r="Q11735" s="22"/>
    </row>
    <row r="11736">
      <c r="O11736" s="20"/>
      <c r="P11736" s="17"/>
      <c r="Q11736" s="22"/>
    </row>
    <row r="11737">
      <c r="O11737" s="20"/>
      <c r="P11737" s="17"/>
      <c r="Q11737" s="22"/>
    </row>
    <row r="11738">
      <c r="O11738" s="20"/>
      <c r="P11738" s="17"/>
      <c r="Q11738" s="22"/>
    </row>
    <row r="11739">
      <c r="O11739" s="20"/>
      <c r="P11739" s="17"/>
      <c r="Q11739" s="22"/>
    </row>
    <row r="11740">
      <c r="O11740" s="20"/>
      <c r="P11740" s="17"/>
      <c r="Q11740" s="22"/>
    </row>
    <row r="11741">
      <c r="O11741" s="20"/>
      <c r="P11741" s="17"/>
      <c r="Q11741" s="22"/>
    </row>
    <row r="11742">
      <c r="O11742" s="20"/>
      <c r="P11742" s="17"/>
      <c r="Q11742" s="22"/>
    </row>
    <row r="11743">
      <c r="O11743" s="20"/>
      <c r="P11743" s="17"/>
      <c r="Q11743" s="22"/>
    </row>
    <row r="11744">
      <c r="O11744" s="20"/>
      <c r="P11744" s="17"/>
      <c r="Q11744" s="22"/>
    </row>
    <row r="11745">
      <c r="O11745" s="20"/>
      <c r="P11745" s="17"/>
      <c r="Q11745" s="22"/>
    </row>
    <row r="11746">
      <c r="O11746" s="20"/>
      <c r="P11746" s="17"/>
      <c r="Q11746" s="22"/>
    </row>
    <row r="11747">
      <c r="O11747" s="20"/>
      <c r="P11747" s="17"/>
      <c r="Q11747" s="22"/>
    </row>
    <row r="11748">
      <c r="O11748" s="20"/>
      <c r="P11748" s="17"/>
      <c r="Q11748" s="22"/>
    </row>
    <row r="11749">
      <c r="O11749" s="20"/>
      <c r="P11749" s="17"/>
      <c r="Q11749" s="22"/>
    </row>
    <row r="11750">
      <c r="O11750" s="20"/>
      <c r="P11750" s="17"/>
      <c r="Q11750" s="22"/>
    </row>
    <row r="11751">
      <c r="O11751" s="20"/>
      <c r="P11751" s="17"/>
      <c r="Q11751" s="22"/>
    </row>
    <row r="11752">
      <c r="O11752" s="20"/>
      <c r="P11752" s="17"/>
      <c r="Q11752" s="22"/>
    </row>
    <row r="11753">
      <c r="O11753" s="20"/>
      <c r="P11753" s="17"/>
      <c r="Q11753" s="22"/>
    </row>
    <row r="11754">
      <c r="O11754" s="20"/>
      <c r="P11754" s="17"/>
      <c r="Q11754" s="22"/>
    </row>
    <row r="11755">
      <c r="O11755" s="20"/>
      <c r="P11755" s="17"/>
      <c r="Q11755" s="22"/>
    </row>
    <row r="11756">
      <c r="O11756" s="20"/>
      <c r="P11756" s="17"/>
      <c r="Q11756" s="22"/>
    </row>
    <row r="11757">
      <c r="O11757" s="20"/>
      <c r="P11757" s="17"/>
      <c r="Q11757" s="22"/>
    </row>
    <row r="11758">
      <c r="O11758" s="20"/>
      <c r="P11758" s="17"/>
      <c r="Q11758" s="22"/>
    </row>
    <row r="11759">
      <c r="O11759" s="20"/>
      <c r="P11759" s="17"/>
      <c r="Q11759" s="22"/>
    </row>
    <row r="11760">
      <c r="O11760" s="20"/>
      <c r="P11760" s="17"/>
      <c r="Q11760" s="22"/>
    </row>
    <row r="11761">
      <c r="O11761" s="20"/>
      <c r="P11761" s="17"/>
      <c r="Q11761" s="22"/>
    </row>
    <row r="11762">
      <c r="O11762" s="20"/>
      <c r="P11762" s="17"/>
      <c r="Q11762" s="22"/>
    </row>
    <row r="11763">
      <c r="O11763" s="20"/>
      <c r="P11763" s="17"/>
      <c r="Q11763" s="22"/>
    </row>
    <row r="11764">
      <c r="O11764" s="20"/>
      <c r="P11764" s="17"/>
      <c r="Q11764" s="22"/>
    </row>
    <row r="11765">
      <c r="O11765" s="20"/>
      <c r="P11765" s="17"/>
      <c r="Q11765" s="22"/>
    </row>
    <row r="11766">
      <c r="O11766" s="20"/>
      <c r="P11766" s="17"/>
      <c r="Q11766" s="22"/>
    </row>
    <row r="11767">
      <c r="O11767" s="20"/>
      <c r="P11767" s="17"/>
      <c r="Q11767" s="22"/>
    </row>
    <row r="11768">
      <c r="O11768" s="20"/>
      <c r="P11768" s="17"/>
      <c r="Q11768" s="22"/>
    </row>
    <row r="11769">
      <c r="O11769" s="20"/>
      <c r="P11769" s="17"/>
      <c r="Q11769" s="22"/>
    </row>
    <row r="11770">
      <c r="O11770" s="20"/>
      <c r="P11770" s="17"/>
      <c r="Q11770" s="22"/>
    </row>
    <row r="11771">
      <c r="O11771" s="20"/>
      <c r="P11771" s="17"/>
      <c r="Q11771" s="22"/>
    </row>
    <row r="11772">
      <c r="O11772" s="20"/>
      <c r="P11772" s="17"/>
      <c r="Q11772" s="22"/>
    </row>
    <row r="11773">
      <c r="O11773" s="20"/>
      <c r="P11773" s="17"/>
      <c r="Q11773" s="22"/>
    </row>
    <row r="11774">
      <c r="O11774" s="20"/>
      <c r="P11774" s="17"/>
      <c r="Q11774" s="22"/>
    </row>
    <row r="11775">
      <c r="O11775" s="20"/>
      <c r="P11775" s="17"/>
      <c r="Q11775" s="22"/>
    </row>
    <row r="11776">
      <c r="O11776" s="20"/>
      <c r="P11776" s="17"/>
      <c r="Q11776" s="22"/>
    </row>
    <row r="11777">
      <c r="O11777" s="20"/>
      <c r="P11777" s="17"/>
      <c r="Q11777" s="22"/>
    </row>
    <row r="11778">
      <c r="O11778" s="20"/>
      <c r="P11778" s="17"/>
      <c r="Q11778" s="22"/>
    </row>
    <row r="11779">
      <c r="O11779" s="20"/>
      <c r="P11779" s="17"/>
      <c r="Q11779" s="22"/>
    </row>
    <row r="11780">
      <c r="O11780" s="20"/>
      <c r="P11780" s="17"/>
      <c r="Q11780" s="22"/>
    </row>
    <row r="11781">
      <c r="O11781" s="20"/>
      <c r="P11781" s="17"/>
      <c r="Q11781" s="22"/>
    </row>
    <row r="11782">
      <c r="O11782" s="20"/>
      <c r="P11782" s="17"/>
      <c r="Q11782" s="22"/>
    </row>
    <row r="11783">
      <c r="O11783" s="20"/>
      <c r="P11783" s="17"/>
      <c r="Q11783" s="22"/>
    </row>
    <row r="11784">
      <c r="O11784" s="20"/>
      <c r="P11784" s="17"/>
      <c r="Q11784" s="22"/>
    </row>
    <row r="11785">
      <c r="O11785" s="20"/>
      <c r="P11785" s="17"/>
      <c r="Q11785" s="22"/>
    </row>
    <row r="11786">
      <c r="O11786" s="20"/>
      <c r="P11786" s="17"/>
      <c r="Q11786" s="22"/>
    </row>
    <row r="11787">
      <c r="O11787" s="20"/>
      <c r="P11787" s="17"/>
      <c r="Q11787" s="22"/>
    </row>
    <row r="11788">
      <c r="O11788" s="20"/>
      <c r="P11788" s="17"/>
      <c r="Q11788" s="22"/>
    </row>
    <row r="11789">
      <c r="O11789" s="20"/>
      <c r="P11789" s="17"/>
      <c r="Q11789" s="22"/>
    </row>
    <row r="11790">
      <c r="O11790" s="20"/>
      <c r="P11790" s="17"/>
      <c r="Q11790" s="22"/>
    </row>
    <row r="11791">
      <c r="O11791" s="20"/>
      <c r="P11791" s="17"/>
      <c r="Q11791" s="22"/>
    </row>
    <row r="11792">
      <c r="O11792" s="20"/>
      <c r="P11792" s="17"/>
      <c r="Q11792" s="22"/>
    </row>
    <row r="11793">
      <c r="O11793" s="20"/>
      <c r="P11793" s="17"/>
      <c r="Q11793" s="22"/>
    </row>
    <row r="11794">
      <c r="O11794" s="20"/>
      <c r="P11794" s="17"/>
      <c r="Q11794" s="22"/>
    </row>
    <row r="11795">
      <c r="O11795" s="20"/>
      <c r="P11795" s="17"/>
      <c r="Q11795" s="22"/>
    </row>
    <row r="11796">
      <c r="O11796" s="20"/>
      <c r="P11796" s="17"/>
      <c r="Q11796" s="22"/>
    </row>
    <row r="11797">
      <c r="O11797" s="20"/>
      <c r="P11797" s="17"/>
      <c r="Q11797" s="22"/>
    </row>
    <row r="11798">
      <c r="O11798" s="20"/>
      <c r="P11798" s="17"/>
      <c r="Q11798" s="22"/>
    </row>
    <row r="11799">
      <c r="O11799" s="20"/>
      <c r="P11799" s="17"/>
      <c r="Q11799" s="22"/>
    </row>
    <row r="11800">
      <c r="O11800" s="20"/>
      <c r="P11800" s="17"/>
      <c r="Q11800" s="22"/>
    </row>
    <row r="11801">
      <c r="O11801" s="20"/>
      <c r="P11801" s="17"/>
      <c r="Q11801" s="22"/>
    </row>
    <row r="11802">
      <c r="O11802" s="20"/>
      <c r="P11802" s="17"/>
      <c r="Q11802" s="22"/>
    </row>
    <row r="11803">
      <c r="O11803" s="20"/>
      <c r="P11803" s="17"/>
      <c r="Q11803" s="22"/>
    </row>
    <row r="11804">
      <c r="O11804" s="20"/>
      <c r="P11804" s="17"/>
      <c r="Q11804" s="22"/>
    </row>
    <row r="11805">
      <c r="O11805" s="20"/>
      <c r="P11805" s="17"/>
      <c r="Q11805" s="22"/>
    </row>
    <row r="11806">
      <c r="O11806" s="20"/>
      <c r="P11806" s="17"/>
      <c r="Q11806" s="22"/>
    </row>
    <row r="11807">
      <c r="O11807" s="20"/>
      <c r="P11807" s="17"/>
      <c r="Q11807" s="22"/>
    </row>
    <row r="11808">
      <c r="O11808" s="20"/>
      <c r="P11808" s="17"/>
      <c r="Q11808" s="22"/>
    </row>
    <row r="11809">
      <c r="O11809" s="20"/>
      <c r="P11809" s="17"/>
      <c r="Q11809" s="22"/>
    </row>
    <row r="11810">
      <c r="O11810" s="20"/>
      <c r="P11810" s="17"/>
      <c r="Q11810" s="22"/>
    </row>
    <row r="11811">
      <c r="O11811" s="20"/>
      <c r="P11811" s="17"/>
      <c r="Q11811" s="22"/>
    </row>
    <row r="11812">
      <c r="O11812" s="20"/>
      <c r="P11812" s="17"/>
      <c r="Q11812" s="22"/>
    </row>
    <row r="11813">
      <c r="O11813" s="20"/>
      <c r="P11813" s="17"/>
      <c r="Q11813" s="22"/>
    </row>
    <row r="11814">
      <c r="O11814" s="20"/>
      <c r="P11814" s="17"/>
      <c r="Q11814" s="22"/>
    </row>
    <row r="11815">
      <c r="O11815" s="20"/>
      <c r="P11815" s="17"/>
      <c r="Q11815" s="22"/>
    </row>
    <row r="11816">
      <c r="O11816" s="20"/>
      <c r="P11816" s="17"/>
      <c r="Q11816" s="22"/>
    </row>
    <row r="11817">
      <c r="O11817" s="20"/>
      <c r="P11817" s="17"/>
      <c r="Q11817" s="22"/>
    </row>
    <row r="11818">
      <c r="O11818" s="20"/>
      <c r="P11818" s="17"/>
      <c r="Q11818" s="22"/>
    </row>
    <row r="11819">
      <c r="O11819" s="20"/>
      <c r="P11819" s="17"/>
      <c r="Q11819" s="22"/>
    </row>
    <row r="11820">
      <c r="O11820" s="20"/>
      <c r="P11820" s="17"/>
      <c r="Q11820" s="22"/>
    </row>
    <row r="11821">
      <c r="O11821" s="20"/>
      <c r="P11821" s="17"/>
      <c r="Q11821" s="22"/>
    </row>
    <row r="11822">
      <c r="O11822" s="20"/>
      <c r="P11822" s="17"/>
      <c r="Q11822" s="22"/>
    </row>
    <row r="11823">
      <c r="O11823" s="20"/>
      <c r="P11823" s="17"/>
      <c r="Q11823" s="22"/>
    </row>
    <row r="11824">
      <c r="O11824" s="20"/>
      <c r="P11824" s="17"/>
      <c r="Q11824" s="22"/>
    </row>
    <row r="11825">
      <c r="O11825" s="20"/>
      <c r="P11825" s="17"/>
      <c r="Q11825" s="22"/>
    </row>
    <row r="11826">
      <c r="O11826" s="20"/>
      <c r="P11826" s="17"/>
      <c r="Q11826" s="22"/>
    </row>
    <row r="11827">
      <c r="O11827" s="20"/>
      <c r="P11827" s="17"/>
      <c r="Q11827" s="22"/>
    </row>
    <row r="11828">
      <c r="O11828" s="20"/>
      <c r="P11828" s="17"/>
      <c r="Q11828" s="22"/>
    </row>
    <row r="11829">
      <c r="O11829" s="20"/>
      <c r="P11829" s="17"/>
      <c r="Q11829" s="22"/>
    </row>
    <row r="11830">
      <c r="O11830" s="20"/>
      <c r="P11830" s="17"/>
      <c r="Q11830" s="22"/>
    </row>
    <row r="11831">
      <c r="O11831" s="20"/>
      <c r="P11831" s="17"/>
      <c r="Q11831" s="22"/>
    </row>
    <row r="11832">
      <c r="O11832" s="20"/>
      <c r="P11832" s="17"/>
      <c r="Q11832" s="22"/>
    </row>
    <row r="11833">
      <c r="O11833" s="20"/>
      <c r="P11833" s="17"/>
      <c r="Q11833" s="22"/>
    </row>
    <row r="11834">
      <c r="O11834" s="20"/>
      <c r="P11834" s="17"/>
      <c r="Q11834" s="22"/>
    </row>
    <row r="11835">
      <c r="O11835" s="20"/>
      <c r="P11835" s="17"/>
      <c r="Q11835" s="22"/>
    </row>
    <row r="11836">
      <c r="O11836" s="20"/>
      <c r="P11836" s="17"/>
      <c r="Q11836" s="22"/>
    </row>
    <row r="11837">
      <c r="O11837" s="20"/>
      <c r="P11837" s="17"/>
      <c r="Q11837" s="22"/>
    </row>
    <row r="11838">
      <c r="O11838" s="20"/>
      <c r="P11838" s="17"/>
      <c r="Q11838" s="22"/>
    </row>
    <row r="11839">
      <c r="O11839" s="20"/>
      <c r="P11839" s="17"/>
      <c r="Q11839" s="22"/>
    </row>
    <row r="11840">
      <c r="O11840" s="20"/>
      <c r="P11840" s="17"/>
      <c r="Q11840" s="22"/>
    </row>
    <row r="11841">
      <c r="O11841" s="20"/>
      <c r="P11841" s="17"/>
      <c r="Q11841" s="22"/>
    </row>
    <row r="11842">
      <c r="O11842" s="20"/>
      <c r="P11842" s="17"/>
      <c r="Q11842" s="22"/>
    </row>
    <row r="11843">
      <c r="O11843" s="20"/>
      <c r="P11843" s="17"/>
      <c r="Q11843" s="22"/>
    </row>
    <row r="11844">
      <c r="O11844" s="20"/>
      <c r="P11844" s="17"/>
      <c r="Q11844" s="22"/>
    </row>
    <row r="11845">
      <c r="O11845" s="20"/>
      <c r="P11845" s="17"/>
      <c r="Q11845" s="22"/>
    </row>
    <row r="11846">
      <c r="O11846" s="20"/>
      <c r="P11846" s="17"/>
      <c r="Q11846" s="22"/>
    </row>
    <row r="11847">
      <c r="O11847" s="20"/>
      <c r="P11847" s="17"/>
      <c r="Q11847" s="22"/>
    </row>
    <row r="11848">
      <c r="O11848" s="20"/>
      <c r="P11848" s="17"/>
      <c r="Q11848" s="22"/>
    </row>
    <row r="11849">
      <c r="O11849" s="20"/>
      <c r="P11849" s="17"/>
      <c r="Q11849" s="22"/>
    </row>
    <row r="11850">
      <c r="O11850" s="20"/>
      <c r="P11850" s="17"/>
      <c r="Q11850" s="22"/>
    </row>
    <row r="11851">
      <c r="O11851" s="20"/>
      <c r="P11851" s="17"/>
      <c r="Q11851" s="22"/>
    </row>
    <row r="11852">
      <c r="O11852" s="20"/>
      <c r="P11852" s="17"/>
      <c r="Q11852" s="22"/>
    </row>
    <row r="11853">
      <c r="O11853" s="20"/>
      <c r="P11853" s="17"/>
      <c r="Q11853" s="22"/>
    </row>
    <row r="11854">
      <c r="O11854" s="20"/>
      <c r="P11854" s="17"/>
      <c r="Q11854" s="22"/>
    </row>
    <row r="11855">
      <c r="O11855" s="20"/>
      <c r="P11855" s="17"/>
      <c r="Q11855" s="22"/>
    </row>
    <row r="11856">
      <c r="O11856" s="20"/>
      <c r="P11856" s="17"/>
      <c r="Q11856" s="22"/>
    </row>
    <row r="11857">
      <c r="O11857" s="20"/>
      <c r="P11857" s="17"/>
      <c r="Q11857" s="22"/>
    </row>
    <row r="11858">
      <c r="O11858" s="20"/>
      <c r="P11858" s="17"/>
      <c r="Q11858" s="22"/>
    </row>
    <row r="11859">
      <c r="O11859" s="20"/>
      <c r="P11859" s="17"/>
      <c r="Q11859" s="22"/>
    </row>
    <row r="11860">
      <c r="O11860" s="20"/>
      <c r="P11860" s="17"/>
      <c r="Q11860" s="22"/>
    </row>
    <row r="11861">
      <c r="O11861" s="20"/>
      <c r="P11861" s="17"/>
      <c r="Q11861" s="22"/>
    </row>
    <row r="11862">
      <c r="O11862" s="20"/>
      <c r="P11862" s="17"/>
      <c r="Q11862" s="22"/>
    </row>
    <row r="11863">
      <c r="O11863" s="20"/>
      <c r="P11863" s="17"/>
      <c r="Q11863" s="22"/>
    </row>
    <row r="11864">
      <c r="O11864" s="20"/>
      <c r="P11864" s="17"/>
      <c r="Q11864" s="22"/>
    </row>
    <row r="11865">
      <c r="O11865" s="20"/>
      <c r="P11865" s="17"/>
      <c r="Q11865" s="22"/>
    </row>
    <row r="11866">
      <c r="O11866" s="20"/>
      <c r="P11866" s="17"/>
      <c r="Q11866" s="22"/>
    </row>
    <row r="11867">
      <c r="O11867" s="20"/>
      <c r="P11867" s="17"/>
      <c r="Q11867" s="22"/>
    </row>
    <row r="11868">
      <c r="O11868" s="20"/>
      <c r="P11868" s="17"/>
      <c r="Q11868" s="22"/>
    </row>
    <row r="11869">
      <c r="O11869" s="20"/>
      <c r="P11869" s="17"/>
      <c r="Q11869" s="22"/>
    </row>
    <row r="11870">
      <c r="O11870" s="20"/>
      <c r="P11870" s="17"/>
      <c r="Q11870" s="22"/>
    </row>
    <row r="11871">
      <c r="O11871" s="20"/>
      <c r="P11871" s="17"/>
      <c r="Q11871" s="22"/>
    </row>
    <row r="11872">
      <c r="O11872" s="20"/>
      <c r="P11872" s="17"/>
      <c r="Q11872" s="22"/>
    </row>
    <row r="11873">
      <c r="O11873" s="20"/>
      <c r="P11873" s="17"/>
      <c r="Q11873" s="22"/>
    </row>
    <row r="11874">
      <c r="O11874" s="20"/>
      <c r="P11874" s="17"/>
      <c r="Q11874" s="22"/>
    </row>
    <row r="11875">
      <c r="O11875" s="20"/>
      <c r="P11875" s="17"/>
      <c r="Q11875" s="22"/>
    </row>
    <row r="11876">
      <c r="O11876" s="20"/>
      <c r="P11876" s="17"/>
      <c r="Q11876" s="22"/>
    </row>
    <row r="11877">
      <c r="O11877" s="20"/>
      <c r="P11877" s="17"/>
      <c r="Q11877" s="22"/>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30"/>
    <hyperlink r:id="rId28" ref="F31"/>
    <hyperlink r:id="rId29" ref="F32"/>
    <hyperlink r:id="rId30" ref="F33"/>
    <hyperlink r:id="rId31" ref="F34"/>
    <hyperlink r:id="rId32" ref="F35"/>
    <hyperlink r:id="rId33" ref="F36"/>
    <hyperlink r:id="rId34" ref="F37"/>
    <hyperlink r:id="rId35" ref="F38"/>
    <hyperlink r:id="rId36" ref="F40"/>
    <hyperlink r:id="rId37" ref="F41"/>
    <hyperlink r:id="rId38" ref="F42"/>
    <hyperlink r:id="rId39" ref="F43"/>
    <hyperlink r:id="rId40" ref="F44"/>
    <hyperlink r:id="rId41" ref="F45"/>
    <hyperlink r:id="rId42" ref="F46"/>
    <hyperlink r:id="rId43" ref="F47"/>
    <hyperlink r:id="rId44" ref="F48"/>
    <hyperlink r:id="rId45" ref="F50"/>
    <hyperlink r:id="rId46" ref="F51"/>
    <hyperlink r:id="rId47" ref="F52"/>
    <hyperlink r:id="rId48" ref="F53"/>
    <hyperlink r:id="rId49" ref="F54"/>
    <hyperlink r:id="rId50" ref="F55"/>
    <hyperlink r:id="rId51" ref="F56"/>
    <hyperlink r:id="rId52" ref="F57"/>
    <hyperlink r:id="rId53" ref="F58"/>
    <hyperlink r:id="rId54" ref="F59"/>
    <hyperlink r:id="rId55" ref="F60"/>
    <hyperlink r:id="rId56" ref="F61"/>
    <hyperlink r:id="rId57" ref="F62"/>
    <hyperlink r:id="rId58" ref="F63"/>
    <hyperlink r:id="rId59" ref="F64"/>
    <hyperlink r:id="rId60" ref="F65"/>
    <hyperlink r:id="rId61" ref="F66"/>
    <hyperlink r:id="rId62" ref="F67"/>
    <hyperlink r:id="rId63" ref="F68"/>
    <hyperlink r:id="rId64" ref="F69"/>
    <hyperlink r:id="rId65" ref="F70"/>
    <hyperlink r:id="rId66" ref="F71"/>
    <hyperlink r:id="rId67" ref="F72"/>
    <hyperlink r:id="rId68" ref="F73"/>
    <hyperlink r:id="rId69" ref="F74"/>
    <hyperlink r:id="rId70" ref="F75"/>
    <hyperlink r:id="rId71" ref="F76"/>
    <hyperlink r:id="rId72" ref="F77"/>
    <hyperlink r:id="rId73" ref="F78"/>
    <hyperlink r:id="rId74" ref="F79"/>
    <hyperlink r:id="rId75" ref="F81"/>
    <hyperlink r:id="rId76" ref="F83"/>
    <hyperlink r:id="rId77" ref="F84"/>
    <hyperlink r:id="rId78" ref="F85"/>
    <hyperlink r:id="rId79" ref="F86"/>
    <hyperlink r:id="rId80" ref="F87"/>
    <hyperlink r:id="rId81" ref="F88"/>
    <hyperlink r:id="rId82" ref="F89"/>
    <hyperlink r:id="rId83" ref="F90"/>
    <hyperlink r:id="rId84" ref="F92"/>
    <hyperlink r:id="rId85" ref="F94"/>
    <hyperlink r:id="rId86" ref="F95"/>
    <hyperlink r:id="rId87" ref="F96"/>
    <hyperlink r:id="rId88" ref="F97"/>
    <hyperlink r:id="rId89" ref="F98"/>
    <hyperlink r:id="rId90" ref="F99"/>
    <hyperlink r:id="rId91" ref="F100"/>
    <hyperlink r:id="rId92" ref="F101"/>
    <hyperlink r:id="rId93" ref="F102"/>
    <hyperlink r:id="rId94" ref="F103"/>
    <hyperlink r:id="rId95" ref="F104"/>
    <hyperlink r:id="rId96" ref="F105"/>
    <hyperlink r:id="rId97" ref="F106"/>
    <hyperlink r:id="rId98" ref="F107"/>
    <hyperlink r:id="rId99" ref="F108"/>
    <hyperlink r:id="rId100" ref="F109"/>
    <hyperlink r:id="rId101" ref="F110"/>
    <hyperlink r:id="rId102" ref="F111"/>
    <hyperlink r:id="rId103" ref="F112"/>
    <hyperlink r:id="rId104" ref="F113"/>
    <hyperlink r:id="rId105" ref="F114"/>
    <hyperlink r:id="rId106" ref="F115"/>
    <hyperlink r:id="rId107" ref="F116"/>
    <hyperlink r:id="rId108" ref="F117"/>
    <hyperlink r:id="rId109" ref="F118"/>
    <hyperlink r:id="rId110" ref="F119"/>
    <hyperlink r:id="rId111" ref="F120"/>
    <hyperlink r:id="rId112" ref="F121"/>
    <hyperlink r:id="rId113" ref="F122"/>
    <hyperlink r:id="rId114" ref="F123"/>
    <hyperlink r:id="rId115" ref="F124"/>
    <hyperlink r:id="rId116" ref="F125"/>
    <hyperlink r:id="rId117" ref="F126"/>
    <hyperlink r:id="rId118" ref="F127"/>
    <hyperlink r:id="rId119" ref="F128"/>
    <hyperlink r:id="rId120" ref="F129"/>
    <hyperlink r:id="rId121" ref="F131"/>
    <hyperlink r:id="rId122" ref="F132"/>
    <hyperlink r:id="rId123" ref="F133"/>
    <hyperlink r:id="rId124" ref="F134"/>
    <hyperlink r:id="rId125" ref="F135"/>
    <hyperlink r:id="rId126" ref="F138"/>
    <hyperlink r:id="rId127" ref="F140"/>
    <hyperlink r:id="rId128" ref="F142"/>
    <hyperlink r:id="rId129" ref="F143"/>
    <hyperlink r:id="rId130" ref="F144"/>
    <hyperlink r:id="rId131" ref="F145"/>
    <hyperlink r:id="rId132" ref="F147"/>
    <hyperlink r:id="rId133" ref="F148"/>
    <hyperlink r:id="rId134" ref="F149"/>
    <hyperlink r:id="rId135" ref="F150"/>
    <hyperlink r:id="rId136" ref="F151"/>
    <hyperlink r:id="rId137" ref="F152"/>
    <hyperlink r:id="rId138" ref="F153"/>
    <hyperlink r:id="rId139" ref="F154"/>
    <hyperlink r:id="rId140" ref="F155"/>
    <hyperlink r:id="rId141" ref="F156"/>
    <hyperlink r:id="rId142" ref="F157"/>
    <hyperlink r:id="rId143" ref="F158"/>
    <hyperlink r:id="rId144" ref="F159"/>
    <hyperlink r:id="rId145" ref="F160"/>
    <hyperlink r:id="rId146" ref="F161"/>
    <hyperlink r:id="rId147" ref="F162"/>
    <hyperlink r:id="rId148" ref="F163"/>
    <hyperlink r:id="rId149" ref="F164"/>
    <hyperlink r:id="rId150" ref="F165"/>
    <hyperlink r:id="rId151" ref="F166"/>
    <hyperlink r:id="rId152" ref="F167"/>
    <hyperlink r:id="rId153" ref="F168"/>
    <hyperlink r:id="rId154" ref="F169"/>
    <hyperlink r:id="rId155" ref="F170"/>
    <hyperlink r:id="rId156" ref="F171"/>
    <hyperlink r:id="rId157" ref="F172"/>
    <hyperlink r:id="rId158" ref="F173"/>
    <hyperlink r:id="rId159" ref="F174"/>
    <hyperlink r:id="rId160" ref="F176"/>
    <hyperlink r:id="rId161" ref="F177"/>
    <hyperlink r:id="rId162" ref="F178"/>
    <hyperlink r:id="rId163" ref="F179"/>
    <hyperlink r:id="rId164" ref="F180"/>
    <hyperlink r:id="rId165" ref="F181"/>
    <hyperlink r:id="rId166" ref="F182"/>
    <hyperlink r:id="rId167" ref="F183"/>
    <hyperlink r:id="rId168" ref="F184"/>
    <hyperlink r:id="rId169" ref="F185"/>
    <hyperlink r:id="rId170" ref="F186"/>
    <hyperlink r:id="rId171" ref="F187"/>
    <hyperlink r:id="rId172" ref="F188"/>
    <hyperlink r:id="rId173" ref="F189"/>
    <hyperlink r:id="rId174" ref="F190"/>
    <hyperlink r:id="rId175" ref="F191"/>
    <hyperlink r:id="rId176" ref="F193"/>
    <hyperlink r:id="rId177" ref="F194"/>
    <hyperlink r:id="rId178" ref="F195"/>
    <hyperlink r:id="rId179" ref="F196"/>
    <hyperlink r:id="rId180" ref="F197"/>
    <hyperlink r:id="rId181" ref="F198"/>
    <hyperlink r:id="rId182" ref="F199"/>
    <hyperlink r:id="rId183" ref="F200"/>
    <hyperlink r:id="rId184" ref="F201"/>
    <hyperlink r:id="rId185" ref="F203"/>
    <hyperlink r:id="rId186" ref="F205"/>
    <hyperlink r:id="rId187" ref="F206"/>
    <hyperlink r:id="rId188" ref="F207"/>
    <hyperlink r:id="rId189" ref="F208"/>
    <hyperlink r:id="rId190" ref="F209"/>
    <hyperlink r:id="rId191" ref="F210"/>
    <hyperlink r:id="rId192" ref="F211"/>
    <hyperlink r:id="rId193" ref="F212"/>
    <hyperlink r:id="rId194" ref="F213"/>
    <hyperlink r:id="rId195" ref="F214"/>
    <hyperlink r:id="rId196" ref="F215"/>
    <hyperlink r:id="rId197" ref="F216"/>
    <hyperlink r:id="rId198" ref="F217"/>
    <hyperlink r:id="rId199" ref="F218"/>
    <hyperlink r:id="rId200" ref="F219"/>
    <hyperlink r:id="rId201" ref="F220"/>
    <hyperlink r:id="rId202" ref="F221"/>
    <hyperlink r:id="rId203" ref="F222"/>
    <hyperlink r:id="rId204" ref="F223"/>
    <hyperlink r:id="rId205" ref="F224"/>
    <hyperlink r:id="rId206" ref="F225"/>
    <hyperlink r:id="rId207" ref="F227"/>
    <hyperlink r:id="rId208" ref="F228"/>
    <hyperlink r:id="rId209" ref="F229"/>
    <hyperlink r:id="rId210" ref="F230"/>
    <hyperlink r:id="rId211" ref="F231"/>
    <hyperlink r:id="rId212" ref="F232"/>
    <hyperlink r:id="rId213" ref="F233"/>
    <hyperlink r:id="rId214" ref="F234"/>
    <hyperlink r:id="rId215" ref="F235"/>
    <hyperlink r:id="rId216" ref="F238"/>
    <hyperlink r:id="rId217" ref="F239"/>
    <hyperlink r:id="rId218" ref="F242"/>
    <hyperlink r:id="rId219" ref="F243"/>
    <hyperlink r:id="rId220" ref="F244"/>
    <hyperlink r:id="rId221" ref="F245"/>
    <hyperlink r:id="rId222" ref="F246"/>
    <hyperlink r:id="rId223" ref="F247"/>
    <hyperlink r:id="rId224" ref="F248"/>
    <hyperlink r:id="rId225" ref="F249"/>
    <hyperlink r:id="rId226" ref="F250"/>
    <hyperlink r:id="rId227" ref="F251"/>
    <hyperlink r:id="rId228" ref="F252"/>
    <hyperlink r:id="rId229" ref="F253"/>
    <hyperlink r:id="rId230" ref="F254"/>
    <hyperlink r:id="rId231" ref="F255"/>
    <hyperlink r:id="rId232" ref="F256"/>
    <hyperlink r:id="rId233" ref="F259"/>
    <hyperlink r:id="rId234" ref="F260"/>
    <hyperlink r:id="rId235" ref="F261"/>
    <hyperlink r:id="rId236" ref="F262"/>
    <hyperlink r:id="rId237" ref="F263"/>
    <hyperlink r:id="rId238" ref="F264"/>
    <hyperlink r:id="rId239" ref="F265"/>
    <hyperlink r:id="rId240" ref="F266"/>
    <hyperlink r:id="rId241" ref="F267"/>
    <hyperlink r:id="rId242" ref="F268"/>
    <hyperlink r:id="rId243" ref="F270"/>
    <hyperlink r:id="rId244" ref="F271"/>
    <hyperlink r:id="rId245" ref="F272"/>
    <hyperlink r:id="rId246" ref="F274"/>
    <hyperlink r:id="rId247" ref="F275"/>
    <hyperlink r:id="rId248" ref="F276"/>
    <hyperlink r:id="rId249" ref="F278"/>
    <hyperlink r:id="rId250" ref="F279"/>
    <hyperlink r:id="rId251" ref="F281"/>
    <hyperlink r:id="rId252" ref="F282"/>
    <hyperlink r:id="rId253" ref="F283"/>
    <hyperlink r:id="rId254" ref="F284"/>
    <hyperlink r:id="rId255" ref="F285"/>
    <hyperlink r:id="rId256" ref="F286"/>
    <hyperlink r:id="rId257" ref="F287"/>
    <hyperlink r:id="rId258" ref="F288"/>
    <hyperlink r:id="rId259" ref="F289"/>
    <hyperlink r:id="rId260" ref="F290"/>
    <hyperlink r:id="rId261" ref="F291"/>
    <hyperlink r:id="rId262" ref="F292"/>
    <hyperlink r:id="rId263" ref="F293"/>
    <hyperlink r:id="rId264" ref="F294"/>
    <hyperlink r:id="rId265" ref="F296"/>
    <hyperlink r:id="rId266" ref="F297"/>
    <hyperlink r:id="rId267" ref="F300"/>
    <hyperlink r:id="rId268" ref="F301"/>
    <hyperlink r:id="rId269" ref="F302"/>
    <hyperlink r:id="rId270" ref="F303"/>
    <hyperlink r:id="rId271" ref="F304"/>
    <hyperlink r:id="rId272" ref="F305"/>
    <hyperlink r:id="rId273" ref="F306"/>
    <hyperlink r:id="rId274" ref="F307"/>
    <hyperlink r:id="rId275" ref="F308"/>
    <hyperlink r:id="rId276" ref="F309"/>
    <hyperlink r:id="rId277" ref="F310"/>
    <hyperlink r:id="rId278" ref="F311"/>
    <hyperlink r:id="rId279" ref="F312"/>
    <hyperlink r:id="rId280" ref="F314"/>
    <hyperlink r:id="rId281" ref="F315"/>
    <hyperlink r:id="rId282" ref="F316"/>
    <hyperlink r:id="rId283" ref="F317"/>
    <hyperlink r:id="rId284" ref="F319"/>
    <hyperlink r:id="rId285" ref="F320"/>
    <hyperlink r:id="rId286" ref="F321"/>
    <hyperlink r:id="rId287" ref="F322"/>
    <hyperlink r:id="rId288" ref="F323"/>
    <hyperlink r:id="rId289" ref="F324"/>
    <hyperlink r:id="rId290" ref="F325"/>
    <hyperlink r:id="rId291" ref="F326"/>
    <hyperlink r:id="rId292" ref="F327"/>
    <hyperlink r:id="rId293" ref="F329"/>
    <hyperlink r:id="rId294" ref="F331"/>
    <hyperlink r:id="rId295" ref="F332"/>
    <hyperlink r:id="rId296" ref="F333"/>
    <hyperlink r:id="rId297" ref="F334"/>
    <hyperlink r:id="rId298" ref="F335"/>
    <hyperlink r:id="rId299" ref="F336"/>
    <hyperlink r:id="rId300" ref="F337"/>
    <hyperlink r:id="rId301" ref="F338"/>
    <hyperlink r:id="rId302" ref="F339"/>
    <hyperlink r:id="rId303" ref="F340"/>
    <hyperlink r:id="rId304" ref="F341"/>
    <hyperlink r:id="rId305" ref="F342"/>
    <hyperlink r:id="rId306" ref="F343"/>
    <hyperlink r:id="rId307" ref="F344"/>
    <hyperlink r:id="rId308" ref="F345"/>
    <hyperlink r:id="rId309" ref="F346"/>
    <hyperlink r:id="rId310" ref="F348"/>
    <hyperlink r:id="rId311" ref="F349"/>
    <hyperlink r:id="rId312" ref="F350"/>
    <hyperlink r:id="rId313" ref="F351"/>
    <hyperlink r:id="rId314" ref="F352"/>
    <hyperlink r:id="rId315" ref="F353"/>
    <hyperlink r:id="rId316" ref="F354"/>
    <hyperlink r:id="rId317" ref="F355"/>
    <hyperlink r:id="rId318" ref="F356"/>
    <hyperlink r:id="rId319" ref="F357"/>
    <hyperlink r:id="rId320" ref="F358"/>
    <hyperlink r:id="rId321" ref="F359"/>
    <hyperlink r:id="rId322" ref="F360"/>
    <hyperlink r:id="rId323" ref="F361"/>
    <hyperlink r:id="rId324" ref="F364"/>
    <hyperlink r:id="rId325" ref="F365"/>
    <hyperlink r:id="rId326" ref="F366"/>
    <hyperlink r:id="rId327" ref="F367"/>
    <hyperlink r:id="rId328" ref="F368"/>
    <hyperlink r:id="rId329" ref="F369"/>
    <hyperlink r:id="rId330" ref="F370"/>
    <hyperlink r:id="rId331" ref="F371"/>
    <hyperlink r:id="rId332" ref="F372"/>
    <hyperlink r:id="rId333" ref="F373"/>
    <hyperlink r:id="rId334" ref="F374"/>
    <hyperlink r:id="rId335" ref="F375"/>
    <hyperlink r:id="rId336" ref="F377"/>
    <hyperlink r:id="rId337" ref="F378"/>
    <hyperlink r:id="rId338" ref="F379"/>
    <hyperlink r:id="rId339" ref="F380"/>
    <hyperlink r:id="rId340" ref="F381"/>
    <hyperlink r:id="rId341" ref="F382"/>
    <hyperlink r:id="rId342" ref="F383"/>
    <hyperlink r:id="rId343" ref="F384"/>
    <hyperlink r:id="rId344" ref="F385"/>
    <hyperlink r:id="rId345" ref="F386"/>
    <hyperlink r:id="rId346" ref="F387"/>
    <hyperlink r:id="rId347" ref="F388"/>
    <hyperlink r:id="rId348" ref="F389"/>
    <hyperlink r:id="rId349" ref="F390"/>
    <hyperlink r:id="rId350" ref="F392"/>
    <hyperlink r:id="rId351" ref="F393"/>
    <hyperlink r:id="rId352" ref="F394"/>
    <hyperlink r:id="rId353" ref="F395"/>
    <hyperlink r:id="rId354" ref="F396"/>
    <hyperlink r:id="rId355" ref="F397"/>
    <hyperlink r:id="rId356" ref="F398"/>
    <hyperlink r:id="rId357" ref="F399"/>
    <hyperlink r:id="rId358" ref="F402"/>
    <hyperlink r:id="rId359" ref="F403"/>
    <hyperlink r:id="rId360" ref="F404"/>
    <hyperlink r:id="rId361" ref="F405"/>
    <hyperlink r:id="rId362" ref="F406"/>
    <hyperlink r:id="rId363" ref="F407"/>
    <hyperlink r:id="rId364" ref="F408"/>
    <hyperlink r:id="rId365" ref="F409"/>
    <hyperlink r:id="rId366" ref="F410"/>
    <hyperlink r:id="rId367" ref="F411"/>
    <hyperlink r:id="rId368" ref="F412"/>
    <hyperlink r:id="rId369" ref="F413"/>
    <hyperlink r:id="rId370" ref="F414"/>
    <hyperlink r:id="rId371" ref="F415"/>
    <hyperlink r:id="rId372" ref="F416"/>
    <hyperlink r:id="rId373" ref="F417"/>
    <hyperlink r:id="rId374" ref="F418"/>
    <hyperlink r:id="rId375" ref="F419"/>
    <hyperlink r:id="rId376" ref="F420"/>
    <hyperlink r:id="rId377" ref="F421"/>
    <hyperlink r:id="rId378" ref="F422"/>
    <hyperlink r:id="rId379" ref="F423"/>
    <hyperlink r:id="rId380" ref="F424"/>
    <hyperlink r:id="rId381" ref="F425"/>
    <hyperlink r:id="rId382" ref="F426"/>
    <hyperlink r:id="rId383" ref="F427"/>
    <hyperlink r:id="rId384" ref="F428"/>
    <hyperlink r:id="rId385" ref="F429"/>
    <hyperlink r:id="rId386" ref="F430"/>
    <hyperlink r:id="rId387" ref="F431"/>
    <hyperlink r:id="rId388" ref="F432"/>
    <hyperlink r:id="rId389" ref="F433"/>
    <hyperlink r:id="rId390" ref="F435"/>
    <hyperlink r:id="rId391" ref="F436"/>
    <hyperlink r:id="rId392" ref="F437"/>
    <hyperlink r:id="rId393" ref="F438"/>
    <hyperlink r:id="rId394" ref="F439"/>
    <hyperlink r:id="rId395" ref="F440"/>
    <hyperlink r:id="rId396" ref="F441"/>
    <hyperlink r:id="rId397" ref="F442"/>
    <hyperlink r:id="rId398" ref="F443"/>
    <hyperlink r:id="rId399" ref="F444"/>
    <hyperlink r:id="rId400" ref="F445"/>
    <hyperlink r:id="rId401" ref="F446"/>
    <hyperlink r:id="rId402" ref="F447"/>
    <hyperlink r:id="rId403" ref="F448"/>
    <hyperlink r:id="rId404" ref="F449"/>
    <hyperlink r:id="rId405" ref="F451"/>
    <hyperlink r:id="rId406" ref="F454"/>
    <hyperlink r:id="rId407" ref="F456"/>
    <hyperlink r:id="rId408" ref="F457"/>
    <hyperlink r:id="rId409" ref="F458"/>
    <hyperlink r:id="rId410" ref="F459"/>
    <hyperlink r:id="rId411" ref="F460"/>
    <hyperlink r:id="rId412" ref="F461"/>
    <hyperlink r:id="rId413" ref="F462"/>
    <hyperlink r:id="rId414" ref="F463"/>
    <hyperlink r:id="rId415" ref="F464"/>
    <hyperlink r:id="rId416" ref="F465"/>
    <hyperlink r:id="rId417" ref="F466"/>
    <hyperlink r:id="rId418" ref="F467"/>
    <hyperlink r:id="rId419" ref="F468"/>
    <hyperlink r:id="rId420" ref="F470"/>
    <hyperlink r:id="rId421" ref="F471"/>
    <hyperlink r:id="rId422" ref="F472"/>
    <hyperlink r:id="rId423" ref="F473"/>
    <hyperlink r:id="rId424" ref="F474"/>
    <hyperlink r:id="rId425" ref="F475"/>
    <hyperlink r:id="rId426" ref="F476"/>
    <hyperlink r:id="rId427" ref="F477"/>
    <hyperlink r:id="rId428" ref="F478"/>
    <hyperlink r:id="rId429" ref="F479"/>
    <hyperlink r:id="rId430" ref="F480"/>
    <hyperlink r:id="rId431" ref="F481"/>
    <hyperlink r:id="rId432" ref="F482"/>
    <hyperlink r:id="rId433" ref="F483"/>
    <hyperlink r:id="rId434" ref="F484"/>
    <hyperlink r:id="rId435" ref="F485"/>
    <hyperlink r:id="rId436" ref="F486"/>
    <hyperlink r:id="rId437" ref="F487"/>
    <hyperlink r:id="rId438" ref="F488"/>
    <hyperlink r:id="rId439" ref="F489"/>
    <hyperlink r:id="rId440" ref="F490"/>
    <hyperlink r:id="rId441" ref="F491"/>
    <hyperlink r:id="rId442" ref="F492"/>
    <hyperlink r:id="rId443" ref="F493"/>
    <hyperlink r:id="rId444" ref="F494"/>
    <hyperlink r:id="rId445" ref="F499"/>
    <hyperlink r:id="rId446" ref="F500"/>
    <hyperlink r:id="rId447" ref="F501"/>
    <hyperlink r:id="rId448" ref="F502"/>
    <hyperlink r:id="rId449" ref="F503"/>
    <hyperlink r:id="rId450" ref="F504"/>
    <hyperlink r:id="rId451" ref="F505"/>
    <hyperlink r:id="rId452" ref="F506"/>
    <hyperlink r:id="rId453" ref="F507"/>
    <hyperlink r:id="rId454" ref="F508"/>
    <hyperlink r:id="rId455" ref="F509"/>
    <hyperlink r:id="rId456" ref="F510"/>
    <hyperlink r:id="rId457" ref="F511"/>
    <hyperlink r:id="rId458" ref="F512"/>
    <hyperlink r:id="rId459" ref="F513"/>
    <hyperlink r:id="rId460" ref="F514"/>
    <hyperlink r:id="rId461" ref="F515"/>
    <hyperlink r:id="rId462" ref="F516"/>
    <hyperlink r:id="rId463" ref="F517"/>
    <hyperlink r:id="rId464" ref="F518"/>
    <hyperlink r:id="rId465" ref="F519"/>
    <hyperlink r:id="rId466" ref="F520"/>
    <hyperlink r:id="rId467" ref="F521"/>
    <hyperlink r:id="rId468" ref="F523"/>
    <hyperlink r:id="rId469" ref="F524"/>
    <hyperlink r:id="rId470" ref="F525"/>
    <hyperlink r:id="rId471" ref="F526"/>
    <hyperlink r:id="rId472" ref="F527"/>
    <hyperlink r:id="rId473" ref="F528"/>
    <hyperlink r:id="rId474" ref="F529"/>
    <hyperlink r:id="rId475" ref="F530"/>
    <hyperlink r:id="rId476" ref="F531"/>
    <hyperlink r:id="rId477" ref="F532"/>
    <hyperlink r:id="rId478" ref="F533"/>
    <hyperlink r:id="rId479" ref="F534"/>
    <hyperlink r:id="rId480" ref="F535"/>
    <hyperlink r:id="rId481" ref="F536"/>
    <hyperlink r:id="rId482" ref="F537"/>
    <hyperlink r:id="rId483" ref="F538"/>
    <hyperlink r:id="rId484" ref="F539"/>
    <hyperlink r:id="rId485" ref="F540"/>
    <hyperlink r:id="rId486" ref="F542"/>
    <hyperlink r:id="rId487" ref="F543"/>
    <hyperlink r:id="rId488" ref="F545"/>
    <hyperlink r:id="rId489" ref="F546"/>
    <hyperlink r:id="rId490" ref="F547"/>
    <hyperlink r:id="rId491" ref="F548"/>
    <hyperlink r:id="rId492" ref="F549"/>
    <hyperlink r:id="rId493" ref="F550"/>
    <hyperlink r:id="rId494" ref="F551"/>
    <hyperlink r:id="rId495" ref="F552"/>
    <hyperlink r:id="rId496" ref="F554"/>
    <hyperlink r:id="rId497" ref="F555"/>
    <hyperlink r:id="rId498" ref="F556"/>
    <hyperlink r:id="rId499" ref="F557"/>
    <hyperlink r:id="rId500" ref="F558"/>
    <hyperlink r:id="rId501" ref="F559"/>
    <hyperlink r:id="rId502" ref="F560"/>
    <hyperlink r:id="rId503" ref="F561"/>
    <hyperlink r:id="rId504" ref="F562"/>
    <hyperlink r:id="rId505" ref="F563"/>
    <hyperlink r:id="rId506" ref="F564"/>
    <hyperlink r:id="rId507" ref="F565"/>
    <hyperlink r:id="rId508" ref="F567"/>
    <hyperlink r:id="rId509" ref="F568"/>
    <hyperlink r:id="rId510" ref="F569"/>
    <hyperlink r:id="rId511" ref="F570"/>
    <hyperlink r:id="rId512" ref="F571"/>
    <hyperlink r:id="rId513" ref="F572"/>
    <hyperlink r:id="rId514" ref="F573"/>
    <hyperlink r:id="rId515" ref="F574"/>
    <hyperlink r:id="rId516" ref="F575"/>
    <hyperlink r:id="rId517" ref="F576"/>
    <hyperlink r:id="rId518" ref="F577"/>
    <hyperlink r:id="rId519" ref="F578"/>
    <hyperlink r:id="rId520" ref="F579"/>
    <hyperlink r:id="rId521" ref="F580"/>
    <hyperlink r:id="rId522" ref="F581"/>
    <hyperlink r:id="rId523" ref="F582"/>
    <hyperlink r:id="rId524" ref="F583"/>
    <hyperlink r:id="rId525" ref="F585"/>
    <hyperlink r:id="rId526" ref="F586"/>
    <hyperlink r:id="rId527" ref="F587"/>
    <hyperlink r:id="rId528" ref="F589"/>
    <hyperlink r:id="rId529" ref="F590"/>
    <hyperlink r:id="rId530" ref="F592"/>
    <hyperlink r:id="rId531" ref="F593"/>
    <hyperlink r:id="rId532" ref="F594"/>
    <hyperlink r:id="rId533" ref="F595"/>
    <hyperlink r:id="rId534" ref="F596"/>
    <hyperlink r:id="rId535" ref="F598"/>
    <hyperlink r:id="rId536" ref="F599"/>
    <hyperlink r:id="rId537" ref="F600"/>
    <hyperlink r:id="rId538" ref="F601"/>
    <hyperlink r:id="rId539" ref="F602"/>
    <hyperlink r:id="rId540" ref="F603"/>
    <hyperlink r:id="rId541" ref="F604"/>
    <hyperlink r:id="rId542" ref="F605"/>
    <hyperlink r:id="rId543" ref="F606"/>
    <hyperlink r:id="rId544" ref="F607"/>
    <hyperlink r:id="rId545" ref="F608"/>
    <hyperlink r:id="rId546" ref="F609"/>
    <hyperlink r:id="rId547" ref="F610"/>
    <hyperlink r:id="rId548" ref="F611"/>
    <hyperlink r:id="rId549" ref="F612"/>
    <hyperlink r:id="rId550" ref="F613"/>
    <hyperlink r:id="rId551" ref="F614"/>
    <hyperlink r:id="rId552" ref="F615"/>
    <hyperlink r:id="rId553" ref="F616"/>
    <hyperlink r:id="rId554" ref="F617"/>
    <hyperlink r:id="rId555" ref="F618"/>
    <hyperlink r:id="rId556" ref="F619"/>
    <hyperlink r:id="rId557" ref="F620"/>
    <hyperlink r:id="rId558" ref="F621"/>
    <hyperlink r:id="rId559" ref="F622"/>
    <hyperlink r:id="rId560" ref="F623"/>
    <hyperlink r:id="rId561" ref="F624"/>
    <hyperlink r:id="rId562" ref="F625"/>
    <hyperlink r:id="rId563" ref="F626"/>
    <hyperlink r:id="rId564" ref="F627"/>
    <hyperlink r:id="rId565" ref="F628"/>
    <hyperlink r:id="rId566" ref="F629"/>
    <hyperlink r:id="rId567" ref="F630"/>
    <hyperlink r:id="rId568" ref="F632"/>
    <hyperlink r:id="rId569" ref="F633"/>
    <hyperlink r:id="rId570" ref="F634"/>
    <hyperlink r:id="rId571" ref="F635"/>
    <hyperlink r:id="rId572" ref="F636"/>
    <hyperlink r:id="rId573" ref="F637"/>
    <hyperlink r:id="rId574" ref="F638"/>
    <hyperlink r:id="rId575" ref="F639"/>
    <hyperlink r:id="rId576" ref="F640"/>
    <hyperlink r:id="rId577" ref="F641"/>
    <hyperlink r:id="rId578" ref="F642"/>
    <hyperlink r:id="rId579" ref="F643"/>
    <hyperlink r:id="rId580" ref="F644"/>
    <hyperlink r:id="rId581" ref="F645"/>
    <hyperlink r:id="rId582" ref="F646"/>
    <hyperlink r:id="rId583" ref="F647"/>
    <hyperlink r:id="rId584" ref="F648"/>
    <hyperlink r:id="rId585" ref="F649"/>
    <hyperlink r:id="rId586" ref="F650"/>
    <hyperlink r:id="rId587" ref="F651"/>
    <hyperlink r:id="rId588" ref="F653"/>
    <hyperlink r:id="rId589" ref="F654"/>
    <hyperlink r:id="rId590" ref="F655"/>
    <hyperlink r:id="rId591" ref="F656"/>
    <hyperlink r:id="rId592" ref="F657"/>
    <hyperlink r:id="rId593" ref="F658"/>
    <hyperlink r:id="rId594" ref="F659"/>
    <hyperlink r:id="rId595" ref="F660"/>
    <hyperlink r:id="rId596" ref="F661"/>
    <hyperlink r:id="rId597" ref="F662"/>
    <hyperlink r:id="rId598" ref="F663"/>
    <hyperlink r:id="rId599" ref="F664"/>
    <hyperlink r:id="rId600" ref="F665"/>
    <hyperlink r:id="rId601" ref="F666"/>
    <hyperlink r:id="rId602" ref="F667"/>
    <hyperlink r:id="rId603" ref="F668"/>
    <hyperlink r:id="rId604" ref="F669"/>
    <hyperlink r:id="rId605" ref="F670"/>
    <hyperlink r:id="rId606" ref="F672"/>
    <hyperlink r:id="rId607" ref="F673"/>
    <hyperlink r:id="rId608" ref="F674"/>
    <hyperlink r:id="rId609" ref="F675"/>
    <hyperlink r:id="rId610" ref="F676"/>
    <hyperlink r:id="rId611" ref="F677"/>
    <hyperlink r:id="rId612" ref="F678"/>
    <hyperlink r:id="rId613" ref="F679"/>
    <hyperlink r:id="rId614" ref="F681"/>
    <hyperlink r:id="rId615" ref="F682"/>
    <hyperlink r:id="rId616" ref="F683"/>
    <hyperlink r:id="rId617" ref="F684"/>
    <hyperlink r:id="rId618" ref="F685"/>
    <hyperlink r:id="rId619" ref="F686"/>
    <hyperlink r:id="rId620" ref="F687"/>
    <hyperlink r:id="rId621" ref="F688"/>
    <hyperlink r:id="rId622" ref="F689"/>
    <hyperlink r:id="rId623" ref="F690"/>
    <hyperlink r:id="rId624" ref="F691"/>
    <hyperlink r:id="rId625" ref="F692"/>
    <hyperlink r:id="rId626" ref="F693"/>
    <hyperlink r:id="rId627" ref="F694"/>
    <hyperlink r:id="rId628" ref="F695"/>
    <hyperlink r:id="rId629" ref="F696"/>
    <hyperlink r:id="rId630" ref="F697"/>
    <hyperlink r:id="rId631" ref="F698"/>
    <hyperlink r:id="rId632" ref="F699"/>
    <hyperlink r:id="rId633" ref="F700"/>
    <hyperlink r:id="rId634" ref="F701"/>
    <hyperlink r:id="rId635" ref="F703"/>
    <hyperlink r:id="rId636" ref="F704"/>
    <hyperlink r:id="rId637" ref="F705"/>
    <hyperlink r:id="rId638" ref="F706"/>
    <hyperlink r:id="rId639" ref="F707"/>
    <hyperlink r:id="rId640" ref="F708"/>
    <hyperlink r:id="rId641" ref="F709"/>
    <hyperlink r:id="rId642" ref="F710"/>
    <hyperlink r:id="rId643" ref="F711"/>
    <hyperlink r:id="rId644" ref="F712"/>
    <hyperlink r:id="rId645" ref="F713"/>
    <hyperlink r:id="rId646" ref="F715"/>
    <hyperlink r:id="rId647" ref="F716"/>
    <hyperlink r:id="rId648" ref="F717"/>
    <hyperlink r:id="rId649" ref="F718"/>
    <hyperlink r:id="rId650" ref="F719"/>
    <hyperlink r:id="rId651" ref="F720"/>
    <hyperlink r:id="rId652" ref="F721"/>
    <hyperlink r:id="rId653" ref="F722"/>
    <hyperlink r:id="rId654" ref="F723"/>
    <hyperlink r:id="rId655" ref="F725"/>
    <hyperlink r:id="rId656" ref="F726"/>
    <hyperlink r:id="rId657" ref="F728"/>
    <hyperlink r:id="rId658" ref="F729"/>
    <hyperlink r:id="rId659" ref="F731"/>
    <hyperlink r:id="rId660" ref="F732"/>
    <hyperlink r:id="rId661" ref="F733"/>
    <hyperlink r:id="rId662" ref="F735"/>
    <hyperlink r:id="rId663" ref="F736"/>
    <hyperlink r:id="rId664" ref="F737"/>
    <hyperlink r:id="rId665" ref="F738"/>
    <hyperlink r:id="rId666" ref="F739"/>
    <hyperlink r:id="rId667" ref="F740"/>
    <hyperlink r:id="rId668" ref="F741"/>
    <hyperlink r:id="rId669" ref="F742"/>
    <hyperlink r:id="rId670" ref="F743"/>
    <hyperlink r:id="rId671" ref="F744"/>
    <hyperlink r:id="rId672" ref="F745"/>
    <hyperlink r:id="rId673" ref="F747"/>
    <hyperlink r:id="rId674" ref="F749"/>
    <hyperlink r:id="rId675" ref="F750"/>
    <hyperlink r:id="rId676" ref="F752"/>
    <hyperlink r:id="rId677" ref="F753"/>
    <hyperlink r:id="rId678" ref="F754"/>
    <hyperlink r:id="rId679" ref="F755"/>
    <hyperlink r:id="rId680" ref="F756"/>
    <hyperlink r:id="rId681" ref="F757"/>
    <hyperlink r:id="rId682" ref="F758"/>
    <hyperlink r:id="rId683" ref="F759"/>
    <hyperlink r:id="rId684" ref="F760"/>
    <hyperlink r:id="rId685" ref="F761"/>
    <hyperlink r:id="rId686" ref="F762"/>
    <hyperlink r:id="rId687" ref="F763"/>
    <hyperlink r:id="rId688" ref="F764"/>
    <hyperlink r:id="rId689" ref="F765"/>
    <hyperlink r:id="rId690" ref="F766"/>
    <hyperlink r:id="rId691" ref="F767"/>
    <hyperlink r:id="rId692" ref="F768"/>
    <hyperlink r:id="rId693" ref="F769"/>
    <hyperlink r:id="rId694" ref="F770"/>
    <hyperlink r:id="rId695" ref="F771"/>
    <hyperlink r:id="rId696" ref="F772"/>
    <hyperlink r:id="rId697" ref="F773"/>
    <hyperlink r:id="rId698" ref="F774"/>
    <hyperlink r:id="rId699" ref="F775"/>
    <hyperlink r:id="rId700" ref="F776"/>
    <hyperlink r:id="rId701" ref="F777"/>
    <hyperlink r:id="rId702" ref="F778"/>
    <hyperlink r:id="rId703" ref="F779"/>
    <hyperlink r:id="rId704" ref="F780"/>
    <hyperlink r:id="rId705" ref="F782"/>
    <hyperlink r:id="rId706" ref="F783"/>
    <hyperlink r:id="rId707" ref="F784"/>
    <hyperlink r:id="rId708" ref="F785"/>
    <hyperlink r:id="rId709" ref="F786"/>
    <hyperlink r:id="rId710" ref="F787"/>
    <hyperlink r:id="rId711" ref="F789"/>
    <hyperlink r:id="rId712" ref="F791"/>
    <hyperlink r:id="rId713" ref="F793"/>
    <hyperlink r:id="rId714" ref="F794"/>
    <hyperlink r:id="rId715" ref="F795"/>
    <hyperlink r:id="rId716" ref="F796"/>
    <hyperlink r:id="rId717" ref="F797"/>
    <hyperlink r:id="rId718" ref="F798"/>
    <hyperlink r:id="rId719" ref="F799"/>
    <hyperlink r:id="rId720" ref="F800"/>
    <hyperlink r:id="rId721" ref="F801"/>
    <hyperlink r:id="rId722" ref="F803"/>
    <hyperlink r:id="rId723" ref="F805"/>
    <hyperlink r:id="rId724" ref="F806"/>
    <hyperlink r:id="rId725" ref="F807"/>
    <hyperlink r:id="rId726" ref="F808"/>
    <hyperlink r:id="rId727" ref="F809"/>
    <hyperlink r:id="rId728" ref="F810"/>
    <hyperlink r:id="rId729" ref="F811"/>
    <hyperlink r:id="rId730" ref="F812"/>
    <hyperlink r:id="rId731" ref="F814"/>
    <hyperlink r:id="rId732" ref="F815"/>
    <hyperlink r:id="rId733" ref="F816"/>
    <hyperlink r:id="rId734" ref="F820"/>
    <hyperlink r:id="rId735" ref="F821"/>
    <hyperlink r:id="rId736" ref="F823"/>
    <hyperlink r:id="rId737" ref="F824"/>
    <hyperlink r:id="rId738" ref="F825"/>
    <hyperlink r:id="rId739" ref="F826"/>
    <hyperlink r:id="rId740" ref="F827"/>
    <hyperlink r:id="rId741" ref="F828"/>
    <hyperlink r:id="rId742" ref="F829"/>
    <hyperlink r:id="rId743" ref="F830"/>
    <hyperlink r:id="rId744" ref="F831"/>
    <hyperlink r:id="rId745" ref="F832"/>
    <hyperlink r:id="rId746" ref="F833"/>
    <hyperlink r:id="rId747" ref="F834"/>
    <hyperlink r:id="rId748" ref="F836"/>
    <hyperlink r:id="rId749" ref="F837"/>
    <hyperlink r:id="rId750" ref="F838"/>
    <hyperlink r:id="rId751" ref="F839"/>
    <hyperlink r:id="rId752" ref="F840"/>
    <hyperlink r:id="rId753" ref="F841"/>
    <hyperlink r:id="rId754" ref="F842"/>
    <hyperlink r:id="rId755" ref="F843"/>
    <hyperlink r:id="rId756" ref="F844"/>
    <hyperlink r:id="rId757" ref="F845"/>
    <hyperlink r:id="rId758" ref="F846"/>
    <hyperlink r:id="rId759" ref="F847"/>
    <hyperlink r:id="rId760" ref="F848"/>
    <hyperlink r:id="rId761" ref="F849"/>
    <hyperlink r:id="rId762" ref="F850"/>
    <hyperlink r:id="rId763" ref="F851"/>
    <hyperlink r:id="rId764" ref="F852"/>
    <hyperlink r:id="rId765" ref="F853"/>
    <hyperlink r:id="rId766" ref="F854"/>
    <hyperlink r:id="rId767" ref="F855"/>
    <hyperlink r:id="rId768" ref="F856"/>
    <hyperlink r:id="rId769" ref="F858"/>
    <hyperlink r:id="rId770" ref="F859"/>
    <hyperlink r:id="rId771" ref="F860"/>
    <hyperlink r:id="rId772" ref="F863"/>
    <hyperlink r:id="rId773" ref="F865"/>
    <hyperlink r:id="rId774" ref="F866"/>
    <hyperlink r:id="rId775" ref="F867"/>
    <hyperlink r:id="rId776" ref="F868"/>
    <hyperlink r:id="rId777" ref="F869"/>
    <hyperlink r:id="rId778" ref="F870"/>
    <hyperlink r:id="rId779" ref="F871"/>
    <hyperlink r:id="rId780" ref="F872"/>
    <hyperlink r:id="rId781" ref="F873"/>
    <hyperlink r:id="rId782" ref="F874"/>
    <hyperlink r:id="rId783" ref="F875"/>
    <hyperlink r:id="rId784" ref="F876"/>
    <hyperlink r:id="rId785" ref="F877"/>
    <hyperlink r:id="rId786" ref="F880"/>
    <hyperlink r:id="rId787" ref="F881"/>
    <hyperlink r:id="rId788" ref="F882"/>
    <hyperlink r:id="rId789" ref="F883"/>
    <hyperlink r:id="rId790" ref="F885"/>
    <hyperlink r:id="rId791" ref="F886"/>
    <hyperlink r:id="rId792" ref="F887"/>
    <hyperlink r:id="rId793" ref="F888"/>
    <hyperlink r:id="rId794" ref="F889"/>
    <hyperlink r:id="rId795" ref="F890"/>
    <hyperlink r:id="rId796" ref="F891"/>
    <hyperlink r:id="rId797" ref="F892"/>
    <hyperlink r:id="rId798" ref="F893"/>
    <hyperlink r:id="rId799" ref="F894"/>
    <hyperlink r:id="rId800" ref="F895"/>
    <hyperlink r:id="rId801" ref="F896"/>
    <hyperlink r:id="rId802" ref="F897"/>
    <hyperlink r:id="rId803" ref="F898"/>
    <hyperlink r:id="rId804" ref="F899"/>
    <hyperlink r:id="rId805" ref="F900"/>
    <hyperlink r:id="rId806" ref="F901"/>
    <hyperlink r:id="rId807" ref="F902"/>
    <hyperlink r:id="rId808" ref="F903"/>
    <hyperlink r:id="rId809" ref="F904"/>
    <hyperlink r:id="rId810" ref="F905"/>
    <hyperlink r:id="rId811" ref="F906"/>
    <hyperlink r:id="rId812" ref="F907"/>
    <hyperlink r:id="rId813" ref="F908"/>
    <hyperlink r:id="rId814" ref="F909"/>
    <hyperlink r:id="rId815" ref="F910"/>
    <hyperlink r:id="rId816" ref="F911"/>
    <hyperlink r:id="rId817" ref="F912"/>
    <hyperlink r:id="rId818" ref="F913"/>
    <hyperlink r:id="rId819" ref="F914"/>
    <hyperlink r:id="rId820" ref="F915"/>
    <hyperlink r:id="rId821" ref="F916"/>
    <hyperlink r:id="rId822" ref="F917"/>
    <hyperlink r:id="rId823" ref="F920"/>
    <hyperlink r:id="rId824" ref="F921"/>
    <hyperlink r:id="rId825" ref="F922"/>
    <hyperlink r:id="rId826" ref="F923"/>
    <hyperlink r:id="rId827" ref="F924"/>
    <hyperlink r:id="rId828" ref="F925"/>
    <hyperlink r:id="rId829" ref="F926"/>
    <hyperlink r:id="rId830" ref="F927"/>
    <hyperlink r:id="rId831" ref="F928"/>
    <hyperlink r:id="rId832" ref="F929"/>
    <hyperlink r:id="rId833" ref="F930"/>
    <hyperlink r:id="rId834" ref="F931"/>
    <hyperlink r:id="rId835" ref="F932"/>
    <hyperlink r:id="rId836" ref="F933"/>
    <hyperlink r:id="rId837" ref="F934"/>
    <hyperlink r:id="rId838" ref="F935"/>
    <hyperlink r:id="rId839" ref="F936"/>
    <hyperlink r:id="rId840" ref="F937"/>
    <hyperlink r:id="rId841" ref="F938"/>
    <hyperlink r:id="rId842" ref="F939"/>
    <hyperlink r:id="rId843" ref="F940"/>
    <hyperlink r:id="rId844" ref="F941"/>
    <hyperlink r:id="rId845" ref="F942"/>
    <hyperlink r:id="rId846" ref="F943"/>
    <hyperlink r:id="rId847" ref="F944"/>
    <hyperlink r:id="rId848" ref="F945"/>
    <hyperlink r:id="rId849" ref="F946"/>
    <hyperlink r:id="rId850" ref="F947"/>
    <hyperlink r:id="rId851" ref="F948"/>
    <hyperlink r:id="rId852" ref="F949"/>
    <hyperlink r:id="rId853" ref="F950"/>
    <hyperlink r:id="rId854" ref="F951"/>
    <hyperlink r:id="rId855" ref="F952"/>
    <hyperlink r:id="rId856" ref="F953"/>
    <hyperlink r:id="rId857" ref="F954"/>
    <hyperlink r:id="rId858" ref="F955"/>
    <hyperlink r:id="rId859" ref="F956"/>
    <hyperlink r:id="rId860" ref="F957"/>
    <hyperlink r:id="rId861" ref="F958"/>
    <hyperlink r:id="rId862" ref="F959"/>
    <hyperlink r:id="rId863" ref="F960"/>
    <hyperlink r:id="rId864" ref="F961"/>
    <hyperlink r:id="rId865" ref="F962"/>
    <hyperlink r:id="rId866" ref="F963"/>
    <hyperlink r:id="rId867" ref="F964"/>
    <hyperlink r:id="rId868" ref="F965"/>
    <hyperlink r:id="rId869" ref="F967"/>
    <hyperlink r:id="rId870" ref="F968"/>
    <hyperlink r:id="rId871" ref="F969"/>
    <hyperlink r:id="rId872" ref="F971"/>
    <hyperlink r:id="rId873" ref="F972"/>
    <hyperlink r:id="rId874" ref="F973"/>
    <hyperlink r:id="rId875" ref="F974"/>
    <hyperlink r:id="rId876" ref="F975"/>
    <hyperlink r:id="rId877" ref="F976"/>
    <hyperlink r:id="rId878" ref="F977"/>
    <hyperlink r:id="rId879" ref="F978"/>
    <hyperlink r:id="rId880" ref="F979"/>
    <hyperlink r:id="rId881" ref="F980"/>
    <hyperlink r:id="rId882" ref="F981"/>
    <hyperlink r:id="rId883" ref="F982"/>
    <hyperlink r:id="rId884" ref="F983"/>
    <hyperlink r:id="rId885" ref="F984"/>
    <hyperlink r:id="rId886" ref="F986"/>
    <hyperlink r:id="rId887" ref="F988"/>
    <hyperlink r:id="rId888" ref="F989"/>
    <hyperlink r:id="rId889" ref="F990"/>
    <hyperlink r:id="rId890" ref="F991"/>
    <hyperlink r:id="rId891" ref="F992"/>
    <hyperlink r:id="rId892" ref="F993"/>
    <hyperlink r:id="rId893" ref="F994"/>
    <hyperlink r:id="rId894" ref="F995"/>
    <hyperlink r:id="rId895" ref="F996"/>
    <hyperlink r:id="rId896" ref="F997"/>
    <hyperlink r:id="rId897" ref="F998"/>
    <hyperlink r:id="rId898" ref="F999"/>
    <hyperlink r:id="rId899" ref="F1001"/>
    <hyperlink r:id="rId900" ref="F1002"/>
    <hyperlink r:id="rId901" ref="F1003"/>
    <hyperlink r:id="rId902" ref="F1004"/>
    <hyperlink r:id="rId903" ref="F1005"/>
    <hyperlink r:id="rId904" ref="F1006"/>
    <hyperlink r:id="rId905" ref="F1007"/>
    <hyperlink r:id="rId906" ref="F1008"/>
    <hyperlink r:id="rId907" ref="F1009"/>
    <hyperlink r:id="rId908" ref="F1010"/>
    <hyperlink r:id="rId909" ref="F1013"/>
    <hyperlink r:id="rId910" ref="F1015"/>
    <hyperlink r:id="rId911" ref="F1016"/>
    <hyperlink r:id="rId912" ref="F1017"/>
    <hyperlink r:id="rId913" ref="F1018"/>
    <hyperlink r:id="rId914" ref="F1019"/>
    <hyperlink r:id="rId915" ref="F1020"/>
    <hyperlink r:id="rId916" ref="F1021"/>
    <hyperlink r:id="rId917" ref="F1022"/>
    <hyperlink r:id="rId918" ref="F1023"/>
    <hyperlink r:id="rId919" ref="F1024"/>
    <hyperlink r:id="rId920" ref="F1025"/>
    <hyperlink r:id="rId921" ref="F1026"/>
    <hyperlink r:id="rId922" ref="F1027"/>
    <hyperlink r:id="rId923" ref="F1028"/>
    <hyperlink r:id="rId924" ref="F1029"/>
    <hyperlink r:id="rId925" ref="F1030"/>
    <hyperlink r:id="rId926" ref="F1031"/>
    <hyperlink r:id="rId927" ref="F1032"/>
    <hyperlink r:id="rId928" ref="F1033"/>
    <hyperlink r:id="rId929" ref="F1034"/>
    <hyperlink r:id="rId930" ref="F1035"/>
    <hyperlink r:id="rId931" ref="F1037"/>
    <hyperlink r:id="rId932" ref="F1038"/>
    <hyperlink r:id="rId933" ref="F1039"/>
    <hyperlink r:id="rId934" ref="F1040"/>
    <hyperlink r:id="rId935" ref="F1041"/>
    <hyperlink r:id="rId936" ref="F1042"/>
    <hyperlink r:id="rId937" ref="F1043"/>
    <hyperlink r:id="rId938" ref="F1044"/>
    <hyperlink r:id="rId939" ref="F1045"/>
    <hyperlink r:id="rId940" ref="F1046"/>
    <hyperlink r:id="rId941" ref="F1047"/>
    <hyperlink r:id="rId942" ref="F1048"/>
    <hyperlink r:id="rId943" ref="F1049"/>
    <hyperlink r:id="rId944" ref="F1051"/>
    <hyperlink r:id="rId945" ref="F1052"/>
    <hyperlink r:id="rId946" ref="F1053"/>
    <hyperlink r:id="rId947" ref="F1054"/>
    <hyperlink r:id="rId948" ref="F1055"/>
    <hyperlink r:id="rId949" ref="F1056"/>
    <hyperlink r:id="rId950" ref="F1057"/>
    <hyperlink r:id="rId951" ref="F1058"/>
    <hyperlink r:id="rId952" ref="F1059"/>
    <hyperlink r:id="rId953" ref="F1060"/>
    <hyperlink r:id="rId954" ref="F1061"/>
    <hyperlink r:id="rId955" ref="F1062"/>
    <hyperlink r:id="rId956" ref="F1063"/>
    <hyperlink r:id="rId957" ref="F1064"/>
    <hyperlink r:id="rId958" ref="F1066"/>
    <hyperlink r:id="rId959" ref="F1067"/>
    <hyperlink r:id="rId960" ref="F1069"/>
    <hyperlink r:id="rId961" ref="F1070"/>
    <hyperlink r:id="rId962" ref="F1071"/>
    <hyperlink r:id="rId963" ref="F1072"/>
    <hyperlink r:id="rId964" ref="F1073"/>
    <hyperlink r:id="rId965" ref="F1074"/>
    <hyperlink r:id="rId966" ref="F1075"/>
    <hyperlink r:id="rId967" ref="F1076"/>
    <hyperlink r:id="rId968" ref="F1077"/>
    <hyperlink r:id="rId969" ref="F1078"/>
    <hyperlink r:id="rId970" ref="F1079"/>
    <hyperlink r:id="rId971" ref="F1081"/>
    <hyperlink r:id="rId972" ref="F1082"/>
    <hyperlink r:id="rId973" ref="F1085"/>
    <hyperlink r:id="rId974" ref="F1086"/>
    <hyperlink r:id="rId975" ref="F1087"/>
    <hyperlink r:id="rId976" ref="F1088"/>
    <hyperlink r:id="rId977" ref="F1089"/>
    <hyperlink r:id="rId978" ref="F1090"/>
    <hyperlink r:id="rId979" ref="F1091"/>
    <hyperlink r:id="rId980" ref="F1094"/>
    <hyperlink r:id="rId981" ref="F1095"/>
    <hyperlink r:id="rId982" ref="F1096"/>
    <hyperlink r:id="rId983" ref="F1097"/>
    <hyperlink r:id="rId984" ref="F1098"/>
    <hyperlink r:id="rId985" ref="F1099"/>
    <hyperlink r:id="rId986" ref="F1100"/>
    <hyperlink r:id="rId987" ref="F1102"/>
    <hyperlink r:id="rId988" ref="F1103"/>
    <hyperlink r:id="rId989" ref="F1104"/>
    <hyperlink r:id="rId990" ref="F1105"/>
    <hyperlink r:id="rId991" ref="F1106"/>
    <hyperlink r:id="rId992" ref="F1107"/>
    <hyperlink r:id="rId993" ref="F1108"/>
    <hyperlink r:id="rId994" ref="F1109"/>
    <hyperlink r:id="rId995" ref="F1110"/>
    <hyperlink r:id="rId996" ref="F1111"/>
    <hyperlink r:id="rId997" ref="F1112"/>
    <hyperlink r:id="rId998" ref="F1113"/>
    <hyperlink r:id="rId999" ref="F1114"/>
    <hyperlink r:id="rId1000" ref="F1115"/>
    <hyperlink r:id="rId1001" ref="F1116"/>
    <hyperlink r:id="rId1002" ref="F1117"/>
    <hyperlink r:id="rId1003" ref="F1118"/>
    <hyperlink r:id="rId1004" ref="F1119"/>
    <hyperlink r:id="rId1005" ref="F1120"/>
    <hyperlink r:id="rId1006" ref="F1121"/>
    <hyperlink r:id="rId1007" ref="F1122"/>
    <hyperlink r:id="rId1008" ref="F1123"/>
    <hyperlink r:id="rId1009" ref="F1124"/>
    <hyperlink r:id="rId1010" ref="F1125"/>
    <hyperlink r:id="rId1011" ref="F1126"/>
    <hyperlink r:id="rId1012" ref="F1127"/>
    <hyperlink r:id="rId1013" ref="F1128"/>
    <hyperlink r:id="rId1014" ref="F1129"/>
    <hyperlink r:id="rId1015" ref="F1130"/>
    <hyperlink r:id="rId1016" ref="F1131"/>
    <hyperlink r:id="rId1017" ref="F1133"/>
    <hyperlink r:id="rId1018" ref="F1134"/>
    <hyperlink r:id="rId1019" ref="F1135"/>
    <hyperlink r:id="rId1020" ref="F1136"/>
    <hyperlink r:id="rId1021" ref="F1137"/>
    <hyperlink r:id="rId1022" ref="F1138"/>
    <hyperlink r:id="rId1023" ref="F1139"/>
    <hyperlink r:id="rId1024" ref="F1140"/>
    <hyperlink r:id="rId1025" ref="F1141"/>
    <hyperlink r:id="rId1026" ref="F1142"/>
    <hyperlink r:id="rId1027" ref="F1143"/>
    <hyperlink r:id="rId1028" ref="F1144"/>
    <hyperlink r:id="rId1029" ref="F1147"/>
    <hyperlink r:id="rId1030" ref="F1148"/>
    <hyperlink r:id="rId1031" ref="F1149"/>
    <hyperlink r:id="rId1032" ref="F1150"/>
    <hyperlink r:id="rId1033" ref="F1151"/>
    <hyperlink r:id="rId1034" ref="F1152"/>
    <hyperlink r:id="rId1035" ref="F1153"/>
    <hyperlink r:id="rId1036" ref="F1154"/>
    <hyperlink r:id="rId1037" ref="F1155"/>
    <hyperlink r:id="rId1038" ref="F1156"/>
    <hyperlink r:id="rId1039" ref="F1157"/>
    <hyperlink r:id="rId1040" ref="F1158"/>
    <hyperlink r:id="rId1041" ref="F1160"/>
    <hyperlink r:id="rId1042" ref="F1162"/>
    <hyperlink r:id="rId1043" ref="F1163"/>
    <hyperlink r:id="rId1044" ref="F1164"/>
    <hyperlink r:id="rId1045" ref="F1165"/>
    <hyperlink r:id="rId1046" ref="F1166"/>
    <hyperlink r:id="rId1047" ref="F1167"/>
    <hyperlink r:id="rId1048" ref="F1168"/>
    <hyperlink r:id="rId1049" ref="F1169"/>
    <hyperlink r:id="rId1050" ref="F1170"/>
    <hyperlink r:id="rId1051" ref="F1171"/>
    <hyperlink r:id="rId1052" ref="F1172"/>
    <hyperlink r:id="rId1053" ref="F1173"/>
    <hyperlink r:id="rId1054" ref="F1174"/>
    <hyperlink r:id="rId1055" ref="F1175"/>
    <hyperlink r:id="rId1056" ref="F1176"/>
    <hyperlink r:id="rId1057" ref="F1177"/>
    <hyperlink r:id="rId1058" ref="F1178"/>
    <hyperlink r:id="rId1059" ref="F1179"/>
    <hyperlink r:id="rId1060" ref="F1180"/>
    <hyperlink r:id="rId1061" ref="F1181"/>
    <hyperlink r:id="rId1062" ref="F1182"/>
    <hyperlink r:id="rId1063" ref="F1183"/>
    <hyperlink r:id="rId1064" ref="F1184"/>
    <hyperlink r:id="rId1065" ref="F1185"/>
    <hyperlink r:id="rId1066" ref="F1186"/>
    <hyperlink r:id="rId1067" ref="F1187"/>
    <hyperlink r:id="rId1068" ref="F1188"/>
    <hyperlink r:id="rId1069" ref="F1189"/>
    <hyperlink r:id="rId1070" ref="F1190"/>
    <hyperlink r:id="rId1071" ref="F1191"/>
    <hyperlink r:id="rId1072" ref="F1192"/>
    <hyperlink r:id="rId1073" ref="F1193"/>
    <hyperlink r:id="rId1074" ref="F1195"/>
    <hyperlink r:id="rId1075" ref="F1197"/>
    <hyperlink r:id="rId1076" ref="F1198"/>
    <hyperlink r:id="rId1077" ref="F1199"/>
    <hyperlink r:id="rId1078" ref="F1200"/>
    <hyperlink r:id="rId1079" ref="F1201"/>
    <hyperlink r:id="rId1080" ref="F1202"/>
    <hyperlink r:id="rId1081" ref="F1204"/>
    <hyperlink r:id="rId1082" ref="F1206"/>
    <hyperlink r:id="rId1083" ref="F1207"/>
    <hyperlink r:id="rId1084" ref="F1208"/>
    <hyperlink r:id="rId1085" ref="F1209"/>
    <hyperlink r:id="rId1086" ref="F1210"/>
    <hyperlink r:id="rId1087" ref="F1211"/>
    <hyperlink r:id="rId1088" ref="F1212"/>
    <hyperlink r:id="rId1089" ref="F1214"/>
    <hyperlink r:id="rId1090" ref="F1215"/>
    <hyperlink r:id="rId1091" ref="F1216"/>
    <hyperlink r:id="rId1092" ref="F1218"/>
    <hyperlink r:id="rId1093" ref="F1219"/>
    <hyperlink r:id="rId1094" ref="F1220"/>
    <hyperlink r:id="rId1095" ref="F1221"/>
    <hyperlink r:id="rId1096" ref="F1223"/>
    <hyperlink r:id="rId1097" ref="F1224"/>
    <hyperlink r:id="rId1098" ref="F1225"/>
    <hyperlink r:id="rId1099" ref="F1226"/>
    <hyperlink r:id="rId1100" ref="F1227"/>
    <hyperlink r:id="rId1101" ref="F1228"/>
    <hyperlink r:id="rId1102" ref="F1229"/>
    <hyperlink r:id="rId1103" ref="F1230"/>
    <hyperlink r:id="rId1104" ref="F1231"/>
    <hyperlink r:id="rId1105" ref="F1232"/>
    <hyperlink r:id="rId1106" ref="F1233"/>
    <hyperlink r:id="rId1107" ref="F1234"/>
    <hyperlink r:id="rId1108" ref="F1235"/>
    <hyperlink r:id="rId1109" ref="F1236"/>
    <hyperlink r:id="rId1110" ref="F1237"/>
    <hyperlink r:id="rId1111" ref="F1238"/>
    <hyperlink r:id="rId1112" ref="F1239"/>
    <hyperlink r:id="rId1113" ref="F1240"/>
    <hyperlink r:id="rId1114" ref="F1242"/>
    <hyperlink r:id="rId1115" ref="F1243"/>
    <hyperlink r:id="rId1116" ref="F1244"/>
    <hyperlink r:id="rId1117" ref="F1246"/>
    <hyperlink r:id="rId1118" ref="F1247"/>
    <hyperlink r:id="rId1119" ref="F1248"/>
    <hyperlink r:id="rId1120" ref="F1249"/>
    <hyperlink r:id="rId1121" ref="F1250"/>
    <hyperlink r:id="rId1122" ref="F1251"/>
    <hyperlink r:id="rId1123" ref="F1252"/>
    <hyperlink r:id="rId1124" ref="F1253"/>
    <hyperlink r:id="rId1125" ref="F1254"/>
    <hyperlink r:id="rId1126" ref="F1255"/>
    <hyperlink r:id="rId1127" ref="F1256"/>
    <hyperlink r:id="rId1128" ref="F1259"/>
    <hyperlink r:id="rId1129" ref="F1260"/>
    <hyperlink r:id="rId1130" ref="F1261"/>
    <hyperlink r:id="rId1131" ref="F1262"/>
    <hyperlink r:id="rId1132" ref="F1263"/>
    <hyperlink r:id="rId1133" ref="F1264"/>
    <hyperlink r:id="rId1134" ref="F1265"/>
    <hyperlink r:id="rId1135" ref="F1266"/>
    <hyperlink r:id="rId1136" ref="F1267"/>
    <hyperlink r:id="rId1137" ref="F1268"/>
    <hyperlink r:id="rId1138" ref="F1269"/>
    <hyperlink r:id="rId1139" ref="F1270"/>
    <hyperlink r:id="rId1140" ref="F1271"/>
    <hyperlink r:id="rId1141" ref="F1272"/>
    <hyperlink r:id="rId1142" ref="F1274"/>
    <hyperlink r:id="rId1143" ref="F1275"/>
    <hyperlink r:id="rId1144" ref="F1276"/>
    <hyperlink r:id="rId1145" ref="F1277"/>
    <hyperlink r:id="rId1146" ref="F1278"/>
    <hyperlink r:id="rId1147" ref="F1279"/>
    <hyperlink r:id="rId1148" ref="F1280"/>
    <hyperlink r:id="rId1149" ref="F1281"/>
    <hyperlink r:id="rId1150" ref="F1283"/>
    <hyperlink r:id="rId1151" ref="F1287"/>
    <hyperlink r:id="rId1152" ref="F1288"/>
    <hyperlink r:id="rId1153" ref="F1289"/>
    <hyperlink r:id="rId1154" ref="F1290"/>
    <hyperlink r:id="rId1155" ref="F1291"/>
    <hyperlink r:id="rId1156" ref="F1292"/>
    <hyperlink r:id="rId1157" ref="F1293"/>
    <hyperlink r:id="rId1158" ref="F1294"/>
    <hyperlink r:id="rId1159" ref="F1295"/>
    <hyperlink r:id="rId1160" ref="F1296"/>
    <hyperlink r:id="rId1161" ref="F1297"/>
    <hyperlink r:id="rId1162" ref="F1298"/>
    <hyperlink r:id="rId1163" ref="F1299"/>
    <hyperlink r:id="rId1164" ref="F1300"/>
    <hyperlink r:id="rId1165" ref="F1301"/>
    <hyperlink r:id="rId1166" ref="F1302"/>
    <hyperlink r:id="rId1167" ref="F1303"/>
    <hyperlink r:id="rId1168" ref="F1304"/>
    <hyperlink r:id="rId1169" ref="F1305"/>
    <hyperlink r:id="rId1170" ref="F1306"/>
    <hyperlink r:id="rId1171" ref="F1308"/>
    <hyperlink r:id="rId1172" ref="F1309"/>
    <hyperlink r:id="rId1173" ref="F1310"/>
    <hyperlink r:id="rId1174" ref="F1311"/>
    <hyperlink r:id="rId1175" ref="F1312"/>
    <hyperlink r:id="rId1176" ref="F1313"/>
    <hyperlink r:id="rId1177" ref="F1314"/>
    <hyperlink r:id="rId1178" ref="F1315"/>
    <hyperlink r:id="rId1179" ref="F1316"/>
    <hyperlink r:id="rId1180" ref="F1317"/>
    <hyperlink r:id="rId1181" ref="F1318"/>
    <hyperlink r:id="rId1182" ref="F1319"/>
    <hyperlink r:id="rId1183" ref="F1320"/>
    <hyperlink r:id="rId1184" ref="F1321"/>
    <hyperlink r:id="rId1185" ref="F1322"/>
    <hyperlink r:id="rId1186" ref="F1323"/>
    <hyperlink r:id="rId1187" ref="F1324"/>
    <hyperlink r:id="rId1188" ref="F1325"/>
    <hyperlink r:id="rId1189" ref="F1326"/>
    <hyperlink r:id="rId1190" ref="F1327"/>
    <hyperlink r:id="rId1191" ref="F1328"/>
    <hyperlink r:id="rId1192" ref="F1329"/>
    <hyperlink r:id="rId1193" ref="F1330"/>
    <hyperlink r:id="rId1194" ref="F1331"/>
    <hyperlink r:id="rId1195" ref="F1332"/>
    <hyperlink r:id="rId1196" ref="F1333"/>
    <hyperlink r:id="rId1197" ref="F1334"/>
    <hyperlink r:id="rId1198" ref="F1335"/>
    <hyperlink r:id="rId1199" ref="F1336"/>
    <hyperlink r:id="rId1200" ref="F1337"/>
    <hyperlink r:id="rId1201" ref="F1338"/>
    <hyperlink r:id="rId1202" ref="F1339"/>
    <hyperlink r:id="rId1203" ref="F1340"/>
    <hyperlink r:id="rId1204" ref="F1341"/>
    <hyperlink r:id="rId1205" ref="F1342"/>
    <hyperlink r:id="rId1206" ref="F1343"/>
    <hyperlink r:id="rId1207" ref="F1344"/>
    <hyperlink r:id="rId1208" ref="F1348"/>
    <hyperlink r:id="rId1209" ref="F1349"/>
    <hyperlink r:id="rId1210" ref="F1350"/>
    <hyperlink r:id="rId1211" ref="F1351"/>
    <hyperlink r:id="rId1212" ref="F1352"/>
    <hyperlink r:id="rId1213" ref="F1353"/>
    <hyperlink r:id="rId1214" ref="F1354"/>
    <hyperlink r:id="rId1215" ref="F1355"/>
    <hyperlink r:id="rId1216" ref="F1356"/>
    <hyperlink r:id="rId1217" ref="F1357"/>
    <hyperlink r:id="rId1218" ref="F1358"/>
    <hyperlink r:id="rId1219" ref="F1359"/>
    <hyperlink r:id="rId1220" ref="F1360"/>
    <hyperlink r:id="rId1221" ref="F1361"/>
    <hyperlink r:id="rId1222" ref="F1362"/>
    <hyperlink r:id="rId1223" ref="F1363"/>
    <hyperlink r:id="rId1224" ref="F1364"/>
    <hyperlink r:id="rId1225" ref="F1365"/>
    <hyperlink r:id="rId1226" ref="F1367"/>
    <hyperlink r:id="rId1227" ref="F1368"/>
    <hyperlink r:id="rId1228" ref="F1370"/>
    <hyperlink r:id="rId1229" ref="F1371"/>
    <hyperlink r:id="rId1230" ref="F1372"/>
    <hyperlink r:id="rId1231" ref="F1373"/>
    <hyperlink r:id="rId1232" ref="F1374"/>
    <hyperlink r:id="rId1233" ref="F1375"/>
    <hyperlink r:id="rId1234" ref="F1376"/>
    <hyperlink r:id="rId1235" ref="F1377"/>
    <hyperlink r:id="rId1236" ref="F1378"/>
    <hyperlink r:id="rId1237" ref="F1379"/>
    <hyperlink r:id="rId1238" ref="F1380"/>
    <hyperlink r:id="rId1239" ref="F1381"/>
    <hyperlink r:id="rId1240" ref="F1382"/>
    <hyperlink r:id="rId1241" ref="F1383"/>
    <hyperlink r:id="rId1242" ref="F1384"/>
    <hyperlink r:id="rId1243" ref="F1385"/>
    <hyperlink r:id="rId1244" ref="F1386"/>
    <hyperlink r:id="rId1245" ref="F1387"/>
    <hyperlink r:id="rId1246" ref="F1388"/>
    <hyperlink r:id="rId1247" ref="F1389"/>
    <hyperlink r:id="rId1248" ref="F1390"/>
    <hyperlink r:id="rId1249" ref="F1391"/>
    <hyperlink r:id="rId1250" ref="F1392"/>
    <hyperlink r:id="rId1251" ref="F1393"/>
    <hyperlink r:id="rId1252" ref="F1394"/>
    <hyperlink r:id="rId1253" ref="F1395"/>
    <hyperlink r:id="rId1254" ref="F1396"/>
    <hyperlink r:id="rId1255" ref="F1397"/>
    <hyperlink r:id="rId1256" ref="F1398"/>
    <hyperlink r:id="rId1257" ref="F1399"/>
    <hyperlink r:id="rId1258" ref="F1400"/>
    <hyperlink r:id="rId1259" ref="F1401"/>
    <hyperlink r:id="rId1260" ref="F1402"/>
    <hyperlink r:id="rId1261" ref="F1403"/>
    <hyperlink r:id="rId1262" ref="F1405"/>
    <hyperlink r:id="rId1263" ref="F1406"/>
    <hyperlink r:id="rId1264" ref="F1408"/>
    <hyperlink r:id="rId1265" ref="F1409"/>
    <hyperlink r:id="rId1266" ref="F1410"/>
    <hyperlink r:id="rId1267" ref="F1411"/>
    <hyperlink r:id="rId1268" ref="F1412"/>
    <hyperlink r:id="rId1269" ref="F1413"/>
    <hyperlink r:id="rId1270" ref="F1414"/>
    <hyperlink r:id="rId1271" ref="F1415"/>
    <hyperlink r:id="rId1272" ref="F1416"/>
    <hyperlink r:id="rId1273" ref="F1417"/>
    <hyperlink r:id="rId1274" ref="F1420"/>
    <hyperlink r:id="rId1275" ref="F1422"/>
    <hyperlink r:id="rId1276" ref="F1423"/>
    <hyperlink r:id="rId1277" ref="F1424"/>
    <hyperlink r:id="rId1278" ref="F1425"/>
    <hyperlink r:id="rId1279" ref="F1426"/>
    <hyperlink r:id="rId1280" ref="F1427"/>
    <hyperlink r:id="rId1281" ref="F1428"/>
    <hyperlink r:id="rId1282" ref="F1430"/>
    <hyperlink r:id="rId1283" ref="F1431"/>
    <hyperlink r:id="rId1284" ref="F1432"/>
    <hyperlink r:id="rId1285" ref="F1433"/>
    <hyperlink r:id="rId1286" ref="F1434"/>
    <hyperlink r:id="rId1287" ref="F1435"/>
    <hyperlink r:id="rId1288" ref="F1436"/>
    <hyperlink r:id="rId1289" ref="F1437"/>
    <hyperlink r:id="rId1290" ref="F1438"/>
    <hyperlink r:id="rId1291" ref="F1439"/>
    <hyperlink r:id="rId1292" ref="F1440"/>
    <hyperlink r:id="rId1293" ref="F1442"/>
    <hyperlink r:id="rId1294" ref="F1443"/>
    <hyperlink r:id="rId1295" ref="F1444"/>
    <hyperlink r:id="rId1296" ref="F1445"/>
    <hyperlink r:id="rId1297" ref="F1447"/>
    <hyperlink r:id="rId1298" ref="F1448"/>
    <hyperlink r:id="rId1299" ref="F1449"/>
    <hyperlink r:id="rId1300" ref="F1450"/>
    <hyperlink r:id="rId1301" ref="F1451"/>
    <hyperlink r:id="rId1302" ref="F1454"/>
    <hyperlink r:id="rId1303" ref="F1455"/>
    <hyperlink r:id="rId1304" ref="F1456"/>
    <hyperlink r:id="rId1305" ref="F1457"/>
    <hyperlink r:id="rId1306" ref="F1458"/>
    <hyperlink r:id="rId1307" ref="F1459"/>
    <hyperlink r:id="rId1308" ref="F1460"/>
    <hyperlink r:id="rId1309" ref="F1461"/>
    <hyperlink r:id="rId1310" ref="F1462"/>
    <hyperlink r:id="rId1311" ref="F1463"/>
    <hyperlink r:id="rId1312" ref="F1464"/>
    <hyperlink r:id="rId1313" ref="F1465"/>
    <hyperlink r:id="rId1314" ref="F1466"/>
    <hyperlink r:id="rId1315" ref="F1467"/>
    <hyperlink r:id="rId1316" ref="F1469"/>
    <hyperlink r:id="rId1317" ref="F1470"/>
    <hyperlink r:id="rId1318" ref="F1471"/>
    <hyperlink r:id="rId1319" ref="F1472"/>
    <hyperlink r:id="rId1320" ref="F1473"/>
    <hyperlink r:id="rId1321" ref="F1474"/>
    <hyperlink r:id="rId1322" ref="F1475"/>
    <hyperlink r:id="rId1323" ref="F1476"/>
    <hyperlink r:id="rId1324" ref="F1477"/>
    <hyperlink r:id="rId1325" ref="F1479"/>
    <hyperlink r:id="rId1326" ref="F1480"/>
    <hyperlink r:id="rId1327" ref="F1481"/>
    <hyperlink r:id="rId1328" ref="F1482"/>
    <hyperlink r:id="rId1329" ref="F1487"/>
    <hyperlink r:id="rId1330" ref="F1488"/>
    <hyperlink r:id="rId1331" ref="F1490"/>
    <hyperlink r:id="rId1332" ref="F1491"/>
    <hyperlink r:id="rId1333" ref="F1492"/>
    <hyperlink r:id="rId1334" ref="F1493"/>
    <hyperlink r:id="rId1335" ref="F1494"/>
    <hyperlink r:id="rId1336" ref="F1495"/>
    <hyperlink r:id="rId1337" ref="F1496"/>
    <hyperlink r:id="rId1338" ref="F1497"/>
    <hyperlink r:id="rId1339" ref="F1499"/>
    <hyperlink r:id="rId1340" ref="F1500"/>
    <hyperlink r:id="rId1341" ref="F1501"/>
    <hyperlink r:id="rId1342" ref="F1502"/>
    <hyperlink r:id="rId1343" ref="F1503"/>
    <hyperlink r:id="rId1344" ref="F1504"/>
    <hyperlink r:id="rId1345" ref="F1505"/>
    <hyperlink r:id="rId1346" ref="F1506"/>
    <hyperlink r:id="rId1347" ref="F1507"/>
    <hyperlink r:id="rId1348" ref="F1508"/>
    <hyperlink r:id="rId1349" ref="F1509"/>
    <hyperlink r:id="rId1350" ref="F1510"/>
    <hyperlink r:id="rId1351" ref="F1511"/>
    <hyperlink r:id="rId1352" ref="F1512"/>
    <hyperlink r:id="rId1353" ref="F1513"/>
    <hyperlink r:id="rId1354" ref="F1514"/>
    <hyperlink r:id="rId1355" ref="F1515"/>
    <hyperlink r:id="rId1356" ref="F1516"/>
    <hyperlink r:id="rId1357" ref="F1517"/>
    <hyperlink r:id="rId1358" ref="F1518"/>
    <hyperlink r:id="rId1359" ref="F1519"/>
    <hyperlink r:id="rId1360" ref="F1520"/>
    <hyperlink r:id="rId1361" ref="F1522"/>
    <hyperlink r:id="rId1362" ref="F1523"/>
    <hyperlink r:id="rId1363" ref="F1524"/>
    <hyperlink r:id="rId1364" ref="F1525"/>
    <hyperlink r:id="rId1365" ref="F1526"/>
    <hyperlink r:id="rId1366" ref="F1527"/>
    <hyperlink r:id="rId1367" ref="F1528"/>
    <hyperlink r:id="rId1368" ref="F1529"/>
    <hyperlink r:id="rId1369" ref="F1530"/>
    <hyperlink r:id="rId1370" ref="F1531"/>
    <hyperlink r:id="rId1371" ref="F1532"/>
    <hyperlink r:id="rId1372" ref="F1533"/>
    <hyperlink r:id="rId1373" ref="F1534"/>
    <hyperlink r:id="rId1374" ref="F1535"/>
    <hyperlink r:id="rId1375" ref="F1536"/>
    <hyperlink r:id="rId1376" ref="F1537"/>
    <hyperlink r:id="rId1377" ref="F1538"/>
    <hyperlink r:id="rId1378" ref="F1539"/>
    <hyperlink r:id="rId1379" ref="F1540"/>
    <hyperlink r:id="rId1380" ref="F1542"/>
    <hyperlink r:id="rId1381" ref="F1543"/>
    <hyperlink r:id="rId1382" ref="F1544"/>
    <hyperlink r:id="rId1383" ref="F1545"/>
    <hyperlink r:id="rId1384" ref="F1546"/>
    <hyperlink r:id="rId1385" ref="F1547"/>
    <hyperlink r:id="rId1386" ref="F1548"/>
    <hyperlink r:id="rId1387" ref="F1549"/>
    <hyperlink r:id="rId1388" ref="F1551"/>
    <hyperlink r:id="rId1389" ref="F1552"/>
    <hyperlink r:id="rId1390" ref="F1553"/>
    <hyperlink r:id="rId1391" ref="F1554"/>
    <hyperlink r:id="rId1392" ref="F1555"/>
    <hyperlink r:id="rId1393" ref="F1556"/>
    <hyperlink r:id="rId1394" ref="F1557"/>
    <hyperlink r:id="rId1395" ref="F1558"/>
    <hyperlink r:id="rId1396" ref="F1559"/>
    <hyperlink r:id="rId1397" ref="F1560"/>
    <hyperlink r:id="rId1398" ref="F1561"/>
    <hyperlink r:id="rId1399" ref="F1562"/>
    <hyperlink r:id="rId1400" ref="F1563"/>
    <hyperlink r:id="rId1401" ref="F1564"/>
    <hyperlink r:id="rId1402" ref="F1565"/>
    <hyperlink r:id="rId1403" ref="F1566"/>
    <hyperlink r:id="rId1404" ref="F1568"/>
    <hyperlink r:id="rId1405" ref="F1569"/>
    <hyperlink r:id="rId1406" ref="F1570"/>
    <hyperlink r:id="rId1407" ref="F1571"/>
    <hyperlink r:id="rId1408" ref="F1572"/>
    <hyperlink r:id="rId1409" ref="F1573"/>
    <hyperlink r:id="rId1410" ref="F1574"/>
    <hyperlink r:id="rId1411" ref="F1575"/>
    <hyperlink r:id="rId1412" ref="F1576"/>
    <hyperlink r:id="rId1413" ref="F1578"/>
    <hyperlink r:id="rId1414" ref="F1580"/>
    <hyperlink r:id="rId1415" ref="F1581"/>
    <hyperlink r:id="rId1416" ref="F1583"/>
    <hyperlink r:id="rId1417" ref="F1584"/>
    <hyperlink r:id="rId1418" ref="F1585"/>
    <hyperlink r:id="rId1419" ref="F1586"/>
    <hyperlink r:id="rId1420" ref="F1587"/>
    <hyperlink r:id="rId1421" ref="F1588"/>
    <hyperlink r:id="rId1422" ref="F1589"/>
    <hyperlink r:id="rId1423" ref="F1590"/>
    <hyperlink r:id="rId1424" ref="F1591"/>
    <hyperlink r:id="rId1425" ref="F1592"/>
    <hyperlink r:id="rId1426" ref="F1594"/>
    <hyperlink r:id="rId1427" ref="F1595"/>
    <hyperlink r:id="rId1428" ref="F1596"/>
    <hyperlink r:id="rId1429" ref="F1597"/>
    <hyperlink r:id="rId1430" ref="F1598"/>
    <hyperlink r:id="rId1431" ref="F1599"/>
    <hyperlink r:id="rId1432" ref="F1600"/>
    <hyperlink r:id="rId1433" ref="F1601"/>
    <hyperlink r:id="rId1434" ref="F1602"/>
    <hyperlink r:id="rId1435" ref="F1603"/>
    <hyperlink r:id="rId1436" ref="F1604"/>
    <hyperlink r:id="rId1437" ref="F1605"/>
    <hyperlink r:id="rId1438" ref="F1606"/>
    <hyperlink r:id="rId1439" ref="F1607"/>
    <hyperlink r:id="rId1440" ref="F1608"/>
    <hyperlink r:id="rId1441" ref="F1612"/>
    <hyperlink r:id="rId1442" ref="F1614"/>
    <hyperlink r:id="rId1443" ref="F1615"/>
    <hyperlink r:id="rId1444" ref="F1616"/>
    <hyperlink r:id="rId1445" ref="F1617"/>
    <hyperlink r:id="rId1446" ref="F1618"/>
    <hyperlink r:id="rId1447" ref="F1619"/>
    <hyperlink r:id="rId1448" ref="F1620"/>
    <hyperlink r:id="rId1449" ref="F1621"/>
    <hyperlink r:id="rId1450" ref="F1622"/>
    <hyperlink r:id="rId1451" ref="F1623"/>
    <hyperlink r:id="rId1452" ref="F1624"/>
    <hyperlink r:id="rId1453" ref="F1625"/>
    <hyperlink r:id="rId1454" ref="F1626"/>
    <hyperlink r:id="rId1455" ref="F1627"/>
    <hyperlink r:id="rId1456" ref="F1628"/>
    <hyperlink r:id="rId1457" ref="F1630"/>
    <hyperlink r:id="rId1458" ref="F1631"/>
    <hyperlink r:id="rId1459" ref="F1632"/>
    <hyperlink r:id="rId1460" ref="F1634"/>
    <hyperlink r:id="rId1461" ref="F1635"/>
    <hyperlink r:id="rId1462" ref="F1636"/>
    <hyperlink r:id="rId1463" ref="F1637"/>
    <hyperlink r:id="rId1464" ref="F1638"/>
    <hyperlink r:id="rId1465" ref="F1639"/>
    <hyperlink r:id="rId1466" ref="F1640"/>
    <hyperlink r:id="rId1467" ref="F1641"/>
    <hyperlink r:id="rId1468" ref="F1642"/>
    <hyperlink r:id="rId1469" ref="F1644"/>
    <hyperlink r:id="rId1470" ref="F1645"/>
    <hyperlink r:id="rId1471" ref="F1646"/>
    <hyperlink r:id="rId1472" ref="F1647"/>
    <hyperlink r:id="rId1473" ref="F1648"/>
    <hyperlink r:id="rId1474" ref="F1649"/>
    <hyperlink r:id="rId1475" ref="F1650"/>
    <hyperlink r:id="rId1476" ref="F1651"/>
    <hyperlink r:id="rId1477" ref="F1652"/>
    <hyperlink r:id="rId1478" ref="F1653"/>
    <hyperlink r:id="rId1479" ref="F1654"/>
    <hyperlink r:id="rId1480" ref="F1655"/>
    <hyperlink r:id="rId1481" ref="F1656"/>
    <hyperlink r:id="rId1482" ref="F1657"/>
    <hyperlink r:id="rId1483" ref="F1658"/>
    <hyperlink r:id="rId1484" ref="F1659"/>
    <hyperlink r:id="rId1485" ref="F1661"/>
    <hyperlink r:id="rId1486" ref="F1662"/>
    <hyperlink r:id="rId1487" ref="F1663"/>
    <hyperlink r:id="rId1488" ref="F1664"/>
    <hyperlink r:id="rId1489" ref="F1665"/>
    <hyperlink r:id="rId1490" ref="F1666"/>
    <hyperlink r:id="rId1491" ref="F1668"/>
    <hyperlink r:id="rId1492" ref="F1669"/>
    <hyperlink r:id="rId1493" ref="F1670"/>
    <hyperlink r:id="rId1494" ref="F1671"/>
    <hyperlink r:id="rId1495" ref="F1672"/>
    <hyperlink r:id="rId1496" ref="F1673"/>
    <hyperlink r:id="rId1497" ref="F1676"/>
    <hyperlink r:id="rId1498" ref="F1678"/>
    <hyperlink r:id="rId1499" ref="F1679"/>
    <hyperlink r:id="rId1500" ref="F1680"/>
    <hyperlink r:id="rId1501" ref="F1681"/>
    <hyperlink r:id="rId1502" ref="F1682"/>
    <hyperlink r:id="rId1503" ref="F1683"/>
    <hyperlink r:id="rId1504" ref="F1684"/>
    <hyperlink r:id="rId1505" ref="F1685"/>
    <hyperlink r:id="rId1506" ref="F1686"/>
    <hyperlink r:id="rId1507" ref="F1687"/>
    <hyperlink r:id="rId1508" ref="F1688"/>
    <hyperlink r:id="rId1509" ref="F1689"/>
    <hyperlink r:id="rId1510" ref="F1690"/>
    <hyperlink r:id="rId1511" ref="F1691"/>
    <hyperlink r:id="rId1512" ref="F1692"/>
    <hyperlink r:id="rId1513" ref="F1693"/>
    <hyperlink r:id="rId1514" ref="F1694"/>
    <hyperlink r:id="rId1515" ref="F1695"/>
    <hyperlink r:id="rId1516" ref="F1696"/>
    <hyperlink r:id="rId1517" ref="F1697"/>
    <hyperlink r:id="rId1518" ref="F1698"/>
    <hyperlink r:id="rId1519" ref="F1699"/>
    <hyperlink r:id="rId1520" ref="F1701"/>
    <hyperlink r:id="rId1521" ref="F1703"/>
    <hyperlink r:id="rId1522" ref="F1704"/>
    <hyperlink r:id="rId1523" ref="F1705"/>
    <hyperlink r:id="rId1524" ref="F1706"/>
    <hyperlink r:id="rId1525" ref="F1707"/>
    <hyperlink r:id="rId1526" ref="F1708"/>
    <hyperlink r:id="rId1527" ref="F1709"/>
    <hyperlink r:id="rId1528" ref="F1711"/>
    <hyperlink r:id="rId1529" ref="F1712"/>
    <hyperlink r:id="rId1530" ref="F1713"/>
    <hyperlink r:id="rId1531" ref="F1714"/>
    <hyperlink r:id="rId1532" ref="F1715"/>
    <hyperlink r:id="rId1533" ref="F1716"/>
    <hyperlink r:id="rId1534" ref="F1717"/>
    <hyperlink r:id="rId1535" ref="F1718"/>
    <hyperlink r:id="rId1536" ref="F1719"/>
    <hyperlink r:id="rId1537" ref="F1720"/>
    <hyperlink r:id="rId1538" ref="F1721"/>
    <hyperlink r:id="rId1539" ref="F1723"/>
    <hyperlink r:id="rId1540" ref="F1724"/>
    <hyperlink r:id="rId1541" ref="F1725"/>
    <hyperlink r:id="rId1542" ref="F1726"/>
    <hyperlink r:id="rId1543" ref="F1727"/>
    <hyperlink r:id="rId1544" ref="F1728"/>
    <hyperlink r:id="rId1545" ref="F1729"/>
    <hyperlink r:id="rId1546" ref="F1730"/>
    <hyperlink r:id="rId1547" ref="F1731"/>
    <hyperlink r:id="rId1548" ref="F1732"/>
    <hyperlink r:id="rId1549" ref="F1733"/>
    <hyperlink r:id="rId1550" ref="F1734"/>
    <hyperlink r:id="rId1551" ref="F1735"/>
    <hyperlink r:id="rId1552" ref="F1737"/>
    <hyperlink r:id="rId1553" ref="F1738"/>
    <hyperlink r:id="rId1554" ref="F1739"/>
    <hyperlink r:id="rId1555" ref="F1740"/>
    <hyperlink r:id="rId1556" ref="F1741"/>
    <hyperlink r:id="rId1557" ref="F1742"/>
    <hyperlink r:id="rId1558" ref="F1743"/>
    <hyperlink r:id="rId1559" ref="F1744"/>
    <hyperlink r:id="rId1560" ref="F1745"/>
    <hyperlink r:id="rId1561" ref="F1746"/>
    <hyperlink r:id="rId1562" ref="F1747"/>
    <hyperlink r:id="rId1563" ref="F1748"/>
    <hyperlink r:id="rId1564" ref="F1749"/>
    <hyperlink r:id="rId1565" ref="F1750"/>
    <hyperlink r:id="rId1566" ref="F1751"/>
    <hyperlink r:id="rId1567" ref="F1752"/>
    <hyperlink r:id="rId1568" ref="F1753"/>
    <hyperlink r:id="rId1569" ref="F1754"/>
    <hyperlink r:id="rId1570" ref="F1755"/>
    <hyperlink r:id="rId1571" ref="F1756"/>
    <hyperlink r:id="rId1572" ref="F1757"/>
    <hyperlink r:id="rId1573" ref="F1758"/>
    <hyperlink r:id="rId1574" ref="F1759"/>
    <hyperlink r:id="rId1575" ref="F1760"/>
    <hyperlink r:id="rId1576" ref="F1761"/>
    <hyperlink r:id="rId1577" ref="F1763"/>
    <hyperlink r:id="rId1578" ref="F1764"/>
    <hyperlink r:id="rId1579" ref="F1767"/>
    <hyperlink r:id="rId1580" ref="F1768"/>
    <hyperlink r:id="rId1581" ref="F1770"/>
    <hyperlink r:id="rId1582" ref="F1771"/>
    <hyperlink r:id="rId1583" ref="F1772"/>
    <hyperlink r:id="rId1584" ref="F1773"/>
    <hyperlink r:id="rId1585" ref="F1774"/>
    <hyperlink r:id="rId1586" ref="F1775"/>
    <hyperlink r:id="rId1587" ref="F1776"/>
    <hyperlink r:id="rId1588" ref="F1777"/>
    <hyperlink r:id="rId1589" ref="F1778"/>
    <hyperlink r:id="rId1590" ref="F1779"/>
    <hyperlink r:id="rId1591" ref="F1780"/>
    <hyperlink r:id="rId1592" ref="F1781"/>
    <hyperlink r:id="rId1593" ref="F1782"/>
    <hyperlink r:id="rId1594" ref="F1783"/>
    <hyperlink r:id="rId1595" ref="F1784"/>
    <hyperlink r:id="rId1596" ref="F1786"/>
    <hyperlink r:id="rId1597" ref="F1787"/>
    <hyperlink r:id="rId1598" ref="F1788"/>
    <hyperlink r:id="rId1599" ref="F1789"/>
    <hyperlink r:id="rId1600" ref="F1790"/>
    <hyperlink r:id="rId1601" ref="F1791"/>
    <hyperlink r:id="rId1602" ref="F1792"/>
    <hyperlink r:id="rId1603" ref="F1793"/>
    <hyperlink r:id="rId1604" ref="F1794"/>
    <hyperlink r:id="rId1605" ref="F1795"/>
    <hyperlink r:id="rId1606" ref="F1796"/>
    <hyperlink r:id="rId1607" ref="F1797"/>
    <hyperlink r:id="rId1608" ref="F1798"/>
    <hyperlink r:id="rId1609" ref="F1799"/>
    <hyperlink r:id="rId1610" ref="F1800"/>
    <hyperlink r:id="rId1611" ref="F1801"/>
    <hyperlink r:id="rId1612" ref="F1802"/>
    <hyperlink r:id="rId1613" ref="F1803"/>
    <hyperlink r:id="rId1614" ref="F1805"/>
    <hyperlink r:id="rId1615" ref="F1806"/>
    <hyperlink r:id="rId1616" ref="F1807"/>
    <hyperlink r:id="rId1617" ref="F1808"/>
    <hyperlink r:id="rId1618" ref="F1809"/>
    <hyperlink r:id="rId1619" ref="F1810"/>
    <hyperlink r:id="rId1620" ref="F1811"/>
    <hyperlink r:id="rId1621" ref="F1812"/>
    <hyperlink r:id="rId1622" ref="F1813"/>
    <hyperlink r:id="rId1623" ref="F1814"/>
    <hyperlink r:id="rId1624" ref="F1815"/>
    <hyperlink r:id="rId1625" ref="F1816"/>
    <hyperlink r:id="rId1626" ref="F1817"/>
    <hyperlink r:id="rId1627" ref="F1818"/>
    <hyperlink r:id="rId1628" ref="F1819"/>
    <hyperlink r:id="rId1629" ref="F1820"/>
    <hyperlink r:id="rId1630" ref="F1821"/>
    <hyperlink r:id="rId1631" ref="F1822"/>
    <hyperlink r:id="rId1632" ref="F1823"/>
    <hyperlink r:id="rId1633" ref="F1824"/>
    <hyperlink r:id="rId1634" ref="F1825"/>
    <hyperlink r:id="rId1635" ref="F1826"/>
    <hyperlink r:id="rId1636" ref="F1827"/>
    <hyperlink r:id="rId1637" ref="F1828"/>
    <hyperlink r:id="rId1638" ref="F1829"/>
    <hyperlink r:id="rId1639" ref="F1831"/>
    <hyperlink r:id="rId1640" ref="F1832"/>
    <hyperlink r:id="rId1641" ref="F1833"/>
    <hyperlink r:id="rId1642" ref="F1834"/>
    <hyperlink r:id="rId1643" ref="F1835"/>
    <hyperlink r:id="rId1644" ref="F1836"/>
    <hyperlink r:id="rId1645" ref="F1837"/>
    <hyperlink r:id="rId1646" ref="F1839"/>
    <hyperlink r:id="rId1647" ref="F1840"/>
    <hyperlink r:id="rId1648" ref="F1841"/>
    <hyperlink r:id="rId1649" ref="F1842"/>
    <hyperlink r:id="rId1650" ref="F1843"/>
    <hyperlink r:id="rId1651" ref="F1844"/>
    <hyperlink r:id="rId1652" ref="F1845"/>
    <hyperlink r:id="rId1653" ref="F1846"/>
    <hyperlink r:id="rId1654" ref="F1848"/>
    <hyperlink r:id="rId1655" ref="F1849"/>
    <hyperlink r:id="rId1656" ref="F1850"/>
    <hyperlink r:id="rId1657" ref="F1851"/>
    <hyperlink r:id="rId1658" ref="F1852"/>
    <hyperlink r:id="rId1659" ref="F1855"/>
    <hyperlink r:id="rId1660" ref="F1856"/>
    <hyperlink r:id="rId1661" ref="F1857"/>
    <hyperlink r:id="rId1662" ref="F1858"/>
    <hyperlink r:id="rId1663" ref="F1859"/>
    <hyperlink r:id="rId1664" ref="F1860"/>
    <hyperlink r:id="rId1665" ref="F1861"/>
    <hyperlink r:id="rId1666" ref="F1862"/>
    <hyperlink r:id="rId1667" ref="F1863"/>
    <hyperlink r:id="rId1668" ref="F1864"/>
    <hyperlink r:id="rId1669" ref="F1866"/>
    <hyperlink r:id="rId1670" ref="F1867"/>
    <hyperlink r:id="rId1671" ref="F1868"/>
    <hyperlink r:id="rId1672" ref="F1869"/>
    <hyperlink r:id="rId1673" ref="F1872"/>
    <hyperlink r:id="rId1674" ref="F1873"/>
    <hyperlink r:id="rId1675" ref="F1874"/>
    <hyperlink r:id="rId1676" ref="F1875"/>
    <hyperlink r:id="rId1677" ref="F1876"/>
    <hyperlink r:id="rId1678" ref="F1877"/>
    <hyperlink r:id="rId1679" ref="F1878"/>
    <hyperlink r:id="rId1680" ref="F1880"/>
    <hyperlink r:id="rId1681" ref="F1884"/>
    <hyperlink r:id="rId1682" ref="F1886"/>
    <hyperlink r:id="rId1683" ref="F1887"/>
    <hyperlink r:id="rId1684" ref="F1888"/>
    <hyperlink r:id="rId1685" ref="F1889"/>
    <hyperlink r:id="rId1686" ref="F1890"/>
    <hyperlink r:id="rId1687" ref="F1891"/>
    <hyperlink r:id="rId1688" ref="F1892"/>
    <hyperlink r:id="rId1689" ref="F1893"/>
    <hyperlink r:id="rId1690" ref="F1894"/>
    <hyperlink r:id="rId1691" ref="F1895"/>
    <hyperlink r:id="rId1692" ref="F1896"/>
    <hyperlink r:id="rId1693" ref="F1897"/>
    <hyperlink r:id="rId1694" ref="F1898"/>
    <hyperlink r:id="rId1695" ref="F1900"/>
    <hyperlink r:id="rId1696" ref="F1901"/>
    <hyperlink r:id="rId1697" ref="F1906"/>
    <hyperlink r:id="rId1698" ref="F1907"/>
    <hyperlink r:id="rId1699" ref="F1908"/>
    <hyperlink r:id="rId1700" ref="F1909"/>
    <hyperlink r:id="rId1701" ref="F1910"/>
    <hyperlink r:id="rId1702" ref="F1911"/>
    <hyperlink r:id="rId1703" ref="F1912"/>
    <hyperlink r:id="rId1704" ref="F1913"/>
    <hyperlink r:id="rId1705" ref="F1914"/>
    <hyperlink r:id="rId1706" ref="F1915"/>
    <hyperlink r:id="rId1707" ref="F1916"/>
    <hyperlink r:id="rId1708" ref="F1917"/>
    <hyperlink r:id="rId1709" ref="F1918"/>
    <hyperlink r:id="rId1710" ref="F1919"/>
    <hyperlink r:id="rId1711" ref="F1920"/>
    <hyperlink r:id="rId1712" ref="F1921"/>
    <hyperlink r:id="rId1713" ref="F1922"/>
    <hyperlink r:id="rId1714" ref="F1924"/>
    <hyperlink r:id="rId1715" ref="F1926"/>
    <hyperlink r:id="rId1716" ref="F1927"/>
    <hyperlink r:id="rId1717" ref="F1928"/>
    <hyperlink r:id="rId1718" ref="F1929"/>
    <hyperlink r:id="rId1719" ref="F1930"/>
    <hyperlink r:id="rId1720" ref="F1931"/>
    <hyperlink r:id="rId1721" ref="F1932"/>
    <hyperlink r:id="rId1722" ref="F1933"/>
    <hyperlink r:id="rId1723" ref="F1934"/>
    <hyperlink r:id="rId1724" ref="F1935"/>
    <hyperlink r:id="rId1725" ref="F1936"/>
    <hyperlink r:id="rId1726" ref="F1937"/>
    <hyperlink r:id="rId1727" ref="F1938"/>
    <hyperlink r:id="rId1728" ref="F1941"/>
    <hyperlink r:id="rId1729" ref="F1942"/>
    <hyperlink r:id="rId1730" ref="F1943"/>
    <hyperlink r:id="rId1731" ref="F1944"/>
    <hyperlink r:id="rId1732" ref="F1945"/>
    <hyperlink r:id="rId1733" ref="F1946"/>
    <hyperlink r:id="rId1734" ref="F1947"/>
    <hyperlink r:id="rId1735" ref="F1948"/>
    <hyperlink r:id="rId1736" ref="F1949"/>
    <hyperlink r:id="rId1737" ref="F1950"/>
    <hyperlink r:id="rId1738" ref="F1951"/>
    <hyperlink r:id="rId1739" ref="F1953"/>
    <hyperlink r:id="rId1740" ref="F1954"/>
    <hyperlink r:id="rId1741" ref="F1955"/>
    <hyperlink r:id="rId1742" ref="F1956"/>
    <hyperlink r:id="rId1743" ref="F1958"/>
    <hyperlink r:id="rId1744" ref="F1959"/>
    <hyperlink r:id="rId1745" ref="F1960"/>
    <hyperlink r:id="rId1746" ref="F1962"/>
    <hyperlink r:id="rId1747" ref="F1963"/>
    <hyperlink r:id="rId1748" ref="F1964"/>
    <hyperlink r:id="rId1749" ref="F1965"/>
    <hyperlink r:id="rId1750" ref="F1966"/>
    <hyperlink r:id="rId1751" ref="F1967"/>
    <hyperlink r:id="rId1752" ref="F1969"/>
    <hyperlink r:id="rId1753" ref="F1970"/>
    <hyperlink r:id="rId1754" ref="F1972"/>
    <hyperlink r:id="rId1755" ref="F1974"/>
    <hyperlink r:id="rId1756" ref="F1975"/>
    <hyperlink r:id="rId1757" ref="F1976"/>
    <hyperlink r:id="rId1758" ref="F1977"/>
    <hyperlink r:id="rId1759" ref="F1978"/>
    <hyperlink r:id="rId1760" ref="F1979"/>
    <hyperlink r:id="rId1761" ref="F1981"/>
    <hyperlink r:id="rId1762" ref="F1982"/>
    <hyperlink r:id="rId1763" ref="F1983"/>
    <hyperlink r:id="rId1764" ref="F1984"/>
    <hyperlink r:id="rId1765" ref="F1985"/>
    <hyperlink r:id="rId1766" ref="F1986"/>
    <hyperlink r:id="rId1767" ref="F1987"/>
    <hyperlink r:id="rId1768" ref="F1988"/>
    <hyperlink r:id="rId1769" ref="F1989"/>
    <hyperlink r:id="rId1770" ref="F1990"/>
    <hyperlink r:id="rId1771" ref="F1991"/>
    <hyperlink r:id="rId1772" ref="F1992"/>
    <hyperlink r:id="rId1773" ref="F1994"/>
    <hyperlink r:id="rId1774" ref="F1995"/>
    <hyperlink r:id="rId1775" ref="F1996"/>
    <hyperlink r:id="rId1776" ref="F1997"/>
    <hyperlink r:id="rId1777" ref="F1998"/>
    <hyperlink r:id="rId1778" ref="F1999"/>
    <hyperlink r:id="rId1779" ref="F2000"/>
    <hyperlink r:id="rId1780" ref="F2001"/>
    <hyperlink r:id="rId1781" ref="F2002"/>
    <hyperlink r:id="rId1782" ref="F2003"/>
    <hyperlink r:id="rId1783" ref="F2004"/>
    <hyperlink r:id="rId1784" ref="F2005"/>
    <hyperlink r:id="rId1785" ref="F2006"/>
    <hyperlink r:id="rId1786" ref="F2007"/>
    <hyperlink r:id="rId1787" ref="F2008"/>
    <hyperlink r:id="rId1788" ref="F2009"/>
    <hyperlink r:id="rId1789" ref="F2010"/>
    <hyperlink r:id="rId1790" ref="F2011"/>
    <hyperlink r:id="rId1791" ref="F2012"/>
    <hyperlink r:id="rId1792" ref="F2014"/>
    <hyperlink r:id="rId1793" ref="F2015"/>
    <hyperlink r:id="rId1794" ref="F2017"/>
    <hyperlink r:id="rId1795" ref="F2018"/>
    <hyperlink r:id="rId1796" ref="F2019"/>
    <hyperlink r:id="rId1797" ref="F2020"/>
    <hyperlink r:id="rId1798" ref="F2021"/>
    <hyperlink r:id="rId1799" ref="F2022"/>
    <hyperlink r:id="rId1800" ref="F2023"/>
    <hyperlink r:id="rId1801" ref="F2024"/>
    <hyperlink r:id="rId1802" ref="F2025"/>
    <hyperlink r:id="rId1803" ref="F2026"/>
    <hyperlink r:id="rId1804" ref="F2027"/>
    <hyperlink r:id="rId1805" ref="F2028"/>
    <hyperlink r:id="rId1806" ref="F2029"/>
    <hyperlink r:id="rId1807" ref="F2030"/>
    <hyperlink r:id="rId1808" ref="F2031"/>
    <hyperlink r:id="rId1809" ref="F2032"/>
    <hyperlink r:id="rId1810" ref="F2033"/>
    <hyperlink r:id="rId1811" ref="F2034"/>
    <hyperlink r:id="rId1812" ref="F2035"/>
    <hyperlink r:id="rId1813" ref="F2036"/>
    <hyperlink r:id="rId1814" ref="F2038"/>
    <hyperlink r:id="rId1815" ref="F2039"/>
    <hyperlink r:id="rId1816" ref="F2040"/>
    <hyperlink r:id="rId1817" ref="F2041"/>
    <hyperlink r:id="rId1818" ref="F2042"/>
    <hyperlink r:id="rId1819" ref="F2043"/>
    <hyperlink r:id="rId1820" ref="F2044"/>
    <hyperlink r:id="rId1821" ref="F2045"/>
    <hyperlink r:id="rId1822" ref="F2046"/>
    <hyperlink r:id="rId1823" ref="F2047"/>
    <hyperlink r:id="rId1824" ref="F2048"/>
    <hyperlink r:id="rId1825" ref="F2049"/>
    <hyperlink r:id="rId1826" ref="F2050"/>
    <hyperlink r:id="rId1827" ref="F2051"/>
    <hyperlink r:id="rId1828" ref="F2052"/>
    <hyperlink r:id="rId1829" ref="F2053"/>
    <hyperlink r:id="rId1830" ref="F2055"/>
    <hyperlink r:id="rId1831" ref="F2056"/>
    <hyperlink r:id="rId1832" ref="F2057"/>
    <hyperlink r:id="rId1833" ref="F2058"/>
    <hyperlink r:id="rId1834" ref="F2060"/>
    <hyperlink r:id="rId1835" ref="F2061"/>
    <hyperlink r:id="rId1836" ref="F2064"/>
    <hyperlink r:id="rId1837" ref="F2065"/>
    <hyperlink r:id="rId1838" ref="F2066"/>
    <hyperlink r:id="rId1839" ref="F2068"/>
    <hyperlink r:id="rId1840" ref="F2069"/>
    <hyperlink r:id="rId1841" ref="F2070"/>
    <hyperlink r:id="rId1842" ref="F2071"/>
    <hyperlink r:id="rId1843" ref="F2072"/>
    <hyperlink r:id="rId1844" ref="F2073"/>
    <hyperlink r:id="rId1845" ref="F2074"/>
    <hyperlink r:id="rId1846" ref="F2075"/>
    <hyperlink r:id="rId1847" ref="F2076"/>
    <hyperlink r:id="rId1848" ref="F2077"/>
    <hyperlink r:id="rId1849" ref="F2078"/>
    <hyperlink r:id="rId1850" ref="F2079"/>
    <hyperlink r:id="rId1851" ref="F2080"/>
    <hyperlink r:id="rId1852" ref="F2081"/>
    <hyperlink r:id="rId1853" ref="F2082"/>
    <hyperlink r:id="rId1854" ref="F2083"/>
    <hyperlink r:id="rId1855" ref="F2084"/>
    <hyperlink r:id="rId1856" ref="F2085"/>
    <hyperlink r:id="rId1857" ref="F2087"/>
    <hyperlink r:id="rId1858" ref="F2088"/>
    <hyperlink r:id="rId1859" ref="F2089"/>
    <hyperlink r:id="rId1860" ref="F2090"/>
    <hyperlink r:id="rId1861" ref="F2091"/>
    <hyperlink r:id="rId1862" ref="F2092"/>
    <hyperlink r:id="rId1863" ref="F2093"/>
    <hyperlink r:id="rId1864" ref="F2094"/>
    <hyperlink r:id="rId1865" ref="F2095"/>
    <hyperlink r:id="rId1866" ref="F2096"/>
    <hyperlink r:id="rId1867" ref="F2097"/>
    <hyperlink r:id="rId1868" ref="F2098"/>
    <hyperlink r:id="rId1869" ref="F2099"/>
    <hyperlink r:id="rId1870" ref="F2100"/>
    <hyperlink r:id="rId1871" ref="F2101"/>
    <hyperlink r:id="rId1872" ref="F2102"/>
    <hyperlink r:id="rId1873" ref="F2103"/>
    <hyperlink r:id="rId1874" ref="F2104"/>
    <hyperlink r:id="rId1875" ref="F2105"/>
    <hyperlink r:id="rId1876" ref="F2106"/>
    <hyperlink r:id="rId1877" ref="F2107"/>
    <hyperlink r:id="rId1878" ref="F2108"/>
    <hyperlink r:id="rId1879" ref="F2109"/>
    <hyperlink r:id="rId1880" ref="F2110"/>
    <hyperlink r:id="rId1881" ref="F2111"/>
    <hyperlink r:id="rId1882" ref="F2112"/>
    <hyperlink r:id="rId1883" ref="F2113"/>
    <hyperlink r:id="rId1884" ref="F2114"/>
    <hyperlink r:id="rId1885" ref="F2115"/>
    <hyperlink r:id="rId1886" ref="F2116"/>
    <hyperlink r:id="rId1887" ref="F2117"/>
    <hyperlink r:id="rId1888" ref="F2118"/>
    <hyperlink r:id="rId1889" ref="F2119"/>
    <hyperlink r:id="rId1890" ref="F2120"/>
    <hyperlink r:id="rId1891" ref="F2121"/>
    <hyperlink r:id="rId1892" ref="F2122"/>
    <hyperlink r:id="rId1893" ref="F2123"/>
    <hyperlink r:id="rId1894" ref="F2124"/>
    <hyperlink r:id="rId1895" ref="F2125"/>
    <hyperlink r:id="rId1896" ref="F2126"/>
    <hyperlink r:id="rId1897" ref="F2127"/>
    <hyperlink r:id="rId1898" ref="F2128"/>
    <hyperlink r:id="rId1899" ref="F2129"/>
    <hyperlink r:id="rId1900" ref="F2130"/>
    <hyperlink r:id="rId1901" ref="F2131"/>
    <hyperlink r:id="rId1902" ref="F2132"/>
    <hyperlink r:id="rId1903" ref="F2133"/>
    <hyperlink r:id="rId1904" ref="F2134"/>
    <hyperlink r:id="rId1905" ref="F2135"/>
    <hyperlink r:id="rId1906" ref="F2137"/>
    <hyperlink r:id="rId1907" ref="F2138"/>
    <hyperlink r:id="rId1908" ref="F2139"/>
    <hyperlink r:id="rId1909" ref="F2140"/>
    <hyperlink r:id="rId1910" ref="F2141"/>
    <hyperlink r:id="rId1911" ref="F2142"/>
    <hyperlink r:id="rId1912" ref="F2143"/>
    <hyperlink r:id="rId1913" ref="F2144"/>
    <hyperlink r:id="rId1914" ref="F2145"/>
    <hyperlink r:id="rId1915" ref="F2146"/>
    <hyperlink r:id="rId1916" ref="F2147"/>
    <hyperlink r:id="rId1917" ref="F2148"/>
    <hyperlink r:id="rId1918" ref="F2149"/>
    <hyperlink r:id="rId1919" ref="F2150"/>
    <hyperlink r:id="rId1920" ref="F2151"/>
    <hyperlink r:id="rId1921" ref="F2152"/>
    <hyperlink r:id="rId1922" ref="F2153"/>
    <hyperlink r:id="rId1923" ref="F2154"/>
    <hyperlink r:id="rId1924" ref="F2157"/>
    <hyperlink r:id="rId1925" ref="F2158"/>
    <hyperlink r:id="rId1926" ref="F2159"/>
    <hyperlink r:id="rId1927" ref="F2161"/>
    <hyperlink r:id="rId1928" ref="F2162"/>
    <hyperlink r:id="rId1929" ref="F2163"/>
    <hyperlink r:id="rId1930" ref="F2164"/>
    <hyperlink r:id="rId1931" ref="F2165"/>
    <hyperlink r:id="rId1932" ref="F2166"/>
    <hyperlink r:id="rId1933" ref="F2168"/>
    <hyperlink r:id="rId1934" ref="F2169"/>
    <hyperlink r:id="rId1935" ref="F2171"/>
    <hyperlink r:id="rId1936" ref="F2172"/>
    <hyperlink r:id="rId1937" ref="F2174"/>
    <hyperlink r:id="rId1938" ref="F2175"/>
    <hyperlink r:id="rId1939" ref="F2176"/>
    <hyperlink r:id="rId1940" ref="F2177"/>
    <hyperlink r:id="rId1941" ref="F2178"/>
    <hyperlink r:id="rId1942" ref="F2179"/>
    <hyperlink r:id="rId1943" ref="F2180"/>
    <hyperlink r:id="rId1944" ref="F2181"/>
    <hyperlink r:id="rId1945" ref="F2182"/>
    <hyperlink r:id="rId1946" ref="F2183"/>
    <hyperlink r:id="rId1947" ref="F2184"/>
    <hyperlink r:id="rId1948" ref="F2185"/>
    <hyperlink r:id="rId1949" ref="F2186"/>
    <hyperlink r:id="rId1950" ref="F2187"/>
    <hyperlink r:id="rId1951" ref="F2188"/>
    <hyperlink r:id="rId1952" ref="F2189"/>
    <hyperlink r:id="rId1953" ref="F2190"/>
    <hyperlink r:id="rId1954" ref="F2191"/>
    <hyperlink r:id="rId1955" ref="F2192"/>
    <hyperlink r:id="rId1956" ref="F2193"/>
    <hyperlink r:id="rId1957" ref="F2194"/>
    <hyperlink r:id="rId1958" ref="F2196"/>
    <hyperlink r:id="rId1959" ref="F2197"/>
    <hyperlink r:id="rId1960" ref="F2198"/>
    <hyperlink r:id="rId1961" ref="F2199"/>
    <hyperlink r:id="rId1962" ref="F2200"/>
    <hyperlink r:id="rId1963" ref="F2201"/>
    <hyperlink r:id="rId1964" ref="F2202"/>
    <hyperlink r:id="rId1965" ref="F2203"/>
    <hyperlink r:id="rId1966" ref="F2204"/>
    <hyperlink r:id="rId1967" ref="F2205"/>
    <hyperlink r:id="rId1968" ref="F2206"/>
    <hyperlink r:id="rId1969" ref="F2207"/>
    <hyperlink r:id="rId1970" ref="F2208"/>
    <hyperlink r:id="rId1971" ref="F2209"/>
    <hyperlink r:id="rId1972" ref="F2210"/>
    <hyperlink r:id="rId1973" ref="F2211"/>
    <hyperlink r:id="rId1974" ref="F2212"/>
    <hyperlink r:id="rId1975" ref="F2213"/>
    <hyperlink r:id="rId1976" ref="F2217"/>
    <hyperlink r:id="rId1977" ref="F2218"/>
    <hyperlink r:id="rId1978" ref="F2219"/>
    <hyperlink r:id="rId1979" ref="F2220"/>
    <hyperlink r:id="rId1980" ref="F2221"/>
    <hyperlink r:id="rId1981" ref="F2222"/>
    <hyperlink r:id="rId1982" ref="F2223"/>
    <hyperlink r:id="rId1983" ref="F2224"/>
    <hyperlink r:id="rId1984" ref="F2226"/>
    <hyperlink r:id="rId1985" ref="F2227"/>
    <hyperlink r:id="rId1986" ref="F2228"/>
    <hyperlink r:id="rId1987" ref="F2229"/>
    <hyperlink r:id="rId1988" ref="F2230"/>
    <hyperlink r:id="rId1989" ref="F2231"/>
    <hyperlink r:id="rId1990" ref="F2232"/>
    <hyperlink r:id="rId1991" ref="F2234"/>
    <hyperlink r:id="rId1992" ref="F2235"/>
    <hyperlink r:id="rId1993" ref="F2237"/>
    <hyperlink r:id="rId1994" ref="F2238"/>
    <hyperlink r:id="rId1995" ref="F2239"/>
    <hyperlink r:id="rId1996" ref="F2240"/>
    <hyperlink r:id="rId1997" ref="F2241"/>
    <hyperlink r:id="rId1998" ref="F2242"/>
    <hyperlink r:id="rId1999" ref="F2243"/>
    <hyperlink r:id="rId2000" ref="F2244"/>
    <hyperlink r:id="rId2001" ref="F2245"/>
    <hyperlink r:id="rId2002" ref="F2246"/>
    <hyperlink r:id="rId2003" ref="F2247"/>
    <hyperlink r:id="rId2004" ref="F2248"/>
    <hyperlink r:id="rId2005" ref="F2249"/>
    <hyperlink r:id="rId2006" ref="F2250"/>
    <hyperlink r:id="rId2007" ref="F2251"/>
    <hyperlink r:id="rId2008" ref="F2252"/>
    <hyperlink r:id="rId2009" ref="F2253"/>
    <hyperlink r:id="rId2010" ref="F2255"/>
    <hyperlink r:id="rId2011" ref="F2256"/>
    <hyperlink r:id="rId2012" ref="F2257"/>
    <hyperlink r:id="rId2013" ref="F2258"/>
    <hyperlink r:id="rId2014" ref="F2260"/>
    <hyperlink r:id="rId2015" ref="F2261"/>
    <hyperlink r:id="rId2016" ref="F2262"/>
    <hyperlink r:id="rId2017" ref="F2263"/>
    <hyperlink r:id="rId2018" ref="F2264"/>
    <hyperlink r:id="rId2019" ref="F2265"/>
    <hyperlink r:id="rId2020" ref="F2266"/>
    <hyperlink r:id="rId2021" ref="F2267"/>
    <hyperlink r:id="rId2022" ref="F2268"/>
    <hyperlink r:id="rId2023" ref="F2269"/>
    <hyperlink r:id="rId2024" ref="F2271"/>
    <hyperlink r:id="rId2025" ref="F2272"/>
    <hyperlink r:id="rId2026" ref="F2273"/>
    <hyperlink r:id="rId2027" ref="F2275"/>
    <hyperlink r:id="rId2028" ref="F2276"/>
    <hyperlink r:id="rId2029" ref="F2277"/>
    <hyperlink r:id="rId2030" ref="F2278"/>
    <hyperlink r:id="rId2031" ref="F2279"/>
    <hyperlink r:id="rId2032" ref="F2280"/>
    <hyperlink r:id="rId2033" ref="F2281"/>
    <hyperlink r:id="rId2034" ref="F2284"/>
    <hyperlink r:id="rId2035" ref="F2285"/>
    <hyperlink r:id="rId2036" ref="F2286"/>
    <hyperlink r:id="rId2037" ref="F2287"/>
    <hyperlink r:id="rId2038" ref="F2288"/>
    <hyperlink r:id="rId2039" ref="F2289"/>
    <hyperlink r:id="rId2040" ref="F2290"/>
    <hyperlink r:id="rId2041" ref="F2291"/>
    <hyperlink r:id="rId2042" ref="F2292"/>
    <hyperlink r:id="rId2043" ref="F2293"/>
    <hyperlink r:id="rId2044" ref="F2295"/>
    <hyperlink r:id="rId2045" ref="F2296"/>
    <hyperlink r:id="rId2046" ref="F2297"/>
    <hyperlink r:id="rId2047" ref="F2298"/>
    <hyperlink r:id="rId2048" ref="F2299"/>
    <hyperlink r:id="rId2049" ref="F2300"/>
    <hyperlink r:id="rId2050" ref="F2301"/>
    <hyperlink r:id="rId2051" ref="F2302"/>
    <hyperlink r:id="rId2052" ref="F2303"/>
    <hyperlink r:id="rId2053" ref="F2304"/>
    <hyperlink r:id="rId2054" ref="F2305"/>
    <hyperlink r:id="rId2055" ref="F2306"/>
    <hyperlink r:id="rId2056" ref="F2307"/>
    <hyperlink r:id="rId2057" ref="F2308"/>
    <hyperlink r:id="rId2058" ref="F2309"/>
    <hyperlink r:id="rId2059" ref="F2310"/>
    <hyperlink r:id="rId2060" ref="F2311"/>
    <hyperlink r:id="rId2061" ref="F2312"/>
    <hyperlink r:id="rId2062" ref="F2314"/>
    <hyperlink r:id="rId2063" ref="F2315"/>
    <hyperlink r:id="rId2064" ref="F2316"/>
    <hyperlink r:id="rId2065" ref="F2317"/>
    <hyperlink r:id="rId2066" ref="F2318"/>
    <hyperlink r:id="rId2067" ref="F2319"/>
    <hyperlink r:id="rId2068" ref="F2320"/>
    <hyperlink r:id="rId2069" ref="F2321"/>
    <hyperlink r:id="rId2070" ref="F2322"/>
    <hyperlink r:id="rId2071" ref="F2323"/>
    <hyperlink r:id="rId2072" ref="F2324"/>
    <hyperlink r:id="rId2073" ref="F2325"/>
    <hyperlink r:id="rId2074" ref="F2326"/>
    <hyperlink r:id="rId2075" ref="F2327"/>
    <hyperlink r:id="rId2076" ref="F2329"/>
    <hyperlink r:id="rId2077" ref="F2330"/>
    <hyperlink r:id="rId2078" ref="F2331"/>
    <hyperlink r:id="rId2079" ref="F2332"/>
    <hyperlink r:id="rId2080" ref="F2333"/>
    <hyperlink r:id="rId2081" ref="F2334"/>
    <hyperlink r:id="rId2082" ref="F2335"/>
    <hyperlink r:id="rId2083" ref="F2336"/>
    <hyperlink r:id="rId2084" ref="F2337"/>
    <hyperlink r:id="rId2085" ref="F2338"/>
    <hyperlink r:id="rId2086" ref="F2339"/>
    <hyperlink r:id="rId2087" ref="F2340"/>
    <hyperlink r:id="rId2088" ref="F2341"/>
    <hyperlink r:id="rId2089" ref="F2342"/>
    <hyperlink r:id="rId2090" ref="F2343"/>
    <hyperlink r:id="rId2091" ref="F2345"/>
    <hyperlink r:id="rId2092" ref="F2346"/>
    <hyperlink r:id="rId2093" ref="F2347"/>
    <hyperlink r:id="rId2094" ref="F2348"/>
    <hyperlink r:id="rId2095" ref="F2349"/>
    <hyperlink r:id="rId2096" ref="F2350"/>
    <hyperlink r:id="rId2097" ref="F2351"/>
    <hyperlink r:id="rId2098" ref="F2352"/>
    <hyperlink r:id="rId2099" ref="F2353"/>
    <hyperlink r:id="rId2100" ref="F2354"/>
    <hyperlink r:id="rId2101" ref="F2355"/>
    <hyperlink r:id="rId2102" ref="F2356"/>
    <hyperlink r:id="rId2103" ref="F2357"/>
    <hyperlink r:id="rId2104" ref="F2358"/>
    <hyperlink r:id="rId2105" ref="F2361"/>
    <hyperlink r:id="rId2106" ref="F2362"/>
    <hyperlink r:id="rId2107" ref="F2363"/>
    <hyperlink r:id="rId2108" ref="F2364"/>
    <hyperlink r:id="rId2109" ref="F2365"/>
    <hyperlink r:id="rId2110" ref="F2366"/>
    <hyperlink r:id="rId2111" ref="F2369"/>
    <hyperlink r:id="rId2112" ref="F2370"/>
    <hyperlink r:id="rId2113" ref="F2371"/>
    <hyperlink r:id="rId2114" ref="F2372"/>
    <hyperlink r:id="rId2115" ref="F2373"/>
    <hyperlink r:id="rId2116" ref="F2374"/>
    <hyperlink r:id="rId2117" ref="F2375"/>
    <hyperlink r:id="rId2118" ref="F2376"/>
    <hyperlink r:id="rId2119" ref="F2377"/>
    <hyperlink r:id="rId2120" ref="F2378"/>
    <hyperlink r:id="rId2121" ref="F2379"/>
    <hyperlink r:id="rId2122" ref="F2380"/>
    <hyperlink r:id="rId2123" ref="F2381"/>
    <hyperlink r:id="rId2124" ref="F2382"/>
    <hyperlink r:id="rId2125" ref="F2384"/>
    <hyperlink r:id="rId2126" ref="F2385"/>
    <hyperlink r:id="rId2127" ref="F2386"/>
    <hyperlink r:id="rId2128" ref="F2387"/>
    <hyperlink r:id="rId2129" ref="F2388"/>
    <hyperlink r:id="rId2130" ref="F2391"/>
    <hyperlink r:id="rId2131" ref="F2392"/>
    <hyperlink r:id="rId2132" ref="F2393"/>
    <hyperlink r:id="rId2133" ref="F2394"/>
    <hyperlink r:id="rId2134" ref="F2395"/>
    <hyperlink r:id="rId2135" ref="F2396"/>
    <hyperlink r:id="rId2136" ref="F2397"/>
    <hyperlink r:id="rId2137" ref="F2400"/>
    <hyperlink r:id="rId2138" ref="F2402"/>
    <hyperlink r:id="rId2139" ref="F2403"/>
    <hyperlink r:id="rId2140" ref="F2404"/>
    <hyperlink r:id="rId2141" ref="F2405"/>
    <hyperlink r:id="rId2142" ref="F2406"/>
    <hyperlink r:id="rId2143" ref="F2407"/>
    <hyperlink r:id="rId2144" ref="F2408"/>
    <hyperlink r:id="rId2145" ref="F2409"/>
    <hyperlink r:id="rId2146" ref="F2410"/>
    <hyperlink r:id="rId2147" ref="F2411"/>
    <hyperlink r:id="rId2148" ref="F2412"/>
    <hyperlink r:id="rId2149" ref="F2413"/>
    <hyperlink r:id="rId2150" ref="F2414"/>
    <hyperlink r:id="rId2151" ref="F2415"/>
    <hyperlink r:id="rId2152" ref="F2416"/>
    <hyperlink r:id="rId2153" ref="F2417"/>
    <hyperlink r:id="rId2154" ref="F2419"/>
    <hyperlink r:id="rId2155" ref="F2420"/>
    <hyperlink r:id="rId2156" ref="F2421"/>
    <hyperlink r:id="rId2157" ref="F2422"/>
    <hyperlink r:id="rId2158" ref="F2423"/>
    <hyperlink r:id="rId2159" ref="F2424"/>
    <hyperlink r:id="rId2160" ref="F2425"/>
    <hyperlink r:id="rId2161" ref="F2427"/>
    <hyperlink r:id="rId2162" ref="F2428"/>
    <hyperlink r:id="rId2163" ref="F2429"/>
    <hyperlink r:id="rId2164" ref="F2432"/>
    <hyperlink r:id="rId2165" ref="F2433"/>
    <hyperlink r:id="rId2166" ref="F2434"/>
    <hyperlink r:id="rId2167" ref="F2436"/>
    <hyperlink r:id="rId2168" ref="F2437"/>
    <hyperlink r:id="rId2169" ref="F2438"/>
    <hyperlink r:id="rId2170" ref="F2439"/>
    <hyperlink r:id="rId2171" ref="F2440"/>
    <hyperlink r:id="rId2172" ref="F2441"/>
    <hyperlink r:id="rId2173" ref="F2442"/>
    <hyperlink r:id="rId2174" ref="F2443"/>
    <hyperlink r:id="rId2175" ref="F2444"/>
    <hyperlink r:id="rId2176" ref="F2445"/>
    <hyperlink r:id="rId2177" ref="F2446"/>
    <hyperlink r:id="rId2178" ref="F2447"/>
    <hyperlink r:id="rId2179" ref="F2448"/>
    <hyperlink r:id="rId2180" ref="F2449"/>
    <hyperlink r:id="rId2181" ref="F2450"/>
    <hyperlink r:id="rId2182" ref="F2451"/>
    <hyperlink r:id="rId2183" ref="F2452"/>
    <hyperlink r:id="rId2184" ref="F2454"/>
    <hyperlink r:id="rId2185" ref="F2455"/>
    <hyperlink r:id="rId2186" ref="F2456"/>
    <hyperlink r:id="rId2187" ref="F2457"/>
    <hyperlink r:id="rId2188" ref="F2458"/>
    <hyperlink r:id="rId2189" ref="F2459"/>
    <hyperlink r:id="rId2190" ref="F2460"/>
    <hyperlink r:id="rId2191" ref="F2461"/>
    <hyperlink r:id="rId2192" ref="F2463"/>
    <hyperlink r:id="rId2193" ref="F2465"/>
    <hyperlink r:id="rId2194" ref="F2466"/>
    <hyperlink r:id="rId2195" ref="F2467"/>
    <hyperlink r:id="rId2196" ref="F2468"/>
    <hyperlink r:id="rId2197" ref="F2469"/>
    <hyperlink r:id="rId2198" ref="F2470"/>
    <hyperlink r:id="rId2199" ref="F2471"/>
    <hyperlink r:id="rId2200" ref="F2472"/>
    <hyperlink r:id="rId2201" ref="F2473"/>
    <hyperlink r:id="rId2202" ref="F2474"/>
    <hyperlink r:id="rId2203" ref="F2475"/>
    <hyperlink r:id="rId2204" ref="F2476"/>
    <hyperlink r:id="rId2205" ref="F2477"/>
    <hyperlink r:id="rId2206" ref="F2479"/>
    <hyperlink r:id="rId2207" ref="F2480"/>
    <hyperlink r:id="rId2208" ref="F2484"/>
    <hyperlink r:id="rId2209" ref="F2485"/>
    <hyperlink r:id="rId2210" ref="F2486"/>
    <hyperlink r:id="rId2211" ref="F2487"/>
    <hyperlink r:id="rId2212" ref="F2488"/>
    <hyperlink r:id="rId2213" ref="F2489"/>
    <hyperlink r:id="rId2214" ref="F2490"/>
    <hyperlink r:id="rId2215" ref="F2491"/>
    <hyperlink r:id="rId2216" ref="F2492"/>
    <hyperlink r:id="rId2217" ref="F2494"/>
    <hyperlink r:id="rId2218" ref="F2495"/>
    <hyperlink r:id="rId2219" ref="F2496"/>
    <hyperlink r:id="rId2220" ref="F2497"/>
    <hyperlink r:id="rId2221" ref="F2499"/>
    <hyperlink r:id="rId2222" ref="F2500"/>
    <hyperlink r:id="rId2223" ref="F2501"/>
    <hyperlink r:id="rId2224" ref="F2502"/>
    <hyperlink r:id="rId2225" ref="F2503"/>
    <hyperlink r:id="rId2226" ref="F2504"/>
    <hyperlink r:id="rId2227" ref="F2505"/>
    <hyperlink r:id="rId2228" ref="F2506"/>
    <hyperlink r:id="rId2229" ref="F2509"/>
    <hyperlink r:id="rId2230" ref="F2511"/>
    <hyperlink r:id="rId2231" ref="F2512"/>
    <hyperlink r:id="rId2232" ref="F2513"/>
    <hyperlink r:id="rId2233" ref="F2514"/>
    <hyperlink r:id="rId2234" ref="F2515"/>
    <hyperlink r:id="rId2235" ref="F2516"/>
    <hyperlink r:id="rId2236" ref="F2517"/>
    <hyperlink r:id="rId2237" ref="F2518"/>
    <hyperlink r:id="rId2238" ref="F2519"/>
    <hyperlink r:id="rId2239" ref="F2521"/>
    <hyperlink r:id="rId2240" ref="F2522"/>
    <hyperlink r:id="rId2241" ref="F2523"/>
    <hyperlink r:id="rId2242" ref="F2525"/>
    <hyperlink r:id="rId2243" ref="F2526"/>
    <hyperlink r:id="rId2244" ref="F2527"/>
    <hyperlink r:id="rId2245" ref="F2528"/>
    <hyperlink r:id="rId2246" ref="F2529"/>
    <hyperlink r:id="rId2247" ref="F2530"/>
    <hyperlink r:id="rId2248" ref="F2531"/>
    <hyperlink r:id="rId2249" ref="F2532"/>
    <hyperlink r:id="rId2250" ref="F2533"/>
    <hyperlink r:id="rId2251" ref="F2534"/>
    <hyperlink r:id="rId2252" ref="F2535"/>
    <hyperlink r:id="rId2253" ref="F2536"/>
    <hyperlink r:id="rId2254" ref="F2537"/>
    <hyperlink r:id="rId2255" ref="F2538"/>
    <hyperlink r:id="rId2256" ref="F2540"/>
    <hyperlink r:id="rId2257" ref="F2541"/>
    <hyperlink r:id="rId2258" ref="F2543"/>
    <hyperlink r:id="rId2259" ref="F2544"/>
    <hyperlink r:id="rId2260" ref="F2546"/>
    <hyperlink r:id="rId2261" ref="F2547"/>
    <hyperlink r:id="rId2262" ref="F2548"/>
    <hyperlink r:id="rId2263" ref="F2549"/>
    <hyperlink r:id="rId2264" ref="F2550"/>
    <hyperlink r:id="rId2265" ref="F2551"/>
    <hyperlink r:id="rId2266" ref="F2552"/>
    <hyperlink r:id="rId2267" ref="F2553"/>
    <hyperlink r:id="rId2268" ref="F2554"/>
    <hyperlink r:id="rId2269" ref="F2555"/>
    <hyperlink r:id="rId2270" ref="F2556"/>
    <hyperlink r:id="rId2271" ref="F2557"/>
    <hyperlink r:id="rId2272" ref="F2558"/>
    <hyperlink r:id="rId2273" ref="F2559"/>
    <hyperlink r:id="rId2274" ref="F2560"/>
    <hyperlink r:id="rId2275" ref="F2561"/>
    <hyperlink r:id="rId2276" ref="F2562"/>
    <hyperlink r:id="rId2277" ref="F2563"/>
    <hyperlink r:id="rId2278" ref="F2564"/>
    <hyperlink r:id="rId2279" ref="F2567"/>
    <hyperlink r:id="rId2280" ref="F2568"/>
    <hyperlink r:id="rId2281" ref="F2569"/>
    <hyperlink r:id="rId2282" ref="F2570"/>
    <hyperlink r:id="rId2283" ref="F2571"/>
    <hyperlink r:id="rId2284" ref="F2572"/>
    <hyperlink r:id="rId2285" ref="F2573"/>
    <hyperlink r:id="rId2286" ref="F2574"/>
    <hyperlink r:id="rId2287" ref="F2575"/>
    <hyperlink r:id="rId2288" ref="F2576"/>
    <hyperlink r:id="rId2289" ref="F2577"/>
    <hyperlink r:id="rId2290" ref="F2578"/>
    <hyperlink r:id="rId2291" ref="F2579"/>
    <hyperlink r:id="rId2292" ref="F2580"/>
    <hyperlink r:id="rId2293" ref="F2582"/>
    <hyperlink r:id="rId2294" ref="F2583"/>
    <hyperlink r:id="rId2295" ref="F2584"/>
    <hyperlink r:id="rId2296" ref="F2585"/>
    <hyperlink r:id="rId2297" ref="F2586"/>
    <hyperlink r:id="rId2298" ref="F2587"/>
    <hyperlink r:id="rId2299" ref="F2588"/>
    <hyperlink r:id="rId2300" ref="F2589"/>
    <hyperlink r:id="rId2301" ref="F2590"/>
    <hyperlink r:id="rId2302" ref="F2593"/>
    <hyperlink r:id="rId2303" ref="F2595"/>
    <hyperlink r:id="rId2304" ref="F2596"/>
    <hyperlink r:id="rId2305" ref="F2598"/>
    <hyperlink r:id="rId2306" ref="F2599"/>
    <hyperlink r:id="rId2307" ref="F2600"/>
    <hyperlink r:id="rId2308" ref="F2601"/>
    <hyperlink r:id="rId2309" ref="F2602"/>
    <hyperlink r:id="rId2310" ref="F2603"/>
    <hyperlink r:id="rId2311" ref="F2604"/>
    <hyperlink r:id="rId2312" ref="F2605"/>
    <hyperlink r:id="rId2313" ref="F2606"/>
    <hyperlink r:id="rId2314" ref="F2607"/>
    <hyperlink r:id="rId2315" ref="F2608"/>
    <hyperlink r:id="rId2316" ref="F2609"/>
    <hyperlink r:id="rId2317" ref="F2610"/>
    <hyperlink r:id="rId2318" ref="F2611"/>
    <hyperlink r:id="rId2319" ref="F2612"/>
    <hyperlink r:id="rId2320" ref="F2613"/>
    <hyperlink r:id="rId2321" ref="F2614"/>
    <hyperlink r:id="rId2322" ref="F2615"/>
    <hyperlink r:id="rId2323" ref="F2616"/>
    <hyperlink r:id="rId2324" ref="F2618"/>
    <hyperlink r:id="rId2325" ref="F2620"/>
    <hyperlink r:id="rId2326" ref="F2622"/>
    <hyperlink r:id="rId2327" ref="F2623"/>
    <hyperlink r:id="rId2328" ref="F2624"/>
    <hyperlink r:id="rId2329" ref="F2625"/>
    <hyperlink r:id="rId2330" ref="F2626"/>
    <hyperlink r:id="rId2331" ref="F2627"/>
    <hyperlink r:id="rId2332" ref="F2628"/>
    <hyperlink r:id="rId2333" ref="F2629"/>
    <hyperlink r:id="rId2334" ref="F2630"/>
    <hyperlink r:id="rId2335" ref="F2631"/>
    <hyperlink r:id="rId2336" ref="F2632"/>
    <hyperlink r:id="rId2337" ref="F2633"/>
    <hyperlink r:id="rId2338" ref="F2634"/>
    <hyperlink r:id="rId2339" ref="F2635"/>
    <hyperlink r:id="rId2340" ref="F2636"/>
    <hyperlink r:id="rId2341" ref="F2637"/>
    <hyperlink r:id="rId2342" ref="F2638"/>
    <hyperlink r:id="rId2343" ref="F2639"/>
    <hyperlink r:id="rId2344" ref="F2640"/>
    <hyperlink r:id="rId2345" ref="F2641"/>
    <hyperlink r:id="rId2346" ref="F2642"/>
    <hyperlink r:id="rId2347" ref="F2643"/>
    <hyperlink r:id="rId2348" ref="F2644"/>
    <hyperlink r:id="rId2349" ref="F2646"/>
    <hyperlink r:id="rId2350" ref="F2647"/>
    <hyperlink r:id="rId2351" ref="F2648"/>
    <hyperlink r:id="rId2352" ref="F2649"/>
    <hyperlink r:id="rId2353" ref="F2650"/>
    <hyperlink r:id="rId2354" ref="F2651"/>
    <hyperlink r:id="rId2355" ref="F2652"/>
    <hyperlink r:id="rId2356" ref="F2653"/>
    <hyperlink r:id="rId2357" ref="F2655"/>
    <hyperlink r:id="rId2358" ref="F2656"/>
    <hyperlink r:id="rId2359" ref="F2657"/>
    <hyperlink r:id="rId2360" ref="F2658"/>
    <hyperlink r:id="rId2361" ref="F2659"/>
    <hyperlink r:id="rId2362" ref="F2660"/>
    <hyperlink r:id="rId2363" ref="F2661"/>
    <hyperlink r:id="rId2364" ref="F2662"/>
    <hyperlink r:id="rId2365" ref="F2664"/>
    <hyperlink r:id="rId2366" ref="F2665"/>
    <hyperlink r:id="rId2367" ref="F2666"/>
    <hyperlink r:id="rId2368" ref="F2667"/>
    <hyperlink r:id="rId2369" ref="F2669"/>
    <hyperlink r:id="rId2370" ref="F2670"/>
    <hyperlink r:id="rId2371" ref="F2671"/>
    <hyperlink r:id="rId2372" ref="F2672"/>
    <hyperlink r:id="rId2373" ref="F2673"/>
    <hyperlink r:id="rId2374" ref="F2674"/>
    <hyperlink r:id="rId2375" ref="F2675"/>
    <hyperlink r:id="rId2376" ref="F2676"/>
    <hyperlink r:id="rId2377" ref="F2677"/>
    <hyperlink r:id="rId2378" ref="F2678"/>
    <hyperlink r:id="rId2379" ref="F2679"/>
    <hyperlink r:id="rId2380" ref="F2681"/>
    <hyperlink r:id="rId2381" ref="F2682"/>
    <hyperlink r:id="rId2382" ref="F2683"/>
    <hyperlink r:id="rId2383" ref="F2684"/>
    <hyperlink r:id="rId2384" ref="F2685"/>
    <hyperlink r:id="rId2385" ref="F2686"/>
    <hyperlink r:id="rId2386" ref="F2688"/>
    <hyperlink r:id="rId2387" ref="F2689"/>
    <hyperlink r:id="rId2388" ref="F2690"/>
    <hyperlink r:id="rId2389" ref="F2691"/>
    <hyperlink r:id="rId2390" ref="F2692"/>
    <hyperlink r:id="rId2391" ref="F2693"/>
    <hyperlink r:id="rId2392" ref="F2694"/>
    <hyperlink r:id="rId2393" ref="F2695"/>
    <hyperlink r:id="rId2394" ref="F2696"/>
    <hyperlink r:id="rId2395" ref="F2697"/>
    <hyperlink r:id="rId2396" ref="F2698"/>
    <hyperlink r:id="rId2397" ref="F2699"/>
    <hyperlink r:id="rId2398" ref="F2700"/>
    <hyperlink r:id="rId2399" ref="F2701"/>
    <hyperlink r:id="rId2400" ref="F2702"/>
    <hyperlink r:id="rId2401" ref="F2703"/>
    <hyperlink r:id="rId2402" ref="F2704"/>
    <hyperlink r:id="rId2403" ref="F2705"/>
    <hyperlink r:id="rId2404" ref="F2706"/>
    <hyperlink r:id="rId2405" ref="F2707"/>
    <hyperlink r:id="rId2406" ref="F2708"/>
    <hyperlink r:id="rId2407" ref="F2709"/>
    <hyperlink r:id="rId2408" ref="F2710"/>
    <hyperlink r:id="rId2409" ref="F2711"/>
    <hyperlink r:id="rId2410" ref="F2712"/>
    <hyperlink r:id="rId2411" ref="F2713"/>
    <hyperlink r:id="rId2412" ref="F2714"/>
    <hyperlink r:id="rId2413" ref="F2715"/>
    <hyperlink r:id="rId2414" ref="F2716"/>
    <hyperlink r:id="rId2415" ref="F2717"/>
    <hyperlink r:id="rId2416" ref="F2718"/>
    <hyperlink r:id="rId2417" ref="F2719"/>
    <hyperlink r:id="rId2418" ref="F2720"/>
    <hyperlink r:id="rId2419" ref="F2722"/>
    <hyperlink r:id="rId2420" ref="F2724"/>
    <hyperlink r:id="rId2421" ref="F2727"/>
    <hyperlink r:id="rId2422" ref="F2728"/>
    <hyperlink r:id="rId2423" ref="F2729"/>
    <hyperlink r:id="rId2424" ref="F2730"/>
    <hyperlink r:id="rId2425" ref="F2731"/>
    <hyperlink r:id="rId2426" ref="F2732"/>
    <hyperlink r:id="rId2427" ref="F2733"/>
    <hyperlink r:id="rId2428" ref="F2734"/>
    <hyperlink r:id="rId2429" ref="F2735"/>
    <hyperlink r:id="rId2430" ref="F2736"/>
    <hyperlink r:id="rId2431" ref="F2737"/>
    <hyperlink r:id="rId2432" ref="F2738"/>
    <hyperlink r:id="rId2433" ref="F2739"/>
    <hyperlink r:id="rId2434" ref="F2740"/>
    <hyperlink r:id="rId2435" ref="F2741"/>
    <hyperlink r:id="rId2436" ref="F2742"/>
    <hyperlink r:id="rId2437" ref="F2743"/>
    <hyperlink r:id="rId2438" ref="F2744"/>
    <hyperlink r:id="rId2439" ref="F2746"/>
    <hyperlink r:id="rId2440" ref="F2747"/>
    <hyperlink r:id="rId2441" ref="F2748"/>
    <hyperlink r:id="rId2442" ref="F2749"/>
    <hyperlink r:id="rId2443" ref="F2750"/>
    <hyperlink r:id="rId2444" ref="F2751"/>
    <hyperlink r:id="rId2445" ref="F2752"/>
    <hyperlink r:id="rId2446" ref="F2753"/>
    <hyperlink r:id="rId2447" ref="F2754"/>
    <hyperlink r:id="rId2448" ref="F2757"/>
    <hyperlink r:id="rId2449" ref="F2758"/>
    <hyperlink r:id="rId2450" ref="F2760"/>
    <hyperlink r:id="rId2451" ref="F2761"/>
    <hyperlink r:id="rId2452" ref="F2762"/>
    <hyperlink r:id="rId2453" ref="F2764"/>
    <hyperlink r:id="rId2454" ref="F2765"/>
    <hyperlink r:id="rId2455" ref="F2766"/>
    <hyperlink r:id="rId2456" ref="F2767"/>
    <hyperlink r:id="rId2457" ref="F2768"/>
    <hyperlink r:id="rId2458" ref="F2769"/>
    <hyperlink r:id="rId2459" ref="F2770"/>
    <hyperlink r:id="rId2460" ref="F2771"/>
    <hyperlink r:id="rId2461" ref="F2772"/>
    <hyperlink r:id="rId2462" ref="F2774"/>
    <hyperlink r:id="rId2463" ref="F2775"/>
    <hyperlink r:id="rId2464" ref="F2776"/>
    <hyperlink r:id="rId2465" ref="F2777"/>
    <hyperlink r:id="rId2466" ref="F2778"/>
    <hyperlink r:id="rId2467" ref="F2779"/>
    <hyperlink r:id="rId2468" ref="F2781"/>
    <hyperlink r:id="rId2469" ref="F2782"/>
    <hyperlink r:id="rId2470" ref="F2783"/>
    <hyperlink r:id="rId2471" ref="F2787"/>
    <hyperlink r:id="rId2472" ref="F2788"/>
    <hyperlink r:id="rId2473" ref="F2789"/>
    <hyperlink r:id="rId2474" ref="F2790"/>
    <hyperlink r:id="rId2475" ref="F2791"/>
    <hyperlink r:id="rId2476" ref="F2792"/>
    <hyperlink r:id="rId2477" ref="F2793"/>
    <hyperlink r:id="rId2478" ref="F2794"/>
    <hyperlink r:id="rId2479" ref="F2795"/>
    <hyperlink r:id="rId2480" ref="F2796"/>
    <hyperlink r:id="rId2481" ref="F2797"/>
    <hyperlink r:id="rId2482" ref="F2798"/>
    <hyperlink r:id="rId2483" ref="F2799"/>
    <hyperlink r:id="rId2484" ref="F2800"/>
    <hyperlink r:id="rId2485" ref="F2801"/>
    <hyperlink r:id="rId2486" ref="F2802"/>
    <hyperlink r:id="rId2487" ref="F2803"/>
    <hyperlink r:id="rId2488" ref="F2804"/>
    <hyperlink r:id="rId2489" ref="F2805"/>
    <hyperlink r:id="rId2490" ref="F2807"/>
    <hyperlink r:id="rId2491" ref="F2808"/>
    <hyperlink r:id="rId2492" ref="F2809"/>
    <hyperlink r:id="rId2493" ref="F2810"/>
    <hyperlink r:id="rId2494" ref="F2811"/>
    <hyperlink r:id="rId2495" ref="F2812"/>
    <hyperlink r:id="rId2496" ref="F2813"/>
    <hyperlink r:id="rId2497" ref="F2814"/>
    <hyperlink r:id="rId2498" ref="F2815"/>
    <hyperlink r:id="rId2499" ref="F2816"/>
    <hyperlink r:id="rId2500" ref="F2817"/>
    <hyperlink r:id="rId2501" ref="F2818"/>
    <hyperlink r:id="rId2502" ref="F2819"/>
    <hyperlink r:id="rId2503" ref="F2820"/>
    <hyperlink r:id="rId2504" ref="F2821"/>
    <hyperlink r:id="rId2505" ref="F2822"/>
    <hyperlink r:id="rId2506" ref="F2823"/>
    <hyperlink r:id="rId2507" ref="F2824"/>
    <hyperlink r:id="rId2508" ref="F2825"/>
    <hyperlink r:id="rId2509" ref="F2826"/>
    <hyperlink r:id="rId2510" ref="F2827"/>
    <hyperlink r:id="rId2511" ref="F2828"/>
    <hyperlink r:id="rId2512" ref="F2829"/>
    <hyperlink r:id="rId2513" ref="F2830"/>
    <hyperlink r:id="rId2514" ref="F2831"/>
    <hyperlink r:id="rId2515" ref="F2832"/>
    <hyperlink r:id="rId2516" ref="F2833"/>
    <hyperlink r:id="rId2517" ref="F2834"/>
    <hyperlink r:id="rId2518" ref="F2835"/>
    <hyperlink r:id="rId2519" ref="F2836"/>
    <hyperlink r:id="rId2520" ref="F2837"/>
    <hyperlink r:id="rId2521" ref="F2838"/>
    <hyperlink r:id="rId2522" ref="F2840"/>
    <hyperlink r:id="rId2523" ref="F2841"/>
    <hyperlink r:id="rId2524" ref="F2842"/>
    <hyperlink r:id="rId2525" ref="F2843"/>
    <hyperlink r:id="rId2526" ref="F2844"/>
    <hyperlink r:id="rId2527" ref="F2845"/>
    <hyperlink r:id="rId2528" ref="F2846"/>
    <hyperlink r:id="rId2529" ref="F2847"/>
    <hyperlink r:id="rId2530" ref="F2848"/>
    <hyperlink r:id="rId2531" ref="F2849"/>
    <hyperlink r:id="rId2532" ref="F2850"/>
    <hyperlink r:id="rId2533" ref="F2851"/>
    <hyperlink r:id="rId2534" ref="F2852"/>
    <hyperlink r:id="rId2535" ref="F2853"/>
    <hyperlink r:id="rId2536" ref="F2854"/>
    <hyperlink r:id="rId2537" ref="F2855"/>
    <hyperlink r:id="rId2538" ref="F2856"/>
    <hyperlink r:id="rId2539" ref="F2857"/>
    <hyperlink r:id="rId2540" ref="F2858"/>
    <hyperlink r:id="rId2541" ref="F2859"/>
    <hyperlink r:id="rId2542" ref="F2860"/>
    <hyperlink r:id="rId2543" ref="F2861"/>
    <hyperlink r:id="rId2544" ref="F2862"/>
    <hyperlink r:id="rId2545" ref="F2863"/>
    <hyperlink r:id="rId2546" ref="F2864"/>
    <hyperlink r:id="rId2547" ref="F2865"/>
    <hyperlink r:id="rId2548" ref="F2866"/>
    <hyperlink r:id="rId2549" ref="F2867"/>
    <hyperlink r:id="rId2550" ref="F2868"/>
    <hyperlink r:id="rId2551" ref="F2869"/>
    <hyperlink r:id="rId2552" ref="F2870"/>
    <hyperlink r:id="rId2553" ref="F2871"/>
    <hyperlink r:id="rId2554" ref="F2872"/>
    <hyperlink r:id="rId2555" ref="F2873"/>
    <hyperlink r:id="rId2556" ref="F2874"/>
    <hyperlink r:id="rId2557" ref="F2875"/>
    <hyperlink r:id="rId2558" ref="F2876"/>
    <hyperlink r:id="rId2559" ref="F2877"/>
    <hyperlink r:id="rId2560" ref="F2878"/>
    <hyperlink r:id="rId2561" ref="F2879"/>
    <hyperlink r:id="rId2562" ref="F2880"/>
    <hyperlink r:id="rId2563" ref="F2881"/>
    <hyperlink r:id="rId2564" ref="F2882"/>
    <hyperlink r:id="rId2565" ref="F2883"/>
    <hyperlink r:id="rId2566" ref="F2884"/>
    <hyperlink r:id="rId2567" ref="F2885"/>
    <hyperlink r:id="rId2568" ref="F2886"/>
    <hyperlink r:id="rId2569" ref="F2887"/>
    <hyperlink r:id="rId2570" ref="F2892"/>
    <hyperlink r:id="rId2571" ref="F2893"/>
    <hyperlink r:id="rId2572" ref="F2895"/>
    <hyperlink r:id="rId2573" ref="F2896"/>
    <hyperlink r:id="rId2574" ref="F2897"/>
    <hyperlink r:id="rId2575" ref="F2898"/>
    <hyperlink r:id="rId2576" ref="F2899"/>
    <hyperlink r:id="rId2577" ref="F2900"/>
    <hyperlink r:id="rId2578" ref="F2901"/>
    <hyperlink r:id="rId2579" ref="F2902"/>
    <hyperlink r:id="rId2580" ref="F2903"/>
    <hyperlink r:id="rId2581" ref="F2904"/>
    <hyperlink r:id="rId2582" ref="F2905"/>
    <hyperlink r:id="rId2583" ref="F2906"/>
    <hyperlink r:id="rId2584" ref="F2907"/>
    <hyperlink r:id="rId2585" ref="F2908"/>
    <hyperlink r:id="rId2586" ref="F2909"/>
    <hyperlink r:id="rId2587" ref="F2910"/>
    <hyperlink r:id="rId2588" ref="F2911"/>
    <hyperlink r:id="rId2589" ref="F2912"/>
    <hyperlink r:id="rId2590" ref="F2913"/>
    <hyperlink r:id="rId2591" ref="F2914"/>
    <hyperlink r:id="rId2592" ref="F2915"/>
    <hyperlink r:id="rId2593" ref="F2919"/>
    <hyperlink r:id="rId2594" ref="F2920"/>
    <hyperlink r:id="rId2595" ref="F2921"/>
    <hyperlink r:id="rId2596" ref="F2922"/>
    <hyperlink r:id="rId2597" ref="F2923"/>
    <hyperlink r:id="rId2598" ref="F2924"/>
    <hyperlink r:id="rId2599" ref="F2925"/>
    <hyperlink r:id="rId2600" ref="F2926"/>
    <hyperlink r:id="rId2601" ref="F2927"/>
    <hyperlink r:id="rId2602" ref="F2929"/>
    <hyperlink r:id="rId2603" ref="F2930"/>
    <hyperlink r:id="rId2604" ref="F2931"/>
    <hyperlink r:id="rId2605" ref="F2932"/>
    <hyperlink r:id="rId2606" ref="F2933"/>
    <hyperlink r:id="rId2607" ref="F2934"/>
    <hyperlink r:id="rId2608" ref="F2935"/>
    <hyperlink r:id="rId2609" ref="F2936"/>
    <hyperlink r:id="rId2610" ref="F2937"/>
    <hyperlink r:id="rId2611" ref="F2938"/>
    <hyperlink r:id="rId2612" ref="F2939"/>
    <hyperlink r:id="rId2613" ref="F2940"/>
    <hyperlink r:id="rId2614" ref="F2941"/>
    <hyperlink r:id="rId2615" ref="F2942"/>
    <hyperlink r:id="rId2616" ref="F2943"/>
    <hyperlink r:id="rId2617" ref="F2944"/>
    <hyperlink r:id="rId2618" ref="F2945"/>
    <hyperlink r:id="rId2619" ref="F2946"/>
    <hyperlink r:id="rId2620" ref="F2947"/>
    <hyperlink r:id="rId2621" ref="F2949"/>
    <hyperlink r:id="rId2622" ref="F2950"/>
    <hyperlink r:id="rId2623" ref="F2951"/>
    <hyperlink r:id="rId2624" ref="F2952"/>
    <hyperlink r:id="rId2625" ref="F2953"/>
    <hyperlink r:id="rId2626" ref="F2954"/>
    <hyperlink r:id="rId2627" ref="F2956"/>
    <hyperlink r:id="rId2628" ref="F2957"/>
    <hyperlink r:id="rId2629" ref="F2958"/>
    <hyperlink r:id="rId2630" ref="F2959"/>
    <hyperlink r:id="rId2631" ref="F2960"/>
    <hyperlink r:id="rId2632" ref="F2961"/>
    <hyperlink r:id="rId2633" ref="F2962"/>
    <hyperlink r:id="rId2634" ref="F2963"/>
    <hyperlink r:id="rId2635" ref="F2964"/>
    <hyperlink r:id="rId2636" ref="F2965"/>
    <hyperlink r:id="rId2637" ref="F2966"/>
    <hyperlink r:id="rId2638" ref="F2967"/>
    <hyperlink r:id="rId2639" ref="F2968"/>
    <hyperlink r:id="rId2640" ref="F2969"/>
    <hyperlink r:id="rId2641" ref="F2970"/>
    <hyperlink r:id="rId2642" ref="F2971"/>
    <hyperlink r:id="rId2643" ref="F2973"/>
    <hyperlink r:id="rId2644" ref="F2974"/>
    <hyperlink r:id="rId2645" ref="F2975"/>
    <hyperlink r:id="rId2646" ref="F2976"/>
    <hyperlink r:id="rId2647" ref="F2977"/>
    <hyperlink r:id="rId2648" ref="F2978"/>
    <hyperlink r:id="rId2649" ref="F2979"/>
    <hyperlink r:id="rId2650" ref="F2980"/>
    <hyperlink r:id="rId2651" ref="F2981"/>
    <hyperlink r:id="rId2652" ref="F2983"/>
    <hyperlink r:id="rId2653" ref="F2984"/>
    <hyperlink r:id="rId2654" ref="F2985"/>
    <hyperlink r:id="rId2655" ref="F2986"/>
    <hyperlink r:id="rId2656" ref="F2987"/>
    <hyperlink r:id="rId2657" ref="F2988"/>
    <hyperlink r:id="rId2658" ref="F2989"/>
    <hyperlink r:id="rId2659" ref="F2990"/>
    <hyperlink r:id="rId2660" ref="F2991"/>
    <hyperlink r:id="rId2661" ref="F2992"/>
    <hyperlink r:id="rId2662" ref="F2993"/>
    <hyperlink r:id="rId2663" ref="F2994"/>
    <hyperlink r:id="rId2664" ref="F2995"/>
    <hyperlink r:id="rId2665" ref="F2996"/>
    <hyperlink r:id="rId2666" ref="F2997"/>
    <hyperlink r:id="rId2667" ref="F2998"/>
    <hyperlink r:id="rId2668" ref="F2999"/>
    <hyperlink r:id="rId2669" ref="F3000"/>
    <hyperlink r:id="rId2670" ref="F3002"/>
    <hyperlink r:id="rId2671" ref="F3003"/>
    <hyperlink r:id="rId2672" ref="F3004"/>
    <hyperlink r:id="rId2673" ref="F3005"/>
    <hyperlink r:id="rId2674" ref="F3006"/>
    <hyperlink r:id="rId2675" ref="F3007"/>
    <hyperlink r:id="rId2676" ref="F3008"/>
    <hyperlink r:id="rId2677" ref="F3009"/>
    <hyperlink r:id="rId2678" ref="F3010"/>
    <hyperlink r:id="rId2679" ref="F3011"/>
    <hyperlink r:id="rId2680" ref="F3012"/>
    <hyperlink r:id="rId2681" ref="F3013"/>
    <hyperlink r:id="rId2682" ref="F3014"/>
    <hyperlink r:id="rId2683" ref="F3015"/>
    <hyperlink r:id="rId2684" ref="F3016"/>
    <hyperlink r:id="rId2685" ref="F3018"/>
    <hyperlink r:id="rId2686" ref="F3019"/>
    <hyperlink r:id="rId2687" ref="F3020"/>
    <hyperlink r:id="rId2688" ref="F3021"/>
    <hyperlink r:id="rId2689" ref="F3022"/>
    <hyperlink r:id="rId2690" ref="F3023"/>
    <hyperlink r:id="rId2691" ref="F3024"/>
    <hyperlink r:id="rId2692" ref="F3025"/>
    <hyperlink r:id="rId2693" ref="F3026"/>
    <hyperlink r:id="rId2694" ref="F3027"/>
    <hyperlink r:id="rId2695" ref="F3028"/>
    <hyperlink r:id="rId2696" ref="F3029"/>
    <hyperlink r:id="rId2697" ref="F3030"/>
    <hyperlink r:id="rId2698" ref="F3031"/>
    <hyperlink r:id="rId2699" ref="F3032"/>
    <hyperlink r:id="rId2700" ref="F3034"/>
    <hyperlink r:id="rId2701" ref="F3035"/>
    <hyperlink r:id="rId2702" ref="F3036"/>
    <hyperlink r:id="rId2703" ref="F3037"/>
    <hyperlink r:id="rId2704" ref="F3038"/>
    <hyperlink r:id="rId2705" ref="F3039"/>
    <hyperlink r:id="rId2706" ref="F3041"/>
    <hyperlink r:id="rId2707" ref="F3042"/>
    <hyperlink r:id="rId2708" ref="F3043"/>
    <hyperlink r:id="rId2709" ref="F3044"/>
    <hyperlink r:id="rId2710" ref="F3045"/>
    <hyperlink r:id="rId2711" ref="F3046"/>
    <hyperlink r:id="rId2712" ref="F3047"/>
    <hyperlink r:id="rId2713" ref="F3048"/>
    <hyperlink r:id="rId2714" ref="F3049"/>
    <hyperlink r:id="rId2715" ref="F3050"/>
    <hyperlink r:id="rId2716" ref="F3051"/>
    <hyperlink r:id="rId2717" ref="F3052"/>
    <hyperlink r:id="rId2718" ref="F3053"/>
    <hyperlink r:id="rId2719" ref="F3054"/>
    <hyperlink r:id="rId2720" ref="F3055"/>
    <hyperlink r:id="rId2721" ref="F3058"/>
    <hyperlink r:id="rId2722" ref="F3059"/>
    <hyperlink r:id="rId2723" ref="F3060"/>
    <hyperlink r:id="rId2724" ref="F3061"/>
    <hyperlink r:id="rId2725" ref="F3062"/>
    <hyperlink r:id="rId2726" ref="F3063"/>
    <hyperlink r:id="rId2727" ref="F3064"/>
    <hyperlink r:id="rId2728" ref="F3066"/>
    <hyperlink r:id="rId2729" ref="F3067"/>
    <hyperlink r:id="rId2730" ref="F3068"/>
    <hyperlink r:id="rId2731" ref="F3069"/>
    <hyperlink r:id="rId2732" ref="F3070"/>
    <hyperlink r:id="rId2733" ref="F3071"/>
    <hyperlink r:id="rId2734" ref="F3072"/>
    <hyperlink r:id="rId2735" ref="F3073"/>
    <hyperlink r:id="rId2736" ref="F3074"/>
    <hyperlink r:id="rId2737" ref="F3075"/>
    <hyperlink r:id="rId2738" ref="F3076"/>
    <hyperlink r:id="rId2739" ref="F3077"/>
    <hyperlink r:id="rId2740" ref="F3078"/>
    <hyperlink r:id="rId2741" ref="F3079"/>
    <hyperlink r:id="rId2742" ref="F3080"/>
    <hyperlink r:id="rId2743" ref="F3081"/>
    <hyperlink r:id="rId2744" ref="F3082"/>
    <hyperlink r:id="rId2745" ref="F3083"/>
    <hyperlink r:id="rId2746" ref="F3084"/>
    <hyperlink r:id="rId2747" ref="F3086"/>
    <hyperlink r:id="rId2748" ref="F3087"/>
    <hyperlink r:id="rId2749" ref="F3088"/>
    <hyperlink r:id="rId2750" ref="F3089"/>
    <hyperlink r:id="rId2751" ref="F3090"/>
    <hyperlink r:id="rId2752" ref="F3091"/>
    <hyperlink r:id="rId2753" ref="F3092"/>
    <hyperlink r:id="rId2754" ref="F3093"/>
    <hyperlink r:id="rId2755" ref="F3097"/>
    <hyperlink r:id="rId2756" ref="F3098"/>
    <hyperlink r:id="rId2757" ref="F3099"/>
    <hyperlink r:id="rId2758" ref="F3100"/>
    <hyperlink r:id="rId2759" ref="F3101"/>
    <hyperlink r:id="rId2760" ref="F3102"/>
    <hyperlink r:id="rId2761" ref="F3103"/>
    <hyperlink r:id="rId2762" ref="F3104"/>
    <hyperlink r:id="rId2763" ref="F3105"/>
    <hyperlink r:id="rId2764" ref="F3106"/>
    <hyperlink r:id="rId2765" ref="F3107"/>
    <hyperlink r:id="rId2766" ref="F3109"/>
    <hyperlink r:id="rId2767" ref="F3111"/>
    <hyperlink r:id="rId2768" ref="F3112"/>
    <hyperlink r:id="rId2769" ref="F3113"/>
    <hyperlink r:id="rId2770" ref="F3114"/>
    <hyperlink r:id="rId2771" ref="F3115"/>
    <hyperlink r:id="rId2772" ref="F3116"/>
    <hyperlink r:id="rId2773" ref="F3117"/>
    <hyperlink r:id="rId2774" ref="F3118"/>
    <hyperlink r:id="rId2775" ref="F3119"/>
    <hyperlink r:id="rId2776" ref="F3121"/>
    <hyperlink r:id="rId2777" ref="F3122"/>
    <hyperlink r:id="rId2778" ref="F3123"/>
    <hyperlink r:id="rId2779" ref="F3124"/>
    <hyperlink r:id="rId2780" ref="F3125"/>
    <hyperlink r:id="rId2781" ref="F3126"/>
    <hyperlink r:id="rId2782" ref="F3128"/>
    <hyperlink r:id="rId2783" ref="F3129"/>
    <hyperlink r:id="rId2784" ref="F3130"/>
    <hyperlink r:id="rId2785" ref="F3131"/>
    <hyperlink r:id="rId2786" ref="F3132"/>
    <hyperlink r:id="rId2787" ref="F3133"/>
    <hyperlink r:id="rId2788" ref="F3134"/>
    <hyperlink r:id="rId2789" ref="F3135"/>
    <hyperlink r:id="rId2790" ref="F3136"/>
    <hyperlink r:id="rId2791" ref="F3137"/>
    <hyperlink r:id="rId2792" ref="F3138"/>
    <hyperlink r:id="rId2793" ref="F3139"/>
    <hyperlink r:id="rId2794" ref="F3140"/>
    <hyperlink r:id="rId2795" ref="F3141"/>
    <hyperlink r:id="rId2796" ref="F3142"/>
    <hyperlink r:id="rId2797" ref="F3143"/>
    <hyperlink r:id="rId2798" ref="F3144"/>
    <hyperlink r:id="rId2799" ref="F3145"/>
    <hyperlink r:id="rId2800" ref="F3146"/>
    <hyperlink r:id="rId2801" ref="F3147"/>
    <hyperlink r:id="rId2802" ref="F3148"/>
    <hyperlink r:id="rId2803" ref="F3149"/>
    <hyperlink r:id="rId2804" ref="F3150"/>
    <hyperlink r:id="rId2805" ref="F3151"/>
    <hyperlink r:id="rId2806" ref="F3152"/>
    <hyperlink r:id="rId2807" ref="F3153"/>
    <hyperlink r:id="rId2808" ref="F3154"/>
    <hyperlink r:id="rId2809" ref="F3155"/>
    <hyperlink r:id="rId2810" ref="F3156"/>
    <hyperlink r:id="rId2811" ref="F3157"/>
    <hyperlink r:id="rId2812" ref="F3158"/>
    <hyperlink r:id="rId2813" ref="F3159"/>
    <hyperlink r:id="rId2814" ref="F3160"/>
    <hyperlink r:id="rId2815" ref="F3161"/>
    <hyperlink r:id="rId2816" ref="F3163"/>
    <hyperlink r:id="rId2817" ref="F3164"/>
    <hyperlink r:id="rId2818" ref="F3165"/>
    <hyperlink r:id="rId2819" ref="F3167"/>
    <hyperlink r:id="rId2820" ref="F3168"/>
    <hyperlink r:id="rId2821" ref="F3169"/>
    <hyperlink r:id="rId2822" ref="F3170"/>
    <hyperlink r:id="rId2823" ref="F3171"/>
    <hyperlink r:id="rId2824" ref="F3172"/>
    <hyperlink r:id="rId2825" ref="F3173"/>
    <hyperlink r:id="rId2826" ref="F3174"/>
    <hyperlink r:id="rId2827" ref="F3175"/>
    <hyperlink r:id="rId2828" ref="F3176"/>
    <hyperlink r:id="rId2829" ref="F3177"/>
    <hyperlink r:id="rId2830" ref="F3178"/>
    <hyperlink r:id="rId2831" ref="F3179"/>
    <hyperlink r:id="rId2832" ref="F3180"/>
    <hyperlink r:id="rId2833" ref="F3181"/>
    <hyperlink r:id="rId2834" ref="F3182"/>
    <hyperlink r:id="rId2835" ref="F3183"/>
    <hyperlink r:id="rId2836" ref="F3184"/>
    <hyperlink r:id="rId2837" ref="F3185"/>
    <hyperlink r:id="rId2838" ref="F3186"/>
    <hyperlink r:id="rId2839" ref="F3187"/>
    <hyperlink r:id="rId2840" ref="F3188"/>
    <hyperlink r:id="rId2841" ref="F3189"/>
    <hyperlink r:id="rId2842" ref="F3190"/>
    <hyperlink r:id="rId2843" ref="F3191"/>
    <hyperlink r:id="rId2844" ref="F3192"/>
    <hyperlink r:id="rId2845" ref="F3193"/>
    <hyperlink r:id="rId2846" ref="F3195"/>
    <hyperlink r:id="rId2847" ref="F3196"/>
    <hyperlink r:id="rId2848" ref="F3197"/>
    <hyperlink r:id="rId2849" ref="F3198"/>
    <hyperlink r:id="rId2850" ref="F3199"/>
    <hyperlink r:id="rId2851" ref="F3200"/>
    <hyperlink r:id="rId2852" ref="F3201"/>
    <hyperlink r:id="rId2853" ref="F3202"/>
    <hyperlink r:id="rId2854" ref="F3203"/>
    <hyperlink r:id="rId2855" ref="F3204"/>
    <hyperlink r:id="rId2856" ref="F3205"/>
    <hyperlink r:id="rId2857" ref="F3206"/>
    <hyperlink r:id="rId2858" ref="F3207"/>
    <hyperlink r:id="rId2859" ref="F3209"/>
    <hyperlink r:id="rId2860" ref="F3210"/>
    <hyperlink r:id="rId2861" ref="F3211"/>
    <hyperlink r:id="rId2862" ref="F3212"/>
    <hyperlink r:id="rId2863" ref="F3213"/>
    <hyperlink r:id="rId2864" ref="F3214"/>
    <hyperlink r:id="rId2865" ref="F3215"/>
    <hyperlink r:id="rId2866" ref="F3216"/>
    <hyperlink r:id="rId2867" ref="F3217"/>
    <hyperlink r:id="rId2868" ref="F3218"/>
    <hyperlink r:id="rId2869" ref="F3219"/>
    <hyperlink r:id="rId2870" ref="F3220"/>
    <hyperlink r:id="rId2871" ref="F3221"/>
    <hyperlink r:id="rId2872" ref="F3224"/>
    <hyperlink r:id="rId2873" ref="F3225"/>
    <hyperlink r:id="rId2874" ref="F3226"/>
    <hyperlink r:id="rId2875" ref="F3227"/>
    <hyperlink r:id="rId2876" ref="F3228"/>
    <hyperlink r:id="rId2877" ref="F3229"/>
    <hyperlink r:id="rId2878" ref="F3230"/>
    <hyperlink r:id="rId2879" ref="F3231"/>
    <hyperlink r:id="rId2880" ref="F3232"/>
    <hyperlink r:id="rId2881" ref="F3233"/>
    <hyperlink r:id="rId2882" ref="F3234"/>
    <hyperlink r:id="rId2883" ref="F3235"/>
    <hyperlink r:id="rId2884" ref="F3236"/>
    <hyperlink r:id="rId2885" ref="F3237"/>
    <hyperlink r:id="rId2886" ref="F3238"/>
    <hyperlink r:id="rId2887" ref="F3239"/>
    <hyperlink r:id="rId2888" ref="F3240"/>
    <hyperlink r:id="rId2889" ref="F3241"/>
    <hyperlink r:id="rId2890" ref="F3242"/>
    <hyperlink r:id="rId2891" ref="F3243"/>
    <hyperlink r:id="rId2892" ref="F3244"/>
    <hyperlink r:id="rId2893" ref="F3245"/>
    <hyperlink r:id="rId2894" ref="F3246"/>
    <hyperlink r:id="rId2895" ref="F3247"/>
    <hyperlink r:id="rId2896" ref="F3248"/>
    <hyperlink r:id="rId2897" ref="F3249"/>
    <hyperlink r:id="rId2898" ref="F3250"/>
    <hyperlink r:id="rId2899" ref="F3251"/>
    <hyperlink r:id="rId2900" ref="F3252"/>
    <hyperlink r:id="rId2901" ref="F3253"/>
    <hyperlink r:id="rId2902" ref="F3254"/>
    <hyperlink r:id="rId2903" ref="F3255"/>
    <hyperlink r:id="rId2904" ref="F3257"/>
    <hyperlink r:id="rId2905" ref="F3258"/>
    <hyperlink r:id="rId2906" ref="F3259"/>
    <hyperlink r:id="rId2907" ref="F3260"/>
    <hyperlink r:id="rId2908" ref="F3262"/>
    <hyperlink r:id="rId2909" ref="F3263"/>
    <hyperlink r:id="rId2910" ref="F3264"/>
    <hyperlink r:id="rId2911" ref="F3265"/>
    <hyperlink r:id="rId2912" ref="F3266"/>
    <hyperlink r:id="rId2913" ref="F3267"/>
    <hyperlink r:id="rId2914" ref="F3268"/>
    <hyperlink r:id="rId2915" ref="F3269"/>
    <hyperlink r:id="rId2916" ref="F3270"/>
    <hyperlink r:id="rId2917" ref="F3271"/>
    <hyperlink r:id="rId2918" ref="F3272"/>
    <hyperlink r:id="rId2919" ref="F3273"/>
    <hyperlink r:id="rId2920" ref="F3274"/>
    <hyperlink r:id="rId2921" ref="F3275"/>
    <hyperlink r:id="rId2922" ref="F3276"/>
    <hyperlink r:id="rId2923" ref="F3277"/>
    <hyperlink r:id="rId2924" ref="F3278"/>
    <hyperlink r:id="rId2925" ref="F3279"/>
    <hyperlink r:id="rId2926" ref="F3280"/>
    <hyperlink r:id="rId2927" ref="F3281"/>
    <hyperlink r:id="rId2928" ref="F3282"/>
    <hyperlink r:id="rId2929" ref="F3283"/>
    <hyperlink r:id="rId2930" ref="F3284"/>
    <hyperlink r:id="rId2931" ref="F3285"/>
    <hyperlink r:id="rId2932" ref="F3286"/>
    <hyperlink r:id="rId2933" ref="F3288"/>
    <hyperlink r:id="rId2934" ref="F3289"/>
    <hyperlink r:id="rId2935" ref="F3290"/>
    <hyperlink r:id="rId2936" ref="F3291"/>
    <hyperlink r:id="rId2937" ref="F3292"/>
    <hyperlink r:id="rId2938" ref="F3294"/>
    <hyperlink r:id="rId2939" ref="F3295"/>
    <hyperlink r:id="rId2940" ref="F3296"/>
    <hyperlink r:id="rId2941" ref="F3298"/>
    <hyperlink r:id="rId2942" ref="F3300"/>
    <hyperlink r:id="rId2943" ref="F3301"/>
    <hyperlink r:id="rId2944" ref="F3302"/>
    <hyperlink r:id="rId2945" ref="F3303"/>
    <hyperlink r:id="rId2946" ref="F3304"/>
    <hyperlink r:id="rId2947" ref="F3305"/>
    <hyperlink r:id="rId2948" ref="F3306"/>
    <hyperlink r:id="rId2949" ref="F3307"/>
    <hyperlink r:id="rId2950" ref="F3308"/>
    <hyperlink r:id="rId2951" ref="F3309"/>
    <hyperlink r:id="rId2952" ref="F3310"/>
    <hyperlink r:id="rId2953" ref="F3311"/>
    <hyperlink r:id="rId2954" ref="F3312"/>
    <hyperlink r:id="rId2955" ref="F3313"/>
    <hyperlink r:id="rId2956" ref="F3314"/>
    <hyperlink r:id="rId2957" ref="F3315"/>
    <hyperlink r:id="rId2958" ref="F3317"/>
    <hyperlink r:id="rId2959" ref="F3318"/>
    <hyperlink r:id="rId2960" ref="F3320"/>
    <hyperlink r:id="rId2961" ref="F3322"/>
    <hyperlink r:id="rId2962" ref="F3323"/>
    <hyperlink r:id="rId2963" ref="F3324"/>
    <hyperlink r:id="rId2964" ref="F3325"/>
    <hyperlink r:id="rId2965" ref="F3326"/>
    <hyperlink r:id="rId2966" ref="F3327"/>
    <hyperlink r:id="rId2967" ref="F3328"/>
    <hyperlink r:id="rId2968" ref="F3329"/>
    <hyperlink r:id="rId2969" ref="F3330"/>
    <hyperlink r:id="rId2970" ref="F3331"/>
    <hyperlink r:id="rId2971" ref="F3332"/>
    <hyperlink r:id="rId2972" ref="F3333"/>
    <hyperlink r:id="rId2973" ref="F3334"/>
    <hyperlink r:id="rId2974" ref="F3335"/>
    <hyperlink r:id="rId2975" ref="F3336"/>
    <hyperlink r:id="rId2976" ref="F3337"/>
    <hyperlink r:id="rId2977" ref="F3338"/>
    <hyperlink r:id="rId2978" ref="F3339"/>
    <hyperlink r:id="rId2979" ref="F3340"/>
    <hyperlink r:id="rId2980" ref="F3341"/>
    <hyperlink r:id="rId2981" ref="F3342"/>
    <hyperlink r:id="rId2982" ref="F3343"/>
    <hyperlink r:id="rId2983" ref="F3344"/>
    <hyperlink r:id="rId2984" ref="F3345"/>
    <hyperlink r:id="rId2985" ref="F3346"/>
    <hyperlink r:id="rId2986" ref="F3347"/>
    <hyperlink r:id="rId2987" ref="F3348"/>
    <hyperlink r:id="rId2988" ref="F3349"/>
    <hyperlink r:id="rId2989" ref="F3350"/>
    <hyperlink r:id="rId2990" ref="F3351"/>
    <hyperlink r:id="rId2991" ref="F3352"/>
    <hyperlink r:id="rId2992" ref="F3354"/>
    <hyperlink r:id="rId2993" ref="F3355"/>
    <hyperlink r:id="rId2994" ref="F3356"/>
    <hyperlink r:id="rId2995" ref="F3357"/>
    <hyperlink r:id="rId2996" ref="F3358"/>
    <hyperlink r:id="rId2997" ref="F3359"/>
    <hyperlink r:id="rId2998" ref="F3360"/>
    <hyperlink r:id="rId2999" ref="F3361"/>
    <hyperlink r:id="rId3000" ref="F3362"/>
    <hyperlink r:id="rId3001" ref="F3363"/>
    <hyperlink r:id="rId3002" ref="F3364"/>
    <hyperlink r:id="rId3003" ref="F3365"/>
    <hyperlink r:id="rId3004" ref="F3366"/>
    <hyperlink r:id="rId3005" ref="F3368"/>
    <hyperlink r:id="rId3006" ref="F3369"/>
    <hyperlink r:id="rId3007" ref="F3370"/>
    <hyperlink r:id="rId3008" ref="F3371"/>
    <hyperlink r:id="rId3009" ref="F3372"/>
    <hyperlink r:id="rId3010" ref="F3373"/>
    <hyperlink r:id="rId3011" ref="F3374"/>
    <hyperlink r:id="rId3012" ref="F3375"/>
    <hyperlink r:id="rId3013" ref="F3376"/>
    <hyperlink r:id="rId3014" ref="F3377"/>
    <hyperlink r:id="rId3015" ref="F3378"/>
    <hyperlink r:id="rId3016" ref="F3379"/>
    <hyperlink r:id="rId3017" ref="F3380"/>
    <hyperlink r:id="rId3018" ref="F3381"/>
    <hyperlink r:id="rId3019" ref="F3382"/>
    <hyperlink r:id="rId3020" ref="F3383"/>
    <hyperlink r:id="rId3021" ref="F3384"/>
    <hyperlink r:id="rId3022" ref="F3386"/>
    <hyperlink r:id="rId3023" ref="F3387"/>
    <hyperlink r:id="rId3024" ref="F3389"/>
    <hyperlink r:id="rId3025" ref="F3390"/>
    <hyperlink r:id="rId3026" ref="F3391"/>
    <hyperlink r:id="rId3027" ref="F3392"/>
    <hyperlink r:id="rId3028" ref="F3393"/>
    <hyperlink r:id="rId3029" ref="F3394"/>
    <hyperlink r:id="rId3030" ref="F3395"/>
    <hyperlink r:id="rId3031" ref="F3396"/>
    <hyperlink r:id="rId3032" ref="F3398"/>
    <hyperlink r:id="rId3033" ref="F3399"/>
    <hyperlink r:id="rId3034" ref="F3400"/>
    <hyperlink r:id="rId3035" ref="F3401"/>
    <hyperlink r:id="rId3036" ref="F3402"/>
    <hyperlink r:id="rId3037" ref="F3403"/>
    <hyperlink r:id="rId3038" ref="F3404"/>
    <hyperlink r:id="rId3039" ref="F3405"/>
    <hyperlink r:id="rId3040" ref="F3406"/>
    <hyperlink r:id="rId3041" ref="F3407"/>
    <hyperlink r:id="rId3042" ref="F3408"/>
    <hyperlink r:id="rId3043" ref="F3409"/>
    <hyperlink r:id="rId3044" ref="F3410"/>
    <hyperlink r:id="rId3045" ref="F3411"/>
    <hyperlink r:id="rId3046" ref="F3412"/>
    <hyperlink r:id="rId3047" ref="F3413"/>
    <hyperlink r:id="rId3048" ref="F3414"/>
    <hyperlink r:id="rId3049" ref="F3415"/>
    <hyperlink r:id="rId3050" ref="F3416"/>
    <hyperlink r:id="rId3051" ref="F3417"/>
    <hyperlink r:id="rId3052" ref="F3418"/>
    <hyperlink r:id="rId3053" ref="F3419"/>
    <hyperlink r:id="rId3054" ref="F3420"/>
    <hyperlink r:id="rId3055" ref="F3421"/>
    <hyperlink r:id="rId3056" ref="F3422"/>
    <hyperlink r:id="rId3057" ref="F3423"/>
    <hyperlink r:id="rId3058" ref="F3425"/>
    <hyperlink r:id="rId3059" ref="F3426"/>
    <hyperlink r:id="rId3060" ref="F3427"/>
    <hyperlink r:id="rId3061" ref="F3428"/>
    <hyperlink r:id="rId3062" ref="F3429"/>
    <hyperlink r:id="rId3063" ref="F3430"/>
    <hyperlink r:id="rId3064" ref="F3431"/>
    <hyperlink r:id="rId3065" ref="F3432"/>
    <hyperlink r:id="rId3066" ref="F3433"/>
    <hyperlink r:id="rId3067" ref="F3434"/>
    <hyperlink r:id="rId3068" ref="F3435"/>
    <hyperlink r:id="rId3069" ref="F3436"/>
    <hyperlink r:id="rId3070" ref="F3438"/>
    <hyperlink r:id="rId3071" ref="F3439"/>
    <hyperlink r:id="rId3072" ref="F3440"/>
    <hyperlink r:id="rId3073" ref="F3441"/>
    <hyperlink r:id="rId3074" ref="F3442"/>
    <hyperlink r:id="rId3075" ref="F3443"/>
    <hyperlink r:id="rId3076" ref="F3444"/>
    <hyperlink r:id="rId3077" ref="F3445"/>
    <hyperlink r:id="rId3078" ref="F3447"/>
    <hyperlink r:id="rId3079" ref="F3448"/>
    <hyperlink r:id="rId3080" ref="F3449"/>
    <hyperlink r:id="rId3081" ref="F3450"/>
    <hyperlink r:id="rId3082" ref="F3452"/>
    <hyperlink r:id="rId3083" ref="F3453"/>
    <hyperlink r:id="rId3084" ref="F3454"/>
    <hyperlink r:id="rId3085" ref="F3455"/>
    <hyperlink r:id="rId3086" ref="F3456"/>
    <hyperlink r:id="rId3087" ref="F3457"/>
    <hyperlink r:id="rId3088" ref="F3458"/>
    <hyperlink r:id="rId3089" ref="F3459"/>
    <hyperlink r:id="rId3090" ref="F3460"/>
    <hyperlink r:id="rId3091" ref="F3461"/>
    <hyperlink r:id="rId3092" ref="F3462"/>
    <hyperlink r:id="rId3093" ref="F3463"/>
    <hyperlink r:id="rId3094" ref="F3464"/>
    <hyperlink r:id="rId3095" ref="F3465"/>
    <hyperlink r:id="rId3096" ref="F3466"/>
    <hyperlink r:id="rId3097" ref="F3467"/>
    <hyperlink r:id="rId3098" ref="F3468"/>
    <hyperlink r:id="rId3099" ref="F3469"/>
    <hyperlink r:id="rId3100" ref="F3470"/>
    <hyperlink r:id="rId3101" ref="F3471"/>
    <hyperlink r:id="rId3102" ref="F3472"/>
    <hyperlink r:id="rId3103" ref="F3473"/>
    <hyperlink r:id="rId3104" ref="F3474"/>
    <hyperlink r:id="rId3105" ref="F3475"/>
    <hyperlink r:id="rId3106" ref="F3476"/>
    <hyperlink r:id="rId3107" ref="F3477"/>
    <hyperlink r:id="rId3108" ref="F3478"/>
    <hyperlink r:id="rId3109" ref="F3479"/>
    <hyperlink r:id="rId3110" ref="F3480"/>
    <hyperlink r:id="rId3111" ref="F3482"/>
    <hyperlink r:id="rId3112" ref="F3485"/>
    <hyperlink r:id="rId3113" ref="F3486"/>
    <hyperlink r:id="rId3114" ref="F3487"/>
    <hyperlink r:id="rId3115" ref="F3488"/>
    <hyperlink r:id="rId3116" ref="F3489"/>
    <hyperlink r:id="rId3117" ref="F3490"/>
    <hyperlink r:id="rId3118" ref="F3491"/>
    <hyperlink r:id="rId3119" ref="F3492"/>
    <hyperlink r:id="rId3120" ref="F3493"/>
    <hyperlink r:id="rId3121" ref="F3494"/>
    <hyperlink r:id="rId3122" ref="F3495"/>
    <hyperlink r:id="rId3123" ref="F3496"/>
    <hyperlink r:id="rId3124" ref="F3497"/>
    <hyperlink r:id="rId3125" ref="F3498"/>
    <hyperlink r:id="rId3126" ref="F3500"/>
    <hyperlink r:id="rId3127" ref="F3503"/>
    <hyperlink r:id="rId3128" ref="F3504"/>
    <hyperlink r:id="rId3129" ref="F3505"/>
    <hyperlink r:id="rId3130" ref="F3506"/>
    <hyperlink r:id="rId3131" ref="F3507"/>
    <hyperlink r:id="rId3132" ref="F3508"/>
    <hyperlink r:id="rId3133" ref="F3509"/>
    <hyperlink r:id="rId3134" ref="F3510"/>
    <hyperlink r:id="rId3135" ref="F3511"/>
    <hyperlink r:id="rId3136" ref="F3512"/>
    <hyperlink r:id="rId3137" ref="F3513"/>
    <hyperlink r:id="rId3138" ref="F3514"/>
    <hyperlink r:id="rId3139" ref="F3515"/>
    <hyperlink r:id="rId3140" ref="F3516"/>
    <hyperlink r:id="rId3141" ref="F3519"/>
    <hyperlink r:id="rId3142" ref="F3521"/>
    <hyperlink r:id="rId3143" ref="F3522"/>
    <hyperlink r:id="rId3144" ref="F3523"/>
    <hyperlink r:id="rId3145" ref="F3524"/>
    <hyperlink r:id="rId3146" ref="F3525"/>
    <hyperlink r:id="rId3147" ref="F3526"/>
    <hyperlink r:id="rId3148" ref="F3527"/>
    <hyperlink r:id="rId3149" ref="F3528"/>
    <hyperlink r:id="rId3150" ref="F3529"/>
    <hyperlink r:id="rId3151" ref="F3530"/>
    <hyperlink r:id="rId3152" ref="F3531"/>
    <hyperlink r:id="rId3153" ref="F3532"/>
    <hyperlink r:id="rId3154" ref="F3533"/>
    <hyperlink r:id="rId3155" ref="F3534"/>
    <hyperlink r:id="rId3156" ref="F3535"/>
    <hyperlink r:id="rId3157" ref="F3536"/>
    <hyperlink r:id="rId3158" ref="F3537"/>
    <hyperlink r:id="rId3159" ref="F3538"/>
    <hyperlink r:id="rId3160" ref="F3539"/>
    <hyperlink r:id="rId3161" ref="F3540"/>
    <hyperlink r:id="rId3162" ref="F3541"/>
    <hyperlink r:id="rId3163" ref="F3542"/>
    <hyperlink r:id="rId3164" ref="F3544"/>
    <hyperlink r:id="rId3165" ref="F3545"/>
    <hyperlink r:id="rId3166" ref="F3548"/>
    <hyperlink r:id="rId3167" ref="F3549"/>
    <hyperlink r:id="rId3168" ref="F3550"/>
    <hyperlink r:id="rId3169" ref="F3551"/>
    <hyperlink r:id="rId3170" ref="F3552"/>
    <hyperlink r:id="rId3171" ref="F3553"/>
    <hyperlink r:id="rId3172" ref="F3554"/>
    <hyperlink r:id="rId3173" ref="F3555"/>
    <hyperlink r:id="rId3174" ref="F3556"/>
    <hyperlink r:id="rId3175" ref="F3557"/>
    <hyperlink r:id="rId3176" ref="F3558"/>
    <hyperlink r:id="rId3177" ref="F3559"/>
    <hyperlink r:id="rId3178" ref="F3561"/>
    <hyperlink r:id="rId3179" ref="F3562"/>
    <hyperlink r:id="rId3180" ref="F3563"/>
    <hyperlink r:id="rId3181" ref="F3564"/>
    <hyperlink r:id="rId3182" ref="F3565"/>
    <hyperlink r:id="rId3183" ref="F3566"/>
    <hyperlink r:id="rId3184" ref="F3567"/>
    <hyperlink r:id="rId3185" ref="F3568"/>
    <hyperlink r:id="rId3186" ref="F3569"/>
    <hyperlink r:id="rId3187" ref="F3570"/>
    <hyperlink r:id="rId3188" ref="F3571"/>
    <hyperlink r:id="rId3189" ref="F3572"/>
    <hyperlink r:id="rId3190" ref="F3573"/>
    <hyperlink r:id="rId3191" ref="F3574"/>
    <hyperlink r:id="rId3192" ref="F3575"/>
    <hyperlink r:id="rId3193" ref="F3576"/>
    <hyperlink r:id="rId3194" ref="F3577"/>
    <hyperlink r:id="rId3195" ref="F3578"/>
    <hyperlink r:id="rId3196" ref="F3579"/>
    <hyperlink r:id="rId3197" ref="F3580"/>
    <hyperlink r:id="rId3198" ref="F3581"/>
    <hyperlink r:id="rId3199" ref="F3582"/>
    <hyperlink r:id="rId3200" ref="F3583"/>
    <hyperlink r:id="rId3201" ref="F3584"/>
    <hyperlink r:id="rId3202" ref="F3585"/>
    <hyperlink r:id="rId3203" ref="F3586"/>
    <hyperlink r:id="rId3204" ref="F3587"/>
    <hyperlink r:id="rId3205" ref="F3588"/>
    <hyperlink r:id="rId3206" ref="F3589"/>
    <hyperlink r:id="rId3207" ref="F3590"/>
    <hyperlink r:id="rId3208" ref="F3591"/>
    <hyperlink r:id="rId3209" ref="F3592"/>
    <hyperlink r:id="rId3210" ref="F3593"/>
    <hyperlink r:id="rId3211" ref="F3594"/>
    <hyperlink r:id="rId3212" ref="F3595"/>
    <hyperlink r:id="rId3213" ref="F3596"/>
    <hyperlink r:id="rId3214" ref="F3597"/>
    <hyperlink r:id="rId3215" ref="F3598"/>
    <hyperlink r:id="rId3216" ref="F3599"/>
    <hyperlink r:id="rId3217" ref="F3600"/>
    <hyperlink r:id="rId3218" ref="F3601"/>
    <hyperlink r:id="rId3219" ref="F3602"/>
    <hyperlink r:id="rId3220" ref="F3603"/>
    <hyperlink r:id="rId3221" ref="F3604"/>
    <hyperlink r:id="rId3222" ref="F3605"/>
    <hyperlink r:id="rId3223" ref="F3606"/>
    <hyperlink r:id="rId3224" ref="F3607"/>
    <hyperlink r:id="rId3225" ref="F3610"/>
    <hyperlink r:id="rId3226" ref="F3613"/>
    <hyperlink r:id="rId3227" ref="F3614"/>
    <hyperlink r:id="rId3228" ref="F3615"/>
    <hyperlink r:id="rId3229" ref="F3616"/>
    <hyperlink r:id="rId3230" ref="F3617"/>
    <hyperlink r:id="rId3231" ref="F3618"/>
    <hyperlink r:id="rId3232" ref="F3619"/>
    <hyperlink r:id="rId3233" ref="F3620"/>
    <hyperlink r:id="rId3234" ref="F3621"/>
    <hyperlink r:id="rId3235" ref="F3622"/>
    <hyperlink r:id="rId3236" ref="F3623"/>
    <hyperlink r:id="rId3237" ref="F3624"/>
    <hyperlink r:id="rId3238" ref="F3625"/>
    <hyperlink r:id="rId3239" ref="F3626"/>
    <hyperlink r:id="rId3240" ref="F3627"/>
    <hyperlink r:id="rId3241" ref="F3628"/>
    <hyperlink r:id="rId3242" ref="F3629"/>
    <hyperlink r:id="rId3243" ref="F3630"/>
    <hyperlink r:id="rId3244" ref="F3631"/>
    <hyperlink r:id="rId3245" ref="F3632"/>
    <hyperlink r:id="rId3246" ref="F3633"/>
    <hyperlink r:id="rId3247" ref="F3634"/>
    <hyperlink r:id="rId3248" ref="F3635"/>
    <hyperlink r:id="rId3249" ref="F3636"/>
    <hyperlink r:id="rId3250" ref="F3637"/>
    <hyperlink r:id="rId3251" ref="F3638"/>
    <hyperlink r:id="rId3252" ref="F3639"/>
    <hyperlink r:id="rId3253" ref="F3640"/>
    <hyperlink r:id="rId3254" ref="F3641"/>
    <hyperlink r:id="rId3255" ref="F3642"/>
    <hyperlink r:id="rId3256" ref="F3643"/>
    <hyperlink r:id="rId3257" ref="F3644"/>
    <hyperlink r:id="rId3258" ref="F3647"/>
    <hyperlink r:id="rId3259" ref="F3648"/>
    <hyperlink r:id="rId3260" ref="F3649"/>
    <hyperlink r:id="rId3261" ref="F3650"/>
    <hyperlink r:id="rId3262" ref="F3651"/>
    <hyperlink r:id="rId3263" ref="F3652"/>
    <hyperlink r:id="rId3264" ref="F3653"/>
    <hyperlink r:id="rId3265" ref="F3654"/>
    <hyperlink r:id="rId3266" ref="F3655"/>
    <hyperlink r:id="rId3267" ref="F3656"/>
    <hyperlink r:id="rId3268" ref="F3657"/>
    <hyperlink r:id="rId3269" ref="F3658"/>
    <hyperlink r:id="rId3270" ref="F3659"/>
    <hyperlink r:id="rId3271" ref="F3661"/>
    <hyperlink r:id="rId3272" ref="F3662"/>
    <hyperlink r:id="rId3273" ref="F3663"/>
    <hyperlink r:id="rId3274" ref="F3664"/>
    <hyperlink r:id="rId3275" ref="F3666"/>
    <hyperlink r:id="rId3276" ref="F3667"/>
    <hyperlink r:id="rId3277" ref="F3668"/>
    <hyperlink r:id="rId3278" ref="F3669"/>
    <hyperlink r:id="rId3279" ref="F3670"/>
    <hyperlink r:id="rId3280" ref="F3671"/>
    <hyperlink r:id="rId3281" ref="F3673"/>
    <hyperlink r:id="rId3282" ref="F3674"/>
    <hyperlink r:id="rId3283" ref="F3675"/>
    <hyperlink r:id="rId3284" ref="F3676"/>
    <hyperlink r:id="rId3285" ref="F3677"/>
    <hyperlink r:id="rId3286" ref="F3678"/>
    <hyperlink r:id="rId3287" ref="F3680"/>
    <hyperlink r:id="rId3288" ref="F3681"/>
    <hyperlink r:id="rId3289" ref="F3683"/>
    <hyperlink r:id="rId3290" ref="F3684"/>
    <hyperlink r:id="rId3291" ref="F3686"/>
    <hyperlink r:id="rId3292" ref="F3687"/>
    <hyperlink r:id="rId3293" ref="F3688"/>
    <hyperlink r:id="rId3294" ref="F3689"/>
    <hyperlink r:id="rId3295" ref="F3690"/>
    <hyperlink r:id="rId3296" ref="F3691"/>
    <hyperlink r:id="rId3297" ref="F3693"/>
    <hyperlink r:id="rId3298" ref="F3694"/>
    <hyperlink r:id="rId3299" ref="F3695"/>
    <hyperlink r:id="rId3300" ref="F3696"/>
    <hyperlink r:id="rId3301" ref="F3697"/>
    <hyperlink r:id="rId3302" ref="F3698"/>
    <hyperlink r:id="rId3303" ref="F3699"/>
    <hyperlink r:id="rId3304" ref="F3700"/>
    <hyperlink r:id="rId3305" ref="F3701"/>
    <hyperlink r:id="rId3306" ref="F3702"/>
    <hyperlink r:id="rId3307" ref="F3703"/>
    <hyperlink r:id="rId3308" ref="F3704"/>
    <hyperlink r:id="rId3309" ref="F3705"/>
    <hyperlink r:id="rId3310" ref="F3706"/>
    <hyperlink r:id="rId3311" ref="F3707"/>
    <hyperlink r:id="rId3312" ref="F3708"/>
    <hyperlink r:id="rId3313" ref="F3709"/>
    <hyperlink r:id="rId3314" ref="F3710"/>
    <hyperlink r:id="rId3315" ref="F3711"/>
    <hyperlink r:id="rId3316" ref="F3712"/>
    <hyperlink r:id="rId3317" ref="F3713"/>
    <hyperlink r:id="rId3318" ref="F3714"/>
    <hyperlink r:id="rId3319" ref="F3715"/>
    <hyperlink r:id="rId3320" ref="F3716"/>
    <hyperlink r:id="rId3321" ref="F3717"/>
    <hyperlink r:id="rId3322" ref="F3718"/>
    <hyperlink r:id="rId3323" ref="F3719"/>
    <hyperlink r:id="rId3324" ref="F3720"/>
    <hyperlink r:id="rId3325" ref="F3721"/>
    <hyperlink r:id="rId3326" ref="F3722"/>
    <hyperlink r:id="rId3327" ref="F3723"/>
    <hyperlink r:id="rId3328" ref="F3724"/>
    <hyperlink r:id="rId3329" ref="F3725"/>
    <hyperlink r:id="rId3330" ref="F3727"/>
    <hyperlink r:id="rId3331" ref="F3729"/>
    <hyperlink r:id="rId3332" ref="F3731"/>
    <hyperlink r:id="rId3333" ref="F3732"/>
    <hyperlink r:id="rId3334" ref="F3733"/>
    <hyperlink r:id="rId3335" ref="F3734"/>
    <hyperlink r:id="rId3336" ref="F3735"/>
    <hyperlink r:id="rId3337" ref="F3736"/>
    <hyperlink r:id="rId3338" ref="F3737"/>
    <hyperlink r:id="rId3339" ref="F3738"/>
    <hyperlink r:id="rId3340" ref="F3739"/>
    <hyperlink r:id="rId3341" ref="F3740"/>
    <hyperlink r:id="rId3342" ref="F3741"/>
    <hyperlink r:id="rId3343" ref="F3742"/>
    <hyperlink r:id="rId3344" ref="F3743"/>
    <hyperlink r:id="rId3345" ref="F3746"/>
    <hyperlink r:id="rId3346" ref="F3747"/>
    <hyperlink r:id="rId3347" ref="F3749"/>
    <hyperlink r:id="rId3348" ref="F3750"/>
    <hyperlink r:id="rId3349" ref="F3751"/>
    <hyperlink r:id="rId3350" ref="F3752"/>
    <hyperlink r:id="rId3351" ref="F3753"/>
    <hyperlink r:id="rId3352" ref="F3754"/>
    <hyperlink r:id="rId3353" ref="F3755"/>
    <hyperlink r:id="rId3354" ref="F3756"/>
    <hyperlink r:id="rId3355" ref="F3757"/>
    <hyperlink r:id="rId3356" ref="F3758"/>
    <hyperlink r:id="rId3357" ref="F3759"/>
    <hyperlink r:id="rId3358" ref="F3760"/>
    <hyperlink r:id="rId3359" ref="F3761"/>
    <hyperlink r:id="rId3360" ref="F3762"/>
    <hyperlink r:id="rId3361" ref="F3763"/>
    <hyperlink r:id="rId3362" ref="F3764"/>
    <hyperlink r:id="rId3363" ref="F3765"/>
    <hyperlink r:id="rId3364" ref="F3766"/>
    <hyperlink r:id="rId3365" ref="F3768"/>
    <hyperlink r:id="rId3366" ref="F3769"/>
    <hyperlink r:id="rId3367" ref="F3770"/>
    <hyperlink r:id="rId3368" ref="F3771"/>
    <hyperlink r:id="rId3369" ref="F3772"/>
    <hyperlink r:id="rId3370" ref="F3773"/>
    <hyperlink r:id="rId3371" ref="F3774"/>
    <hyperlink r:id="rId3372" ref="F3775"/>
    <hyperlink r:id="rId3373" ref="F3776"/>
    <hyperlink r:id="rId3374" ref="F3777"/>
    <hyperlink r:id="rId3375" ref="F3778"/>
    <hyperlink r:id="rId3376" ref="F3779"/>
    <hyperlink r:id="rId3377" ref="F3780"/>
    <hyperlink r:id="rId3378" ref="F3782"/>
    <hyperlink r:id="rId3379" ref="F3783"/>
    <hyperlink r:id="rId3380" ref="F3784"/>
    <hyperlink r:id="rId3381" ref="F3785"/>
    <hyperlink r:id="rId3382" ref="F3786"/>
    <hyperlink r:id="rId3383" ref="F3787"/>
    <hyperlink r:id="rId3384" ref="F3788"/>
    <hyperlink r:id="rId3385" ref="F3789"/>
    <hyperlink r:id="rId3386" ref="F3790"/>
    <hyperlink r:id="rId3387" ref="F3791"/>
    <hyperlink r:id="rId3388" ref="F3792"/>
    <hyperlink r:id="rId3389" ref="F3793"/>
    <hyperlink r:id="rId3390" ref="F3794"/>
    <hyperlink r:id="rId3391" ref="F3795"/>
    <hyperlink r:id="rId3392" ref="F3796"/>
    <hyperlink r:id="rId3393" ref="F3797"/>
    <hyperlink r:id="rId3394" ref="F3798"/>
    <hyperlink r:id="rId3395" ref="F3799"/>
    <hyperlink r:id="rId3396" ref="F3800"/>
    <hyperlink r:id="rId3397" ref="F3801"/>
    <hyperlink r:id="rId3398" ref="F3802"/>
    <hyperlink r:id="rId3399" ref="F3803"/>
    <hyperlink r:id="rId3400" ref="F3805"/>
    <hyperlink r:id="rId3401" ref="F3806"/>
    <hyperlink r:id="rId3402" ref="F3807"/>
    <hyperlink r:id="rId3403" ref="F3808"/>
    <hyperlink r:id="rId3404" ref="F3809"/>
    <hyperlink r:id="rId3405" ref="F3810"/>
    <hyperlink r:id="rId3406" ref="F3811"/>
    <hyperlink r:id="rId3407" ref="F3812"/>
    <hyperlink r:id="rId3408" ref="F3813"/>
    <hyperlink r:id="rId3409" ref="F3814"/>
    <hyperlink r:id="rId3410" ref="F3815"/>
    <hyperlink r:id="rId3411" ref="F3816"/>
    <hyperlink r:id="rId3412" ref="F3818"/>
    <hyperlink r:id="rId3413" ref="F3820"/>
    <hyperlink r:id="rId3414" ref="F3821"/>
    <hyperlink r:id="rId3415" ref="F3822"/>
    <hyperlink r:id="rId3416" ref="F3823"/>
    <hyperlink r:id="rId3417" ref="F3825"/>
    <hyperlink r:id="rId3418" ref="F3826"/>
    <hyperlink r:id="rId3419" ref="F3827"/>
    <hyperlink r:id="rId3420" ref="F3828"/>
    <hyperlink r:id="rId3421" ref="F3829"/>
    <hyperlink r:id="rId3422" ref="F3830"/>
    <hyperlink r:id="rId3423" ref="F3831"/>
    <hyperlink r:id="rId3424" ref="F3832"/>
    <hyperlink r:id="rId3425" ref="F3833"/>
    <hyperlink r:id="rId3426" ref="F3834"/>
    <hyperlink r:id="rId3427" ref="F3835"/>
    <hyperlink r:id="rId3428" ref="F3836"/>
    <hyperlink r:id="rId3429" ref="F3837"/>
    <hyperlink r:id="rId3430" ref="F3838"/>
    <hyperlink r:id="rId3431" ref="F3839"/>
    <hyperlink r:id="rId3432" ref="F3840"/>
    <hyperlink r:id="rId3433" ref="F3841"/>
    <hyperlink r:id="rId3434" ref="F3842"/>
    <hyperlink r:id="rId3435" ref="F3843"/>
    <hyperlink r:id="rId3436" ref="F3844"/>
    <hyperlink r:id="rId3437" ref="F3845"/>
    <hyperlink r:id="rId3438" ref="F3846"/>
    <hyperlink r:id="rId3439" ref="F3847"/>
    <hyperlink r:id="rId3440" ref="F3849"/>
    <hyperlink r:id="rId3441" ref="F3850"/>
    <hyperlink r:id="rId3442" ref="F3851"/>
    <hyperlink r:id="rId3443" ref="F3852"/>
    <hyperlink r:id="rId3444" ref="F3853"/>
    <hyperlink r:id="rId3445" ref="F3854"/>
    <hyperlink r:id="rId3446" ref="F3856"/>
    <hyperlink r:id="rId3447" ref="F3857"/>
    <hyperlink r:id="rId3448" ref="F3858"/>
    <hyperlink r:id="rId3449" ref="F3859"/>
    <hyperlink r:id="rId3450" ref="F3860"/>
    <hyperlink r:id="rId3451" ref="F3861"/>
    <hyperlink r:id="rId3452" ref="F3862"/>
    <hyperlink r:id="rId3453" ref="F3863"/>
    <hyperlink r:id="rId3454" ref="F3864"/>
    <hyperlink r:id="rId3455" ref="F3865"/>
    <hyperlink r:id="rId3456" ref="F3866"/>
    <hyperlink r:id="rId3457" ref="F3867"/>
    <hyperlink r:id="rId3458" ref="F3868"/>
    <hyperlink r:id="rId3459" ref="F3869"/>
    <hyperlink r:id="rId3460" ref="F3870"/>
    <hyperlink r:id="rId3461" ref="F3871"/>
    <hyperlink r:id="rId3462" ref="F3872"/>
    <hyperlink r:id="rId3463" ref="F3873"/>
    <hyperlink r:id="rId3464" ref="F3874"/>
    <hyperlink r:id="rId3465" ref="F3875"/>
    <hyperlink r:id="rId3466" ref="F3878"/>
    <hyperlink r:id="rId3467" ref="F3879"/>
    <hyperlink r:id="rId3468" ref="F3880"/>
    <hyperlink r:id="rId3469" ref="F3881"/>
    <hyperlink r:id="rId3470" ref="F3882"/>
    <hyperlink r:id="rId3471" ref="F3883"/>
    <hyperlink r:id="rId3472" ref="F3884"/>
    <hyperlink r:id="rId3473" ref="F3885"/>
    <hyperlink r:id="rId3474" ref="F3886"/>
    <hyperlink r:id="rId3475" ref="F3887"/>
    <hyperlink r:id="rId3476" ref="F3888"/>
    <hyperlink r:id="rId3477" ref="F3889"/>
    <hyperlink r:id="rId3478" ref="F3890"/>
    <hyperlink r:id="rId3479" ref="F3891"/>
    <hyperlink r:id="rId3480" ref="F3892"/>
    <hyperlink r:id="rId3481" ref="F3894"/>
    <hyperlink r:id="rId3482" ref="F3897"/>
    <hyperlink r:id="rId3483" ref="F3898"/>
    <hyperlink r:id="rId3484" ref="F3899"/>
    <hyperlink r:id="rId3485" ref="F3901"/>
    <hyperlink r:id="rId3486" ref="F3902"/>
    <hyperlink r:id="rId3487" ref="F3903"/>
    <hyperlink r:id="rId3488" ref="F3905"/>
    <hyperlink r:id="rId3489" ref="F3906"/>
    <hyperlink r:id="rId3490" ref="F3907"/>
    <hyperlink r:id="rId3491" ref="F3908"/>
    <hyperlink r:id="rId3492" ref="F3909"/>
    <hyperlink r:id="rId3493" ref="F3910"/>
    <hyperlink r:id="rId3494" ref="F3911"/>
    <hyperlink r:id="rId3495" ref="F3912"/>
    <hyperlink r:id="rId3496" ref="F3913"/>
    <hyperlink r:id="rId3497" ref="F3914"/>
    <hyperlink r:id="rId3498" ref="F3915"/>
    <hyperlink r:id="rId3499" ref="F3916"/>
    <hyperlink r:id="rId3500" ref="F3917"/>
    <hyperlink r:id="rId3501" ref="F3918"/>
    <hyperlink r:id="rId3502" ref="F3919"/>
    <hyperlink r:id="rId3503" ref="F3920"/>
    <hyperlink r:id="rId3504" ref="F3921"/>
    <hyperlink r:id="rId3505" ref="F3922"/>
    <hyperlink r:id="rId3506" ref="F3923"/>
    <hyperlink r:id="rId3507" ref="F3924"/>
    <hyperlink r:id="rId3508" ref="F3925"/>
    <hyperlink r:id="rId3509" ref="F3926"/>
    <hyperlink r:id="rId3510" ref="F3927"/>
    <hyperlink r:id="rId3511" ref="F3928"/>
    <hyperlink r:id="rId3512" ref="F3929"/>
    <hyperlink r:id="rId3513" ref="F3930"/>
    <hyperlink r:id="rId3514" ref="F3931"/>
    <hyperlink r:id="rId3515" ref="F3932"/>
    <hyperlink r:id="rId3516" ref="F3933"/>
    <hyperlink r:id="rId3517" ref="F3934"/>
    <hyperlink r:id="rId3518" ref="F3935"/>
    <hyperlink r:id="rId3519" ref="F3937"/>
    <hyperlink r:id="rId3520" ref="F3939"/>
    <hyperlink r:id="rId3521" ref="F3940"/>
    <hyperlink r:id="rId3522" ref="F3941"/>
    <hyperlink r:id="rId3523" ref="F3942"/>
    <hyperlink r:id="rId3524" ref="F3943"/>
    <hyperlink r:id="rId3525" ref="F3944"/>
    <hyperlink r:id="rId3526" ref="F3945"/>
    <hyperlink r:id="rId3527" ref="F3946"/>
    <hyperlink r:id="rId3528" ref="F3947"/>
    <hyperlink r:id="rId3529" ref="F3948"/>
    <hyperlink r:id="rId3530" ref="F3949"/>
    <hyperlink r:id="rId3531" ref="F3950"/>
    <hyperlink r:id="rId3532" ref="F3951"/>
    <hyperlink r:id="rId3533" ref="F3952"/>
    <hyperlink r:id="rId3534" ref="F3953"/>
    <hyperlink r:id="rId3535" ref="F3954"/>
    <hyperlink r:id="rId3536" ref="F3955"/>
    <hyperlink r:id="rId3537" ref="F3956"/>
    <hyperlink r:id="rId3538" ref="F3957"/>
    <hyperlink r:id="rId3539" ref="F3958"/>
    <hyperlink r:id="rId3540" ref="F3959"/>
    <hyperlink r:id="rId3541" ref="F3960"/>
    <hyperlink r:id="rId3542" ref="F3961"/>
    <hyperlink r:id="rId3543" ref="F3962"/>
    <hyperlink r:id="rId3544" ref="F3963"/>
    <hyperlink r:id="rId3545" ref="F3964"/>
    <hyperlink r:id="rId3546" ref="F3965"/>
    <hyperlink r:id="rId3547" ref="F3966"/>
    <hyperlink r:id="rId3548" ref="F3967"/>
    <hyperlink r:id="rId3549" ref="F3968"/>
    <hyperlink r:id="rId3550" ref="F3969"/>
    <hyperlink r:id="rId3551" ref="F3970"/>
    <hyperlink r:id="rId3552" ref="F3971"/>
    <hyperlink r:id="rId3553" ref="F3972"/>
    <hyperlink r:id="rId3554" ref="F3973"/>
    <hyperlink r:id="rId3555" ref="F3974"/>
    <hyperlink r:id="rId3556" ref="F3975"/>
    <hyperlink r:id="rId3557" ref="F3979"/>
    <hyperlink r:id="rId3558" ref="F3980"/>
    <hyperlink r:id="rId3559" ref="F3981"/>
    <hyperlink r:id="rId3560" ref="F3982"/>
    <hyperlink r:id="rId3561" ref="F3983"/>
    <hyperlink r:id="rId3562" ref="F3984"/>
    <hyperlink r:id="rId3563" ref="F3985"/>
    <hyperlink r:id="rId3564" ref="F3986"/>
    <hyperlink r:id="rId3565" ref="F3987"/>
    <hyperlink r:id="rId3566" ref="F3988"/>
    <hyperlink r:id="rId3567" ref="F3989"/>
    <hyperlink r:id="rId3568" ref="F3990"/>
    <hyperlink r:id="rId3569" ref="F3991"/>
    <hyperlink r:id="rId3570" ref="F3992"/>
    <hyperlink r:id="rId3571" ref="F3993"/>
    <hyperlink r:id="rId3572" ref="F3994"/>
    <hyperlink r:id="rId3573" ref="F3995"/>
    <hyperlink r:id="rId3574" ref="F3996"/>
    <hyperlink r:id="rId3575" ref="F3998"/>
    <hyperlink r:id="rId3576" ref="F3999"/>
    <hyperlink r:id="rId3577" ref="F4001"/>
    <hyperlink r:id="rId3578" ref="F4002"/>
    <hyperlink r:id="rId3579" ref="F4003"/>
    <hyperlink r:id="rId3580" ref="F4004"/>
    <hyperlink r:id="rId3581" ref="F4005"/>
    <hyperlink r:id="rId3582" ref="F4006"/>
    <hyperlink r:id="rId3583" ref="F4007"/>
    <hyperlink r:id="rId3584" ref="F4008"/>
    <hyperlink r:id="rId3585" ref="F4009"/>
    <hyperlink r:id="rId3586" ref="F4010"/>
    <hyperlink r:id="rId3587" ref="F4013"/>
    <hyperlink r:id="rId3588" ref="F4014"/>
    <hyperlink r:id="rId3589" ref="F4016"/>
    <hyperlink r:id="rId3590" ref="F4017"/>
    <hyperlink r:id="rId3591" ref="F4018"/>
    <hyperlink r:id="rId3592" ref="F4019"/>
    <hyperlink r:id="rId3593" ref="F4021"/>
    <hyperlink r:id="rId3594" ref="F4022"/>
    <hyperlink r:id="rId3595" ref="F4023"/>
    <hyperlink r:id="rId3596" ref="F4024"/>
    <hyperlink r:id="rId3597" ref="F4025"/>
    <hyperlink r:id="rId3598" ref="F4026"/>
    <hyperlink r:id="rId3599" ref="F4027"/>
    <hyperlink r:id="rId3600" ref="F4028"/>
    <hyperlink r:id="rId3601" ref="F4029"/>
    <hyperlink r:id="rId3602" ref="F4030"/>
    <hyperlink r:id="rId3603" ref="F4031"/>
    <hyperlink r:id="rId3604" ref="F4032"/>
    <hyperlink r:id="rId3605" ref="F4033"/>
    <hyperlink r:id="rId3606" ref="F4034"/>
    <hyperlink r:id="rId3607" ref="F4035"/>
    <hyperlink r:id="rId3608" ref="F4036"/>
    <hyperlink r:id="rId3609" ref="F4037"/>
    <hyperlink r:id="rId3610" ref="F4038"/>
    <hyperlink r:id="rId3611" ref="F4039"/>
    <hyperlink r:id="rId3612" ref="F4040"/>
    <hyperlink r:id="rId3613" ref="F4041"/>
    <hyperlink r:id="rId3614" ref="F4042"/>
    <hyperlink r:id="rId3615" ref="F4043"/>
    <hyperlink r:id="rId3616" ref="F4044"/>
    <hyperlink r:id="rId3617" ref="F4045"/>
    <hyperlink r:id="rId3618" ref="F4046"/>
    <hyperlink r:id="rId3619" ref="F4047"/>
    <hyperlink r:id="rId3620" ref="F4048"/>
    <hyperlink r:id="rId3621" ref="F4049"/>
    <hyperlink r:id="rId3622" ref="F4050"/>
    <hyperlink r:id="rId3623" ref="F4051"/>
    <hyperlink r:id="rId3624" ref="F4052"/>
    <hyperlink r:id="rId3625" ref="F4053"/>
    <hyperlink r:id="rId3626" ref="F4054"/>
    <hyperlink r:id="rId3627" ref="F4055"/>
    <hyperlink r:id="rId3628" ref="F4056"/>
    <hyperlink r:id="rId3629" ref="F4057"/>
    <hyperlink r:id="rId3630" ref="F4059"/>
    <hyperlink r:id="rId3631" ref="F4060"/>
    <hyperlink r:id="rId3632" ref="F4061"/>
    <hyperlink r:id="rId3633" ref="F4062"/>
    <hyperlink r:id="rId3634" ref="F4063"/>
    <hyperlink r:id="rId3635" ref="F4064"/>
    <hyperlink r:id="rId3636" ref="F4065"/>
    <hyperlink r:id="rId3637" ref="F4066"/>
    <hyperlink r:id="rId3638" ref="F4067"/>
    <hyperlink r:id="rId3639" ref="F4068"/>
    <hyperlink r:id="rId3640" ref="F4069"/>
    <hyperlink r:id="rId3641" ref="F4070"/>
    <hyperlink r:id="rId3642" ref="F4071"/>
    <hyperlink r:id="rId3643" ref="F4072"/>
    <hyperlink r:id="rId3644" ref="F4073"/>
    <hyperlink r:id="rId3645" ref="F4074"/>
    <hyperlink r:id="rId3646" ref="F4075"/>
    <hyperlink r:id="rId3647" ref="F4076"/>
    <hyperlink r:id="rId3648" ref="F4077"/>
    <hyperlink r:id="rId3649" ref="F4078"/>
    <hyperlink r:id="rId3650" ref="F4079"/>
    <hyperlink r:id="rId3651" ref="F4080"/>
    <hyperlink r:id="rId3652" ref="F4081"/>
    <hyperlink r:id="rId3653" ref="F4082"/>
    <hyperlink r:id="rId3654" ref="F4083"/>
    <hyperlink r:id="rId3655" ref="F4084"/>
    <hyperlink r:id="rId3656" ref="F4085"/>
    <hyperlink r:id="rId3657" ref="F4086"/>
    <hyperlink r:id="rId3658" ref="F4087"/>
    <hyperlink r:id="rId3659" ref="F4089"/>
    <hyperlink r:id="rId3660" ref="F4090"/>
    <hyperlink r:id="rId3661" ref="F4091"/>
    <hyperlink r:id="rId3662" ref="F4092"/>
    <hyperlink r:id="rId3663" ref="F4093"/>
    <hyperlink r:id="rId3664" ref="F4094"/>
    <hyperlink r:id="rId3665" ref="F4095"/>
    <hyperlink r:id="rId3666" ref="F4096"/>
    <hyperlink r:id="rId3667" ref="F4097"/>
    <hyperlink r:id="rId3668" ref="F4098"/>
    <hyperlink r:id="rId3669" ref="F4099"/>
    <hyperlink r:id="rId3670" ref="F4100"/>
    <hyperlink r:id="rId3671" ref="F4101"/>
    <hyperlink r:id="rId3672" ref="F4102"/>
    <hyperlink r:id="rId3673" ref="F4103"/>
    <hyperlink r:id="rId3674" ref="F4104"/>
    <hyperlink r:id="rId3675" ref="F4106"/>
    <hyperlink r:id="rId3676" ref="F4107"/>
    <hyperlink r:id="rId3677" ref="F4108"/>
    <hyperlink r:id="rId3678" ref="F4109"/>
    <hyperlink r:id="rId3679" ref="F4110"/>
    <hyperlink r:id="rId3680" ref="F4111"/>
    <hyperlink r:id="rId3681" ref="F4112"/>
    <hyperlink r:id="rId3682" ref="F4113"/>
    <hyperlink r:id="rId3683" ref="F4114"/>
    <hyperlink r:id="rId3684" ref="F4115"/>
    <hyperlink r:id="rId3685" ref="F4116"/>
    <hyperlink r:id="rId3686" ref="F4117"/>
    <hyperlink r:id="rId3687" ref="F4118"/>
    <hyperlink r:id="rId3688" ref="F4119"/>
    <hyperlink r:id="rId3689" ref="F4122"/>
    <hyperlink r:id="rId3690" ref="F4123"/>
    <hyperlink r:id="rId3691" ref="F4124"/>
    <hyperlink r:id="rId3692" ref="F4125"/>
    <hyperlink r:id="rId3693" ref="F4126"/>
    <hyperlink r:id="rId3694" ref="F4127"/>
    <hyperlink r:id="rId3695" ref="F4128"/>
    <hyperlink r:id="rId3696" ref="F4129"/>
    <hyperlink r:id="rId3697" ref="F4130"/>
    <hyperlink r:id="rId3698" ref="F4131"/>
    <hyperlink r:id="rId3699" ref="F4132"/>
    <hyperlink r:id="rId3700" ref="F4133"/>
    <hyperlink r:id="rId3701" ref="F4134"/>
    <hyperlink r:id="rId3702" ref="F4135"/>
    <hyperlink r:id="rId3703" ref="F4136"/>
    <hyperlink r:id="rId3704" ref="F4139"/>
    <hyperlink r:id="rId3705" ref="F4140"/>
    <hyperlink r:id="rId3706" ref="F4141"/>
    <hyperlink r:id="rId3707" ref="F4142"/>
    <hyperlink r:id="rId3708" ref="F4143"/>
    <hyperlink r:id="rId3709" ref="F4144"/>
    <hyperlink r:id="rId3710" ref="F4145"/>
    <hyperlink r:id="rId3711" ref="F4146"/>
    <hyperlink r:id="rId3712" ref="F4147"/>
    <hyperlink r:id="rId3713" ref="F4148"/>
    <hyperlink r:id="rId3714" ref="F4149"/>
    <hyperlink r:id="rId3715" ref="F4150"/>
    <hyperlink r:id="rId3716" ref="F4151"/>
    <hyperlink r:id="rId3717" ref="F4152"/>
    <hyperlink r:id="rId3718" ref="F4153"/>
    <hyperlink r:id="rId3719" ref="F4154"/>
    <hyperlink r:id="rId3720" ref="F4155"/>
    <hyperlink r:id="rId3721" ref="F4156"/>
    <hyperlink r:id="rId3722" ref="F4157"/>
    <hyperlink r:id="rId3723" ref="F4158"/>
    <hyperlink r:id="rId3724" ref="F4159"/>
    <hyperlink r:id="rId3725" ref="F4160"/>
    <hyperlink r:id="rId3726" ref="F4161"/>
    <hyperlink r:id="rId3727" ref="F4162"/>
    <hyperlink r:id="rId3728" ref="F4163"/>
    <hyperlink r:id="rId3729" ref="F4164"/>
    <hyperlink r:id="rId3730" ref="F4165"/>
    <hyperlink r:id="rId3731" ref="F4166"/>
    <hyperlink r:id="rId3732" ref="F4167"/>
    <hyperlink r:id="rId3733" ref="F4168"/>
    <hyperlink r:id="rId3734" ref="F4169"/>
    <hyperlink r:id="rId3735" ref="F4171"/>
    <hyperlink r:id="rId3736" ref="F4172"/>
    <hyperlink r:id="rId3737" ref="F4173"/>
    <hyperlink r:id="rId3738" ref="F4174"/>
    <hyperlink r:id="rId3739" ref="F4175"/>
    <hyperlink r:id="rId3740" ref="F4176"/>
    <hyperlink r:id="rId3741" ref="F4177"/>
    <hyperlink r:id="rId3742" ref="F4178"/>
    <hyperlink r:id="rId3743" ref="F4179"/>
    <hyperlink r:id="rId3744" ref="F4180"/>
    <hyperlink r:id="rId3745" ref="F4181"/>
    <hyperlink r:id="rId3746" ref="F4182"/>
    <hyperlink r:id="rId3747" ref="F4183"/>
    <hyperlink r:id="rId3748" ref="F4184"/>
    <hyperlink r:id="rId3749" ref="F4185"/>
    <hyperlink r:id="rId3750" ref="F4186"/>
    <hyperlink r:id="rId3751" ref="F4187"/>
    <hyperlink r:id="rId3752" ref="F4188"/>
    <hyperlink r:id="rId3753" ref="F4189"/>
    <hyperlink r:id="rId3754" ref="F4190"/>
    <hyperlink r:id="rId3755" ref="F4191"/>
    <hyperlink r:id="rId3756" ref="F4192"/>
    <hyperlink r:id="rId3757" ref="F4193"/>
    <hyperlink r:id="rId3758" ref="F4194"/>
    <hyperlink r:id="rId3759" ref="F4196"/>
    <hyperlink r:id="rId3760" ref="F4197"/>
    <hyperlink r:id="rId3761" ref="F4198"/>
    <hyperlink r:id="rId3762" ref="F4199"/>
    <hyperlink r:id="rId3763" ref="F4200"/>
    <hyperlink r:id="rId3764" ref="F4201"/>
    <hyperlink r:id="rId3765" ref="F4202"/>
    <hyperlink r:id="rId3766" ref="F4203"/>
    <hyperlink r:id="rId3767" ref="F4204"/>
    <hyperlink r:id="rId3768" ref="F4205"/>
    <hyperlink r:id="rId3769" ref="F4206"/>
    <hyperlink r:id="rId3770" ref="F4207"/>
    <hyperlink r:id="rId3771" ref="F4208"/>
    <hyperlink r:id="rId3772" ref="F4209"/>
    <hyperlink r:id="rId3773" ref="F4210"/>
    <hyperlink r:id="rId3774" ref="F4211"/>
    <hyperlink r:id="rId3775" ref="F4212"/>
    <hyperlink r:id="rId3776" ref="F4213"/>
    <hyperlink r:id="rId3777" ref="F4215"/>
    <hyperlink r:id="rId3778" ref="F4216"/>
    <hyperlink r:id="rId3779" ref="F4217"/>
    <hyperlink r:id="rId3780" ref="F4218"/>
    <hyperlink r:id="rId3781" ref="F4219"/>
    <hyperlink r:id="rId3782" ref="F4220"/>
    <hyperlink r:id="rId3783" ref="F4221"/>
    <hyperlink r:id="rId3784" ref="F4222"/>
    <hyperlink r:id="rId3785" ref="F4224"/>
    <hyperlink r:id="rId3786" ref="F4225"/>
    <hyperlink r:id="rId3787" ref="F4226"/>
    <hyperlink r:id="rId3788" ref="F4227"/>
    <hyperlink r:id="rId3789" ref="F4228"/>
    <hyperlink r:id="rId3790" ref="F4229"/>
    <hyperlink r:id="rId3791" ref="F4231"/>
    <hyperlink r:id="rId3792" ref="F4232"/>
    <hyperlink r:id="rId3793" ref="F4233"/>
    <hyperlink r:id="rId3794" ref="F4234"/>
    <hyperlink r:id="rId3795" ref="F4235"/>
    <hyperlink r:id="rId3796" ref="F4236"/>
    <hyperlink r:id="rId3797" ref="F4237"/>
    <hyperlink r:id="rId3798" ref="F4238"/>
    <hyperlink r:id="rId3799" ref="F4239"/>
    <hyperlink r:id="rId3800" ref="F4240"/>
    <hyperlink r:id="rId3801" ref="F4241"/>
    <hyperlink r:id="rId3802" ref="F4242"/>
    <hyperlink r:id="rId3803" ref="F4243"/>
    <hyperlink r:id="rId3804" ref="F4244"/>
    <hyperlink r:id="rId3805" ref="F4245"/>
    <hyperlink r:id="rId3806" ref="F4246"/>
    <hyperlink r:id="rId3807" ref="F4247"/>
    <hyperlink r:id="rId3808" ref="F4248"/>
    <hyperlink r:id="rId3809" ref="F4249"/>
    <hyperlink r:id="rId3810" ref="F4250"/>
    <hyperlink r:id="rId3811" ref="F4251"/>
    <hyperlink r:id="rId3812" ref="F4252"/>
    <hyperlink r:id="rId3813" ref="F4253"/>
    <hyperlink r:id="rId3814" ref="F4255"/>
    <hyperlink r:id="rId3815" ref="F4256"/>
    <hyperlink r:id="rId3816" ref="F4257"/>
    <hyperlink r:id="rId3817" ref="F4258"/>
    <hyperlink r:id="rId3818" ref="F4259"/>
    <hyperlink r:id="rId3819" ref="F4260"/>
    <hyperlink r:id="rId3820" ref="F4261"/>
    <hyperlink r:id="rId3821" ref="F4262"/>
    <hyperlink r:id="rId3822" ref="F4263"/>
    <hyperlink r:id="rId3823" ref="F4264"/>
    <hyperlink r:id="rId3824" ref="F4265"/>
    <hyperlink r:id="rId3825" ref="F4266"/>
    <hyperlink r:id="rId3826" ref="F4267"/>
    <hyperlink r:id="rId3827" ref="F4268"/>
    <hyperlink r:id="rId3828" ref="F4269"/>
    <hyperlink r:id="rId3829" ref="F4270"/>
    <hyperlink r:id="rId3830" ref="F4271"/>
    <hyperlink r:id="rId3831" ref="F4272"/>
    <hyperlink r:id="rId3832" ref="F4273"/>
    <hyperlink r:id="rId3833" ref="F4274"/>
    <hyperlink r:id="rId3834" ref="F4276"/>
    <hyperlink r:id="rId3835" ref="F4277"/>
    <hyperlink r:id="rId3836" ref="F4279"/>
    <hyperlink r:id="rId3837" ref="F4280"/>
    <hyperlink r:id="rId3838" ref="F4281"/>
    <hyperlink r:id="rId3839" ref="F4282"/>
    <hyperlink r:id="rId3840" ref="F4283"/>
    <hyperlink r:id="rId3841" ref="F4284"/>
    <hyperlink r:id="rId3842" ref="F4285"/>
    <hyperlink r:id="rId3843" ref="F4286"/>
    <hyperlink r:id="rId3844" ref="F4287"/>
    <hyperlink r:id="rId3845" ref="F4288"/>
    <hyperlink r:id="rId3846" ref="F4289"/>
    <hyperlink r:id="rId3847" ref="F4293"/>
    <hyperlink r:id="rId3848" ref="F4294"/>
    <hyperlink r:id="rId3849" ref="F4295"/>
    <hyperlink r:id="rId3850" ref="F4296"/>
    <hyperlink r:id="rId3851" ref="F4297"/>
    <hyperlink r:id="rId3852" ref="F4298"/>
    <hyperlink r:id="rId3853" ref="F4299"/>
    <hyperlink r:id="rId3854" ref="F4300"/>
    <hyperlink r:id="rId3855" ref="F4301"/>
    <hyperlink r:id="rId3856" ref="F4302"/>
    <hyperlink r:id="rId3857" ref="F4303"/>
    <hyperlink r:id="rId3858" ref="F4304"/>
    <hyperlink r:id="rId3859" ref="F4305"/>
    <hyperlink r:id="rId3860" ref="F4306"/>
    <hyperlink r:id="rId3861" ref="F4308"/>
    <hyperlink r:id="rId3862" ref="F4309"/>
    <hyperlink r:id="rId3863" ref="F4310"/>
    <hyperlink r:id="rId3864" ref="F4312"/>
    <hyperlink r:id="rId3865" ref="F4313"/>
    <hyperlink r:id="rId3866" ref="F4314"/>
    <hyperlink r:id="rId3867" ref="F4315"/>
    <hyperlink r:id="rId3868" ref="F4316"/>
    <hyperlink r:id="rId3869" ref="F4317"/>
    <hyperlink r:id="rId3870" ref="F4318"/>
    <hyperlink r:id="rId3871" ref="F4319"/>
    <hyperlink r:id="rId3872" ref="F4320"/>
    <hyperlink r:id="rId3873" ref="F4322"/>
    <hyperlink r:id="rId3874" ref="F4323"/>
    <hyperlink r:id="rId3875" ref="F4325"/>
    <hyperlink r:id="rId3876" ref="F4326"/>
    <hyperlink r:id="rId3877" ref="F4327"/>
    <hyperlink r:id="rId3878" ref="F4328"/>
    <hyperlink r:id="rId3879" ref="F4329"/>
    <hyperlink r:id="rId3880" ref="F4330"/>
    <hyperlink r:id="rId3881" ref="F4331"/>
    <hyperlink r:id="rId3882" ref="F4332"/>
    <hyperlink r:id="rId3883" ref="F4335"/>
    <hyperlink r:id="rId3884" ref="F4337"/>
    <hyperlink r:id="rId3885" ref="F4338"/>
    <hyperlink r:id="rId3886" ref="F4339"/>
    <hyperlink r:id="rId3887" ref="F4341"/>
    <hyperlink r:id="rId3888" ref="F4342"/>
    <hyperlink r:id="rId3889" ref="F4343"/>
    <hyperlink r:id="rId3890" ref="F4344"/>
    <hyperlink r:id="rId3891" ref="F4345"/>
    <hyperlink r:id="rId3892" ref="F4346"/>
    <hyperlink r:id="rId3893" ref="F4347"/>
    <hyperlink r:id="rId3894" ref="F4348"/>
    <hyperlink r:id="rId3895" ref="F4349"/>
    <hyperlink r:id="rId3896" ref="F4350"/>
    <hyperlink r:id="rId3897" ref="F4351"/>
    <hyperlink r:id="rId3898" ref="F4352"/>
    <hyperlink r:id="rId3899" ref="F4353"/>
    <hyperlink r:id="rId3900" ref="F4354"/>
    <hyperlink r:id="rId3901" ref="F4355"/>
    <hyperlink r:id="rId3902" ref="F4356"/>
    <hyperlink r:id="rId3903" ref="F4357"/>
    <hyperlink r:id="rId3904" ref="F4358"/>
    <hyperlink r:id="rId3905" ref="F4359"/>
    <hyperlink r:id="rId3906" ref="F4360"/>
    <hyperlink r:id="rId3907" ref="F4361"/>
    <hyperlink r:id="rId3908" ref="F4362"/>
    <hyperlink r:id="rId3909" ref="F4363"/>
    <hyperlink r:id="rId3910" ref="F4364"/>
    <hyperlink r:id="rId3911" ref="F4366"/>
    <hyperlink r:id="rId3912" ref="F4367"/>
    <hyperlink r:id="rId3913" ref="F4368"/>
    <hyperlink r:id="rId3914" ref="F4369"/>
    <hyperlink r:id="rId3915" ref="F4370"/>
    <hyperlink r:id="rId3916" ref="F4371"/>
    <hyperlink r:id="rId3917" ref="F4372"/>
    <hyperlink r:id="rId3918" ref="F4373"/>
    <hyperlink r:id="rId3919" ref="F4374"/>
    <hyperlink r:id="rId3920" ref="F4375"/>
    <hyperlink r:id="rId3921" ref="F4376"/>
    <hyperlink r:id="rId3922" ref="F4377"/>
    <hyperlink r:id="rId3923" ref="F4378"/>
    <hyperlink r:id="rId3924" ref="F4379"/>
    <hyperlink r:id="rId3925" ref="F4380"/>
    <hyperlink r:id="rId3926" ref="F4382"/>
    <hyperlink r:id="rId3927" ref="F4383"/>
    <hyperlink r:id="rId3928" ref="F4385"/>
    <hyperlink r:id="rId3929" ref="F4386"/>
    <hyperlink r:id="rId3930" ref="F4387"/>
    <hyperlink r:id="rId3931" ref="F4388"/>
    <hyperlink r:id="rId3932" ref="F4389"/>
    <hyperlink r:id="rId3933" ref="F4390"/>
    <hyperlink r:id="rId3934" ref="F4391"/>
    <hyperlink r:id="rId3935" ref="F4392"/>
    <hyperlink r:id="rId3936" ref="F4393"/>
    <hyperlink r:id="rId3937" ref="F4394"/>
    <hyperlink r:id="rId3938" ref="F4395"/>
    <hyperlink r:id="rId3939" ref="F4396"/>
    <hyperlink r:id="rId3940" ref="F4398"/>
    <hyperlink r:id="rId3941" ref="F4399"/>
    <hyperlink r:id="rId3942" ref="F4400"/>
    <hyperlink r:id="rId3943" ref="F4401"/>
    <hyperlink r:id="rId3944" ref="F4402"/>
    <hyperlink r:id="rId3945" ref="F4403"/>
    <hyperlink r:id="rId3946" ref="F4404"/>
    <hyperlink r:id="rId3947" ref="F4405"/>
    <hyperlink r:id="rId3948" ref="F4406"/>
    <hyperlink r:id="rId3949" ref="F4407"/>
    <hyperlink r:id="rId3950" ref="F4408"/>
    <hyperlink r:id="rId3951" ref="F4409"/>
    <hyperlink r:id="rId3952" ref="F4410"/>
    <hyperlink r:id="rId3953" ref="F4411"/>
    <hyperlink r:id="rId3954" ref="F4412"/>
    <hyperlink r:id="rId3955" ref="F4413"/>
    <hyperlink r:id="rId3956" ref="F4414"/>
    <hyperlink r:id="rId3957" ref="F4415"/>
    <hyperlink r:id="rId3958" ref="F4418"/>
    <hyperlink r:id="rId3959" ref="F4419"/>
    <hyperlink r:id="rId3960" ref="F4420"/>
    <hyperlink r:id="rId3961" ref="F4422"/>
    <hyperlink r:id="rId3962" ref="F4423"/>
    <hyperlink r:id="rId3963" ref="F4424"/>
    <hyperlink r:id="rId3964" ref="F4425"/>
    <hyperlink r:id="rId3965" ref="F4426"/>
    <hyperlink r:id="rId3966" ref="F4427"/>
    <hyperlink r:id="rId3967" ref="F4428"/>
    <hyperlink r:id="rId3968" ref="F4429"/>
    <hyperlink r:id="rId3969" ref="F4430"/>
    <hyperlink r:id="rId3970" ref="F4431"/>
    <hyperlink r:id="rId3971" ref="F4432"/>
    <hyperlink r:id="rId3972" ref="F4433"/>
    <hyperlink r:id="rId3973" ref="F4434"/>
    <hyperlink r:id="rId3974" ref="F4435"/>
    <hyperlink r:id="rId3975" ref="F4436"/>
    <hyperlink r:id="rId3976" ref="F4437"/>
    <hyperlink r:id="rId3977" ref="F4438"/>
    <hyperlink r:id="rId3978" ref="F4439"/>
    <hyperlink r:id="rId3979" ref="F4440"/>
    <hyperlink r:id="rId3980" ref="F4442"/>
    <hyperlink r:id="rId3981" ref="F4444"/>
    <hyperlink r:id="rId3982" ref="F4445"/>
    <hyperlink r:id="rId3983" ref="F4446"/>
    <hyperlink r:id="rId3984" ref="F4447"/>
    <hyperlink r:id="rId3985" ref="F4448"/>
    <hyperlink r:id="rId3986" ref="F4449"/>
    <hyperlink r:id="rId3987" ref="F4450"/>
    <hyperlink r:id="rId3988" ref="F4452"/>
    <hyperlink r:id="rId3989" ref="F4453"/>
    <hyperlink r:id="rId3990" ref="F4454"/>
    <hyperlink r:id="rId3991" ref="F4455"/>
    <hyperlink r:id="rId3992" ref="F4456"/>
    <hyperlink r:id="rId3993" ref="F4457"/>
    <hyperlink r:id="rId3994" ref="F4458"/>
    <hyperlink r:id="rId3995" ref="F4459"/>
    <hyperlink r:id="rId3996" ref="F4462"/>
    <hyperlink r:id="rId3997" ref="F4463"/>
    <hyperlink r:id="rId3998" ref="F4464"/>
    <hyperlink r:id="rId3999" ref="F4465"/>
    <hyperlink r:id="rId4000" ref="F4466"/>
    <hyperlink r:id="rId4001" ref="F4467"/>
    <hyperlink r:id="rId4002" ref="F4468"/>
    <hyperlink r:id="rId4003" ref="F4469"/>
    <hyperlink r:id="rId4004" ref="F4470"/>
    <hyperlink r:id="rId4005" ref="F4471"/>
    <hyperlink r:id="rId4006" ref="F4472"/>
    <hyperlink r:id="rId4007" ref="F4473"/>
    <hyperlink r:id="rId4008" ref="F4474"/>
    <hyperlink r:id="rId4009" ref="F4475"/>
    <hyperlink r:id="rId4010" ref="F4476"/>
    <hyperlink r:id="rId4011" ref="F4477"/>
    <hyperlink r:id="rId4012" ref="F4479"/>
    <hyperlink r:id="rId4013" ref="F4480"/>
    <hyperlink r:id="rId4014" ref="F4482"/>
    <hyperlink r:id="rId4015" ref="F4483"/>
    <hyperlink r:id="rId4016" ref="F4484"/>
    <hyperlink r:id="rId4017" ref="F4485"/>
    <hyperlink r:id="rId4018" ref="F4486"/>
    <hyperlink r:id="rId4019" ref="F4487"/>
    <hyperlink r:id="rId4020" ref="F4488"/>
    <hyperlink r:id="rId4021" ref="F4489"/>
    <hyperlink r:id="rId4022" ref="F4490"/>
    <hyperlink r:id="rId4023" ref="F4491"/>
    <hyperlink r:id="rId4024" ref="F4492"/>
    <hyperlink r:id="rId4025" ref="F4493"/>
    <hyperlink r:id="rId4026" ref="F4494"/>
    <hyperlink r:id="rId4027" ref="F4496"/>
    <hyperlink r:id="rId4028" ref="F4497"/>
    <hyperlink r:id="rId4029" ref="F4498"/>
    <hyperlink r:id="rId4030" ref="F4499"/>
    <hyperlink r:id="rId4031" ref="F4500"/>
    <hyperlink r:id="rId4032" ref="F4501"/>
    <hyperlink r:id="rId4033" ref="F4502"/>
    <hyperlink r:id="rId4034" ref="F4503"/>
    <hyperlink r:id="rId4035" ref="F4504"/>
    <hyperlink r:id="rId4036" ref="F4505"/>
    <hyperlink r:id="rId4037" ref="F4506"/>
    <hyperlink r:id="rId4038" ref="F4507"/>
    <hyperlink r:id="rId4039" ref="F4509"/>
    <hyperlink r:id="rId4040" ref="F4511"/>
    <hyperlink r:id="rId4041" ref="F4512"/>
    <hyperlink r:id="rId4042" ref="F4513"/>
    <hyperlink r:id="rId4043" ref="F4514"/>
    <hyperlink r:id="rId4044" ref="F4515"/>
    <hyperlink r:id="rId4045" ref="F4516"/>
    <hyperlink r:id="rId4046" ref="F4517"/>
    <hyperlink r:id="rId4047" ref="F4518"/>
    <hyperlink r:id="rId4048" ref="F4519"/>
    <hyperlink r:id="rId4049" ref="F4520"/>
    <hyperlink r:id="rId4050" ref="F4522"/>
    <hyperlink r:id="rId4051" ref="F4523"/>
    <hyperlink r:id="rId4052" ref="F4524"/>
    <hyperlink r:id="rId4053" ref="F4525"/>
    <hyperlink r:id="rId4054" ref="F4526"/>
    <hyperlink r:id="rId4055" ref="F4527"/>
    <hyperlink r:id="rId4056" ref="F4528"/>
    <hyperlink r:id="rId4057" ref="F4530"/>
    <hyperlink r:id="rId4058" ref="F4531"/>
    <hyperlink r:id="rId4059" ref="F4532"/>
    <hyperlink r:id="rId4060" ref="F4533"/>
    <hyperlink r:id="rId4061" ref="F4534"/>
    <hyperlink r:id="rId4062" ref="F4535"/>
    <hyperlink r:id="rId4063" ref="F4536"/>
    <hyperlink r:id="rId4064" ref="F4537"/>
    <hyperlink r:id="rId4065" ref="F4538"/>
    <hyperlink r:id="rId4066" ref="F4539"/>
    <hyperlink r:id="rId4067" ref="F4540"/>
    <hyperlink r:id="rId4068" ref="F4541"/>
    <hyperlink r:id="rId4069" ref="F4542"/>
    <hyperlink r:id="rId4070" ref="F4543"/>
    <hyperlink r:id="rId4071" ref="F4544"/>
    <hyperlink r:id="rId4072" ref="F4545"/>
    <hyperlink r:id="rId4073" ref="F4546"/>
    <hyperlink r:id="rId4074" ref="F4548"/>
    <hyperlink r:id="rId4075" ref="F4549"/>
    <hyperlink r:id="rId4076" ref="F4550"/>
    <hyperlink r:id="rId4077" ref="F4551"/>
    <hyperlink r:id="rId4078" ref="F4552"/>
    <hyperlink r:id="rId4079" ref="F4554"/>
    <hyperlink r:id="rId4080" ref="F4555"/>
    <hyperlink r:id="rId4081" ref="F4556"/>
    <hyperlink r:id="rId4082" ref="F4557"/>
    <hyperlink r:id="rId4083" ref="F4558"/>
    <hyperlink r:id="rId4084" ref="F4562"/>
    <hyperlink r:id="rId4085" ref="F4564"/>
    <hyperlink r:id="rId4086" ref="F4565"/>
    <hyperlink r:id="rId4087" ref="F4566"/>
    <hyperlink r:id="rId4088" ref="F4568"/>
    <hyperlink r:id="rId4089" ref="F4569"/>
    <hyperlink r:id="rId4090" ref="F4570"/>
    <hyperlink r:id="rId4091" ref="F4571"/>
    <hyperlink r:id="rId4092" ref="F4572"/>
    <hyperlink r:id="rId4093" ref="F4574"/>
    <hyperlink r:id="rId4094" ref="F4575"/>
    <hyperlink r:id="rId4095" ref="F4576"/>
    <hyperlink r:id="rId4096" ref="F4577"/>
    <hyperlink r:id="rId4097" ref="F4578"/>
    <hyperlink r:id="rId4098" ref="F4579"/>
    <hyperlink r:id="rId4099" ref="F4580"/>
    <hyperlink r:id="rId4100" ref="F4581"/>
    <hyperlink r:id="rId4101" ref="F4582"/>
    <hyperlink r:id="rId4102" ref="F4584"/>
    <hyperlink r:id="rId4103" ref="F4585"/>
    <hyperlink r:id="rId4104" ref="F4586"/>
    <hyperlink r:id="rId4105" ref="F4587"/>
    <hyperlink r:id="rId4106" ref="F4588"/>
    <hyperlink r:id="rId4107" ref="F4589"/>
    <hyperlink r:id="rId4108" ref="F4590"/>
    <hyperlink r:id="rId4109" ref="F4591"/>
    <hyperlink r:id="rId4110" ref="F4592"/>
    <hyperlink r:id="rId4111" ref="F4593"/>
    <hyperlink r:id="rId4112" ref="F4596"/>
    <hyperlink r:id="rId4113" ref="F4600"/>
    <hyperlink r:id="rId4114" ref="F4601"/>
    <hyperlink r:id="rId4115" ref="F4602"/>
    <hyperlink r:id="rId4116" ref="F4603"/>
    <hyperlink r:id="rId4117" ref="F4604"/>
    <hyperlink r:id="rId4118" ref="F4605"/>
    <hyperlink r:id="rId4119" ref="F4606"/>
    <hyperlink r:id="rId4120" ref="F4607"/>
    <hyperlink r:id="rId4121" ref="F4608"/>
    <hyperlink r:id="rId4122" ref="F4609"/>
    <hyperlink r:id="rId4123" ref="F4610"/>
    <hyperlink r:id="rId4124" ref="F4611"/>
    <hyperlink r:id="rId4125" ref="F4612"/>
    <hyperlink r:id="rId4126" ref="F4613"/>
    <hyperlink r:id="rId4127" ref="F4614"/>
    <hyperlink r:id="rId4128" ref="F4615"/>
    <hyperlink r:id="rId4129" ref="F4616"/>
    <hyperlink r:id="rId4130" ref="F4617"/>
    <hyperlink r:id="rId4131" ref="F4618"/>
    <hyperlink r:id="rId4132" ref="F4619"/>
    <hyperlink r:id="rId4133" ref="F4622"/>
    <hyperlink r:id="rId4134" ref="F4623"/>
    <hyperlink r:id="rId4135" ref="F4624"/>
    <hyperlink r:id="rId4136" ref="F4625"/>
    <hyperlink r:id="rId4137" ref="F4626"/>
    <hyperlink r:id="rId4138" ref="F4627"/>
    <hyperlink r:id="rId4139" ref="F4628"/>
    <hyperlink r:id="rId4140" ref="F4629"/>
    <hyperlink r:id="rId4141" ref="F4630"/>
    <hyperlink r:id="rId4142" ref="F4631"/>
    <hyperlink r:id="rId4143" ref="F4632"/>
    <hyperlink r:id="rId4144" ref="F4633"/>
    <hyperlink r:id="rId4145" ref="F4634"/>
    <hyperlink r:id="rId4146" ref="F4635"/>
    <hyperlink r:id="rId4147" ref="F4636"/>
    <hyperlink r:id="rId4148" ref="F4637"/>
    <hyperlink r:id="rId4149" ref="F4639"/>
    <hyperlink r:id="rId4150" ref="F4640"/>
    <hyperlink r:id="rId4151" ref="F4641"/>
    <hyperlink r:id="rId4152" ref="F4642"/>
    <hyperlink r:id="rId4153" ref="F4643"/>
    <hyperlink r:id="rId4154" ref="F4644"/>
    <hyperlink r:id="rId4155" ref="F4645"/>
    <hyperlink r:id="rId4156" ref="F4646"/>
    <hyperlink r:id="rId4157" ref="F4647"/>
    <hyperlink r:id="rId4158" ref="F4648"/>
    <hyperlink r:id="rId4159" ref="F4649"/>
    <hyperlink r:id="rId4160" ref="F4650"/>
    <hyperlink r:id="rId4161" ref="F4651"/>
    <hyperlink r:id="rId4162" ref="F4652"/>
    <hyperlink r:id="rId4163" ref="F4653"/>
    <hyperlink r:id="rId4164" ref="F4654"/>
    <hyperlink r:id="rId4165" ref="F4655"/>
    <hyperlink r:id="rId4166" ref="F4656"/>
    <hyperlink r:id="rId4167" ref="F4657"/>
    <hyperlink r:id="rId4168" ref="F4658"/>
    <hyperlink r:id="rId4169" ref="F4659"/>
    <hyperlink r:id="rId4170" ref="F4661"/>
    <hyperlink r:id="rId4171" ref="F4663"/>
    <hyperlink r:id="rId4172" ref="F4667"/>
    <hyperlink r:id="rId4173" ref="F4668"/>
    <hyperlink r:id="rId4174" ref="F4669"/>
    <hyperlink r:id="rId4175" ref="F4670"/>
    <hyperlink r:id="rId4176" ref="F4671"/>
    <hyperlink r:id="rId4177" ref="F4672"/>
    <hyperlink r:id="rId4178" ref="F4673"/>
    <hyperlink r:id="rId4179" ref="F4674"/>
    <hyperlink r:id="rId4180" ref="F4675"/>
    <hyperlink r:id="rId4181" ref="F4676"/>
    <hyperlink r:id="rId4182" ref="F4677"/>
    <hyperlink r:id="rId4183" ref="F4678"/>
    <hyperlink r:id="rId4184" ref="F4679"/>
    <hyperlink r:id="rId4185" ref="F4680"/>
    <hyperlink r:id="rId4186" ref="F4681"/>
    <hyperlink r:id="rId4187" ref="F4682"/>
    <hyperlink r:id="rId4188" ref="F4683"/>
    <hyperlink r:id="rId4189" ref="F4684"/>
    <hyperlink r:id="rId4190" ref="F4685"/>
    <hyperlink r:id="rId4191" ref="F4686"/>
    <hyperlink r:id="rId4192" ref="F4687"/>
    <hyperlink r:id="rId4193" ref="F4688"/>
    <hyperlink r:id="rId4194" ref="F4689"/>
    <hyperlink r:id="rId4195" ref="F4690"/>
    <hyperlink r:id="rId4196" ref="F4691"/>
    <hyperlink r:id="rId4197" ref="F4693"/>
    <hyperlink r:id="rId4198" ref="F4696"/>
    <hyperlink r:id="rId4199" ref="F4697"/>
    <hyperlink r:id="rId4200" ref="F4698"/>
    <hyperlink r:id="rId4201" ref="F4699"/>
    <hyperlink r:id="rId4202" ref="F4700"/>
    <hyperlink r:id="rId4203" ref="F4701"/>
    <hyperlink r:id="rId4204" ref="F4702"/>
    <hyperlink r:id="rId4205" ref="F4703"/>
    <hyperlink r:id="rId4206" ref="F4704"/>
    <hyperlink r:id="rId4207" ref="F4705"/>
    <hyperlink r:id="rId4208" ref="F4706"/>
    <hyperlink r:id="rId4209" ref="F4707"/>
    <hyperlink r:id="rId4210" ref="F4708"/>
    <hyperlink r:id="rId4211" ref="F4709"/>
    <hyperlink r:id="rId4212" ref="F4710"/>
    <hyperlink r:id="rId4213" ref="F4711"/>
    <hyperlink r:id="rId4214" ref="F4712"/>
    <hyperlink r:id="rId4215" ref="F4713"/>
    <hyperlink r:id="rId4216" ref="F4714"/>
    <hyperlink r:id="rId4217" ref="F4715"/>
    <hyperlink r:id="rId4218" ref="F4716"/>
    <hyperlink r:id="rId4219" ref="F4717"/>
    <hyperlink r:id="rId4220" ref="F4718"/>
    <hyperlink r:id="rId4221" ref="F4719"/>
    <hyperlink r:id="rId4222" ref="F4720"/>
    <hyperlink r:id="rId4223" ref="F4721"/>
    <hyperlink r:id="rId4224" ref="F4722"/>
    <hyperlink r:id="rId4225" ref="F4724"/>
    <hyperlink r:id="rId4226" ref="F4725"/>
    <hyperlink r:id="rId4227" ref="F4726"/>
    <hyperlink r:id="rId4228" ref="F4727"/>
    <hyperlink r:id="rId4229" ref="F4728"/>
    <hyperlink r:id="rId4230" ref="F4729"/>
    <hyperlink r:id="rId4231" ref="F4730"/>
    <hyperlink r:id="rId4232" ref="F4731"/>
    <hyperlink r:id="rId4233" ref="F4733"/>
    <hyperlink r:id="rId4234" ref="F4734"/>
    <hyperlink r:id="rId4235" ref="F4735"/>
    <hyperlink r:id="rId4236" ref="F4736"/>
    <hyperlink r:id="rId4237" ref="F4737"/>
    <hyperlink r:id="rId4238" ref="F4738"/>
    <hyperlink r:id="rId4239" ref="F4739"/>
    <hyperlink r:id="rId4240" ref="F4740"/>
    <hyperlink r:id="rId4241" ref="F4741"/>
    <hyperlink r:id="rId4242" ref="F4742"/>
    <hyperlink r:id="rId4243" ref="F4743"/>
    <hyperlink r:id="rId4244" ref="F4744"/>
    <hyperlink r:id="rId4245" ref="F4745"/>
    <hyperlink r:id="rId4246" ref="F4746"/>
    <hyperlink r:id="rId4247" ref="F4748"/>
    <hyperlink r:id="rId4248" ref="F4749"/>
    <hyperlink r:id="rId4249" ref="F4750"/>
    <hyperlink r:id="rId4250" ref="F4751"/>
    <hyperlink r:id="rId4251" ref="F4752"/>
    <hyperlink r:id="rId4252" ref="F4753"/>
    <hyperlink r:id="rId4253" ref="F4754"/>
    <hyperlink r:id="rId4254" ref="F4755"/>
    <hyperlink r:id="rId4255" ref="F4756"/>
    <hyperlink r:id="rId4256" ref="F4757"/>
    <hyperlink r:id="rId4257" ref="F4758"/>
    <hyperlink r:id="rId4258" ref="F4759"/>
    <hyperlink r:id="rId4259" ref="F4760"/>
    <hyperlink r:id="rId4260" ref="F4763"/>
    <hyperlink r:id="rId4261" ref="F4764"/>
    <hyperlink r:id="rId4262" ref="F4765"/>
    <hyperlink r:id="rId4263" ref="F4766"/>
    <hyperlink r:id="rId4264" ref="F4767"/>
    <hyperlink r:id="rId4265" ref="F4768"/>
    <hyperlink r:id="rId4266" ref="F4769"/>
    <hyperlink r:id="rId4267" ref="F4770"/>
    <hyperlink r:id="rId4268" ref="F4774"/>
    <hyperlink r:id="rId4269" ref="F4775"/>
    <hyperlink r:id="rId4270" ref="F4776"/>
    <hyperlink r:id="rId4271" ref="F4777"/>
    <hyperlink r:id="rId4272" ref="F4778"/>
    <hyperlink r:id="rId4273" ref="F4779"/>
    <hyperlink r:id="rId4274" ref="F4780"/>
    <hyperlink r:id="rId4275" ref="F4781"/>
    <hyperlink r:id="rId4276" ref="F4782"/>
    <hyperlink r:id="rId4277" ref="F4783"/>
    <hyperlink r:id="rId4278" ref="F4784"/>
    <hyperlink r:id="rId4279" ref="F4785"/>
    <hyperlink r:id="rId4280" ref="F4786"/>
    <hyperlink r:id="rId4281" ref="F4787"/>
    <hyperlink r:id="rId4282" ref="F4788"/>
    <hyperlink r:id="rId4283" ref="F4790"/>
    <hyperlink r:id="rId4284" ref="F4791"/>
    <hyperlink r:id="rId4285" ref="F4792"/>
    <hyperlink r:id="rId4286" ref="F4793"/>
    <hyperlink r:id="rId4287" ref="F4795"/>
    <hyperlink r:id="rId4288" ref="F4796"/>
    <hyperlink r:id="rId4289" ref="F4797"/>
    <hyperlink r:id="rId4290" ref="F4798"/>
    <hyperlink r:id="rId4291" ref="F4799"/>
    <hyperlink r:id="rId4292" ref="F4800"/>
    <hyperlink r:id="rId4293" ref="F4802"/>
    <hyperlink r:id="rId4294" ref="F4803"/>
    <hyperlink r:id="rId4295" ref="F4804"/>
    <hyperlink r:id="rId4296" ref="F4805"/>
    <hyperlink r:id="rId4297" ref="F4806"/>
    <hyperlink r:id="rId4298" ref="F4807"/>
    <hyperlink r:id="rId4299" ref="F4808"/>
    <hyperlink r:id="rId4300" ref="F4809"/>
    <hyperlink r:id="rId4301" ref="F4810"/>
    <hyperlink r:id="rId4302" ref="F4811"/>
    <hyperlink r:id="rId4303" ref="F4812"/>
    <hyperlink r:id="rId4304" ref="F4813"/>
    <hyperlink r:id="rId4305" ref="F4814"/>
    <hyperlink r:id="rId4306" ref="F4815"/>
    <hyperlink r:id="rId4307" ref="F4816"/>
    <hyperlink r:id="rId4308" ref="F4817"/>
    <hyperlink r:id="rId4309" ref="F4818"/>
    <hyperlink r:id="rId4310" ref="F4820"/>
    <hyperlink r:id="rId4311" ref="F4821"/>
    <hyperlink r:id="rId4312" ref="F4822"/>
    <hyperlink r:id="rId4313" ref="F4823"/>
    <hyperlink r:id="rId4314" ref="F4824"/>
    <hyperlink r:id="rId4315" ref="F4825"/>
    <hyperlink r:id="rId4316" ref="F4826"/>
    <hyperlink r:id="rId4317" ref="F4827"/>
    <hyperlink r:id="rId4318" ref="F4828"/>
    <hyperlink r:id="rId4319" ref="F4831"/>
    <hyperlink r:id="rId4320" ref="F4832"/>
    <hyperlink r:id="rId4321" ref="F4834"/>
    <hyperlink r:id="rId4322" ref="F4835"/>
    <hyperlink r:id="rId4323" ref="F4836"/>
    <hyperlink r:id="rId4324" ref="F4837"/>
    <hyperlink r:id="rId4325" ref="F4838"/>
    <hyperlink r:id="rId4326" ref="F4839"/>
    <hyperlink r:id="rId4327" ref="F4840"/>
    <hyperlink r:id="rId4328" ref="F4841"/>
    <hyperlink r:id="rId4329" ref="F4842"/>
    <hyperlink r:id="rId4330" ref="F4843"/>
    <hyperlink r:id="rId4331" ref="F4844"/>
    <hyperlink r:id="rId4332" ref="F4845"/>
    <hyperlink r:id="rId4333" ref="F4846"/>
    <hyperlink r:id="rId4334" ref="F4847"/>
    <hyperlink r:id="rId4335" ref="F4848"/>
    <hyperlink r:id="rId4336" ref="F4849"/>
    <hyperlink r:id="rId4337" ref="F4850"/>
    <hyperlink r:id="rId4338" ref="F4851"/>
    <hyperlink r:id="rId4339" ref="F4852"/>
    <hyperlink r:id="rId4340" ref="F4853"/>
    <hyperlink r:id="rId4341" ref="F4854"/>
    <hyperlink r:id="rId4342" ref="F4855"/>
    <hyperlink r:id="rId4343" ref="F4856"/>
    <hyperlink r:id="rId4344" ref="F4857"/>
    <hyperlink r:id="rId4345" ref="F4858"/>
    <hyperlink r:id="rId4346" ref="F4859"/>
    <hyperlink r:id="rId4347" ref="F4860"/>
    <hyperlink r:id="rId4348" ref="F4861"/>
    <hyperlink r:id="rId4349" ref="F4862"/>
    <hyperlink r:id="rId4350" ref="F4863"/>
    <hyperlink r:id="rId4351" ref="F4864"/>
    <hyperlink r:id="rId4352" ref="F4865"/>
    <hyperlink r:id="rId4353" ref="F4866"/>
    <hyperlink r:id="rId4354" ref="F4867"/>
    <hyperlink r:id="rId4355" ref="F4868"/>
    <hyperlink r:id="rId4356" ref="F4869"/>
    <hyperlink r:id="rId4357" ref="F4870"/>
    <hyperlink r:id="rId4358" ref="F4871"/>
    <hyperlink r:id="rId4359" ref="F4872"/>
    <hyperlink r:id="rId4360" ref="F4873"/>
    <hyperlink r:id="rId4361" ref="F4874"/>
    <hyperlink r:id="rId4362" ref="F4875"/>
    <hyperlink r:id="rId4363" ref="F4876"/>
    <hyperlink r:id="rId4364" ref="F4877"/>
    <hyperlink r:id="rId4365" ref="F4878"/>
    <hyperlink r:id="rId4366" ref="F4879"/>
    <hyperlink r:id="rId4367" ref="F4880"/>
    <hyperlink r:id="rId4368" ref="F4882"/>
    <hyperlink r:id="rId4369" ref="F4883"/>
    <hyperlink r:id="rId4370" ref="F4884"/>
    <hyperlink r:id="rId4371" ref="F4885"/>
    <hyperlink r:id="rId4372" ref="F4886"/>
    <hyperlink r:id="rId4373" ref="F4887"/>
    <hyperlink r:id="rId4374" ref="F4888"/>
    <hyperlink r:id="rId4375" ref="F4889"/>
    <hyperlink r:id="rId4376" ref="F4890"/>
    <hyperlink r:id="rId4377" ref="F4891"/>
    <hyperlink r:id="rId4378" ref="F4892"/>
    <hyperlink r:id="rId4379" ref="F4893"/>
    <hyperlink r:id="rId4380" ref="F4894"/>
    <hyperlink r:id="rId4381" ref="F4895"/>
    <hyperlink r:id="rId4382" ref="F4896"/>
    <hyperlink r:id="rId4383" ref="F4897"/>
    <hyperlink r:id="rId4384" ref="F4898"/>
    <hyperlink r:id="rId4385" ref="F4899"/>
    <hyperlink r:id="rId4386" ref="F4900"/>
    <hyperlink r:id="rId4387" ref="F4901"/>
    <hyperlink r:id="rId4388" ref="F4902"/>
    <hyperlink r:id="rId4389" ref="F4903"/>
    <hyperlink r:id="rId4390" ref="F4904"/>
    <hyperlink r:id="rId4391" ref="F4905"/>
    <hyperlink r:id="rId4392" ref="F4906"/>
    <hyperlink r:id="rId4393" ref="F4907"/>
    <hyperlink r:id="rId4394" ref="F4908"/>
    <hyperlink r:id="rId4395" ref="F4909"/>
    <hyperlink r:id="rId4396" ref="F4910"/>
    <hyperlink r:id="rId4397" ref="F4911"/>
    <hyperlink r:id="rId4398" ref="F4912"/>
    <hyperlink r:id="rId4399" ref="F4913"/>
    <hyperlink r:id="rId4400" ref="F4914"/>
    <hyperlink r:id="rId4401" ref="F4915"/>
    <hyperlink r:id="rId4402" ref="F4916"/>
    <hyperlink r:id="rId4403" ref="F4917"/>
    <hyperlink r:id="rId4404" ref="F4918"/>
    <hyperlink r:id="rId4405" ref="F4919"/>
    <hyperlink r:id="rId4406" ref="F4920"/>
    <hyperlink r:id="rId4407" ref="F4921"/>
    <hyperlink r:id="rId4408" ref="F4922"/>
    <hyperlink r:id="rId4409" ref="F4923"/>
    <hyperlink r:id="rId4410" ref="F4924"/>
    <hyperlink r:id="rId4411" ref="F4925"/>
    <hyperlink r:id="rId4412" ref="F4926"/>
    <hyperlink r:id="rId4413" ref="F4927"/>
    <hyperlink r:id="rId4414" ref="F4928"/>
    <hyperlink r:id="rId4415" ref="F4929"/>
    <hyperlink r:id="rId4416" ref="F4930"/>
    <hyperlink r:id="rId4417" ref="F4931"/>
    <hyperlink r:id="rId4418" ref="F4932"/>
    <hyperlink r:id="rId4419" ref="F4933"/>
    <hyperlink r:id="rId4420" ref="F4934"/>
    <hyperlink r:id="rId4421" ref="F4935"/>
    <hyperlink r:id="rId4422" ref="F4936"/>
    <hyperlink r:id="rId4423" ref="F4937"/>
    <hyperlink r:id="rId4424" ref="F4938"/>
    <hyperlink r:id="rId4425" ref="F4939"/>
    <hyperlink r:id="rId4426" ref="F4940"/>
    <hyperlink r:id="rId4427" ref="F4941"/>
    <hyperlink r:id="rId4428" ref="F4942"/>
    <hyperlink r:id="rId4429" ref="F4943"/>
    <hyperlink r:id="rId4430" ref="F4944"/>
    <hyperlink r:id="rId4431" ref="F4945"/>
    <hyperlink r:id="rId4432" ref="F4946"/>
    <hyperlink r:id="rId4433" ref="F4948"/>
    <hyperlink r:id="rId4434" ref="F4950"/>
    <hyperlink r:id="rId4435" ref="F4951"/>
    <hyperlink r:id="rId4436" ref="F4952"/>
    <hyperlink r:id="rId4437" ref="F4953"/>
    <hyperlink r:id="rId4438" ref="F4954"/>
    <hyperlink r:id="rId4439" ref="F4955"/>
    <hyperlink r:id="rId4440" ref="F4956"/>
    <hyperlink r:id="rId4441" ref="F4957"/>
    <hyperlink r:id="rId4442" ref="F4958"/>
    <hyperlink r:id="rId4443" ref="F4959"/>
    <hyperlink r:id="rId4444" ref="F4960"/>
    <hyperlink r:id="rId4445" ref="F4961"/>
    <hyperlink r:id="rId4446" ref="F4962"/>
    <hyperlink r:id="rId4447" ref="F4963"/>
    <hyperlink r:id="rId4448" ref="F4964"/>
    <hyperlink r:id="rId4449" ref="F4965"/>
    <hyperlink r:id="rId4450" ref="F4966"/>
    <hyperlink r:id="rId4451" ref="F4967"/>
    <hyperlink r:id="rId4452" ref="F4968"/>
    <hyperlink r:id="rId4453" ref="F4970"/>
    <hyperlink r:id="rId4454" ref="F4971"/>
    <hyperlink r:id="rId4455" ref="F4972"/>
    <hyperlink r:id="rId4456" ref="F4973"/>
    <hyperlink r:id="rId4457" ref="F4975"/>
    <hyperlink r:id="rId4458" ref="F4976"/>
    <hyperlink r:id="rId4459" ref="F4978"/>
    <hyperlink r:id="rId4460" ref="F4979"/>
    <hyperlink r:id="rId4461" ref="F4980"/>
    <hyperlink r:id="rId4462" ref="F4981"/>
    <hyperlink r:id="rId4463" ref="F4982"/>
    <hyperlink r:id="rId4464" ref="F4983"/>
    <hyperlink r:id="rId4465" ref="F4984"/>
    <hyperlink r:id="rId4466" ref="F4985"/>
    <hyperlink r:id="rId4467" ref="F4986"/>
    <hyperlink r:id="rId4468" ref="F4987"/>
    <hyperlink r:id="rId4469" ref="F4988"/>
    <hyperlink r:id="rId4470" ref="F4989"/>
    <hyperlink r:id="rId4471" ref="F4990"/>
    <hyperlink r:id="rId4472" ref="F4992"/>
    <hyperlink r:id="rId4473" ref="F4993"/>
    <hyperlink r:id="rId4474" ref="F4995"/>
    <hyperlink r:id="rId4475" ref="F4996"/>
    <hyperlink r:id="rId4476" ref="F4999"/>
    <hyperlink r:id="rId4477" ref="F5001"/>
    <hyperlink r:id="rId4478" ref="F5002"/>
    <hyperlink r:id="rId4479" ref="F5003"/>
    <hyperlink r:id="rId4480" ref="F5004"/>
    <hyperlink r:id="rId4481" ref="F5005"/>
    <hyperlink r:id="rId4482" ref="F5006"/>
    <hyperlink r:id="rId4483" ref="F5007"/>
    <hyperlink r:id="rId4484" ref="F5008"/>
    <hyperlink r:id="rId4485" ref="F5009"/>
    <hyperlink r:id="rId4486" ref="F5010"/>
    <hyperlink r:id="rId4487" ref="F5011"/>
    <hyperlink r:id="rId4488" ref="F5012"/>
    <hyperlink r:id="rId4489" ref="F5013"/>
    <hyperlink r:id="rId4490" ref="F5014"/>
    <hyperlink r:id="rId4491" ref="F5016"/>
    <hyperlink r:id="rId4492" ref="F5017"/>
    <hyperlink r:id="rId4493" ref="F5018"/>
    <hyperlink r:id="rId4494" ref="F5019"/>
    <hyperlink r:id="rId4495" ref="F5020"/>
    <hyperlink r:id="rId4496" ref="F5021"/>
    <hyperlink r:id="rId4497" ref="F5022"/>
    <hyperlink r:id="rId4498" ref="F5023"/>
    <hyperlink r:id="rId4499" ref="F5024"/>
    <hyperlink r:id="rId4500" ref="F5025"/>
    <hyperlink r:id="rId4501" ref="F5026"/>
    <hyperlink r:id="rId4502" ref="F5027"/>
    <hyperlink r:id="rId4503" ref="F5030"/>
    <hyperlink r:id="rId4504" ref="F5031"/>
    <hyperlink r:id="rId4505" ref="F5032"/>
    <hyperlink r:id="rId4506" ref="F5034"/>
    <hyperlink r:id="rId4507" ref="F5035"/>
    <hyperlink r:id="rId4508" ref="F5036"/>
    <hyperlink r:id="rId4509" ref="F5037"/>
    <hyperlink r:id="rId4510" ref="F5038"/>
    <hyperlink r:id="rId4511" ref="F5039"/>
    <hyperlink r:id="rId4512" ref="F5040"/>
    <hyperlink r:id="rId4513" ref="F5041"/>
    <hyperlink r:id="rId4514" ref="F5042"/>
    <hyperlink r:id="rId4515" ref="F5043"/>
    <hyperlink r:id="rId4516" ref="F5044"/>
    <hyperlink r:id="rId4517" ref="F5045"/>
    <hyperlink r:id="rId4518" ref="F5046"/>
    <hyperlink r:id="rId4519" ref="F5047"/>
    <hyperlink r:id="rId4520" ref="F5049"/>
    <hyperlink r:id="rId4521" ref="F5050"/>
    <hyperlink r:id="rId4522" ref="F5051"/>
    <hyperlink r:id="rId4523" ref="F5052"/>
    <hyperlink r:id="rId4524" ref="F5053"/>
    <hyperlink r:id="rId4525" ref="F5055"/>
    <hyperlink r:id="rId4526" ref="F5056"/>
    <hyperlink r:id="rId4527" ref="F5057"/>
    <hyperlink r:id="rId4528" ref="F5058"/>
    <hyperlink r:id="rId4529" ref="F5059"/>
    <hyperlink r:id="rId4530" ref="F5060"/>
    <hyperlink r:id="rId4531" ref="F5061"/>
    <hyperlink r:id="rId4532" ref="F5062"/>
    <hyperlink r:id="rId4533" ref="F5063"/>
    <hyperlink r:id="rId4534" ref="F5064"/>
    <hyperlink r:id="rId4535" ref="F5065"/>
    <hyperlink r:id="rId4536" ref="F5066"/>
    <hyperlink r:id="rId4537" ref="F5067"/>
    <hyperlink r:id="rId4538" ref="F5068"/>
    <hyperlink r:id="rId4539" ref="F5069"/>
    <hyperlink r:id="rId4540" ref="F5070"/>
    <hyperlink r:id="rId4541" ref="F5071"/>
    <hyperlink r:id="rId4542" ref="F5072"/>
    <hyperlink r:id="rId4543" ref="F5073"/>
    <hyperlink r:id="rId4544" ref="F5074"/>
    <hyperlink r:id="rId4545" ref="F5075"/>
    <hyperlink r:id="rId4546" ref="F5077"/>
    <hyperlink r:id="rId4547" ref="F5080"/>
    <hyperlink r:id="rId4548" ref="F5081"/>
    <hyperlink r:id="rId4549" ref="F5082"/>
    <hyperlink r:id="rId4550" ref="F5083"/>
    <hyperlink r:id="rId4551" ref="F5084"/>
    <hyperlink r:id="rId4552" ref="F5085"/>
    <hyperlink r:id="rId4553" ref="F5086"/>
    <hyperlink r:id="rId4554" ref="F5087"/>
    <hyperlink r:id="rId4555" ref="F5088"/>
    <hyperlink r:id="rId4556" ref="F5089"/>
    <hyperlink r:id="rId4557" ref="F5090"/>
    <hyperlink r:id="rId4558" ref="F5091"/>
    <hyperlink r:id="rId4559" ref="F5092"/>
    <hyperlink r:id="rId4560" ref="F5094"/>
    <hyperlink r:id="rId4561" ref="F5095"/>
    <hyperlink r:id="rId4562" ref="F5096"/>
    <hyperlink r:id="rId4563" ref="F5098"/>
    <hyperlink r:id="rId4564" ref="F5100"/>
    <hyperlink r:id="rId4565" ref="F5101"/>
    <hyperlink r:id="rId4566" ref="F5102"/>
    <hyperlink r:id="rId4567" ref="F5103"/>
    <hyperlink r:id="rId4568" ref="F5104"/>
    <hyperlink r:id="rId4569" ref="F5105"/>
    <hyperlink r:id="rId4570" ref="F5106"/>
    <hyperlink r:id="rId4571" ref="F5108"/>
    <hyperlink r:id="rId4572" ref="F5109"/>
    <hyperlink r:id="rId4573" ref="F5110"/>
    <hyperlink r:id="rId4574" ref="F5111"/>
    <hyperlink r:id="rId4575" ref="F5112"/>
    <hyperlink r:id="rId4576" ref="F5113"/>
    <hyperlink r:id="rId4577" ref="F5114"/>
    <hyperlink r:id="rId4578" ref="F5115"/>
    <hyperlink r:id="rId4579" ref="F5116"/>
    <hyperlink r:id="rId4580" ref="F5117"/>
    <hyperlink r:id="rId4581" ref="F5118"/>
    <hyperlink r:id="rId4582" ref="F5119"/>
    <hyperlink r:id="rId4583" ref="F5120"/>
    <hyperlink r:id="rId4584" ref="F5121"/>
    <hyperlink r:id="rId4585" ref="F5122"/>
    <hyperlink r:id="rId4586" ref="F5123"/>
    <hyperlink r:id="rId4587" ref="F5124"/>
    <hyperlink r:id="rId4588" ref="F5127"/>
    <hyperlink r:id="rId4589" ref="F5128"/>
    <hyperlink r:id="rId4590" ref="F5129"/>
    <hyperlink r:id="rId4591" ref="F5130"/>
    <hyperlink r:id="rId4592" ref="F5131"/>
    <hyperlink r:id="rId4593" ref="F5132"/>
    <hyperlink r:id="rId4594" ref="F5133"/>
    <hyperlink r:id="rId4595" ref="F5134"/>
    <hyperlink r:id="rId4596" ref="F5135"/>
    <hyperlink r:id="rId4597" ref="F5136"/>
    <hyperlink r:id="rId4598" ref="F5137"/>
    <hyperlink r:id="rId4599" ref="F5138"/>
    <hyperlink r:id="rId4600" ref="F5139"/>
    <hyperlink r:id="rId4601" ref="F5140"/>
    <hyperlink r:id="rId4602" ref="F5141"/>
    <hyperlink r:id="rId4603" ref="F5142"/>
    <hyperlink r:id="rId4604" ref="F5143"/>
    <hyperlink r:id="rId4605" ref="F5144"/>
    <hyperlink r:id="rId4606" ref="F5145"/>
    <hyperlink r:id="rId4607" ref="F5147"/>
    <hyperlink r:id="rId4608" ref="F5148"/>
    <hyperlink r:id="rId4609" ref="F5149"/>
    <hyperlink r:id="rId4610" ref="F5150"/>
    <hyperlink r:id="rId4611" ref="F5151"/>
    <hyperlink r:id="rId4612" ref="F5152"/>
    <hyperlink r:id="rId4613" ref="F5153"/>
    <hyperlink r:id="rId4614" ref="F5154"/>
    <hyperlink r:id="rId4615" ref="F5155"/>
    <hyperlink r:id="rId4616" ref="F5156"/>
    <hyperlink r:id="rId4617" ref="F5157"/>
    <hyperlink r:id="rId4618" ref="F5158"/>
    <hyperlink r:id="rId4619" ref="F5159"/>
    <hyperlink r:id="rId4620" ref="F5161"/>
    <hyperlink r:id="rId4621" ref="F5162"/>
    <hyperlink r:id="rId4622" ref="F5164"/>
    <hyperlink r:id="rId4623" ref="F5165"/>
    <hyperlink r:id="rId4624" ref="F5166"/>
    <hyperlink r:id="rId4625" ref="F5167"/>
    <hyperlink r:id="rId4626" ref="F5168"/>
    <hyperlink r:id="rId4627" ref="F5169"/>
    <hyperlink r:id="rId4628" ref="F5170"/>
    <hyperlink r:id="rId4629" ref="F5171"/>
    <hyperlink r:id="rId4630" ref="F5172"/>
    <hyperlink r:id="rId4631" ref="F5173"/>
    <hyperlink r:id="rId4632" ref="F5175"/>
    <hyperlink r:id="rId4633" ref="F5176"/>
    <hyperlink r:id="rId4634" ref="F5177"/>
    <hyperlink r:id="rId4635" ref="F5178"/>
    <hyperlink r:id="rId4636" ref="F5179"/>
    <hyperlink r:id="rId4637" ref="F5180"/>
    <hyperlink r:id="rId4638" ref="F5181"/>
    <hyperlink r:id="rId4639" ref="F5182"/>
    <hyperlink r:id="rId4640" ref="F5183"/>
    <hyperlink r:id="rId4641" ref="F5185"/>
    <hyperlink r:id="rId4642" ref="F5186"/>
    <hyperlink r:id="rId4643" ref="F5187"/>
    <hyperlink r:id="rId4644" ref="F5188"/>
    <hyperlink r:id="rId4645" ref="F5189"/>
    <hyperlink r:id="rId4646" ref="F5190"/>
    <hyperlink r:id="rId4647" ref="F5191"/>
    <hyperlink r:id="rId4648" ref="F5193"/>
    <hyperlink r:id="rId4649" ref="F5196"/>
    <hyperlink r:id="rId4650" ref="F5197"/>
    <hyperlink r:id="rId4651" ref="F5198"/>
    <hyperlink r:id="rId4652" ref="F5199"/>
    <hyperlink r:id="rId4653" ref="F5200"/>
    <hyperlink r:id="rId4654" ref="F5201"/>
    <hyperlink r:id="rId4655" ref="F5202"/>
    <hyperlink r:id="rId4656" ref="F5204"/>
    <hyperlink r:id="rId4657" ref="F5205"/>
    <hyperlink r:id="rId4658" ref="F5207"/>
    <hyperlink r:id="rId4659" ref="F5209"/>
    <hyperlink r:id="rId4660" ref="F5210"/>
    <hyperlink r:id="rId4661" ref="F5211"/>
    <hyperlink r:id="rId4662" ref="F5212"/>
    <hyperlink r:id="rId4663" ref="F5213"/>
    <hyperlink r:id="rId4664" ref="F5214"/>
    <hyperlink r:id="rId4665" ref="F5215"/>
    <hyperlink r:id="rId4666" ref="F5216"/>
    <hyperlink r:id="rId4667" ref="F5217"/>
    <hyperlink r:id="rId4668" ref="F5218"/>
    <hyperlink r:id="rId4669" ref="F5219"/>
    <hyperlink r:id="rId4670" ref="F5220"/>
    <hyperlink r:id="rId4671" ref="F5221"/>
    <hyperlink r:id="rId4672" ref="F5222"/>
    <hyperlink r:id="rId4673" ref="F5223"/>
    <hyperlink r:id="rId4674" ref="F5224"/>
    <hyperlink r:id="rId4675" ref="F5225"/>
    <hyperlink r:id="rId4676" ref="F5226"/>
    <hyperlink r:id="rId4677" ref="F5227"/>
    <hyperlink r:id="rId4678" ref="F5228"/>
    <hyperlink r:id="rId4679" ref="F5229"/>
    <hyperlink r:id="rId4680" ref="F5230"/>
    <hyperlink r:id="rId4681" ref="F5231"/>
    <hyperlink r:id="rId4682" ref="F5232"/>
    <hyperlink r:id="rId4683" ref="F5233"/>
    <hyperlink r:id="rId4684" ref="F5234"/>
    <hyperlink r:id="rId4685" ref="F5235"/>
    <hyperlink r:id="rId4686" ref="F5236"/>
    <hyperlink r:id="rId4687" ref="F5237"/>
    <hyperlink r:id="rId4688" ref="F5239"/>
    <hyperlink r:id="rId4689" ref="F5240"/>
    <hyperlink r:id="rId4690" ref="F5241"/>
    <hyperlink r:id="rId4691" ref="F5242"/>
    <hyperlink r:id="rId4692" ref="F5243"/>
    <hyperlink r:id="rId4693" ref="F5244"/>
    <hyperlink r:id="rId4694" ref="F5245"/>
    <hyperlink r:id="rId4695" ref="F5246"/>
    <hyperlink r:id="rId4696" ref="F5247"/>
    <hyperlink r:id="rId4697" ref="F5248"/>
    <hyperlink r:id="rId4698" ref="F5249"/>
    <hyperlink r:id="rId4699" ref="F5250"/>
    <hyperlink r:id="rId4700" ref="F5251"/>
    <hyperlink r:id="rId4701" ref="F5252"/>
    <hyperlink r:id="rId4702" ref="F5253"/>
    <hyperlink r:id="rId4703" ref="F5254"/>
    <hyperlink r:id="rId4704" ref="F5255"/>
    <hyperlink r:id="rId4705" ref="F5257"/>
    <hyperlink r:id="rId4706" ref="F5258"/>
    <hyperlink r:id="rId4707" ref="F5259"/>
    <hyperlink r:id="rId4708" ref="F5260"/>
    <hyperlink r:id="rId4709" ref="F5261"/>
    <hyperlink r:id="rId4710" ref="F5262"/>
    <hyperlink r:id="rId4711" ref="F5264"/>
    <hyperlink r:id="rId4712" ref="F5265"/>
    <hyperlink r:id="rId4713" ref="F5266"/>
    <hyperlink r:id="rId4714" ref="F5267"/>
    <hyperlink r:id="rId4715" ref="F5268"/>
    <hyperlink r:id="rId4716" ref="F5269"/>
    <hyperlink r:id="rId4717" ref="F5270"/>
    <hyperlink r:id="rId4718" ref="F5271"/>
    <hyperlink r:id="rId4719" ref="F5272"/>
    <hyperlink r:id="rId4720" ref="F5273"/>
    <hyperlink r:id="rId4721" ref="F5274"/>
    <hyperlink r:id="rId4722" ref="F5275"/>
    <hyperlink r:id="rId4723" ref="F5276"/>
    <hyperlink r:id="rId4724" ref="F5277"/>
    <hyperlink r:id="rId4725" ref="F5280"/>
    <hyperlink r:id="rId4726" ref="F5281"/>
    <hyperlink r:id="rId4727" ref="F5282"/>
    <hyperlink r:id="rId4728" ref="F5283"/>
    <hyperlink r:id="rId4729" ref="F5284"/>
    <hyperlink r:id="rId4730" ref="F5285"/>
    <hyperlink r:id="rId4731" ref="F5286"/>
    <hyperlink r:id="rId4732" ref="F5287"/>
    <hyperlink r:id="rId4733" ref="F5288"/>
    <hyperlink r:id="rId4734" ref="F5289"/>
    <hyperlink r:id="rId4735" ref="F5291"/>
    <hyperlink r:id="rId4736" ref="F5292"/>
    <hyperlink r:id="rId4737" ref="F5293"/>
    <hyperlink r:id="rId4738" ref="F5294"/>
    <hyperlink r:id="rId4739" ref="F5295"/>
    <hyperlink r:id="rId4740" ref="F5296"/>
    <hyperlink r:id="rId4741" ref="F5297"/>
    <hyperlink r:id="rId4742" ref="F5298"/>
    <hyperlink r:id="rId4743" ref="F5299"/>
    <hyperlink r:id="rId4744" ref="F5300"/>
    <hyperlink r:id="rId4745" ref="F5302"/>
    <hyperlink r:id="rId4746" ref="F5303"/>
    <hyperlink r:id="rId4747" ref="F5304"/>
    <hyperlink r:id="rId4748" ref="F5305"/>
    <hyperlink r:id="rId4749" ref="F5306"/>
    <hyperlink r:id="rId4750" ref="F5307"/>
    <hyperlink r:id="rId4751" ref="F5308"/>
    <hyperlink r:id="rId4752" ref="F5309"/>
    <hyperlink r:id="rId4753" ref="F5310"/>
    <hyperlink r:id="rId4754" ref="F5311"/>
    <hyperlink r:id="rId4755" ref="F5312"/>
    <hyperlink r:id="rId4756" ref="F5313"/>
    <hyperlink r:id="rId4757" ref="F5314"/>
    <hyperlink r:id="rId4758" ref="F5315"/>
    <hyperlink r:id="rId4759" ref="F5316"/>
    <hyperlink r:id="rId4760" ref="F5317"/>
    <hyperlink r:id="rId4761" ref="F5318"/>
    <hyperlink r:id="rId4762" ref="F5319"/>
    <hyperlink r:id="rId4763" ref="F5320"/>
    <hyperlink r:id="rId4764" ref="F5321"/>
    <hyperlink r:id="rId4765" ref="F5322"/>
    <hyperlink r:id="rId4766" ref="F5323"/>
    <hyperlink r:id="rId4767" ref="F5324"/>
    <hyperlink r:id="rId4768" ref="F5325"/>
    <hyperlink r:id="rId4769" ref="F5326"/>
    <hyperlink r:id="rId4770" ref="F5327"/>
    <hyperlink r:id="rId4771" ref="F5328"/>
    <hyperlink r:id="rId4772" ref="F5330"/>
    <hyperlink r:id="rId4773" ref="F5331"/>
    <hyperlink r:id="rId4774" ref="F5332"/>
    <hyperlink r:id="rId4775" ref="F5333"/>
    <hyperlink r:id="rId4776" ref="F5335"/>
    <hyperlink r:id="rId4777" ref="F5336"/>
    <hyperlink r:id="rId4778" ref="F5337"/>
    <hyperlink r:id="rId4779" ref="F5338"/>
    <hyperlink r:id="rId4780" ref="F5339"/>
    <hyperlink r:id="rId4781" ref="F5340"/>
    <hyperlink r:id="rId4782" ref="F5341"/>
    <hyperlink r:id="rId4783" ref="F5342"/>
    <hyperlink r:id="rId4784" ref="F5343"/>
    <hyperlink r:id="rId4785" ref="F5344"/>
    <hyperlink r:id="rId4786" ref="F5345"/>
    <hyperlink r:id="rId4787" ref="F5346"/>
    <hyperlink r:id="rId4788" ref="F5347"/>
    <hyperlink r:id="rId4789" ref="F5348"/>
    <hyperlink r:id="rId4790" ref="F5349"/>
    <hyperlink r:id="rId4791" ref="F5350"/>
    <hyperlink r:id="rId4792" ref="F5351"/>
    <hyperlink r:id="rId4793" ref="F5352"/>
    <hyperlink r:id="rId4794" ref="F5356"/>
    <hyperlink r:id="rId4795" ref="F5357"/>
    <hyperlink r:id="rId4796" ref="F5358"/>
    <hyperlink r:id="rId4797" ref="F5359"/>
    <hyperlink r:id="rId4798" ref="F5360"/>
    <hyperlink r:id="rId4799" ref="F5361"/>
    <hyperlink r:id="rId4800" ref="F5362"/>
    <hyperlink r:id="rId4801" ref="F5363"/>
    <hyperlink r:id="rId4802" ref="F5364"/>
    <hyperlink r:id="rId4803" ref="F5365"/>
    <hyperlink r:id="rId4804" ref="F5366"/>
    <hyperlink r:id="rId4805" ref="F5367"/>
    <hyperlink r:id="rId4806" ref="F5369"/>
    <hyperlink r:id="rId4807" ref="F5370"/>
    <hyperlink r:id="rId4808" ref="F5371"/>
    <hyperlink r:id="rId4809" ref="F5372"/>
    <hyperlink r:id="rId4810" ref="F5373"/>
    <hyperlink r:id="rId4811" ref="F5374"/>
    <hyperlink r:id="rId4812" ref="F5375"/>
    <hyperlink r:id="rId4813" ref="F5376"/>
    <hyperlink r:id="rId4814" ref="F5377"/>
    <hyperlink r:id="rId4815" ref="F5378"/>
    <hyperlink r:id="rId4816" ref="F5379"/>
    <hyperlink r:id="rId4817" ref="F5380"/>
    <hyperlink r:id="rId4818" ref="F5381"/>
    <hyperlink r:id="rId4819" ref="F5382"/>
    <hyperlink r:id="rId4820" ref="F5383"/>
    <hyperlink r:id="rId4821" ref="F5384"/>
    <hyperlink r:id="rId4822" ref="F5385"/>
    <hyperlink r:id="rId4823" ref="F5386"/>
    <hyperlink r:id="rId4824" ref="F5387"/>
    <hyperlink r:id="rId4825" ref="F5388"/>
    <hyperlink r:id="rId4826" ref="F5389"/>
    <hyperlink r:id="rId4827" ref="F5391"/>
    <hyperlink r:id="rId4828" ref="F5394"/>
    <hyperlink r:id="rId4829" ref="F5395"/>
    <hyperlink r:id="rId4830" ref="F5396"/>
    <hyperlink r:id="rId4831" ref="F5397"/>
    <hyperlink r:id="rId4832" ref="F5398"/>
    <hyperlink r:id="rId4833" ref="F5399"/>
    <hyperlink r:id="rId4834" ref="F5400"/>
    <hyperlink r:id="rId4835" ref="F5401"/>
    <hyperlink r:id="rId4836" ref="F5402"/>
    <hyperlink r:id="rId4837" ref="F5403"/>
    <hyperlink r:id="rId4838" ref="F5404"/>
    <hyperlink r:id="rId4839" ref="F5406"/>
    <hyperlink r:id="rId4840" ref="F5407"/>
    <hyperlink r:id="rId4841" ref="F5408"/>
    <hyperlink r:id="rId4842" ref="F5411"/>
    <hyperlink r:id="rId4843" ref="F5412"/>
    <hyperlink r:id="rId4844" ref="F5413"/>
    <hyperlink r:id="rId4845" ref="F5415"/>
    <hyperlink r:id="rId4846" ref="F5416"/>
    <hyperlink r:id="rId4847" ref="F5417"/>
    <hyperlink r:id="rId4848" ref="F5418"/>
    <hyperlink r:id="rId4849" ref="F5419"/>
    <hyperlink r:id="rId4850" ref="F5420"/>
    <hyperlink r:id="rId4851" ref="F5421"/>
    <hyperlink r:id="rId4852" ref="F5422"/>
    <hyperlink r:id="rId4853" ref="F5423"/>
    <hyperlink r:id="rId4854" ref="F5424"/>
    <hyperlink r:id="rId4855" ref="F5425"/>
    <hyperlink r:id="rId4856" ref="F5426"/>
    <hyperlink r:id="rId4857" ref="F5427"/>
    <hyperlink r:id="rId4858" ref="F5428"/>
    <hyperlink r:id="rId4859" ref="F5429"/>
    <hyperlink r:id="rId4860" ref="F5430"/>
    <hyperlink r:id="rId4861" ref="F5431"/>
    <hyperlink r:id="rId4862" ref="F5432"/>
    <hyperlink r:id="rId4863" ref="F5433"/>
    <hyperlink r:id="rId4864" ref="F5435"/>
    <hyperlink r:id="rId4865" ref="F5436"/>
    <hyperlink r:id="rId4866" ref="F5437"/>
    <hyperlink r:id="rId4867" ref="F5438"/>
    <hyperlink r:id="rId4868" ref="F5439"/>
    <hyperlink r:id="rId4869" ref="F5440"/>
    <hyperlink r:id="rId4870" ref="F5441"/>
    <hyperlink r:id="rId4871" ref="F5442"/>
    <hyperlink r:id="rId4872" ref="F5443"/>
    <hyperlink r:id="rId4873" ref="F5444"/>
    <hyperlink r:id="rId4874" ref="F5445"/>
    <hyperlink r:id="rId4875" ref="F5446"/>
    <hyperlink r:id="rId4876" ref="F5447"/>
    <hyperlink r:id="rId4877" ref="F5449"/>
    <hyperlink r:id="rId4878" ref="F5450"/>
    <hyperlink r:id="rId4879" ref="F5451"/>
    <hyperlink r:id="rId4880" ref="F5452"/>
    <hyperlink r:id="rId4881" ref="F5454"/>
    <hyperlink r:id="rId4882" ref="F5455"/>
    <hyperlink r:id="rId4883" ref="F5456"/>
    <hyperlink r:id="rId4884" ref="F5457"/>
    <hyperlink r:id="rId4885" ref="F5458"/>
    <hyperlink r:id="rId4886" ref="F5459"/>
    <hyperlink r:id="rId4887" ref="F5460"/>
    <hyperlink r:id="rId4888" ref="F5461"/>
    <hyperlink r:id="rId4889" ref="F5462"/>
    <hyperlink r:id="rId4890" ref="F5463"/>
    <hyperlink r:id="rId4891" ref="F5464"/>
    <hyperlink r:id="rId4892" ref="F5465"/>
    <hyperlink r:id="rId4893" ref="F5466"/>
    <hyperlink r:id="rId4894" ref="F5467"/>
    <hyperlink r:id="rId4895" ref="F5469"/>
    <hyperlink r:id="rId4896" ref="F5470"/>
    <hyperlink r:id="rId4897" ref="F5472"/>
    <hyperlink r:id="rId4898" ref="F5474"/>
    <hyperlink r:id="rId4899" ref="F5475"/>
    <hyperlink r:id="rId4900" ref="F5477"/>
    <hyperlink r:id="rId4901" ref="F5478"/>
    <hyperlink r:id="rId4902" ref="F5479"/>
    <hyperlink r:id="rId4903" ref="F5480"/>
    <hyperlink r:id="rId4904" ref="F5481"/>
    <hyperlink r:id="rId4905" ref="F5482"/>
    <hyperlink r:id="rId4906" ref="F5483"/>
    <hyperlink r:id="rId4907" ref="F5484"/>
    <hyperlink r:id="rId4908" ref="F5485"/>
    <hyperlink r:id="rId4909" ref="F5486"/>
    <hyperlink r:id="rId4910" ref="F5487"/>
    <hyperlink r:id="rId4911" ref="F5488"/>
    <hyperlink r:id="rId4912" ref="F5490"/>
    <hyperlink r:id="rId4913" ref="F5492"/>
    <hyperlink r:id="rId4914" ref="F5493"/>
    <hyperlink r:id="rId4915" ref="F5494"/>
    <hyperlink r:id="rId4916" ref="F5495"/>
    <hyperlink r:id="rId4917" ref="F5496"/>
    <hyperlink r:id="rId4918" ref="F5497"/>
    <hyperlink r:id="rId4919" ref="F5498"/>
    <hyperlink r:id="rId4920" ref="F5499"/>
    <hyperlink r:id="rId4921" ref="F5500"/>
    <hyperlink r:id="rId4922" ref="F5501"/>
    <hyperlink r:id="rId4923" ref="F5502"/>
    <hyperlink r:id="rId4924" ref="F5503"/>
    <hyperlink r:id="rId4925" ref="F5504"/>
    <hyperlink r:id="rId4926" ref="F5507"/>
    <hyperlink r:id="rId4927" ref="F5508"/>
    <hyperlink r:id="rId4928" ref="F5509"/>
    <hyperlink r:id="rId4929" ref="F5510"/>
    <hyperlink r:id="rId4930" ref="F5511"/>
    <hyperlink r:id="rId4931" ref="F5513"/>
    <hyperlink r:id="rId4932" ref="F5515"/>
    <hyperlink r:id="rId4933" ref="F5516"/>
    <hyperlink r:id="rId4934" ref="F5517"/>
    <hyperlink r:id="rId4935" ref="F5518"/>
    <hyperlink r:id="rId4936" ref="F5521"/>
    <hyperlink r:id="rId4937" ref="F5522"/>
    <hyperlink r:id="rId4938" ref="F5523"/>
    <hyperlink r:id="rId4939" ref="F5524"/>
    <hyperlink r:id="rId4940" ref="F5525"/>
    <hyperlink r:id="rId4941" ref="F5526"/>
    <hyperlink r:id="rId4942" ref="F5527"/>
    <hyperlink r:id="rId4943" ref="F5528"/>
    <hyperlink r:id="rId4944" ref="F5529"/>
    <hyperlink r:id="rId4945" ref="F5530"/>
    <hyperlink r:id="rId4946" ref="F5531"/>
    <hyperlink r:id="rId4947" ref="F5533"/>
    <hyperlink r:id="rId4948" ref="F5534"/>
    <hyperlink r:id="rId4949" ref="F5535"/>
    <hyperlink r:id="rId4950" ref="F5536"/>
    <hyperlink r:id="rId4951" ref="F5537"/>
    <hyperlink r:id="rId4952" ref="F5538"/>
    <hyperlink r:id="rId4953" ref="F5539"/>
    <hyperlink r:id="rId4954" ref="F5540"/>
    <hyperlink r:id="rId4955" ref="F5541"/>
    <hyperlink r:id="rId4956" ref="F5542"/>
    <hyperlink r:id="rId4957" ref="F5543"/>
    <hyperlink r:id="rId4958" ref="F5544"/>
    <hyperlink r:id="rId4959" ref="F5545"/>
    <hyperlink r:id="rId4960" ref="F5546"/>
    <hyperlink r:id="rId4961" ref="F5547"/>
    <hyperlink r:id="rId4962" ref="F5548"/>
    <hyperlink r:id="rId4963" ref="F5549"/>
    <hyperlink r:id="rId4964" ref="F5550"/>
    <hyperlink r:id="rId4965" ref="F5551"/>
    <hyperlink r:id="rId4966" ref="F5552"/>
    <hyperlink r:id="rId4967" ref="F5553"/>
    <hyperlink r:id="rId4968" ref="F5554"/>
    <hyperlink r:id="rId4969" ref="F5555"/>
    <hyperlink r:id="rId4970" ref="F5558"/>
    <hyperlink r:id="rId4971" ref="F5561"/>
    <hyperlink r:id="rId4972" ref="F5562"/>
    <hyperlink r:id="rId4973" ref="F5563"/>
    <hyperlink r:id="rId4974" ref="F5565"/>
    <hyperlink r:id="rId4975" ref="F5566"/>
    <hyperlink r:id="rId4976" ref="F5567"/>
    <hyperlink r:id="rId4977" ref="F5568"/>
    <hyperlink r:id="rId4978" ref="F5569"/>
    <hyperlink r:id="rId4979" ref="F5570"/>
    <hyperlink r:id="rId4980" ref="F5571"/>
    <hyperlink r:id="rId4981" ref="F5572"/>
    <hyperlink r:id="rId4982" ref="F5573"/>
    <hyperlink r:id="rId4983" ref="F5574"/>
    <hyperlink r:id="rId4984" ref="F5575"/>
    <hyperlink r:id="rId4985" ref="F5576"/>
    <hyperlink r:id="rId4986" ref="F5577"/>
    <hyperlink r:id="rId4987" ref="F5578"/>
    <hyperlink r:id="rId4988" ref="F5579"/>
    <hyperlink r:id="rId4989" ref="F5580"/>
    <hyperlink r:id="rId4990" ref="F5581"/>
    <hyperlink r:id="rId4991" ref="F5582"/>
    <hyperlink r:id="rId4992" ref="F5583"/>
    <hyperlink r:id="rId4993" ref="F5584"/>
    <hyperlink r:id="rId4994" ref="F5585"/>
    <hyperlink r:id="rId4995" ref="F5586"/>
    <hyperlink r:id="rId4996" ref="F5588"/>
    <hyperlink r:id="rId4997" ref="F5589"/>
    <hyperlink r:id="rId4998" ref="F5590"/>
    <hyperlink r:id="rId4999" ref="F5591"/>
    <hyperlink r:id="rId5000" ref="F5592"/>
    <hyperlink r:id="rId5001" ref="F5593"/>
    <hyperlink r:id="rId5002" ref="F5594"/>
    <hyperlink r:id="rId5003" ref="F5595"/>
    <hyperlink r:id="rId5004" ref="F5596"/>
    <hyperlink r:id="rId5005" ref="F5597"/>
    <hyperlink r:id="rId5006" ref="F5598"/>
    <hyperlink r:id="rId5007" ref="F5599"/>
    <hyperlink r:id="rId5008" ref="F5600"/>
    <hyperlink r:id="rId5009" ref="F5601"/>
    <hyperlink r:id="rId5010" ref="F5602"/>
    <hyperlink r:id="rId5011" ref="F5603"/>
    <hyperlink r:id="rId5012" ref="F5604"/>
    <hyperlink r:id="rId5013" ref="F5605"/>
    <hyperlink r:id="rId5014" ref="F5606"/>
    <hyperlink r:id="rId5015" ref="F5607"/>
    <hyperlink r:id="rId5016" ref="F5609"/>
    <hyperlink r:id="rId5017" ref="F5610"/>
    <hyperlink r:id="rId5018" ref="F5611"/>
    <hyperlink r:id="rId5019" ref="F5612"/>
    <hyperlink r:id="rId5020" ref="F5613"/>
    <hyperlink r:id="rId5021" ref="F5614"/>
    <hyperlink r:id="rId5022" ref="F5615"/>
    <hyperlink r:id="rId5023" ref="F5616"/>
    <hyperlink r:id="rId5024" ref="F5618"/>
    <hyperlink r:id="rId5025" ref="F5619"/>
    <hyperlink r:id="rId5026" ref="F5621"/>
    <hyperlink r:id="rId5027" ref="F5622"/>
    <hyperlink r:id="rId5028" ref="F5623"/>
    <hyperlink r:id="rId5029" ref="F5624"/>
    <hyperlink r:id="rId5030" ref="F5625"/>
    <hyperlink r:id="rId5031" ref="F5626"/>
    <hyperlink r:id="rId5032" ref="F5627"/>
    <hyperlink r:id="rId5033" ref="F5628"/>
    <hyperlink r:id="rId5034" ref="F5629"/>
    <hyperlink r:id="rId5035" ref="F5631"/>
    <hyperlink r:id="rId5036" ref="F5632"/>
    <hyperlink r:id="rId5037" ref="F5634"/>
    <hyperlink r:id="rId5038" ref="F5635"/>
    <hyperlink r:id="rId5039" ref="F5636"/>
    <hyperlink r:id="rId5040" ref="F5637"/>
    <hyperlink r:id="rId5041" ref="F5638"/>
    <hyperlink r:id="rId5042" ref="F5639"/>
    <hyperlink r:id="rId5043" ref="F5641"/>
    <hyperlink r:id="rId5044" ref="F5642"/>
    <hyperlink r:id="rId5045" ref="F5644"/>
    <hyperlink r:id="rId5046" ref="F5645"/>
    <hyperlink r:id="rId5047" ref="F5646"/>
    <hyperlink r:id="rId5048" ref="F5647"/>
    <hyperlink r:id="rId5049" ref="F5648"/>
    <hyperlink r:id="rId5050" ref="F5649"/>
    <hyperlink r:id="rId5051" ref="F5650"/>
    <hyperlink r:id="rId5052" ref="F5651"/>
    <hyperlink r:id="rId5053" ref="F5652"/>
    <hyperlink r:id="rId5054" ref="F5653"/>
    <hyperlink r:id="rId5055" ref="F5654"/>
    <hyperlink r:id="rId5056" ref="F5655"/>
    <hyperlink r:id="rId5057" ref="F5656"/>
    <hyperlink r:id="rId5058" ref="F5657"/>
    <hyperlink r:id="rId5059" ref="F5658"/>
    <hyperlink r:id="rId5060" ref="F5659"/>
    <hyperlink r:id="rId5061" ref="F5660"/>
    <hyperlink r:id="rId5062" ref="F5661"/>
    <hyperlink r:id="rId5063" ref="F5662"/>
    <hyperlink r:id="rId5064" ref="F5663"/>
    <hyperlink r:id="rId5065" ref="F5664"/>
    <hyperlink r:id="rId5066" ref="F5665"/>
    <hyperlink r:id="rId5067" ref="F5666"/>
    <hyperlink r:id="rId5068" ref="F5667"/>
    <hyperlink r:id="rId5069" ref="F5668"/>
    <hyperlink r:id="rId5070" ref="F5669"/>
    <hyperlink r:id="rId5071" ref="F5670"/>
    <hyperlink r:id="rId5072" ref="F5671"/>
    <hyperlink r:id="rId5073" ref="F5672"/>
    <hyperlink r:id="rId5074" ref="F5673"/>
    <hyperlink r:id="rId5075" ref="F5674"/>
    <hyperlink r:id="rId5076" ref="F5676"/>
    <hyperlink r:id="rId5077" ref="F5677"/>
    <hyperlink r:id="rId5078" ref="F5678"/>
    <hyperlink r:id="rId5079" ref="F5679"/>
    <hyperlink r:id="rId5080" ref="F5680"/>
    <hyperlink r:id="rId5081" ref="F5681"/>
    <hyperlink r:id="rId5082" ref="F5682"/>
    <hyperlink r:id="rId5083" ref="F5683"/>
    <hyperlink r:id="rId5084" ref="F5684"/>
    <hyperlink r:id="rId5085" ref="F5685"/>
    <hyperlink r:id="rId5086" ref="F5686"/>
    <hyperlink r:id="rId5087" ref="F5687"/>
    <hyperlink r:id="rId5088" ref="F5688"/>
    <hyperlink r:id="rId5089" ref="F5689"/>
    <hyperlink r:id="rId5090" ref="F5690"/>
    <hyperlink r:id="rId5091" ref="F5691"/>
    <hyperlink r:id="rId5092" ref="F5692"/>
    <hyperlink r:id="rId5093" ref="F5693"/>
    <hyperlink r:id="rId5094" ref="F5694"/>
    <hyperlink r:id="rId5095" ref="F5695"/>
    <hyperlink r:id="rId5096" ref="F5696"/>
    <hyperlink r:id="rId5097" ref="F5697"/>
    <hyperlink r:id="rId5098" ref="F5698"/>
    <hyperlink r:id="rId5099" ref="F5699"/>
    <hyperlink r:id="rId5100" ref="F5700"/>
    <hyperlink r:id="rId5101" ref="F5701"/>
    <hyperlink r:id="rId5102" ref="F5702"/>
    <hyperlink r:id="rId5103" ref="F5703"/>
    <hyperlink r:id="rId5104" ref="F5704"/>
    <hyperlink r:id="rId5105" ref="F5705"/>
    <hyperlink r:id="rId5106" ref="F5706"/>
    <hyperlink r:id="rId5107" ref="F5707"/>
    <hyperlink r:id="rId5108" ref="F5708"/>
    <hyperlink r:id="rId5109" ref="F5710"/>
    <hyperlink r:id="rId5110" ref="F5711"/>
    <hyperlink r:id="rId5111" ref="F5713"/>
    <hyperlink r:id="rId5112" ref="F5714"/>
    <hyperlink r:id="rId5113" ref="F5715"/>
    <hyperlink r:id="rId5114" ref="F5716"/>
    <hyperlink r:id="rId5115" ref="F5717"/>
    <hyperlink r:id="rId5116" ref="F5718"/>
    <hyperlink r:id="rId5117" ref="F5719"/>
    <hyperlink r:id="rId5118" ref="F5720"/>
    <hyperlink r:id="rId5119" ref="F5721"/>
    <hyperlink r:id="rId5120" ref="F5722"/>
    <hyperlink r:id="rId5121" ref="F5723"/>
    <hyperlink r:id="rId5122" ref="F5724"/>
    <hyperlink r:id="rId5123" ref="F5725"/>
    <hyperlink r:id="rId5124" ref="F5726"/>
    <hyperlink r:id="rId5125" ref="F5728"/>
    <hyperlink r:id="rId5126" ref="F5729"/>
    <hyperlink r:id="rId5127" ref="F5730"/>
    <hyperlink r:id="rId5128" ref="F5731"/>
    <hyperlink r:id="rId5129" ref="F5732"/>
    <hyperlink r:id="rId5130" ref="F5733"/>
    <hyperlink r:id="rId5131" ref="F5734"/>
    <hyperlink r:id="rId5132" ref="F5736"/>
    <hyperlink r:id="rId5133" ref="F5737"/>
    <hyperlink r:id="rId5134" ref="F5738"/>
    <hyperlink r:id="rId5135" ref="F5739"/>
    <hyperlink r:id="rId5136" ref="F5741"/>
    <hyperlink r:id="rId5137" ref="F5742"/>
    <hyperlink r:id="rId5138" ref="F5743"/>
    <hyperlink r:id="rId5139" ref="F5744"/>
    <hyperlink r:id="rId5140" ref="F5745"/>
    <hyperlink r:id="rId5141" ref="F5746"/>
    <hyperlink r:id="rId5142" ref="F5747"/>
    <hyperlink r:id="rId5143" ref="F5748"/>
    <hyperlink r:id="rId5144" ref="F5749"/>
    <hyperlink r:id="rId5145" ref="F5750"/>
    <hyperlink r:id="rId5146" ref="F5751"/>
    <hyperlink r:id="rId5147" ref="F5752"/>
    <hyperlink r:id="rId5148" ref="F5753"/>
    <hyperlink r:id="rId5149" ref="F5754"/>
    <hyperlink r:id="rId5150" ref="F5755"/>
    <hyperlink r:id="rId5151" ref="F5756"/>
    <hyperlink r:id="rId5152" ref="F5757"/>
    <hyperlink r:id="rId5153" ref="F5758"/>
    <hyperlink r:id="rId5154" ref="F5761"/>
    <hyperlink r:id="rId5155" ref="F5762"/>
    <hyperlink r:id="rId5156" ref="F5764"/>
    <hyperlink r:id="rId5157" ref="F5765"/>
    <hyperlink r:id="rId5158" ref="F5767"/>
    <hyperlink r:id="rId5159" ref="F5768"/>
    <hyperlink r:id="rId5160" ref="F5769"/>
    <hyperlink r:id="rId5161" ref="F5770"/>
    <hyperlink r:id="rId5162" ref="F5771"/>
    <hyperlink r:id="rId5163" ref="F5772"/>
    <hyperlink r:id="rId5164" ref="F5773"/>
    <hyperlink r:id="rId5165" ref="F5774"/>
    <hyperlink r:id="rId5166" ref="F5775"/>
    <hyperlink r:id="rId5167" ref="F5776"/>
    <hyperlink r:id="rId5168" ref="F5778"/>
    <hyperlink r:id="rId5169" ref="F5780"/>
    <hyperlink r:id="rId5170" ref="F5781"/>
    <hyperlink r:id="rId5171" ref="F5782"/>
    <hyperlink r:id="rId5172" ref="F5783"/>
    <hyperlink r:id="rId5173" ref="F5784"/>
    <hyperlink r:id="rId5174" ref="F5785"/>
    <hyperlink r:id="rId5175" ref="F5786"/>
    <hyperlink r:id="rId5176" ref="F5787"/>
    <hyperlink r:id="rId5177" ref="F5788"/>
    <hyperlink r:id="rId5178" ref="F5789"/>
    <hyperlink r:id="rId5179" ref="F5790"/>
    <hyperlink r:id="rId5180" ref="F5792"/>
    <hyperlink r:id="rId5181" ref="F5793"/>
    <hyperlink r:id="rId5182" ref="F5794"/>
    <hyperlink r:id="rId5183" ref="F5795"/>
    <hyperlink r:id="rId5184" ref="F5796"/>
    <hyperlink r:id="rId5185" ref="F5797"/>
    <hyperlink r:id="rId5186" ref="F5798"/>
    <hyperlink r:id="rId5187" ref="F5799"/>
    <hyperlink r:id="rId5188" ref="F5800"/>
    <hyperlink r:id="rId5189" ref="F5801"/>
    <hyperlink r:id="rId5190" ref="F5802"/>
    <hyperlink r:id="rId5191" ref="F5803"/>
    <hyperlink r:id="rId5192" ref="F5804"/>
    <hyperlink r:id="rId5193" ref="F5805"/>
    <hyperlink r:id="rId5194" ref="F5806"/>
    <hyperlink r:id="rId5195" ref="F5807"/>
    <hyperlink r:id="rId5196" ref="F5809"/>
    <hyperlink r:id="rId5197" ref="F5811"/>
    <hyperlink r:id="rId5198" ref="F5812"/>
    <hyperlink r:id="rId5199" ref="F5813"/>
    <hyperlink r:id="rId5200" ref="F5814"/>
    <hyperlink r:id="rId5201" ref="F5815"/>
    <hyperlink r:id="rId5202" ref="F5816"/>
    <hyperlink r:id="rId5203" ref="F5817"/>
    <hyperlink r:id="rId5204" ref="F5818"/>
    <hyperlink r:id="rId5205" ref="F5819"/>
    <hyperlink r:id="rId5206" ref="F5820"/>
    <hyperlink r:id="rId5207" ref="F5821"/>
    <hyperlink r:id="rId5208" ref="F5822"/>
    <hyperlink r:id="rId5209" ref="F5823"/>
    <hyperlink r:id="rId5210" ref="F5825"/>
    <hyperlink r:id="rId5211" ref="F5827"/>
    <hyperlink r:id="rId5212" ref="F5828"/>
    <hyperlink r:id="rId5213" ref="F5829"/>
    <hyperlink r:id="rId5214" ref="F5830"/>
    <hyperlink r:id="rId5215" ref="F5831"/>
    <hyperlink r:id="rId5216" ref="F5832"/>
    <hyperlink r:id="rId5217" ref="F5833"/>
    <hyperlink r:id="rId5218" ref="F5834"/>
    <hyperlink r:id="rId5219" ref="F5835"/>
    <hyperlink r:id="rId5220" ref="F5837"/>
    <hyperlink r:id="rId5221" ref="F5838"/>
    <hyperlink r:id="rId5222" ref="F5840"/>
    <hyperlink r:id="rId5223" ref="F5841"/>
    <hyperlink r:id="rId5224" ref="F5842"/>
    <hyperlink r:id="rId5225" ref="F5843"/>
    <hyperlink r:id="rId5226" ref="F5844"/>
    <hyperlink r:id="rId5227" ref="F5845"/>
    <hyperlink r:id="rId5228" ref="F5846"/>
    <hyperlink r:id="rId5229" ref="F5847"/>
    <hyperlink r:id="rId5230" ref="F5848"/>
    <hyperlink r:id="rId5231" ref="F5852"/>
    <hyperlink r:id="rId5232" ref="F5853"/>
    <hyperlink r:id="rId5233" ref="F5854"/>
    <hyperlink r:id="rId5234" ref="F5855"/>
    <hyperlink r:id="rId5235" ref="F5856"/>
    <hyperlink r:id="rId5236" ref="F5857"/>
    <hyperlink r:id="rId5237" ref="F5858"/>
    <hyperlink r:id="rId5238" ref="F5859"/>
    <hyperlink r:id="rId5239" ref="F5860"/>
    <hyperlink r:id="rId5240" ref="F5861"/>
    <hyperlink r:id="rId5241" ref="F5862"/>
    <hyperlink r:id="rId5242" ref="F5863"/>
    <hyperlink r:id="rId5243" ref="F5864"/>
    <hyperlink r:id="rId5244" ref="F5865"/>
    <hyperlink r:id="rId5245" ref="F5866"/>
    <hyperlink r:id="rId5246" ref="F5867"/>
    <hyperlink r:id="rId5247" ref="F5869"/>
    <hyperlink r:id="rId5248" ref="F5871"/>
    <hyperlink r:id="rId5249" ref="F5872"/>
    <hyperlink r:id="rId5250" ref="F5873"/>
    <hyperlink r:id="rId5251" ref="F5874"/>
    <hyperlink r:id="rId5252" ref="F5875"/>
    <hyperlink r:id="rId5253" ref="F5876"/>
    <hyperlink r:id="rId5254" ref="F5877"/>
    <hyperlink r:id="rId5255" ref="F5878"/>
    <hyperlink r:id="rId5256" ref="F5879"/>
    <hyperlink r:id="rId5257" ref="F5881"/>
    <hyperlink r:id="rId5258" ref="F5882"/>
    <hyperlink r:id="rId5259" ref="F5883"/>
    <hyperlink r:id="rId5260" ref="F5884"/>
    <hyperlink r:id="rId5261" ref="F5885"/>
    <hyperlink r:id="rId5262" ref="F5886"/>
    <hyperlink r:id="rId5263" ref="F5887"/>
    <hyperlink r:id="rId5264" ref="F5889"/>
    <hyperlink r:id="rId5265" ref="F5890"/>
    <hyperlink r:id="rId5266" ref="F5892"/>
    <hyperlink r:id="rId5267" ref="F5893"/>
    <hyperlink r:id="rId5268" ref="F5894"/>
    <hyperlink r:id="rId5269" ref="F5895"/>
    <hyperlink r:id="rId5270" ref="F5896"/>
    <hyperlink r:id="rId5271" ref="F5897"/>
    <hyperlink r:id="rId5272" ref="F5898"/>
    <hyperlink r:id="rId5273" ref="F5900"/>
    <hyperlink r:id="rId5274" ref="F5901"/>
    <hyperlink r:id="rId5275" ref="F5902"/>
    <hyperlink r:id="rId5276" ref="F5903"/>
    <hyperlink r:id="rId5277" ref="F5904"/>
    <hyperlink r:id="rId5278" ref="F5905"/>
    <hyperlink r:id="rId5279" ref="F5906"/>
    <hyperlink r:id="rId5280" ref="F5907"/>
    <hyperlink r:id="rId5281" ref="F5908"/>
    <hyperlink r:id="rId5282" ref="F5909"/>
    <hyperlink r:id="rId5283" ref="F5910"/>
    <hyperlink r:id="rId5284" ref="F5911"/>
    <hyperlink r:id="rId5285" ref="F5912"/>
    <hyperlink r:id="rId5286" ref="F5913"/>
    <hyperlink r:id="rId5287" ref="F5914"/>
    <hyperlink r:id="rId5288" ref="F5915"/>
    <hyperlink r:id="rId5289" ref="F5916"/>
    <hyperlink r:id="rId5290" ref="F5917"/>
    <hyperlink r:id="rId5291" ref="F5918"/>
    <hyperlink r:id="rId5292" ref="F5919"/>
    <hyperlink r:id="rId5293" ref="F5920"/>
    <hyperlink r:id="rId5294" ref="F5922"/>
    <hyperlink r:id="rId5295" ref="F5923"/>
    <hyperlink r:id="rId5296" ref="F5924"/>
    <hyperlink r:id="rId5297" ref="F5925"/>
    <hyperlink r:id="rId5298" ref="F5926"/>
    <hyperlink r:id="rId5299" ref="F5927"/>
    <hyperlink r:id="rId5300" ref="F5928"/>
    <hyperlink r:id="rId5301" ref="F5929"/>
    <hyperlink r:id="rId5302" ref="F5930"/>
    <hyperlink r:id="rId5303" ref="F5932"/>
    <hyperlink r:id="rId5304" ref="F5933"/>
    <hyperlink r:id="rId5305" ref="F5934"/>
    <hyperlink r:id="rId5306" ref="F5937"/>
    <hyperlink r:id="rId5307" ref="F5940"/>
    <hyperlink r:id="rId5308" ref="F5941"/>
    <hyperlink r:id="rId5309" ref="F5942"/>
    <hyperlink r:id="rId5310" ref="F5943"/>
    <hyperlink r:id="rId5311" ref="F5944"/>
    <hyperlink r:id="rId5312" ref="F5945"/>
    <hyperlink r:id="rId5313" ref="F5946"/>
    <hyperlink r:id="rId5314" ref="F5947"/>
    <hyperlink r:id="rId5315" ref="F5948"/>
    <hyperlink r:id="rId5316" ref="F5949"/>
    <hyperlink r:id="rId5317" ref="F5950"/>
    <hyperlink r:id="rId5318" ref="F5951"/>
    <hyperlink r:id="rId5319" ref="F5952"/>
    <hyperlink r:id="rId5320" ref="F5953"/>
    <hyperlink r:id="rId5321" ref="F5954"/>
    <hyperlink r:id="rId5322" ref="F5955"/>
    <hyperlink r:id="rId5323" ref="F5956"/>
    <hyperlink r:id="rId5324" ref="F5957"/>
    <hyperlink r:id="rId5325" ref="F5958"/>
    <hyperlink r:id="rId5326" ref="F5959"/>
    <hyperlink r:id="rId5327" ref="F5960"/>
    <hyperlink r:id="rId5328" ref="F5961"/>
    <hyperlink r:id="rId5329" ref="F5964"/>
    <hyperlink r:id="rId5330" ref="F5965"/>
    <hyperlink r:id="rId5331" ref="F5966"/>
    <hyperlink r:id="rId5332" ref="F5967"/>
    <hyperlink r:id="rId5333" ref="F5968"/>
    <hyperlink r:id="rId5334" ref="F5971"/>
    <hyperlink r:id="rId5335" ref="F5972"/>
    <hyperlink r:id="rId5336" ref="F5973"/>
    <hyperlink r:id="rId5337" ref="F5974"/>
    <hyperlink r:id="rId5338" ref="F5975"/>
    <hyperlink r:id="rId5339" ref="F5976"/>
    <hyperlink r:id="rId5340" ref="F5977"/>
    <hyperlink r:id="rId5341" ref="F5978"/>
    <hyperlink r:id="rId5342" ref="F5979"/>
    <hyperlink r:id="rId5343" ref="F5980"/>
    <hyperlink r:id="rId5344" ref="F5981"/>
    <hyperlink r:id="rId5345" ref="F5982"/>
    <hyperlink r:id="rId5346" ref="F5983"/>
    <hyperlink r:id="rId5347" ref="F5984"/>
    <hyperlink r:id="rId5348" ref="F5985"/>
    <hyperlink r:id="rId5349" ref="F5986"/>
    <hyperlink r:id="rId5350" ref="F5987"/>
    <hyperlink r:id="rId5351" ref="F5988"/>
    <hyperlink r:id="rId5352" ref="F5989"/>
    <hyperlink r:id="rId5353" ref="F5991"/>
    <hyperlink r:id="rId5354" ref="F5992"/>
    <hyperlink r:id="rId5355" ref="F5993"/>
    <hyperlink r:id="rId5356" ref="F5994"/>
    <hyperlink r:id="rId5357" ref="F5995"/>
    <hyperlink r:id="rId5358" ref="F5996"/>
    <hyperlink r:id="rId5359" ref="F5997"/>
    <hyperlink r:id="rId5360" ref="F5998"/>
    <hyperlink r:id="rId5361" ref="F5999"/>
    <hyperlink r:id="rId5362" ref="F6000"/>
    <hyperlink r:id="rId5363" ref="F6001"/>
    <hyperlink r:id="rId5364" ref="F6002"/>
    <hyperlink r:id="rId5365" ref="F6003"/>
    <hyperlink r:id="rId5366" ref="F6004"/>
    <hyperlink r:id="rId5367" ref="F6005"/>
    <hyperlink r:id="rId5368" ref="F6006"/>
    <hyperlink r:id="rId5369" ref="F6007"/>
    <hyperlink r:id="rId5370" ref="F6008"/>
    <hyperlink r:id="rId5371" ref="F6009"/>
    <hyperlink r:id="rId5372" ref="F6010"/>
    <hyperlink r:id="rId5373" ref="F6011"/>
    <hyperlink r:id="rId5374" ref="F6012"/>
    <hyperlink r:id="rId5375" ref="F6013"/>
    <hyperlink r:id="rId5376" ref="F6014"/>
    <hyperlink r:id="rId5377" ref="F6015"/>
    <hyperlink r:id="rId5378" ref="F6016"/>
    <hyperlink r:id="rId5379" ref="F6019"/>
    <hyperlink r:id="rId5380" ref="F6020"/>
    <hyperlink r:id="rId5381" ref="F6021"/>
    <hyperlink r:id="rId5382" ref="F6022"/>
    <hyperlink r:id="rId5383" ref="F6023"/>
    <hyperlink r:id="rId5384" ref="F6024"/>
    <hyperlink r:id="rId5385" ref="F6025"/>
    <hyperlink r:id="rId5386" ref="F6026"/>
    <hyperlink r:id="rId5387" ref="F6027"/>
    <hyperlink r:id="rId5388" ref="F6028"/>
    <hyperlink r:id="rId5389" ref="F6029"/>
    <hyperlink r:id="rId5390" ref="F6030"/>
    <hyperlink r:id="rId5391" ref="F6031"/>
    <hyperlink r:id="rId5392" ref="F6032"/>
    <hyperlink r:id="rId5393" ref="F6034"/>
    <hyperlink r:id="rId5394" ref="F6035"/>
    <hyperlink r:id="rId5395" ref="F6036"/>
    <hyperlink r:id="rId5396" ref="F6038"/>
    <hyperlink r:id="rId5397" ref="F6039"/>
    <hyperlink r:id="rId5398" ref="F6040"/>
    <hyperlink r:id="rId5399" ref="F6041"/>
    <hyperlink r:id="rId5400" ref="F6042"/>
    <hyperlink r:id="rId5401" ref="F6043"/>
    <hyperlink r:id="rId5402" ref="F6044"/>
    <hyperlink r:id="rId5403" ref="F6045"/>
    <hyperlink r:id="rId5404" ref="F6046"/>
    <hyperlink r:id="rId5405" ref="F6047"/>
    <hyperlink r:id="rId5406" ref="F6048"/>
    <hyperlink r:id="rId5407" ref="F6049"/>
    <hyperlink r:id="rId5408" ref="F6051"/>
    <hyperlink r:id="rId5409" ref="F6052"/>
    <hyperlink r:id="rId5410" ref="F6053"/>
    <hyperlink r:id="rId5411" ref="F6054"/>
    <hyperlink r:id="rId5412" ref="F6055"/>
    <hyperlink r:id="rId5413" ref="F6056"/>
    <hyperlink r:id="rId5414" ref="F6057"/>
    <hyperlink r:id="rId5415" ref="F6058"/>
    <hyperlink r:id="rId5416" ref="F6059"/>
    <hyperlink r:id="rId5417" ref="F6060"/>
    <hyperlink r:id="rId5418" ref="F6061"/>
    <hyperlink r:id="rId5419" ref="F6062"/>
    <hyperlink r:id="rId5420" ref="F6063"/>
    <hyperlink r:id="rId5421" ref="F6065"/>
    <hyperlink r:id="rId5422" ref="F6066"/>
    <hyperlink r:id="rId5423" ref="F6067"/>
    <hyperlink r:id="rId5424" ref="F6068"/>
    <hyperlink r:id="rId5425" ref="F6069"/>
    <hyperlink r:id="rId5426" ref="F6070"/>
    <hyperlink r:id="rId5427" ref="F6071"/>
    <hyperlink r:id="rId5428" ref="F6072"/>
    <hyperlink r:id="rId5429" ref="F6073"/>
    <hyperlink r:id="rId5430" ref="F6074"/>
    <hyperlink r:id="rId5431" ref="F6077"/>
    <hyperlink r:id="rId5432" ref="F6078"/>
    <hyperlink r:id="rId5433" ref="F6079"/>
    <hyperlink r:id="rId5434" ref="F6081"/>
    <hyperlink r:id="rId5435" ref="F6082"/>
    <hyperlink r:id="rId5436" ref="F6083"/>
    <hyperlink r:id="rId5437" ref="F6084"/>
    <hyperlink r:id="rId5438" ref="F6085"/>
    <hyperlink r:id="rId5439" ref="F6086"/>
    <hyperlink r:id="rId5440" ref="F6087"/>
    <hyperlink r:id="rId5441" ref="F6089"/>
    <hyperlink r:id="rId5442" ref="F6090"/>
    <hyperlink r:id="rId5443" ref="F6091"/>
    <hyperlink r:id="rId5444" ref="F6092"/>
    <hyperlink r:id="rId5445" ref="F6094"/>
    <hyperlink r:id="rId5446" ref="F6095"/>
    <hyperlink r:id="rId5447" ref="F6098"/>
    <hyperlink r:id="rId5448" ref="F6099"/>
    <hyperlink r:id="rId5449" ref="F6101"/>
    <hyperlink r:id="rId5450" ref="F6102"/>
    <hyperlink r:id="rId5451" ref="F6103"/>
    <hyperlink r:id="rId5452" ref="F6104"/>
    <hyperlink r:id="rId5453" ref="F6106"/>
    <hyperlink r:id="rId5454" ref="F6107"/>
    <hyperlink r:id="rId5455" ref="F6108"/>
    <hyperlink r:id="rId5456" ref="F6109"/>
    <hyperlink r:id="rId5457" ref="F6110"/>
    <hyperlink r:id="rId5458" ref="F6111"/>
    <hyperlink r:id="rId5459" ref="F6112"/>
    <hyperlink r:id="rId5460" ref="F6113"/>
    <hyperlink r:id="rId5461" ref="F6114"/>
    <hyperlink r:id="rId5462" ref="F6115"/>
    <hyperlink r:id="rId5463" ref="F6117"/>
    <hyperlink r:id="rId5464" ref="F6118"/>
    <hyperlink r:id="rId5465" ref="F6119"/>
    <hyperlink r:id="rId5466" ref="F6120"/>
    <hyperlink r:id="rId5467" ref="F6121"/>
    <hyperlink r:id="rId5468" ref="F6122"/>
    <hyperlink r:id="rId5469" ref="F6123"/>
    <hyperlink r:id="rId5470" ref="F6124"/>
    <hyperlink r:id="rId5471" ref="F6125"/>
    <hyperlink r:id="rId5472" ref="F6127"/>
    <hyperlink r:id="rId5473" ref="F6128"/>
    <hyperlink r:id="rId5474" ref="F6129"/>
    <hyperlink r:id="rId5475" ref="F6130"/>
    <hyperlink r:id="rId5476" ref="F6131"/>
    <hyperlink r:id="rId5477" ref="F6132"/>
    <hyperlink r:id="rId5478" ref="F6133"/>
    <hyperlink r:id="rId5479" ref="F6134"/>
    <hyperlink r:id="rId5480" ref="F6135"/>
    <hyperlink r:id="rId5481" ref="F6136"/>
    <hyperlink r:id="rId5482" ref="F6139"/>
    <hyperlink r:id="rId5483" ref="F6142"/>
    <hyperlink r:id="rId5484" ref="F6143"/>
    <hyperlink r:id="rId5485" ref="F6145"/>
    <hyperlink r:id="rId5486" ref="F6146"/>
    <hyperlink r:id="rId5487" ref="F6147"/>
    <hyperlink r:id="rId5488" ref="F6148"/>
    <hyperlink r:id="rId5489" ref="F6149"/>
    <hyperlink r:id="rId5490" ref="F6150"/>
    <hyperlink r:id="rId5491" ref="F6151"/>
    <hyperlink r:id="rId5492" ref="F6152"/>
    <hyperlink r:id="rId5493" ref="F6153"/>
    <hyperlink r:id="rId5494" ref="F6154"/>
    <hyperlink r:id="rId5495" ref="F6155"/>
    <hyperlink r:id="rId5496" ref="F6156"/>
    <hyperlink r:id="rId5497" ref="F6157"/>
    <hyperlink r:id="rId5498" ref="F6158"/>
    <hyperlink r:id="rId5499" ref="F6159"/>
    <hyperlink r:id="rId5500" ref="F6160"/>
    <hyperlink r:id="rId5501" ref="F6161"/>
    <hyperlink r:id="rId5502" ref="F6162"/>
    <hyperlink r:id="rId5503" ref="F6163"/>
    <hyperlink r:id="rId5504" ref="F6164"/>
    <hyperlink r:id="rId5505" ref="F6165"/>
    <hyperlink r:id="rId5506" ref="F6166"/>
    <hyperlink r:id="rId5507" ref="F6167"/>
    <hyperlink r:id="rId5508" ref="F6169"/>
    <hyperlink r:id="rId5509" ref="F6170"/>
    <hyperlink r:id="rId5510" ref="F6171"/>
    <hyperlink r:id="rId5511" ref="F6172"/>
    <hyperlink r:id="rId5512" ref="F6173"/>
    <hyperlink r:id="rId5513" ref="F6174"/>
    <hyperlink r:id="rId5514" ref="F6175"/>
    <hyperlink r:id="rId5515" ref="F6176"/>
    <hyperlink r:id="rId5516" ref="F6177"/>
    <hyperlink r:id="rId5517" ref="F6178"/>
    <hyperlink r:id="rId5518" ref="F6180"/>
    <hyperlink r:id="rId5519" ref="F6181"/>
    <hyperlink r:id="rId5520" ref="F6182"/>
    <hyperlink r:id="rId5521" ref="F6183"/>
    <hyperlink r:id="rId5522" ref="F6184"/>
    <hyperlink r:id="rId5523" ref="F6185"/>
    <hyperlink r:id="rId5524" ref="F6186"/>
    <hyperlink r:id="rId5525" ref="F6187"/>
    <hyperlink r:id="rId5526" ref="F6188"/>
    <hyperlink r:id="rId5527" ref="F6189"/>
    <hyperlink r:id="rId5528" ref="F6191"/>
    <hyperlink r:id="rId5529" ref="F6192"/>
    <hyperlink r:id="rId5530" ref="F6194"/>
    <hyperlink r:id="rId5531" ref="F6195"/>
    <hyperlink r:id="rId5532" ref="F6196"/>
    <hyperlink r:id="rId5533" ref="F6197"/>
    <hyperlink r:id="rId5534" ref="F6198"/>
    <hyperlink r:id="rId5535" ref="F6199"/>
    <hyperlink r:id="rId5536" ref="F6200"/>
    <hyperlink r:id="rId5537" ref="F6201"/>
    <hyperlink r:id="rId5538" ref="F6202"/>
    <hyperlink r:id="rId5539" ref="F6204"/>
    <hyperlink r:id="rId5540" ref="F6205"/>
    <hyperlink r:id="rId5541" ref="F6206"/>
    <hyperlink r:id="rId5542" ref="F6208"/>
    <hyperlink r:id="rId5543" ref="F6209"/>
    <hyperlink r:id="rId5544" ref="F6210"/>
    <hyperlink r:id="rId5545" ref="F6211"/>
    <hyperlink r:id="rId5546" ref="F6212"/>
    <hyperlink r:id="rId5547" ref="F6213"/>
    <hyperlink r:id="rId5548" ref="F6214"/>
    <hyperlink r:id="rId5549" ref="F6215"/>
    <hyperlink r:id="rId5550" ref="F6216"/>
    <hyperlink r:id="rId5551" ref="F6217"/>
    <hyperlink r:id="rId5552" ref="F6218"/>
    <hyperlink r:id="rId5553" ref="F6219"/>
    <hyperlink r:id="rId5554" ref="F6220"/>
    <hyperlink r:id="rId5555" ref="F6221"/>
    <hyperlink r:id="rId5556" ref="F6222"/>
    <hyperlink r:id="rId5557" ref="F6225"/>
    <hyperlink r:id="rId5558" ref="F6227"/>
    <hyperlink r:id="rId5559" ref="F6228"/>
    <hyperlink r:id="rId5560" ref="F6229"/>
    <hyperlink r:id="rId5561" ref="F6230"/>
    <hyperlink r:id="rId5562" ref="F6231"/>
    <hyperlink r:id="rId5563" ref="F6232"/>
    <hyperlink r:id="rId5564" ref="F6233"/>
    <hyperlink r:id="rId5565" ref="F6234"/>
    <hyperlink r:id="rId5566" ref="F6235"/>
    <hyperlink r:id="rId5567" ref="F6236"/>
    <hyperlink r:id="rId5568" ref="F6237"/>
    <hyperlink r:id="rId5569" ref="F6238"/>
    <hyperlink r:id="rId5570" ref="F6239"/>
    <hyperlink r:id="rId5571" ref="F6240"/>
    <hyperlink r:id="rId5572" ref="F6241"/>
    <hyperlink r:id="rId5573" ref="F6242"/>
    <hyperlink r:id="rId5574" ref="F6243"/>
    <hyperlink r:id="rId5575" ref="F6244"/>
    <hyperlink r:id="rId5576" ref="F6245"/>
    <hyperlink r:id="rId5577" ref="F6246"/>
    <hyperlink r:id="rId5578" ref="F6247"/>
    <hyperlink r:id="rId5579" ref="F6248"/>
    <hyperlink r:id="rId5580" ref="F6249"/>
    <hyperlink r:id="rId5581" ref="F6250"/>
    <hyperlink r:id="rId5582" ref="F6252"/>
    <hyperlink r:id="rId5583" ref="F6254"/>
    <hyperlink r:id="rId5584" ref="F6255"/>
    <hyperlink r:id="rId5585" ref="F6256"/>
    <hyperlink r:id="rId5586" ref="F6257"/>
    <hyperlink r:id="rId5587" ref="F6258"/>
    <hyperlink r:id="rId5588" ref="F6259"/>
    <hyperlink r:id="rId5589" ref="F6260"/>
    <hyperlink r:id="rId5590" ref="F6264"/>
    <hyperlink r:id="rId5591" ref="F6265"/>
    <hyperlink r:id="rId5592" ref="F6266"/>
    <hyperlink r:id="rId5593" ref="F6267"/>
    <hyperlink r:id="rId5594" ref="F6268"/>
    <hyperlink r:id="rId5595" ref="F6269"/>
    <hyperlink r:id="rId5596" ref="F6270"/>
    <hyperlink r:id="rId5597" ref="F6271"/>
    <hyperlink r:id="rId5598" ref="F6272"/>
    <hyperlink r:id="rId5599" ref="F6273"/>
    <hyperlink r:id="rId5600" ref="F6274"/>
    <hyperlink r:id="rId5601" ref="F6275"/>
    <hyperlink r:id="rId5602" ref="F6276"/>
    <hyperlink r:id="rId5603" ref="F6277"/>
    <hyperlink r:id="rId5604" ref="F6278"/>
    <hyperlink r:id="rId5605" ref="F6279"/>
    <hyperlink r:id="rId5606" ref="F6282"/>
    <hyperlink r:id="rId5607" ref="F6283"/>
    <hyperlink r:id="rId5608" ref="F6284"/>
    <hyperlink r:id="rId5609" ref="F6285"/>
    <hyperlink r:id="rId5610" ref="F6286"/>
    <hyperlink r:id="rId5611" ref="F6287"/>
    <hyperlink r:id="rId5612" ref="F6288"/>
    <hyperlink r:id="rId5613" ref="F6289"/>
    <hyperlink r:id="rId5614" ref="F6290"/>
    <hyperlink r:id="rId5615" ref="F6291"/>
    <hyperlink r:id="rId5616" ref="F6292"/>
    <hyperlink r:id="rId5617" ref="F6293"/>
    <hyperlink r:id="rId5618" ref="F6294"/>
    <hyperlink r:id="rId5619" ref="F6295"/>
    <hyperlink r:id="rId5620" ref="F6296"/>
    <hyperlink r:id="rId5621" ref="F6297"/>
    <hyperlink r:id="rId5622" ref="F6298"/>
    <hyperlink r:id="rId5623" ref="F6300"/>
    <hyperlink r:id="rId5624" ref="F6301"/>
    <hyperlink r:id="rId5625" ref="F6302"/>
    <hyperlink r:id="rId5626" ref="F6304"/>
    <hyperlink r:id="rId5627" ref="F6305"/>
    <hyperlink r:id="rId5628" ref="F6306"/>
    <hyperlink r:id="rId5629" ref="F6307"/>
    <hyperlink r:id="rId5630" ref="F6308"/>
    <hyperlink r:id="rId5631" ref="F6309"/>
    <hyperlink r:id="rId5632" ref="F6310"/>
    <hyperlink r:id="rId5633" ref="F6311"/>
    <hyperlink r:id="rId5634" ref="F6312"/>
    <hyperlink r:id="rId5635" ref="F6313"/>
    <hyperlink r:id="rId5636" ref="F6314"/>
    <hyperlink r:id="rId5637" ref="F6315"/>
    <hyperlink r:id="rId5638" ref="F6316"/>
    <hyperlink r:id="rId5639" ref="F6318"/>
    <hyperlink r:id="rId5640" ref="F6319"/>
    <hyperlink r:id="rId5641" ref="F6320"/>
    <hyperlink r:id="rId5642" ref="F6321"/>
    <hyperlink r:id="rId5643" ref="F6322"/>
    <hyperlink r:id="rId5644" ref="F6324"/>
    <hyperlink r:id="rId5645" ref="F6325"/>
    <hyperlink r:id="rId5646" ref="F6326"/>
    <hyperlink r:id="rId5647" ref="F6327"/>
    <hyperlink r:id="rId5648" ref="F6328"/>
    <hyperlink r:id="rId5649" ref="F6329"/>
    <hyperlink r:id="rId5650" ref="F6330"/>
    <hyperlink r:id="rId5651" ref="F6331"/>
    <hyperlink r:id="rId5652" ref="F6332"/>
    <hyperlink r:id="rId5653" ref="F6333"/>
    <hyperlink r:id="rId5654" ref="F6334"/>
    <hyperlink r:id="rId5655" ref="F6335"/>
    <hyperlink r:id="rId5656" ref="F6336"/>
    <hyperlink r:id="rId5657" ref="F6337"/>
    <hyperlink r:id="rId5658" ref="F6338"/>
    <hyperlink r:id="rId5659" ref="F6339"/>
    <hyperlink r:id="rId5660" ref="F6340"/>
    <hyperlink r:id="rId5661" ref="F6341"/>
    <hyperlink r:id="rId5662" ref="F6342"/>
    <hyperlink r:id="rId5663" ref="F6343"/>
    <hyperlink r:id="rId5664" ref="F6344"/>
    <hyperlink r:id="rId5665" ref="F6347"/>
    <hyperlink r:id="rId5666" ref="F6349"/>
    <hyperlink r:id="rId5667" ref="F6350"/>
    <hyperlink r:id="rId5668" ref="F6351"/>
    <hyperlink r:id="rId5669" ref="F6352"/>
    <hyperlink r:id="rId5670" ref="F6353"/>
    <hyperlink r:id="rId5671" ref="F6354"/>
    <hyperlink r:id="rId5672" ref="F6355"/>
    <hyperlink r:id="rId5673" ref="F6356"/>
    <hyperlink r:id="rId5674" ref="F6357"/>
    <hyperlink r:id="rId5675" ref="F6358"/>
    <hyperlink r:id="rId5676" ref="F6359"/>
    <hyperlink r:id="rId5677" ref="F6361"/>
    <hyperlink r:id="rId5678" ref="F6362"/>
    <hyperlink r:id="rId5679" ref="F6363"/>
    <hyperlink r:id="rId5680" ref="F6364"/>
    <hyperlink r:id="rId5681" ref="F6365"/>
    <hyperlink r:id="rId5682" ref="F6367"/>
    <hyperlink r:id="rId5683" ref="F6369"/>
    <hyperlink r:id="rId5684" ref="F6370"/>
    <hyperlink r:id="rId5685" ref="F6372"/>
    <hyperlink r:id="rId5686" ref="F6373"/>
    <hyperlink r:id="rId5687" ref="F6374"/>
    <hyperlink r:id="rId5688" ref="F6375"/>
    <hyperlink r:id="rId5689" ref="F6376"/>
    <hyperlink r:id="rId5690" ref="F6377"/>
    <hyperlink r:id="rId5691" ref="F6378"/>
    <hyperlink r:id="rId5692" ref="F6379"/>
    <hyperlink r:id="rId5693" ref="F6380"/>
    <hyperlink r:id="rId5694" ref="F6381"/>
    <hyperlink r:id="rId5695" ref="F6382"/>
    <hyperlink r:id="rId5696" ref="F6383"/>
    <hyperlink r:id="rId5697" ref="F6384"/>
    <hyperlink r:id="rId5698" ref="F6385"/>
    <hyperlink r:id="rId5699" ref="F6387"/>
    <hyperlink r:id="rId5700" ref="F6388"/>
    <hyperlink r:id="rId5701" ref="F6389"/>
    <hyperlink r:id="rId5702" ref="F6390"/>
    <hyperlink r:id="rId5703" ref="F6391"/>
    <hyperlink r:id="rId5704" ref="F6393"/>
    <hyperlink r:id="rId5705" ref="F6394"/>
    <hyperlink r:id="rId5706" ref="F6395"/>
    <hyperlink r:id="rId5707" ref="F6396"/>
    <hyperlink r:id="rId5708" ref="F6397"/>
    <hyperlink r:id="rId5709" ref="F6398"/>
    <hyperlink r:id="rId5710" ref="F6400"/>
    <hyperlink r:id="rId5711" ref="F6401"/>
    <hyperlink r:id="rId5712" ref="F6402"/>
    <hyperlink r:id="rId5713" ref="F6403"/>
    <hyperlink r:id="rId5714" ref="F6404"/>
    <hyperlink r:id="rId5715" ref="F6405"/>
    <hyperlink r:id="rId5716" ref="F6406"/>
    <hyperlink r:id="rId5717" ref="F6407"/>
    <hyperlink r:id="rId5718" ref="F6408"/>
    <hyperlink r:id="rId5719" ref="F6409"/>
    <hyperlink r:id="rId5720" ref="F6410"/>
    <hyperlink r:id="rId5721" ref="F6412"/>
    <hyperlink r:id="rId5722" ref="F6413"/>
    <hyperlink r:id="rId5723" ref="F6414"/>
    <hyperlink r:id="rId5724" ref="F6415"/>
    <hyperlink r:id="rId5725" ref="F6416"/>
    <hyperlink r:id="rId5726" ref="F6417"/>
    <hyperlink r:id="rId5727" ref="F6418"/>
    <hyperlink r:id="rId5728" ref="F6419"/>
    <hyperlink r:id="rId5729" ref="F6420"/>
    <hyperlink r:id="rId5730" ref="F6421"/>
    <hyperlink r:id="rId5731" ref="F6422"/>
    <hyperlink r:id="rId5732" ref="F6423"/>
    <hyperlink r:id="rId5733" ref="F6424"/>
    <hyperlink r:id="rId5734" ref="F6425"/>
    <hyperlink r:id="rId5735" ref="F6427"/>
    <hyperlink r:id="rId5736" ref="F6429"/>
    <hyperlink r:id="rId5737" ref="F6430"/>
    <hyperlink r:id="rId5738" ref="F6431"/>
    <hyperlink r:id="rId5739" ref="F6432"/>
    <hyperlink r:id="rId5740" ref="F6433"/>
    <hyperlink r:id="rId5741" ref="F6434"/>
    <hyperlink r:id="rId5742" ref="F6435"/>
    <hyperlink r:id="rId5743" ref="F6436"/>
    <hyperlink r:id="rId5744" ref="F6437"/>
    <hyperlink r:id="rId5745" ref="F6438"/>
    <hyperlink r:id="rId5746" ref="F6439"/>
    <hyperlink r:id="rId5747" ref="F6440"/>
    <hyperlink r:id="rId5748" ref="F6441"/>
    <hyperlink r:id="rId5749" ref="F6444"/>
    <hyperlink r:id="rId5750" ref="F6445"/>
    <hyperlink r:id="rId5751" ref="F6446"/>
    <hyperlink r:id="rId5752" ref="F6449"/>
    <hyperlink r:id="rId5753" ref="F6450"/>
    <hyperlink r:id="rId5754" ref="F6451"/>
    <hyperlink r:id="rId5755" ref="F6452"/>
    <hyperlink r:id="rId5756" ref="F6453"/>
    <hyperlink r:id="rId5757" ref="F6454"/>
    <hyperlink r:id="rId5758" ref="F6455"/>
    <hyperlink r:id="rId5759" ref="F6456"/>
    <hyperlink r:id="rId5760" ref="F6457"/>
    <hyperlink r:id="rId5761" ref="F6458"/>
    <hyperlink r:id="rId5762" ref="F6459"/>
    <hyperlink r:id="rId5763" ref="F6460"/>
    <hyperlink r:id="rId5764" ref="F6461"/>
    <hyperlink r:id="rId5765" ref="F6462"/>
    <hyperlink r:id="rId5766" ref="F6463"/>
    <hyperlink r:id="rId5767" ref="F6464"/>
    <hyperlink r:id="rId5768" ref="F6465"/>
    <hyperlink r:id="rId5769" ref="F6466"/>
    <hyperlink r:id="rId5770" ref="F6468"/>
    <hyperlink r:id="rId5771" ref="F6469"/>
    <hyperlink r:id="rId5772" ref="F6470"/>
    <hyperlink r:id="rId5773" ref="F6471"/>
    <hyperlink r:id="rId5774" ref="F6472"/>
    <hyperlink r:id="rId5775" ref="F6473"/>
    <hyperlink r:id="rId5776" ref="F6474"/>
    <hyperlink r:id="rId5777" ref="F6475"/>
    <hyperlink r:id="rId5778" ref="F6476"/>
    <hyperlink r:id="rId5779" ref="F6477"/>
    <hyperlink r:id="rId5780" ref="F6478"/>
    <hyperlink r:id="rId5781" ref="F6479"/>
    <hyperlink r:id="rId5782" ref="F6483"/>
    <hyperlink r:id="rId5783" ref="F6484"/>
    <hyperlink r:id="rId5784" ref="F6485"/>
    <hyperlink r:id="rId5785" ref="F6486"/>
    <hyperlink r:id="rId5786" ref="F6487"/>
    <hyperlink r:id="rId5787" ref="F6488"/>
    <hyperlink r:id="rId5788" ref="F6489"/>
    <hyperlink r:id="rId5789" ref="F6490"/>
    <hyperlink r:id="rId5790" ref="F6491"/>
    <hyperlink r:id="rId5791" ref="F6492"/>
    <hyperlink r:id="rId5792" ref="F6493"/>
    <hyperlink r:id="rId5793" ref="F6494"/>
    <hyperlink r:id="rId5794" ref="F6495"/>
    <hyperlink r:id="rId5795" ref="F6496"/>
    <hyperlink r:id="rId5796" ref="F6497"/>
    <hyperlink r:id="rId5797" ref="F6500"/>
    <hyperlink r:id="rId5798" ref="F6504"/>
    <hyperlink r:id="rId5799" ref="F6505"/>
    <hyperlink r:id="rId5800" ref="F6507"/>
    <hyperlink r:id="rId5801" ref="F6508"/>
    <hyperlink r:id="rId5802" ref="F6509"/>
    <hyperlink r:id="rId5803" ref="F6510"/>
    <hyperlink r:id="rId5804" ref="F6511"/>
    <hyperlink r:id="rId5805" ref="F6512"/>
    <hyperlink r:id="rId5806" ref="F6513"/>
    <hyperlink r:id="rId5807" ref="F6514"/>
    <hyperlink r:id="rId5808" ref="F6515"/>
    <hyperlink r:id="rId5809" ref="F6516"/>
    <hyperlink r:id="rId5810" ref="F6517"/>
    <hyperlink r:id="rId5811" ref="F6518"/>
    <hyperlink r:id="rId5812" ref="F6519"/>
    <hyperlink r:id="rId5813" ref="F6520"/>
    <hyperlink r:id="rId5814" ref="F6521"/>
    <hyperlink r:id="rId5815" ref="F6522"/>
    <hyperlink r:id="rId5816" ref="F6523"/>
    <hyperlink r:id="rId5817" ref="F6524"/>
    <hyperlink r:id="rId5818" ref="F6526"/>
    <hyperlink r:id="rId5819" ref="F6528"/>
    <hyperlink r:id="rId5820" ref="F6529"/>
    <hyperlink r:id="rId5821" ref="F6530"/>
    <hyperlink r:id="rId5822" ref="F6531"/>
    <hyperlink r:id="rId5823" ref="F6532"/>
    <hyperlink r:id="rId5824" ref="F6533"/>
    <hyperlink r:id="rId5825" ref="F6534"/>
    <hyperlink r:id="rId5826" ref="F6535"/>
    <hyperlink r:id="rId5827" ref="F6536"/>
    <hyperlink r:id="rId5828" ref="F6537"/>
    <hyperlink r:id="rId5829" ref="F6539"/>
    <hyperlink r:id="rId5830" ref="F6542"/>
    <hyperlink r:id="rId5831" ref="F6544"/>
    <hyperlink r:id="rId5832" ref="F6545"/>
    <hyperlink r:id="rId5833" ref="F6546"/>
    <hyperlink r:id="rId5834" ref="F6547"/>
    <hyperlink r:id="rId5835" ref="F6548"/>
    <hyperlink r:id="rId5836" ref="F6549"/>
    <hyperlink r:id="rId5837" ref="F6550"/>
    <hyperlink r:id="rId5838" ref="F6551"/>
    <hyperlink r:id="rId5839" ref="F6552"/>
    <hyperlink r:id="rId5840" ref="F6553"/>
    <hyperlink r:id="rId5841" ref="F6554"/>
    <hyperlink r:id="rId5842" ref="F6555"/>
    <hyperlink r:id="rId5843" ref="F6556"/>
    <hyperlink r:id="rId5844" ref="F6557"/>
    <hyperlink r:id="rId5845" ref="F6558"/>
    <hyperlink r:id="rId5846" ref="F6559"/>
    <hyperlink r:id="rId5847" ref="F6562"/>
    <hyperlink r:id="rId5848" ref="F6563"/>
    <hyperlink r:id="rId5849" ref="F6564"/>
    <hyperlink r:id="rId5850" ref="F6565"/>
    <hyperlink r:id="rId5851" ref="F6566"/>
    <hyperlink r:id="rId5852" ref="F6567"/>
    <hyperlink r:id="rId5853" ref="F6568"/>
    <hyperlink r:id="rId5854" ref="F6569"/>
    <hyperlink r:id="rId5855" ref="F6570"/>
    <hyperlink r:id="rId5856" ref="F6571"/>
    <hyperlink r:id="rId5857" ref="F6572"/>
    <hyperlink r:id="rId5858" ref="F6573"/>
    <hyperlink r:id="rId5859" ref="F6574"/>
    <hyperlink r:id="rId5860" ref="F6575"/>
    <hyperlink r:id="rId5861" ref="F6576"/>
    <hyperlink r:id="rId5862" ref="F6577"/>
    <hyperlink r:id="rId5863" ref="F6578"/>
    <hyperlink r:id="rId5864" ref="F6579"/>
    <hyperlink r:id="rId5865" ref="F6580"/>
    <hyperlink r:id="rId5866" ref="F6582"/>
    <hyperlink r:id="rId5867" ref="F6583"/>
    <hyperlink r:id="rId5868" ref="F6584"/>
    <hyperlink r:id="rId5869" ref="F6585"/>
    <hyperlink r:id="rId5870" ref="F6586"/>
    <hyperlink r:id="rId5871" ref="F6587"/>
    <hyperlink r:id="rId5872" ref="F6588"/>
    <hyperlink r:id="rId5873" ref="F6589"/>
    <hyperlink r:id="rId5874" ref="F6590"/>
    <hyperlink r:id="rId5875" ref="F6591"/>
    <hyperlink r:id="rId5876" ref="F6592"/>
    <hyperlink r:id="rId5877" ref="F6593"/>
    <hyperlink r:id="rId5878" ref="F6594"/>
    <hyperlink r:id="rId5879" ref="F6595"/>
    <hyperlink r:id="rId5880" ref="F6596"/>
    <hyperlink r:id="rId5881" ref="F6597"/>
    <hyperlink r:id="rId5882" ref="F6598"/>
    <hyperlink r:id="rId5883" ref="F6599"/>
    <hyperlink r:id="rId5884" ref="F6600"/>
    <hyperlink r:id="rId5885" ref="F6601"/>
    <hyperlink r:id="rId5886" ref="F6602"/>
    <hyperlink r:id="rId5887" ref="F6603"/>
    <hyperlink r:id="rId5888" ref="F6604"/>
    <hyperlink r:id="rId5889" ref="F6605"/>
    <hyperlink r:id="rId5890" ref="F6606"/>
    <hyperlink r:id="rId5891" ref="F6607"/>
    <hyperlink r:id="rId5892" ref="F6608"/>
    <hyperlink r:id="rId5893" ref="F6609"/>
    <hyperlink r:id="rId5894" ref="F6610"/>
    <hyperlink r:id="rId5895" ref="F6611"/>
    <hyperlink r:id="rId5896" ref="F6612"/>
    <hyperlink r:id="rId5897" ref="F6613"/>
    <hyperlink r:id="rId5898" ref="F6614"/>
    <hyperlink r:id="rId5899" ref="F6615"/>
    <hyperlink r:id="rId5900" ref="F6616"/>
    <hyperlink r:id="rId5901" ref="F6617"/>
    <hyperlink r:id="rId5902" ref="F6618"/>
    <hyperlink r:id="rId5903" ref="F6619"/>
    <hyperlink r:id="rId5904" ref="F6620"/>
    <hyperlink r:id="rId5905" ref="F6622"/>
    <hyperlink r:id="rId5906" ref="F6623"/>
    <hyperlink r:id="rId5907" ref="F6624"/>
    <hyperlink r:id="rId5908" ref="F6625"/>
    <hyperlink r:id="rId5909" ref="F6626"/>
    <hyperlink r:id="rId5910" ref="F6627"/>
    <hyperlink r:id="rId5911" ref="F6628"/>
    <hyperlink r:id="rId5912" ref="F6629"/>
    <hyperlink r:id="rId5913" ref="F6630"/>
    <hyperlink r:id="rId5914" ref="F6631"/>
    <hyperlink r:id="rId5915" ref="F6633"/>
    <hyperlink r:id="rId5916" ref="F6634"/>
    <hyperlink r:id="rId5917" ref="F6635"/>
    <hyperlink r:id="rId5918" ref="F6636"/>
    <hyperlink r:id="rId5919" ref="F6637"/>
    <hyperlink r:id="rId5920" ref="F6638"/>
    <hyperlink r:id="rId5921" ref="F6639"/>
    <hyperlink r:id="rId5922" ref="F6640"/>
    <hyperlink r:id="rId5923" ref="F6641"/>
    <hyperlink r:id="rId5924" ref="F6642"/>
    <hyperlink r:id="rId5925" ref="F6644"/>
    <hyperlink r:id="rId5926" ref="F6645"/>
    <hyperlink r:id="rId5927" ref="F6646"/>
    <hyperlink r:id="rId5928" ref="F6647"/>
    <hyperlink r:id="rId5929" ref="F6648"/>
    <hyperlink r:id="rId5930" ref="F6649"/>
    <hyperlink r:id="rId5931" ref="F6650"/>
    <hyperlink r:id="rId5932" ref="F6652"/>
    <hyperlink r:id="rId5933" ref="F6653"/>
    <hyperlink r:id="rId5934" ref="F6654"/>
    <hyperlink r:id="rId5935" ref="F6655"/>
    <hyperlink r:id="rId5936" ref="F6656"/>
    <hyperlink r:id="rId5937" ref="F6657"/>
    <hyperlink r:id="rId5938" ref="F6658"/>
    <hyperlink r:id="rId5939" ref="F6659"/>
    <hyperlink r:id="rId5940" ref="F6660"/>
    <hyperlink r:id="rId5941" ref="F6661"/>
    <hyperlink r:id="rId5942" ref="F6664"/>
    <hyperlink r:id="rId5943" ref="F6667"/>
    <hyperlink r:id="rId5944" ref="F6668"/>
    <hyperlink r:id="rId5945" ref="F6669"/>
    <hyperlink r:id="rId5946" ref="F6670"/>
    <hyperlink r:id="rId5947" ref="F6671"/>
    <hyperlink r:id="rId5948" ref="F6673"/>
    <hyperlink r:id="rId5949" ref="F6674"/>
    <hyperlink r:id="rId5950" ref="F6675"/>
    <hyperlink r:id="rId5951" ref="F6676"/>
    <hyperlink r:id="rId5952" ref="F6677"/>
    <hyperlink r:id="rId5953" ref="F6678"/>
    <hyperlink r:id="rId5954" ref="F6679"/>
    <hyperlink r:id="rId5955" ref="F6680"/>
    <hyperlink r:id="rId5956" ref="F6681"/>
    <hyperlink r:id="rId5957" ref="F6682"/>
    <hyperlink r:id="rId5958" ref="F6683"/>
    <hyperlink r:id="rId5959" ref="F6684"/>
    <hyperlink r:id="rId5960" ref="F6685"/>
    <hyperlink r:id="rId5961" ref="F6686"/>
    <hyperlink r:id="rId5962" ref="F6687"/>
    <hyperlink r:id="rId5963" ref="F6688"/>
    <hyperlink r:id="rId5964" ref="F6689"/>
    <hyperlink r:id="rId5965" ref="F6690"/>
    <hyperlink r:id="rId5966" ref="F6691"/>
    <hyperlink r:id="rId5967" ref="F6692"/>
    <hyperlink r:id="rId5968" ref="F6693"/>
    <hyperlink r:id="rId5969" ref="F6694"/>
    <hyperlink r:id="rId5970" ref="F6695"/>
    <hyperlink r:id="rId5971" ref="F6698"/>
    <hyperlink r:id="rId5972" ref="F6699"/>
    <hyperlink r:id="rId5973" ref="F6700"/>
    <hyperlink r:id="rId5974" ref="F6701"/>
    <hyperlink r:id="rId5975" ref="F6702"/>
    <hyperlink r:id="rId5976" ref="F6704"/>
    <hyperlink r:id="rId5977" ref="F6705"/>
    <hyperlink r:id="rId5978" ref="F6706"/>
    <hyperlink r:id="rId5979" ref="F6707"/>
    <hyperlink r:id="rId5980" ref="F6708"/>
    <hyperlink r:id="rId5981" ref="F6709"/>
    <hyperlink r:id="rId5982" ref="F6710"/>
    <hyperlink r:id="rId5983" ref="F6711"/>
    <hyperlink r:id="rId5984" ref="F6712"/>
    <hyperlink r:id="rId5985" ref="F6713"/>
    <hyperlink r:id="rId5986" ref="F6714"/>
    <hyperlink r:id="rId5987" ref="F6715"/>
    <hyperlink r:id="rId5988" ref="F6716"/>
    <hyperlink r:id="rId5989" ref="F6717"/>
    <hyperlink r:id="rId5990" ref="F6718"/>
    <hyperlink r:id="rId5991" ref="F6719"/>
    <hyperlink r:id="rId5992" ref="F6720"/>
    <hyperlink r:id="rId5993" ref="F6721"/>
    <hyperlink r:id="rId5994" ref="F6723"/>
    <hyperlink r:id="rId5995" ref="F6724"/>
    <hyperlink r:id="rId5996" ref="F6725"/>
    <hyperlink r:id="rId5997" ref="F6726"/>
    <hyperlink r:id="rId5998" ref="F6727"/>
    <hyperlink r:id="rId5999" ref="F6728"/>
    <hyperlink r:id="rId6000" ref="F6729"/>
    <hyperlink r:id="rId6001" ref="F6730"/>
    <hyperlink r:id="rId6002" ref="F6731"/>
    <hyperlink r:id="rId6003" ref="F6732"/>
    <hyperlink r:id="rId6004" ref="F6734"/>
    <hyperlink r:id="rId6005" ref="F6735"/>
    <hyperlink r:id="rId6006" ref="F6736"/>
    <hyperlink r:id="rId6007" ref="F6737"/>
    <hyperlink r:id="rId6008" ref="F6738"/>
    <hyperlink r:id="rId6009" ref="F6739"/>
    <hyperlink r:id="rId6010" ref="F6740"/>
    <hyperlink r:id="rId6011" ref="F6741"/>
    <hyperlink r:id="rId6012" ref="F6742"/>
    <hyperlink r:id="rId6013" ref="F6743"/>
    <hyperlink r:id="rId6014" ref="F6744"/>
    <hyperlink r:id="rId6015" ref="F6746"/>
    <hyperlink r:id="rId6016" ref="F6747"/>
    <hyperlink r:id="rId6017" ref="F6749"/>
    <hyperlink r:id="rId6018" ref="F6750"/>
    <hyperlink r:id="rId6019" ref="F6752"/>
    <hyperlink r:id="rId6020" ref="F6753"/>
    <hyperlink r:id="rId6021" ref="F6754"/>
    <hyperlink r:id="rId6022" ref="F6755"/>
    <hyperlink r:id="rId6023" ref="F6756"/>
    <hyperlink r:id="rId6024" ref="F6757"/>
    <hyperlink r:id="rId6025" ref="F6758"/>
    <hyperlink r:id="rId6026" ref="F6759"/>
    <hyperlink r:id="rId6027" ref="F6760"/>
    <hyperlink r:id="rId6028" ref="F6761"/>
    <hyperlink r:id="rId6029" ref="F6762"/>
    <hyperlink r:id="rId6030" ref="F6763"/>
    <hyperlink r:id="rId6031" ref="F6764"/>
    <hyperlink r:id="rId6032" ref="F6765"/>
    <hyperlink r:id="rId6033" ref="F6766"/>
    <hyperlink r:id="rId6034" ref="F6767"/>
    <hyperlink r:id="rId6035" ref="F6768"/>
    <hyperlink r:id="rId6036" ref="F6769"/>
    <hyperlink r:id="rId6037" ref="F6770"/>
    <hyperlink r:id="rId6038" ref="F6771"/>
    <hyperlink r:id="rId6039" ref="F6772"/>
    <hyperlink r:id="rId6040" ref="F6773"/>
    <hyperlink r:id="rId6041" ref="F6774"/>
    <hyperlink r:id="rId6042" ref="F6775"/>
    <hyperlink r:id="rId6043" ref="F6776"/>
    <hyperlink r:id="rId6044" ref="F6777"/>
    <hyperlink r:id="rId6045" ref="F6778"/>
    <hyperlink r:id="rId6046" ref="F6779"/>
    <hyperlink r:id="rId6047" ref="F6780"/>
    <hyperlink r:id="rId6048" ref="F6781"/>
    <hyperlink r:id="rId6049" ref="F6782"/>
    <hyperlink r:id="rId6050" ref="F6783"/>
    <hyperlink r:id="rId6051" ref="F6784"/>
    <hyperlink r:id="rId6052" ref="F6785"/>
    <hyperlink r:id="rId6053" ref="F6786"/>
    <hyperlink r:id="rId6054" ref="F6787"/>
    <hyperlink r:id="rId6055" ref="F6788"/>
    <hyperlink r:id="rId6056" ref="F6789"/>
    <hyperlink r:id="rId6057" ref="F6790"/>
    <hyperlink r:id="rId6058" ref="F6791"/>
    <hyperlink r:id="rId6059" ref="F6792"/>
    <hyperlink r:id="rId6060" ref="F6793"/>
    <hyperlink r:id="rId6061" ref="F6794"/>
    <hyperlink r:id="rId6062" ref="F6795"/>
    <hyperlink r:id="rId6063" ref="F6796"/>
    <hyperlink r:id="rId6064" ref="F6799"/>
    <hyperlink r:id="rId6065" ref="F6800"/>
    <hyperlink r:id="rId6066" ref="F6801"/>
    <hyperlink r:id="rId6067" ref="F6802"/>
    <hyperlink r:id="rId6068" ref="F6803"/>
    <hyperlink r:id="rId6069" ref="F6804"/>
    <hyperlink r:id="rId6070" ref="F6805"/>
    <hyperlink r:id="rId6071" ref="F6806"/>
    <hyperlink r:id="rId6072" ref="F6807"/>
    <hyperlink r:id="rId6073" ref="F6809"/>
    <hyperlink r:id="rId6074" ref="F6810"/>
    <hyperlink r:id="rId6075" ref="F6811"/>
    <hyperlink r:id="rId6076" ref="F6812"/>
    <hyperlink r:id="rId6077" ref="F6813"/>
    <hyperlink r:id="rId6078" ref="F6814"/>
    <hyperlink r:id="rId6079" ref="F6816"/>
    <hyperlink r:id="rId6080" ref="F6818"/>
    <hyperlink r:id="rId6081" ref="F6820"/>
    <hyperlink r:id="rId6082" ref="F6821"/>
    <hyperlink r:id="rId6083" ref="F6822"/>
    <hyperlink r:id="rId6084" ref="F6823"/>
    <hyperlink r:id="rId6085" ref="F6824"/>
    <hyperlink r:id="rId6086" ref="F6825"/>
    <hyperlink r:id="rId6087" ref="F6826"/>
    <hyperlink r:id="rId6088" ref="F6827"/>
    <hyperlink r:id="rId6089" ref="F6828"/>
    <hyperlink r:id="rId6090" ref="F6829"/>
    <hyperlink r:id="rId6091" ref="F6830"/>
    <hyperlink r:id="rId6092" ref="F6831"/>
    <hyperlink r:id="rId6093" ref="F6832"/>
    <hyperlink r:id="rId6094" ref="F6833"/>
    <hyperlink r:id="rId6095" ref="F6834"/>
    <hyperlink r:id="rId6096" ref="F6835"/>
    <hyperlink r:id="rId6097" ref="F6836"/>
    <hyperlink r:id="rId6098" ref="F6837"/>
    <hyperlink r:id="rId6099" ref="F6838"/>
    <hyperlink r:id="rId6100" ref="F6839"/>
    <hyperlink r:id="rId6101" ref="F6840"/>
    <hyperlink r:id="rId6102" ref="F6841"/>
    <hyperlink r:id="rId6103" ref="F6842"/>
    <hyperlink r:id="rId6104" ref="F6843"/>
    <hyperlink r:id="rId6105" ref="F6844"/>
    <hyperlink r:id="rId6106" ref="F6845"/>
    <hyperlink r:id="rId6107" ref="F6846"/>
    <hyperlink r:id="rId6108" ref="F6847"/>
    <hyperlink r:id="rId6109" ref="F6848"/>
    <hyperlink r:id="rId6110" ref="F6849"/>
    <hyperlink r:id="rId6111" ref="F6850"/>
    <hyperlink r:id="rId6112" ref="F6851"/>
    <hyperlink r:id="rId6113" ref="F6852"/>
    <hyperlink r:id="rId6114" ref="F6853"/>
    <hyperlink r:id="rId6115" ref="F6854"/>
    <hyperlink r:id="rId6116" ref="F6855"/>
    <hyperlink r:id="rId6117" ref="F6856"/>
    <hyperlink r:id="rId6118" ref="F6857"/>
  </hyperlinks>
  <drawing r:id="rId6119"/>
</worksheet>
</file>